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ario" sheetId="1" r:id="rId3"/>
    <sheet state="visible" name="Datas Livres" sheetId="2" r:id="rId4"/>
    <sheet state="visible" name="Previsão de Faturamento" sheetId="3" r:id="rId5"/>
    <sheet state="visible" name="Faturamento Seazone" sheetId="4" r:id="rId6"/>
    <sheet state="visible" name="DRE" sheetId="5" r:id="rId7"/>
    <sheet state="visible" name="TO" sheetId="6" r:id="rId8"/>
    <sheet state="visible" name="Preco Min" sheetId="7" r:id="rId9"/>
    <sheet state="visible" name="ILC1110" sheetId="8" r:id="rId10"/>
    <sheet state="visible" name="ILC1111" sheetId="9" r:id="rId11"/>
    <sheet state="visible" name="ILC1112" sheetId="10" r:id="rId12"/>
    <sheet state="visible" name="ILC1211" sheetId="11" r:id="rId13"/>
    <sheet state="visible" name="ILC1213" sheetId="12" r:id="rId14"/>
    <sheet state="visible" name="ILC1314" sheetId="13" r:id="rId15"/>
    <sheet state="visible" name="ILC1404" sheetId="14" r:id="rId16"/>
    <sheet state="visible" name="ILC2203" sheetId="15" r:id="rId17"/>
    <sheet state="visible" name="ILC2206" sheetId="16" r:id="rId18"/>
    <sheet state="visible" name="ILC2303" sheetId="17" r:id="rId19"/>
    <sheet state="visible" name="ILC2307" sheetId="18" r:id="rId20"/>
    <sheet state="visible" name="ILC2313" sheetId="19" r:id="rId21"/>
    <sheet state="visible" name="ILC2412" sheetId="20" r:id="rId22"/>
    <sheet state="visible" name="ILC2413" sheetId="21" r:id="rId23"/>
    <sheet state="visible" name="ILC3104" sheetId="22" r:id="rId24"/>
    <sheet state="visible" name="ILC3310" sheetId="23" r:id="rId25"/>
    <sheet state="visible" name="ILC3312" sheetId="24" r:id="rId26"/>
    <sheet state="visible" name="ILC3413" sheetId="25" r:id="rId27"/>
    <sheet state="visible" name="ILC3415" sheetId="26" r:id="rId28"/>
    <sheet state="visible" name="ILC4406" sheetId="27" r:id="rId29"/>
    <sheet state="visible" name="ILC4410" sheetId="28" r:id="rId30"/>
    <sheet state="visible" name="JBV455" sheetId="29" r:id="rId31"/>
    <sheet state="visible" name="JBV462" sheetId="30" r:id="rId32"/>
    <sheet state="visible" name="JBV464" sheetId="31" r:id="rId33"/>
    <sheet state="visible" name="STO2206" sheetId="32" r:id="rId34"/>
    <sheet state="visible" name="VDI208" sheetId="33" r:id="rId35"/>
    <sheet state="visible" name="BD Hóspedes" sheetId="34" r:id="rId36"/>
    <sheet state="visible" name="Padrão" sheetId="35" r:id="rId37"/>
    <sheet state="visible" name="Form" sheetId="36" r:id="rId38"/>
  </sheets>
  <definedNames/>
  <calcPr/>
</workbook>
</file>

<file path=xl/sharedStrings.xml><?xml version="1.0" encoding="utf-8"?>
<sst xmlns="http://schemas.openxmlformats.org/spreadsheetml/2006/main" count="20103" uniqueCount="2565">
  <si>
    <t>Busca Airbnb ILC JR:</t>
  </si>
  <si>
    <t>1404&amp;2413&amp;2313&amp;2203&amp;4406&amp;1211&amp;3312&amp;2412&amp;3104&amp;3413&amp;2206&amp;1213&amp;1314&amp;1112</t>
  </si>
  <si>
    <t>Busca Airbnb ILC TOP:</t>
  </si>
  <si>
    <t>2307&amp;3415&amp;4410&amp;3310&amp;1110</t>
  </si>
  <si>
    <t>Busca Airbnb JBV:</t>
  </si>
  <si>
    <t>462&amp;455&amp;464</t>
  </si>
  <si>
    <t>Codigo</t>
  </si>
  <si>
    <t>TARGET ILC:</t>
  </si>
  <si>
    <t>Valor do imóvel</t>
  </si>
  <si>
    <t>Apto</t>
  </si>
  <si>
    <t>Proprietario</t>
  </si>
  <si>
    <t>Tipo Apto</t>
  </si>
  <si>
    <t>Garagem</t>
  </si>
  <si>
    <t>Tipo de Contrato</t>
  </si>
  <si>
    <t>Start Date</t>
  </si>
  <si>
    <t>Anuncio Primario</t>
  </si>
  <si>
    <t>Host 1</t>
  </si>
  <si>
    <t>Host 2</t>
  </si>
  <si>
    <t>Anuncio Sec</t>
  </si>
  <si>
    <t>Comentario</t>
  </si>
  <si>
    <t>Contrato Ass.</t>
  </si>
  <si>
    <t>Dia</t>
  </si>
  <si>
    <t>Descricao</t>
  </si>
  <si>
    <t>Fotos e Leg.</t>
  </si>
  <si>
    <t>Regra Basica</t>
  </si>
  <si>
    <t>Valores</t>
  </si>
  <si>
    <t>Regras Disp.</t>
  </si>
  <si>
    <t>Calendario</t>
  </si>
  <si>
    <t>Sinc. Calend.</t>
  </si>
  <si>
    <t>Res. Instant</t>
  </si>
  <si>
    <t>Check-list Manut.</t>
  </si>
  <si>
    <t>Site</t>
  </si>
  <si>
    <t>Link</t>
  </si>
  <si>
    <t>Data</t>
  </si>
  <si>
    <t>TARGET JBV:</t>
  </si>
  <si>
    <t>Link Secundario</t>
  </si>
  <si>
    <t>Acoes</t>
  </si>
  <si>
    <t>TARGET APTO:</t>
  </si>
  <si>
    <t>ILC1110</t>
  </si>
  <si>
    <t>Com.</t>
  </si>
  <si>
    <t>D'Artagnan Júnior</t>
  </si>
  <si>
    <t>ILC1111</t>
  </si>
  <si>
    <t>ILC1112</t>
  </si>
  <si>
    <t>TOP-P</t>
  </si>
  <si>
    <t>%</t>
  </si>
  <si>
    <t>ILC1211</t>
  </si>
  <si>
    <t>Full</t>
  </si>
  <si>
    <t>ILC1213</t>
  </si>
  <si>
    <t>D'Artagnan</t>
  </si>
  <si>
    <t>Seazone</t>
  </si>
  <si>
    <t>Gustavo K</t>
  </si>
  <si>
    <t>ILC1314</t>
  </si>
  <si>
    <t>Nao</t>
  </si>
  <si>
    <t>Y</t>
  </si>
  <si>
    <t>N</t>
  </si>
  <si>
    <t>ILC1404</t>
  </si>
  <si>
    <t>ILC2203</t>
  </si>
  <si>
    <t>ILC2206</t>
  </si>
  <si>
    <t>ILC2303</t>
  </si>
  <si>
    <t>Antonio Augusto</t>
  </si>
  <si>
    <t>JR-B</t>
  </si>
  <si>
    <t>Fernando P</t>
  </si>
  <si>
    <t>ILC2307</t>
  </si>
  <si>
    <t>n/a</t>
  </si>
  <si>
    <t>ILC2313</t>
  </si>
  <si>
    <t>ILC2412</t>
  </si>
  <si>
    <t>meta</t>
  </si>
  <si>
    <t>JR-P</t>
  </si>
  <si>
    <t>ILC2413</t>
  </si>
  <si>
    <t>realizado</t>
  </si>
  <si>
    <t>ILC3104</t>
  </si>
  <si>
    <t>Thiago Schutz</t>
  </si>
  <si>
    <t>ILC3310</t>
  </si>
  <si>
    <t>Thiago S</t>
  </si>
  <si>
    <t>ILC3312</t>
  </si>
  <si>
    <t>ILC3413</t>
  </si>
  <si>
    <t>D'artagnan Junior</t>
  </si>
  <si>
    <t>5% até o final do ano</t>
  </si>
  <si>
    <t>ILC3415</t>
  </si>
  <si>
    <t>ILC4406</t>
  </si>
  <si>
    <t>ILC4410</t>
  </si>
  <si>
    <t>JBV455</t>
  </si>
  <si>
    <t>JBV462</t>
  </si>
  <si>
    <t>Faturamento a partir de março</t>
  </si>
  <si>
    <t>https://www.airbnb.com.br/rooms/24208342</t>
  </si>
  <si>
    <t>JBV464</t>
  </si>
  <si>
    <t>VDI208</t>
  </si>
  <si>
    <t>STO2206</t>
  </si>
  <si>
    <t>Fotos precisam ser tiradas, fotos do anuncio estao ruins</t>
  </si>
  <si>
    <t>Nelson Patricio Reis</t>
  </si>
  <si>
    <t>Rubens Celso</t>
  </si>
  <si>
    <t>-</t>
  </si>
  <si>
    <t>https://www.airbnb.com.br/rooms/32634648</t>
  </si>
  <si>
    <t>Fernando Pereira</t>
  </si>
  <si>
    <t>https://www.airbnb.com.br/rooms/14928377</t>
  </si>
  <si>
    <t>Pedro de Queiroz</t>
  </si>
  <si>
    <t>Pedro Q</t>
  </si>
  <si>
    <t>https://www.airbnb.com.br/rooms/9921616</t>
  </si>
  <si>
    <t>Karin Verzbickas</t>
  </si>
  <si>
    <t>https://www.airbnb.com.br/rooms/32138307</t>
  </si>
  <si>
    <t>Michel Chidiac</t>
  </si>
  <si>
    <t>Sim</t>
  </si>
  <si>
    <t>https://www.airbnb.com.br/rooms/30840592</t>
  </si>
  <si>
    <t>TOP-B</t>
  </si>
  <si>
    <t>https://www.airbnb.com.br/rooms/23144897</t>
  </si>
  <si>
    <t>https://www.airbnb.com.br/rooms/28283340</t>
  </si>
  <si>
    <t>Marcos Flavio</t>
  </si>
  <si>
    <t>https://www.airbnb.com.br/rooms/30333581</t>
  </si>
  <si>
    <t>https://www.airbnb.com.br/rooms/21023786</t>
  </si>
  <si>
    <t>Augusto Gueli</t>
  </si>
  <si>
    <t>https://www.airbnb.com.br/rooms/30814786</t>
  </si>
  <si>
    <t>https://www.airbnb.com.br/rooms/20590417</t>
  </si>
  <si>
    <t>Augusto da Costa Ávila</t>
  </si>
  <si>
    <t>Não</t>
  </si>
  <si>
    <t>https://www.airbnb.com.br/rooms/31085662</t>
  </si>
  <si>
    <t>Enrique Rota</t>
  </si>
  <si>
    <t>Enrique</t>
  </si>
  <si>
    <t>https://www.airbnb.com.br/rooms/29610145</t>
  </si>
  <si>
    <t>https://www.airbnb.com.br/rooms/31082966</t>
  </si>
  <si>
    <t>Antonio Augusto Guelli</t>
  </si>
  <si>
    <t>7% até o final do ano</t>
  </si>
  <si>
    <t>TOP-M</t>
  </si>
  <si>
    <t>https://www.airbnb.com.br/rooms/31081903</t>
  </si>
  <si>
    <t>Parcial</t>
  </si>
  <si>
    <t>https://www.airbnb.com.br/rooms/17979777</t>
  </si>
  <si>
    <t>Josete Mirapalheta</t>
  </si>
  <si>
    <t>https://www.airbnb.com.br/rooms/30370268</t>
  </si>
  <si>
    <t>https://www.airbnb.com.br/rooms/10001582</t>
  </si>
  <si>
    <t>https://www.airbnb.com.br/rooms/30815291</t>
  </si>
  <si>
    <t>https://www.airbnb.com.br/rooms/14871575</t>
  </si>
  <si>
    <t>APTO</t>
  </si>
  <si>
    <t>https://www.airbnb.com.br/rooms/32545822</t>
  </si>
  <si>
    <t>https://www.airbnb.com.br/rooms/33209518</t>
  </si>
  <si>
    <t>Faturamento 2019</t>
  </si>
  <si>
    <t>Faturamento SEAZONE</t>
  </si>
  <si>
    <t>Faturamento médio Seazone</t>
  </si>
  <si>
    <t>Faturamento médio por cliente</t>
  </si>
  <si>
    <t>Faturamento médio clientes Campanario</t>
  </si>
  <si>
    <t>Alíquota</t>
  </si>
  <si>
    <t>Imposto simples nacional</t>
  </si>
  <si>
    <t>Comissão</t>
  </si>
  <si>
    <t>Meta Prop</t>
  </si>
  <si>
    <t>fat prop</t>
  </si>
  <si>
    <t>6 primeiros meses 5%, depois 6 meses por 8 e depois 10</t>
  </si>
  <si>
    <t>Carlos Volks</t>
  </si>
  <si>
    <t>Até dia 05/05, proprietário era o Augusto da Costa. Depois é o Carlos</t>
  </si>
  <si>
    <t>TOTAL</t>
  </si>
  <si>
    <t>s/ fernando</t>
  </si>
  <si>
    <t>c/ fernando</t>
  </si>
  <si>
    <t>proprietários</t>
  </si>
  <si>
    <t>pagar julho</t>
  </si>
  <si>
    <t>Obj TO</t>
  </si>
  <si>
    <t>Obj Rate</t>
  </si>
  <si>
    <t>Alíquota imposto</t>
  </si>
  <si>
    <t>Imposto</t>
  </si>
  <si>
    <t>pagar abril</t>
  </si>
  <si>
    <t>pagar maio</t>
  </si>
  <si>
    <t>pagar junho</t>
  </si>
  <si>
    <t>Faturamento acumulado</t>
  </si>
  <si>
    <t>Diarias Minimas</t>
  </si>
  <si>
    <t>Preco Semanal</t>
  </si>
  <si>
    <t>Preco FIm De Semana</t>
  </si>
  <si>
    <t>May-19</t>
  </si>
  <si>
    <t>Aug-19</t>
  </si>
  <si>
    <t>Sep-19</t>
  </si>
  <si>
    <t>Oct-19</t>
  </si>
  <si>
    <t>Dec-19</t>
  </si>
  <si>
    <t>Pessoa Adicional:</t>
  </si>
  <si>
    <t>Feriados</t>
  </si>
  <si>
    <t>Booking</t>
  </si>
  <si>
    <t>12-May-19</t>
  </si>
  <si>
    <t>Dia das Maes</t>
  </si>
  <si>
    <t>26-May-19</t>
  </si>
  <si>
    <t>Iron Man Jurere</t>
  </si>
  <si>
    <t>Dia dos Namorados</t>
  </si>
  <si>
    <t>Corpus Christi/Winter Play</t>
  </si>
  <si>
    <t>Rev Const. - Feriado SP</t>
  </si>
  <si>
    <t>Diaria Padrao</t>
  </si>
  <si>
    <t>11-Aug-19</t>
  </si>
  <si>
    <t>Dia dos Pais</t>
  </si>
  <si>
    <t>07-Sep-19</t>
  </si>
  <si>
    <t>Independencia</t>
  </si>
  <si>
    <t>20-Sep-19</t>
  </si>
  <si>
    <t>Proc Rep Rio Grandense - Feriado porto Alegre</t>
  </si>
  <si>
    <t>11-Oct-19</t>
  </si>
  <si>
    <t>Semana Guga Kuerten</t>
  </si>
  <si>
    <t>12-Oct-19</t>
  </si>
  <si>
    <t>Nossa Sra Aparecida</t>
  </si>
  <si>
    <t>15-Oct-19</t>
  </si>
  <si>
    <t>Dia do Professor - Ponto Facultativo</t>
  </si>
  <si>
    <t>28-Oct-19</t>
  </si>
  <si>
    <t>Dia do Servidor Publico</t>
  </si>
  <si>
    <t>Finados</t>
  </si>
  <si>
    <t>Proclamacao</t>
  </si>
  <si>
    <t>Consciencia Negra - Feriado RJ/SP</t>
  </si>
  <si>
    <t>25-Dec-19</t>
  </si>
  <si>
    <t>Natal</t>
  </si>
  <si>
    <t>Ano novo</t>
  </si>
  <si>
    <t>IMÓVEL:</t>
  </si>
  <si>
    <t>il Campanario</t>
  </si>
  <si>
    <t xml:space="preserve">Observações:
</t>
  </si>
  <si>
    <t>APTO:</t>
  </si>
  <si>
    <t>PROPRIETÁRIO:</t>
  </si>
  <si>
    <t>Sumario</t>
  </si>
  <si>
    <t>Dia da semana</t>
  </si>
  <si>
    <t>Feriado/Evento</t>
  </si>
  <si>
    <t>Valor alugado</t>
  </si>
  <si>
    <t>Meio</t>
  </si>
  <si>
    <t>Pessoa</t>
  </si>
  <si>
    <t>Check in</t>
  </si>
  <si>
    <t>Check out</t>
  </si>
  <si>
    <t>Responsável</t>
  </si>
  <si>
    <t>Comentário</t>
  </si>
  <si>
    <t>Pagamento</t>
  </si>
  <si>
    <t>Status</t>
  </si>
  <si>
    <t>Hóspede 2</t>
  </si>
  <si>
    <t>Hóspede 3</t>
  </si>
  <si>
    <t>Hóspede 4</t>
  </si>
  <si>
    <t>Hóspede 5</t>
  </si>
  <si>
    <t>Email</t>
  </si>
  <si>
    <t>Telefone</t>
  </si>
  <si>
    <t>CPF</t>
  </si>
  <si>
    <t>Airbnb</t>
  </si>
  <si>
    <t>Rodrigo Wilson Andrade</t>
  </si>
  <si>
    <t>Fer</t>
  </si>
  <si>
    <t>Código de reserva enviado para hóspede</t>
  </si>
  <si>
    <t>Acompanhante 1</t>
  </si>
  <si>
    <t xml:space="preserve">11 9 7396 7141 </t>
  </si>
  <si>
    <t>Dummy 2</t>
  </si>
  <si>
    <t>Enviado para o hotel</t>
  </si>
  <si>
    <t>Leandro Santos</t>
  </si>
  <si>
    <t>PAGO</t>
  </si>
  <si>
    <t>Acompanhante 2</t>
  </si>
  <si>
    <t>15 9 9789 5000</t>
  </si>
  <si>
    <t xml:space="preserve">Caroline Azeredo </t>
  </si>
  <si>
    <t xml:space="preserve">Rodrigo Alencastro </t>
  </si>
  <si>
    <t xml:space="preserve">Vanessa Baldini </t>
  </si>
  <si>
    <t>carolineazeredo@hotmail.com</t>
  </si>
  <si>
    <t>61 9 8151 8853</t>
  </si>
  <si>
    <t>Antônio Eduardo Lasagna</t>
  </si>
  <si>
    <t>URGENTE</t>
  </si>
  <si>
    <t>Renata Lazarin Dalbo Lasagna</t>
  </si>
  <si>
    <t>Matheus Dalbo Lasagna</t>
  </si>
  <si>
    <t>Enrico Dalbo Lasagna</t>
  </si>
  <si>
    <t>19 9 9125 7300</t>
  </si>
  <si>
    <t>Wendell Carlos Lopes Correa</t>
  </si>
  <si>
    <t>Keliane Lima Dos Santos Correa</t>
  </si>
  <si>
    <t>Maria Eduarda Lima Corrêa</t>
  </si>
  <si>
    <t>wcarlos2008correa@gmail.com</t>
  </si>
  <si>
    <t>91 9 9170 0087</t>
  </si>
  <si>
    <t>604.971.902-06</t>
  </si>
  <si>
    <t>Ana Izabel Moreno de Mendonça</t>
  </si>
  <si>
    <t>Luiz Eduardo A Lopes</t>
  </si>
  <si>
    <t>Estela Mendonça de Alencar</t>
  </si>
  <si>
    <t>Ricardo Mendonça de Alencar</t>
  </si>
  <si>
    <t>anatrad2004@gmail.com</t>
  </si>
  <si>
    <t>11 9 7579 3374</t>
  </si>
  <si>
    <t>265.192.648-57</t>
  </si>
  <si>
    <t>Aline Razente Giacobo</t>
  </si>
  <si>
    <t>Joslei Barbosa</t>
  </si>
  <si>
    <t>alinerazente@gmail.com</t>
  </si>
  <si>
    <t>44 9 9997 7753</t>
  </si>
  <si>
    <t>075.080.159-08</t>
  </si>
  <si>
    <t>Helena Schroder</t>
  </si>
  <si>
    <t>Acompanhante 3</t>
  </si>
  <si>
    <t>11 99193 3527</t>
  </si>
  <si>
    <t>Antonio Augusto Ulson</t>
  </si>
  <si>
    <t>BLOQUEADO</t>
  </si>
  <si>
    <t>Karollyne Branco De Melo</t>
  </si>
  <si>
    <t xml:space="preserve">Mickael Oliveira Duarte </t>
  </si>
  <si>
    <t>karollynemelo@hotmail.com</t>
  </si>
  <si>
    <t>7 930 855 02 08</t>
  </si>
  <si>
    <t>047.412.979-93</t>
  </si>
  <si>
    <t>Roberto Bertó</t>
  </si>
  <si>
    <t>roberto.berto@gmail.com</t>
  </si>
  <si>
    <t>51 9 9666 1509</t>
  </si>
  <si>
    <t>Filipe Neres Nunes</t>
  </si>
  <si>
    <t>Isabele Luiza De Souza Schowartz</t>
  </si>
  <si>
    <t>Juliana Silva de Souza</t>
  </si>
  <si>
    <t>filipenunesdf@gmail.com</t>
  </si>
  <si>
    <t>61 9 8183 4653</t>
  </si>
  <si>
    <t>012.755.701-60</t>
  </si>
  <si>
    <t xml:space="preserve">Mariluiza Razente </t>
  </si>
  <si>
    <t>Wagner Spirandelli</t>
  </si>
  <si>
    <t xml:space="preserve">Thiago Spirandelli </t>
  </si>
  <si>
    <t>mariluiza.adv@hotmail.com</t>
  </si>
  <si>
    <t>679.695.699-00</t>
  </si>
  <si>
    <t>Observações:
https://www.airbnb.com.br/rooms/24208342</t>
  </si>
  <si>
    <t>Ze Chico</t>
  </si>
  <si>
    <t>11 9 9960 1222</t>
  </si>
  <si>
    <t>Thiago Abreu</t>
  </si>
  <si>
    <t>Tiago Martins</t>
  </si>
  <si>
    <t>Proprietário</t>
  </si>
  <si>
    <t>Fechado</t>
  </si>
  <si>
    <t>Fabiano Kup</t>
  </si>
  <si>
    <t>Dummy</t>
  </si>
  <si>
    <t>Nathalia Sousa</t>
  </si>
  <si>
    <t>51 9 9419 4474</t>
  </si>
  <si>
    <t>Ramiro Pankow</t>
  </si>
  <si>
    <t>Convidado 1</t>
  </si>
  <si>
    <t>Convidado 2</t>
  </si>
  <si>
    <t>Convidado 3</t>
  </si>
  <si>
    <t>Karina Ribeiro de Jesus</t>
  </si>
  <si>
    <t>Thiago Morais de Oliveira</t>
  </si>
  <si>
    <t>Arthur Ribeiro Morais de Oliveira</t>
  </si>
  <si>
    <t>Matheus Morais de Oliveira</t>
  </si>
  <si>
    <t>karinarib.j@gmail.com</t>
  </si>
  <si>
    <t>41 9 9849 9436</t>
  </si>
  <si>
    <t>Ariel Goldberg</t>
  </si>
  <si>
    <t>Benoit Vincent</t>
  </si>
  <si>
    <t>Acompanhante</t>
  </si>
  <si>
    <t>arileigoldberg@gmail.com</t>
  </si>
  <si>
    <t>+18182202409</t>
  </si>
  <si>
    <t>Leticia de Oliveira Vieira</t>
  </si>
  <si>
    <t>Jonatas Barros Duarte</t>
  </si>
  <si>
    <t>leticiaoliveiravieira.rh@gmail.com</t>
  </si>
  <si>
    <t>47 9 9179 1886</t>
  </si>
  <si>
    <t>Carolina Dellagustin</t>
  </si>
  <si>
    <t xml:space="preserve">Ana Gabriela Schirmer </t>
  </si>
  <si>
    <t xml:space="preserve">Tassia Salin </t>
  </si>
  <si>
    <t>carol@ninaro.net</t>
  </si>
  <si>
    <t>+55 51 99978 8982</t>
  </si>
  <si>
    <t>Jamille Amaral Chelala</t>
  </si>
  <si>
    <t>Jeferson Roberto Heidecke</t>
  </si>
  <si>
    <t>47 9 9654 9034</t>
  </si>
  <si>
    <t>Luján Ascencio</t>
  </si>
  <si>
    <t>Cristiano Da Silva</t>
  </si>
  <si>
    <t>48 9 9686 2636</t>
  </si>
  <si>
    <t>Thiago Portes Mol</t>
  </si>
  <si>
    <t>Danielle Ferreira e Silva Mol</t>
  </si>
  <si>
    <t>Manuella Ferreira Portes Mol</t>
  </si>
  <si>
    <t>Joao Vitor Ferreira Portes Mol</t>
  </si>
  <si>
    <t>thiagoportesmol@gmail.com</t>
  </si>
  <si>
    <t>+5561992040808</t>
  </si>
  <si>
    <t>Vinicius Moreira</t>
  </si>
  <si>
    <t>Gustavo Freitas</t>
  </si>
  <si>
    <t>Adrian Berestein</t>
  </si>
  <si>
    <t>Contrato</t>
  </si>
  <si>
    <t>Thiago Bastos De Oliveira</t>
  </si>
  <si>
    <t>PARCIALMENTE PAGO</t>
  </si>
  <si>
    <t>Aline Ferreira de Oliveira</t>
  </si>
  <si>
    <t>Rosa Lucia do Amaral Ferreira</t>
  </si>
  <si>
    <t>Arthur Ferreira de Oliveira</t>
  </si>
  <si>
    <t>thiagobdo@gmail.com</t>
  </si>
  <si>
    <t>11 99413 7301</t>
  </si>
  <si>
    <t>314.881.278-67</t>
  </si>
  <si>
    <t>Adrian Levstek</t>
  </si>
  <si>
    <t>Jefferson Couto</t>
  </si>
  <si>
    <t>41 9 9931 4189</t>
  </si>
  <si>
    <t>Luana Indianara da Costa</t>
  </si>
  <si>
    <t>Francisca da Costa</t>
  </si>
  <si>
    <t>Andre Engelmann</t>
  </si>
  <si>
    <t>Fabrício Vargas</t>
  </si>
  <si>
    <t>Luciana Gheller Amorim</t>
  </si>
  <si>
    <t>Carlos Eduardo Zanon Candelori</t>
  </si>
  <si>
    <t>Guilherme Vargas Bochi</t>
  </si>
  <si>
    <t>fabriciovargas@live.com</t>
  </si>
  <si>
    <t>55 9 9919 2626</t>
  </si>
  <si>
    <t>Sergio Mildner</t>
  </si>
  <si>
    <t>Kremer</t>
  </si>
  <si>
    <t>Jose Luiz Galvão de Mendonça</t>
  </si>
  <si>
    <t>Gustavo Gonçalves da Silva</t>
  </si>
  <si>
    <t>Gracia Maria Moreno de Mendonça</t>
  </si>
  <si>
    <t>Flavio Mendonça</t>
  </si>
  <si>
    <t>Larissa Mendonça</t>
  </si>
  <si>
    <t>Estela Amstalden Rubega</t>
  </si>
  <si>
    <t>Felipe Rubega G. da Silva</t>
  </si>
  <si>
    <t>Luisa A. Rubega G. da Silva</t>
  </si>
  <si>
    <t>gustavosilva77@hotmail.com</t>
  </si>
  <si>
    <t>19 9 8115 0760</t>
  </si>
  <si>
    <t>Roberto Auri Wagner</t>
  </si>
  <si>
    <t>Ariana Vieira Ramos</t>
  </si>
  <si>
    <t>Cláudio Henrique de Souza</t>
  </si>
  <si>
    <t>Francielly Coelho de Souza</t>
  </si>
  <si>
    <t>48 9 9616 1744</t>
  </si>
  <si>
    <t>Michael Flach</t>
  </si>
  <si>
    <t>Patrícia Cibils</t>
  </si>
  <si>
    <t>Martina Cibils Flach</t>
  </si>
  <si>
    <t>Elizabeth Cibils Flach (Bebê)</t>
  </si>
  <si>
    <t>micaflach@gmail.com</t>
  </si>
  <si>
    <t>51 9 9937 7094</t>
  </si>
  <si>
    <t>Jose Carlos Santoro</t>
  </si>
  <si>
    <t>Luciana Capeleto Santoro</t>
  </si>
  <si>
    <t>Lucca Capeleto Santoro</t>
  </si>
  <si>
    <t>carlos.santoro75@gmail.com</t>
  </si>
  <si>
    <t>11 9 9552 6447</t>
  </si>
  <si>
    <t>Vera Lucia Razente</t>
  </si>
  <si>
    <t>44 9 9997 7754</t>
  </si>
  <si>
    <t>Ariane Pertel</t>
  </si>
  <si>
    <t>Jailton Lima</t>
  </si>
  <si>
    <t>arianepertel@hotmail.com</t>
  </si>
  <si>
    <t>11 9 9345 6057</t>
  </si>
  <si>
    <t>Luiz Otávio Campos Simone</t>
  </si>
  <si>
    <t>+55 48 99800 0595</t>
  </si>
  <si>
    <t>Karen Okubara</t>
  </si>
  <si>
    <t>Fernando</t>
  </si>
  <si>
    <t>(ContaFernando)</t>
  </si>
  <si>
    <t>Jefferson de Oliveira Silva</t>
  </si>
  <si>
    <t>Bárbara Luiza Alves Pereira</t>
  </si>
  <si>
    <t>Miguel Luiz Alves Oliveira Silva</t>
  </si>
  <si>
    <t>jos9229@hotmail.com</t>
  </si>
  <si>
    <t>31 9 8456 8851</t>
  </si>
  <si>
    <t>Alessandra Fretta</t>
  </si>
  <si>
    <t>sandycfretta@hotmail.com</t>
  </si>
  <si>
    <t>48 9 9641 1839</t>
  </si>
  <si>
    <t>951.258.689-49</t>
  </si>
  <si>
    <t>Vitor Hugo Zwetsch Junior</t>
  </si>
  <si>
    <t>Carmem de Souza Zwetsch</t>
  </si>
  <si>
    <t>Eduardo de Souza Zwetsch</t>
  </si>
  <si>
    <t>Júlia de Souza Zwetsch</t>
  </si>
  <si>
    <t>vitorhz@yahoo.com.br</t>
  </si>
  <si>
    <t>+55 51 99998 3069</t>
  </si>
  <si>
    <t>654.166.860-49</t>
  </si>
  <si>
    <t>Thiago Silva Schütz</t>
  </si>
  <si>
    <t>Francisca Leite</t>
  </si>
  <si>
    <t>Vitor Polessa</t>
  </si>
  <si>
    <t>Rafaela Leite Polessa</t>
  </si>
  <si>
    <t>Manuela Leite Polessa</t>
  </si>
  <si>
    <t>franciscaleite@gmail.com</t>
  </si>
  <si>
    <t>22 9 8117 2858</t>
  </si>
  <si>
    <t>046.623.359-06</t>
  </si>
  <si>
    <t>Thiago Varanda</t>
  </si>
  <si>
    <t>Dummy 1</t>
  </si>
  <si>
    <t>Carla Cristina Gonçalves</t>
  </si>
  <si>
    <t>Fillipi Marques Borges</t>
  </si>
  <si>
    <t>Felipe Goncalves Pereira (8 anos)</t>
  </si>
  <si>
    <t>Manoela Marques Borges (10 anos)</t>
  </si>
  <si>
    <t>carlagoncalves.osteo@outlook.com</t>
  </si>
  <si>
    <t xml:space="preserve"> 16 9 8185 7936</t>
  </si>
  <si>
    <t>Vania Maria Vilaca Coimbra</t>
  </si>
  <si>
    <t>11 97165 3635</t>
  </si>
  <si>
    <t>Eurico</t>
  </si>
  <si>
    <t>Dummy 2 - Cancelamento hóspede Eurico - 22mai27mai</t>
  </si>
  <si>
    <t>Taynara Rodrigues Bernardo</t>
  </si>
  <si>
    <t>Reserva feita pelo proprietário</t>
  </si>
  <si>
    <t>Daniel Sousa Barra</t>
  </si>
  <si>
    <t>48 9 9837 2608</t>
  </si>
  <si>
    <t>Matheus Mattos</t>
  </si>
  <si>
    <t>Flávia Maroun Cota</t>
  </si>
  <si>
    <t>Luísa Maroun de Mattos</t>
  </si>
  <si>
    <t>Lucas Maroun de Mattos</t>
  </si>
  <si>
    <t>matheusmmattos@yahoo.com.br</t>
  </si>
  <si>
    <t>31 98647 1655</t>
  </si>
  <si>
    <t>060.469.606-62</t>
  </si>
  <si>
    <t>Luma Jung da Silveira</t>
  </si>
  <si>
    <t>Nerion Batista da Silveira Neto</t>
  </si>
  <si>
    <t>48 9 8403 7682</t>
  </si>
  <si>
    <t>Carlos Eduardo</t>
  </si>
  <si>
    <t>54 9 9974 6730</t>
  </si>
  <si>
    <t>Alexandre Philippe Boss Jaccard</t>
  </si>
  <si>
    <t>Ana Carolina Monteiro Ramos Zeni</t>
  </si>
  <si>
    <t>a_jaccard@hotmail.com</t>
  </si>
  <si>
    <t>43 9 8817 2497</t>
  </si>
  <si>
    <t>297.284.488-21</t>
  </si>
  <si>
    <t>Oliver Frandsen</t>
  </si>
  <si>
    <t>Phillip Precht Vadum</t>
  </si>
  <si>
    <t>Araz Chounik</t>
  </si>
  <si>
    <t>oliver@frandsen.dk</t>
  </si>
  <si>
    <t>+45 53 56 59 81</t>
  </si>
  <si>
    <t>Wellington Caetano Montes</t>
  </si>
  <si>
    <t>Lorena de Almeida Prado</t>
  </si>
  <si>
    <t>tenwellington15@gmail.com</t>
  </si>
  <si>
    <t>34 9 9884 9004</t>
  </si>
  <si>
    <t>Isabela Boing</t>
  </si>
  <si>
    <t>48 9 9947 7216</t>
  </si>
  <si>
    <t>Célio Picinini Mendonça</t>
  </si>
  <si>
    <t>51 99945 3985</t>
  </si>
  <si>
    <t>Aline Razente</t>
  </si>
  <si>
    <t>44 99997 7753</t>
  </si>
  <si>
    <t>Rubén Lijerón</t>
  </si>
  <si>
    <t>3 mil reais foi em dinheiro dia 28.</t>
  </si>
  <si>
    <t>Raimundo Lijerón</t>
  </si>
  <si>
    <t>Loreto Pinto</t>
  </si>
  <si>
    <t>1500 reais pago dia 01/03</t>
  </si>
  <si>
    <t>Michael Joergensen</t>
  </si>
  <si>
    <t>Kendi Felipe Yamamoto</t>
  </si>
  <si>
    <t xml:space="preserve">Aline De Prá </t>
  </si>
  <si>
    <t>Amábile De Prá</t>
  </si>
  <si>
    <t>kendify@gmail.com</t>
  </si>
  <si>
    <t>47 9 8836 4795</t>
  </si>
  <si>
    <t>Fábio Inácio da Cunha</t>
  </si>
  <si>
    <t>AP - AVISADO AO RESPONSAVEL</t>
  </si>
  <si>
    <t xml:space="preserve">Janaina Oliveira </t>
  </si>
  <si>
    <t>fabiofilho126@yahoo.com.br</t>
  </si>
  <si>
    <t>61 9 9981 2656</t>
  </si>
  <si>
    <t>098.123.261-20</t>
  </si>
  <si>
    <t>Observações:
https://www.airbnb.com.br/rooms/14928377</t>
  </si>
  <si>
    <t>Dolores Filla</t>
  </si>
  <si>
    <t>dolofilla@hotmail.com</t>
  </si>
  <si>
    <t>41 9 9886 9989</t>
  </si>
  <si>
    <t>Contrato Direto-Pagamento Dinheiro Nanci</t>
  </si>
  <si>
    <t>Melito</t>
  </si>
  <si>
    <t>Pago em dinheiro para Nanci</t>
  </si>
  <si>
    <t>Contrato Direto</t>
  </si>
  <si>
    <t>Laura</t>
  </si>
  <si>
    <t>Pago</t>
  </si>
  <si>
    <t>Paulo MAceio</t>
  </si>
  <si>
    <t>Late check out 17h</t>
  </si>
  <si>
    <t>Edgar Paixão</t>
  </si>
  <si>
    <t>Check out- 13h</t>
  </si>
  <si>
    <t>Angela Caldart</t>
  </si>
  <si>
    <t>Alessandra Sonegheti</t>
  </si>
  <si>
    <t>Flaviane</t>
  </si>
  <si>
    <t>Cristiane</t>
  </si>
  <si>
    <t>Subst Reserva cancelada</t>
  </si>
  <si>
    <t>Filippo Baroli</t>
  </si>
  <si>
    <t>Roberta</t>
  </si>
  <si>
    <t>Cristiano Machado</t>
  </si>
  <si>
    <t>Caio</t>
  </si>
  <si>
    <t>Myrella</t>
  </si>
  <si>
    <t>Tiago Lurenco</t>
  </si>
  <si>
    <t>Adicionar o berco</t>
  </si>
  <si>
    <t>Observações:
https://www.airbnb.com.br/rooms/9921616</t>
  </si>
  <si>
    <t>Mario Jordao</t>
  </si>
  <si>
    <t>Andre</t>
  </si>
  <si>
    <t>Diogo Saltz</t>
  </si>
  <si>
    <t>LATE 14h30 Diogo Saltz</t>
  </si>
  <si>
    <t>Contrato Gustavo Amaral</t>
  </si>
  <si>
    <t>Ano Novo</t>
  </si>
  <si>
    <t xml:space="preserve">Ana Carolina Basile
</t>
  </si>
  <si>
    <t>Carla Biacchi Correa</t>
  </si>
  <si>
    <t>Santiago</t>
  </si>
  <si>
    <t>Berco</t>
  </si>
  <si>
    <t>Thiago</t>
  </si>
  <si>
    <t>Marcela Goulart</t>
  </si>
  <si>
    <t>Foi repassado para outro proprietário</t>
  </si>
  <si>
    <t>Leonardo Mandelblatt</t>
  </si>
  <si>
    <t>Andreia R. S. Maranhão</t>
  </si>
  <si>
    <t>Maurício Bevilacqua Maranhão</t>
  </si>
  <si>
    <t>Pedro Henrique S. Maranhão</t>
  </si>
  <si>
    <t>João Lucas S. Maranhão</t>
  </si>
  <si>
    <t>andreiamaranhao2@gmail.com</t>
  </si>
  <si>
    <t>11 9 7228 3210</t>
  </si>
  <si>
    <t>Luciano Souza</t>
  </si>
  <si>
    <t>Pedro Mendonça</t>
  </si>
  <si>
    <t>pedroca18@yahoo.com.br</t>
  </si>
  <si>
    <t>49 9 99199551</t>
  </si>
  <si>
    <t>Vinicius Augusto Pereira</t>
  </si>
  <si>
    <t>Vai pagar quando em dinheiro em Floripa</t>
  </si>
  <si>
    <t>Lisandro Maturo</t>
  </si>
  <si>
    <t>Tomas</t>
  </si>
  <si>
    <t>Adriana Dumitrescu</t>
  </si>
  <si>
    <t>Check in será feito as 20h - Acompanhante 1</t>
  </si>
  <si>
    <t>Jaqueline</t>
  </si>
  <si>
    <t>Alvaro Martins</t>
  </si>
  <si>
    <t>Julio Sandini</t>
  </si>
  <si>
    <t>Isabel Eslava</t>
  </si>
  <si>
    <t>Sabrina Sandini</t>
  </si>
  <si>
    <t>Mariana Sandini (6 anos)</t>
  </si>
  <si>
    <t>42 991351515</t>
  </si>
  <si>
    <t>Marlise Maria Schweinberger</t>
  </si>
  <si>
    <t>Marcela Oliveira</t>
  </si>
  <si>
    <t>Álvaro Ribeiro</t>
  </si>
  <si>
    <t>marlise-maria24@hotmail.com</t>
  </si>
  <si>
    <t>51 9 9967 0762</t>
  </si>
  <si>
    <t>Cristiano</t>
  </si>
  <si>
    <t>Late check out</t>
  </si>
  <si>
    <t>Tamiris Gressler Mendes</t>
  </si>
  <si>
    <t>Graziela</t>
  </si>
  <si>
    <t>Márcio de Salles Moraes</t>
  </si>
  <si>
    <t>marciosm09@hotmail.com</t>
  </si>
  <si>
    <t>55 98127 8832</t>
  </si>
  <si>
    <t>Ricardo Hoffman</t>
  </si>
  <si>
    <t>freehalls@gmail.com</t>
  </si>
  <si>
    <t>48 9900-4646</t>
  </si>
  <si>
    <t>Mychael Alexandro Guedes Machado</t>
  </si>
  <si>
    <t>Deliana</t>
  </si>
  <si>
    <t>Camilla Timm</t>
  </si>
  <si>
    <t>mychael_2@hotmail.com</t>
  </si>
  <si>
    <t>41 99771 0865</t>
  </si>
  <si>
    <t>Amanda Lorente</t>
  </si>
  <si>
    <t>Rafael Lorente</t>
  </si>
  <si>
    <t>Carnaval</t>
  </si>
  <si>
    <t>Ricardo</t>
  </si>
  <si>
    <t>amaandaocarvalho@hotmail.com</t>
  </si>
  <si>
    <t>+55 11 99119 6036</t>
  </si>
  <si>
    <t>409.043.928-05</t>
  </si>
  <si>
    <t>Daniela Garcia Vieira</t>
  </si>
  <si>
    <t>Ana Martinez</t>
  </si>
  <si>
    <t>Pamela Detros</t>
  </si>
  <si>
    <t>danielagarciavieira@hotmail.com</t>
  </si>
  <si>
    <t>(44) 9 9931 9587</t>
  </si>
  <si>
    <t>Sílvio de Freitas Dâmaso</t>
  </si>
  <si>
    <t xml:space="preserve">Jaqueline Aparecida Campos     </t>
  </si>
  <si>
    <t>silviofreitasdamaso@gmail.com</t>
  </si>
  <si>
    <t>37 98828 9052</t>
  </si>
  <si>
    <t>Ignacio Cespedes</t>
  </si>
  <si>
    <t>56 9 97348200</t>
  </si>
  <si>
    <t>Giancarlos</t>
  </si>
  <si>
    <t>Thiago Escobar Bueno</t>
  </si>
  <si>
    <t>thiagoebueno@gmail.com</t>
  </si>
  <si>
    <t>11 9 8205 8888</t>
  </si>
  <si>
    <t>Angela</t>
  </si>
  <si>
    <t>Late Check-out -18h30</t>
  </si>
  <si>
    <t xml:space="preserve">Jamille Amaral Chelala </t>
  </si>
  <si>
    <t>Rodrigo Gamallo Soares</t>
  </si>
  <si>
    <t>Tatiana Silva de Souza</t>
  </si>
  <si>
    <t>Lucas Souza Gamallo</t>
  </si>
  <si>
    <t>rodrigogamallo@hotmail.com</t>
  </si>
  <si>
    <t>51 9 9371 3577</t>
  </si>
  <si>
    <t>806.098.990-15</t>
  </si>
  <si>
    <t>Beatriz Venturi</t>
  </si>
  <si>
    <t xml:space="preserve">	Alex Fernando</t>
  </si>
  <si>
    <t>Reparos</t>
  </si>
  <si>
    <t>João Arthur Bündchen</t>
  </si>
  <si>
    <t>Diádine Silveira Gomes</t>
  </si>
  <si>
    <t>Bruno Henrique Bündchen</t>
  </si>
  <si>
    <t>Renata Debus</t>
  </si>
  <si>
    <t xml:space="preserve"> joaobundchen@gmail.com</t>
  </si>
  <si>
    <t>51 9 9641 1100</t>
  </si>
  <si>
    <t>Camila</t>
  </si>
  <si>
    <t>Check-in Antecipado</t>
  </si>
  <si>
    <t>Renata</t>
  </si>
  <si>
    <t>Juan Calipuy Galvez</t>
  </si>
  <si>
    <t>Rigel Godinho</t>
  </si>
  <si>
    <t xml:space="preserve">11 9 8200 5885 </t>
  </si>
  <si>
    <t>Francisco</t>
  </si>
  <si>
    <t>Cassiano Perez</t>
  </si>
  <si>
    <t>Early Check-in11h/Berco</t>
  </si>
  <si>
    <t>Marko</t>
  </si>
  <si>
    <t>Cortesia</t>
  </si>
  <si>
    <t>Digo</t>
  </si>
  <si>
    <t>Corphus christs</t>
  </si>
  <si>
    <t>Bruno César Tata</t>
  </si>
  <si>
    <t>bruno-tata@hotmail.com</t>
  </si>
  <si>
    <t>11 9 8623 7500</t>
  </si>
  <si>
    <t>Winterplay</t>
  </si>
  <si>
    <t>Alessandro</t>
  </si>
  <si>
    <t>Early check-in as 10h00</t>
  </si>
  <si>
    <t>Eliezer</t>
  </si>
  <si>
    <t>Gabriela Cambraia Garms</t>
  </si>
  <si>
    <t>A reserva foi feita por Ricardo Cambraia</t>
  </si>
  <si>
    <t>Vania</t>
  </si>
  <si>
    <t>Roberto CHien</t>
  </si>
  <si>
    <t>Felipe</t>
  </si>
  <si>
    <t xml:space="preserve">	Juliana Jaeger </t>
  </si>
  <si>
    <t>4 pessoas + 1 Bebe</t>
  </si>
  <si>
    <t>Anna Carolina</t>
  </si>
  <si>
    <t>Feriado</t>
  </si>
  <si>
    <t>Helder</t>
  </si>
  <si>
    <t>Paulo</t>
  </si>
  <si>
    <t xml:space="preserve">	Pedro Knoll </t>
  </si>
  <si>
    <t>Luciana</t>
  </si>
  <si>
    <t>Eduardo Assmann</t>
  </si>
  <si>
    <t>Observações:
https://www.airbnb.com.br/rooms/32138307</t>
  </si>
  <si>
    <t>Lucas</t>
  </si>
  <si>
    <t>Juliano Camargo</t>
  </si>
  <si>
    <t>Leandro Silva</t>
  </si>
  <si>
    <t>Vai ficar no 2413 no dia 3 1h da manha ate liberar o check-out</t>
  </si>
  <si>
    <t>Fernanda Gonçalves</t>
  </si>
  <si>
    <t>Late check out as 15h</t>
  </si>
  <si>
    <t>Bloqueado</t>
  </si>
  <si>
    <t>Natalia Miranda</t>
  </si>
  <si>
    <t xml:space="preserve">	Thiago Alvares Fortes </t>
  </si>
  <si>
    <t>Emerson</t>
  </si>
  <si>
    <t>Eduardo</t>
  </si>
  <si>
    <t>Carlos</t>
  </si>
  <si>
    <t>Andrea De Avila De Avila</t>
  </si>
  <si>
    <t>Lydia</t>
  </si>
  <si>
    <t>Edislene</t>
  </si>
  <si>
    <t>Marcelo Worms de Brisac</t>
  </si>
  <si>
    <t>Gui</t>
  </si>
  <si>
    <t>Roman Iliin</t>
  </si>
  <si>
    <t>Alderi</t>
  </si>
  <si>
    <t>Wilson Alves</t>
  </si>
  <si>
    <t>Suely Silva</t>
  </si>
  <si>
    <t>suelysilvaalves0@gmail.com</t>
  </si>
  <si>
    <t>11 9 9625 8905</t>
  </si>
  <si>
    <t>Regiane</t>
  </si>
  <si>
    <t>Leonardo</t>
  </si>
  <si>
    <t>Alessandra Deeke Rausch</t>
  </si>
  <si>
    <t>Anisio Rausch Filho</t>
  </si>
  <si>
    <t>+55 47 9987-7778</t>
  </si>
  <si>
    <t>016.109.609-39</t>
  </si>
  <si>
    <t>Tomas Petter Escosteguy</t>
  </si>
  <si>
    <t>Bertha Veppo Petter</t>
  </si>
  <si>
    <t>Eduardo Petter (1 ano e 11 meses)</t>
  </si>
  <si>
    <t>tomas.petter@galvaoepetter.com.br</t>
  </si>
  <si>
    <t>51 998580598</t>
  </si>
  <si>
    <t>990.544.930-20</t>
  </si>
  <si>
    <t>Fernando Raupp</t>
  </si>
  <si>
    <t>Stephanie Spader Pinali Reginato</t>
  </si>
  <si>
    <t>Está no apartamento 2412 até dia 30/03</t>
  </si>
  <si>
    <t>Acompanhante 2 (Bebê)</t>
  </si>
  <si>
    <t>54 9617 8050</t>
  </si>
  <si>
    <t>contrato</t>
  </si>
  <si>
    <t>Irone Oliveira Da Silva</t>
  </si>
  <si>
    <t>95 99148 9377</t>
  </si>
  <si>
    <t>Andre Werneck Mendes Guimaraes</t>
  </si>
  <si>
    <t>andrewerneck@hotmail.com</t>
  </si>
  <si>
    <t>(31) 99404-0007</t>
  </si>
  <si>
    <t>Norma</t>
  </si>
  <si>
    <t>Thalita Cunha de Oliveira</t>
  </si>
  <si>
    <t>Rodrigo Silveira Silva</t>
  </si>
  <si>
    <t>Millena de Oliveira Silva</t>
  </si>
  <si>
    <t>João Pedro de Oliveira Silva</t>
  </si>
  <si>
    <t>11 9 7759 1534</t>
  </si>
  <si>
    <t>Lu</t>
  </si>
  <si>
    <t>Precisa de berco-Fechado</t>
  </si>
  <si>
    <t>Aline Franzner</t>
  </si>
  <si>
    <t xml:space="preserve">Belisa Franzner </t>
  </si>
  <si>
    <t>Martina Mansur Botelho</t>
  </si>
  <si>
    <t>aline.f@me.com</t>
  </si>
  <si>
    <t>(47) 99222 1304</t>
  </si>
  <si>
    <t>Maria Nilse Luciano</t>
  </si>
  <si>
    <t>Vanessa Sabino da Paixão Tormim Borges</t>
  </si>
  <si>
    <t>Carlos Afonso Souza</t>
  </si>
  <si>
    <t>Barbara Rafaela Alves do Nascimento</t>
  </si>
  <si>
    <t>Emanuele Alves Luciano</t>
  </si>
  <si>
    <t>adrianograndhi@hotmail.com</t>
  </si>
  <si>
    <t>48 9 8404-4421</t>
  </si>
  <si>
    <t>Vera Takahashi</t>
  </si>
  <si>
    <t>pago 1050- dividido em 3x</t>
  </si>
  <si>
    <t>Cliente desistiu da reserva, não houve reembolso (203,7)</t>
  </si>
  <si>
    <t>Daiane Freira dos Santos</t>
  </si>
  <si>
    <t>Daniel Conceição do Nascimento</t>
  </si>
  <si>
    <t>daiane.freira@gmail.com</t>
  </si>
  <si>
    <t>31 9 9315 9977</t>
  </si>
  <si>
    <t>Cristiano Amaro</t>
  </si>
  <si>
    <t>Jose Carlos</t>
  </si>
  <si>
    <t>Patrícia Pereira de Jesus Amaro</t>
  </si>
  <si>
    <t>31 9 8834 1780</t>
  </si>
  <si>
    <t xml:space="preserve">Letícia Correa da Silva </t>
  </si>
  <si>
    <t>leticiacorreasilv@gmail.com</t>
  </si>
  <si>
    <t>31 9 7596 5565</t>
  </si>
  <si>
    <t>Adrieli Kormann</t>
  </si>
  <si>
    <t xml:space="preserve">Paulo Henrique Reis  Machado </t>
  </si>
  <si>
    <t>adrielekormann@hotmail.com</t>
  </si>
  <si>
    <t>47 99117 2911</t>
  </si>
  <si>
    <t>Nadjane</t>
  </si>
  <si>
    <t xml:space="preserve">Jaqueline da Silva Bordalo </t>
  </si>
  <si>
    <t>jaquelinebordalo@hotmail.com</t>
  </si>
  <si>
    <t>21 9 9731 7605</t>
  </si>
  <si>
    <t>036.110.397-21</t>
  </si>
  <si>
    <t>Maelno da Silva Klein</t>
  </si>
  <si>
    <t>Jane Jordan Klein</t>
  </si>
  <si>
    <t>Joana Castro</t>
  </si>
  <si>
    <t xml:space="preserve">Nelson Alexandre Alvarenga </t>
  </si>
  <si>
    <t>Pagamento feito para 50% desse quarto e 50% do quarto 2412. CONSIDERAR ESSE TOTALMENTE PAGO</t>
  </si>
  <si>
    <t>Liliane Amaro Alvarenga</t>
  </si>
  <si>
    <t>Willian Santana</t>
  </si>
  <si>
    <t>ricardo@balsinicorrea.com.br</t>
  </si>
  <si>
    <t>Francine Souza</t>
  </si>
  <si>
    <t>48 99954 0021</t>
  </si>
  <si>
    <t>Inessa Karpman</t>
  </si>
  <si>
    <t>Pagamento feito para 50% desse quarto e 50% do quarto 2412.</t>
  </si>
  <si>
    <t>Cristine</t>
  </si>
  <si>
    <t>Flávio Vieira Caetano</t>
  </si>
  <si>
    <t>Darwin Cali</t>
  </si>
  <si>
    <t>Fernando Campos</t>
  </si>
  <si>
    <t>Dani</t>
  </si>
  <si>
    <t>Ricardo Bello</t>
  </si>
  <si>
    <t>Ivan</t>
  </si>
  <si>
    <t>Milton Silva Junior</t>
  </si>
  <si>
    <t>Francisco Giacomelli</t>
  </si>
  <si>
    <t>Marcos Shimote</t>
  </si>
  <si>
    <t>Rodolfo Montagner</t>
  </si>
  <si>
    <t>Karen Matsunaga</t>
  </si>
  <si>
    <t>IronMan</t>
  </si>
  <si>
    <t>Marcelo Vargens</t>
  </si>
  <si>
    <t>Renato Siqueira</t>
  </si>
  <si>
    <t>Jaqueline Satiro</t>
  </si>
  <si>
    <t>Frederico Fortes</t>
  </si>
  <si>
    <t>Daniel Rezina</t>
  </si>
  <si>
    <t>Mauricio Genolet</t>
  </si>
  <si>
    <t>David</t>
  </si>
  <si>
    <t>Valéria Lima Quintão</t>
  </si>
  <si>
    <t>900 Depositados</t>
  </si>
  <si>
    <t>valseat@terra.com.br</t>
  </si>
  <si>
    <t>31 9 9936 4447</t>
  </si>
  <si>
    <t>050.060.466-51</t>
  </si>
  <si>
    <t>Leila Poconé</t>
  </si>
  <si>
    <t>OverboFechadoing</t>
  </si>
  <si>
    <t>OvervboFechadoing da reserva do Joao Paulo</t>
  </si>
  <si>
    <t>Fabiano</t>
  </si>
  <si>
    <t>Gledson Evers</t>
  </si>
  <si>
    <t>Ingrid Devisate</t>
  </si>
  <si>
    <t>Fernando Gonçalves</t>
  </si>
  <si>
    <t>Glaucilene Oliveira</t>
  </si>
  <si>
    <t>Kutrell</t>
  </si>
  <si>
    <t>Isabela Ramos Vargas</t>
  </si>
  <si>
    <t>Hortense Marcier</t>
  </si>
  <si>
    <t>Rami Kalmoni</t>
  </si>
  <si>
    <t>Lumi Hinohara</t>
  </si>
  <si>
    <t>Extender check out 18h</t>
  </si>
  <si>
    <t>Michael Kerr</t>
  </si>
  <si>
    <t>Gustavo Narducci</t>
  </si>
  <si>
    <t>Gustavo Borowski Morsch</t>
  </si>
  <si>
    <t>Fernanda Freitas</t>
  </si>
  <si>
    <t>Emprestimo</t>
  </si>
  <si>
    <t>Rosana cataneo</t>
  </si>
  <si>
    <t>Amiga</t>
  </si>
  <si>
    <t>Amiga Bruna Rorato</t>
  </si>
  <si>
    <t>Check in 10h, check out14h</t>
  </si>
  <si>
    <t>Marcos Rogerio Comini</t>
  </si>
  <si>
    <t>Silvia Tubino Bier</t>
  </si>
  <si>
    <t>Observações:
https://www.airbnb.com.br/rooms/30840592</t>
  </si>
  <si>
    <t>Alessandra Monteiro</t>
  </si>
  <si>
    <t>Ana Claudia mraz</t>
  </si>
  <si>
    <t>Ana Claudia</t>
  </si>
  <si>
    <t>Shauna Finn</t>
  </si>
  <si>
    <t>Mariellen Dias</t>
  </si>
  <si>
    <t>Juliano Lopes Garcia</t>
  </si>
  <si>
    <t>Andre Guimaraes</t>
  </si>
  <si>
    <t>Juliana Lins</t>
  </si>
  <si>
    <t>Mário Masciotro</t>
  </si>
  <si>
    <t>Mariel Lopes</t>
  </si>
  <si>
    <t>marioquintanilha17@gmail.com</t>
  </si>
  <si>
    <t>48 9180 1717</t>
  </si>
  <si>
    <t>Carolina Da Costa</t>
  </si>
  <si>
    <t>mohamadadv@terra.com.br</t>
  </si>
  <si>
    <t>+556592811482</t>
  </si>
  <si>
    <t>Check out as 15h</t>
  </si>
  <si>
    <t>Luiz Alberto Franzoi</t>
  </si>
  <si>
    <t>Aurelio Ferreira</t>
  </si>
  <si>
    <t>Felipe Macaneiro</t>
  </si>
  <si>
    <t>Ronaldo Szerman</t>
  </si>
  <si>
    <t>Pagar diaria a parte</t>
  </si>
  <si>
    <t>DIEGO CODAGNONE</t>
  </si>
  <si>
    <t>Alyson Reilly</t>
  </si>
  <si>
    <t xml:space="preserve">
DIEGO CODAGNONE</t>
  </si>
  <si>
    <t>Cancelado - Fabio lopes</t>
  </si>
  <si>
    <t>Sergio Correia</t>
  </si>
  <si>
    <t>Marcio Silveira</t>
  </si>
  <si>
    <t>Osmundo Oliveira</t>
  </si>
  <si>
    <t>Duas camas de solteiro inves de uma de casal</t>
  </si>
  <si>
    <t>Elisandra Fortes</t>
  </si>
  <si>
    <t>Luiz Vicente Sanches Lopes</t>
  </si>
  <si>
    <t>Reserva junto com a Nidia</t>
  </si>
  <si>
    <t>João F Machado</t>
  </si>
  <si>
    <t>Gustavo Henrique</t>
  </si>
  <si>
    <t>Diego Machado</t>
  </si>
  <si>
    <t>Rocio Blumer</t>
  </si>
  <si>
    <t>Marcelo Dias</t>
  </si>
  <si>
    <t>Adriana Miranda</t>
  </si>
  <si>
    <t>Paulo Jensen</t>
  </si>
  <si>
    <t>Luis Flavio Bicalho</t>
  </si>
  <si>
    <t>Mayco Luiz Niehues</t>
  </si>
  <si>
    <t>Juninho Andrade</t>
  </si>
  <si>
    <t>Miguel Barberousse</t>
  </si>
  <si>
    <t>miguel-n4mrfjvjtvgk21pb@guest.airbnb.com</t>
  </si>
  <si>
    <t>+598 99 698 044</t>
  </si>
  <si>
    <t>Ana Catarina</t>
  </si>
  <si>
    <t>Ingvill Furseth Gonzalo</t>
  </si>
  <si>
    <t>Laurent Gonzalo</t>
  </si>
  <si>
    <t>Olivia Furseth Gonzalo</t>
  </si>
  <si>
    <t>Lionel Furseth Gonzalo</t>
  </si>
  <si>
    <t>ingvillfurseth@hotmail.com</t>
  </si>
  <si>
    <t>+4794483573</t>
  </si>
  <si>
    <t>Carol Bomtempo</t>
  </si>
  <si>
    <t>Janaina Santos dos Prazeres</t>
  </si>
  <si>
    <t>Amanda Vicentini</t>
  </si>
  <si>
    <t>Greyce Seraphin</t>
  </si>
  <si>
    <t>Fernando Gantes Duarte</t>
  </si>
  <si>
    <t>Cristiana Boeckel Mendes</t>
  </si>
  <si>
    <t>Luísa Mendes Duarte</t>
  </si>
  <si>
    <t>fernando.gantes@hotmail.com</t>
  </si>
  <si>
    <t>51 9 9990 5785</t>
  </si>
  <si>
    <t>Tamara Corrêa Lima Nunes</t>
  </si>
  <si>
    <t>Marcos Schneider Nunes</t>
  </si>
  <si>
    <t>Greg Nunes</t>
  </si>
  <si>
    <t>nunes.tamara@gmail.com</t>
  </si>
  <si>
    <t>48 999831112</t>
  </si>
  <si>
    <t>Gilberto Prado Junior</t>
  </si>
  <si>
    <t>Reserva feita em nome de Charlise no Airbnb</t>
  </si>
  <si>
    <t>Betina Reolon Antunes</t>
  </si>
  <si>
    <t>João Gilberto Barreto Prado</t>
  </si>
  <si>
    <t>Adriane Macedo Reolon</t>
  </si>
  <si>
    <t>Marcia C G de Souza</t>
  </si>
  <si>
    <t>Maria do Rocio G de Souza</t>
  </si>
  <si>
    <t>Isabella de Souza Vieira</t>
  </si>
  <si>
    <t>George Gregori</t>
  </si>
  <si>
    <t>marciasouza_londrina@hotmail.com</t>
  </si>
  <si>
    <t>43 9 9930 0536</t>
  </si>
  <si>
    <t>Dimitrios Spertos</t>
  </si>
  <si>
    <t>Cibele Leite Fernandes</t>
  </si>
  <si>
    <t>Elton Flávio Ribeiro</t>
  </si>
  <si>
    <t>Thomas Fernandes Ribeiro (2 anos - colchão no chão)</t>
  </si>
  <si>
    <t>Icaro Vieira</t>
  </si>
  <si>
    <t>Eduardo Pfeifer</t>
  </si>
  <si>
    <t>Sidney Soares dos Santos</t>
  </si>
  <si>
    <t>Martha Raquel Andrade dos Santos</t>
  </si>
  <si>
    <t>sidneysoares7721@gmail.com</t>
  </si>
  <si>
    <t>Luciana Carvalho</t>
  </si>
  <si>
    <t>16 9 9132 5256</t>
  </si>
  <si>
    <t>Jose Espejo</t>
  </si>
  <si>
    <t>Mabel Huertas</t>
  </si>
  <si>
    <t>Marcela Requena</t>
  </si>
  <si>
    <t>Daniela Gómez</t>
  </si>
  <si>
    <t>pepejose_98@hotmail.com</t>
  </si>
  <si>
    <t>+51 9 9332 1239</t>
  </si>
  <si>
    <t>Rodolfo Machado</t>
  </si>
  <si>
    <t>Rodrigo Cesar Cavalcanti do Nascimento</t>
  </si>
  <si>
    <t>Michelle Nascimento de farias</t>
  </si>
  <si>
    <t>Beatriz Farias do Nascimento (9 anos)</t>
  </si>
  <si>
    <t>Bernardo Farias do Nascimento (5 anos)</t>
  </si>
  <si>
    <t>rodrigo_cav@yahoo.com.br</t>
  </si>
  <si>
    <t>+55 61 98121 0465</t>
  </si>
  <si>
    <t>007.780.774-03</t>
  </si>
  <si>
    <t>Graziela Monteiro Da Correggio</t>
  </si>
  <si>
    <t>Leoni Carvalho Neto</t>
  </si>
  <si>
    <t>graziela.correggio@gmail.com</t>
  </si>
  <si>
    <t>+55 48 99802 8880</t>
  </si>
  <si>
    <t>047.329.039-16</t>
  </si>
  <si>
    <t>Diego Santana Silva</t>
  </si>
  <si>
    <t>Ian Siqueira Fernandes</t>
  </si>
  <si>
    <t>Gilvan Bezerra da Silva Junior</t>
  </si>
  <si>
    <t>diego.boyz@gmail.com</t>
  </si>
  <si>
    <t>77 9 8104 0986</t>
  </si>
  <si>
    <t>André Medrado Rubinelli</t>
  </si>
  <si>
    <t>Luiza Betania Domingues Rubinelli</t>
  </si>
  <si>
    <t>Marco Antonio Soriano Domingues</t>
  </si>
  <si>
    <t>César Domingues Rubinelli (2 anos)</t>
  </si>
  <si>
    <t>andre_rubinelli@msn.com</t>
  </si>
  <si>
    <t>11 98401 6966</t>
  </si>
  <si>
    <t>Tatiane Castilho</t>
  </si>
  <si>
    <t>18 99668 7226</t>
  </si>
  <si>
    <t>Leandra Marcia Girotto Martins</t>
  </si>
  <si>
    <t>Pedro Martins</t>
  </si>
  <si>
    <t>Beatriz Girotto Martins</t>
  </si>
  <si>
    <t>leandra.girotto@hotmaik.com</t>
  </si>
  <si>
    <t>44 9 941 8967</t>
  </si>
  <si>
    <t>Pitter Andre Adriano</t>
  </si>
  <si>
    <t>Angélica Martins Vargas adriano</t>
  </si>
  <si>
    <t>Antônio Vargas Adriano (6 Anos)</t>
  </si>
  <si>
    <t>Benício Vargas Adriano (1 Ano)</t>
  </si>
  <si>
    <t>pitterandre@gmail.com</t>
  </si>
  <si>
    <t>48 9 9164 9153</t>
  </si>
  <si>
    <t>Bruna Pivetta</t>
  </si>
  <si>
    <t>No Airbnb contato com Larissa Pivetta</t>
  </si>
  <si>
    <t xml:space="preserve"> Larissa Pivetta</t>
  </si>
  <si>
    <t>laripivetta10@yahoo.com</t>
  </si>
  <si>
    <t>49 9 9992 0440</t>
  </si>
  <si>
    <t xml:space="preserve">Fabiano Lepri Silva </t>
  </si>
  <si>
    <t xml:space="preserve">Giuliano de Freitas </t>
  </si>
  <si>
    <t xml:space="preserve">Astor Freitas </t>
  </si>
  <si>
    <t xml:space="preserve">Mara Severo </t>
  </si>
  <si>
    <t>flepris@yahoo.com.br</t>
  </si>
  <si>
    <t>11 9 9649 4864</t>
  </si>
  <si>
    <t>Gabriel Lunardelli Basso</t>
  </si>
  <si>
    <t>Marli Lunardelli Basso</t>
  </si>
  <si>
    <t>Airton Antônio Basso</t>
  </si>
  <si>
    <t>Renan Lunardelli Basso</t>
  </si>
  <si>
    <t>gabrielbasso2@gmail.com</t>
  </si>
  <si>
    <t>51 9 8424 6800</t>
  </si>
  <si>
    <t>Diego Vilani</t>
  </si>
  <si>
    <t>Carlos Ferrari</t>
  </si>
  <si>
    <t>Thomaz Mussato</t>
  </si>
  <si>
    <t>diego_vilani@hotmail.com</t>
  </si>
  <si>
    <t>19 98855 5657</t>
  </si>
  <si>
    <t>Luciana Chiyo</t>
  </si>
  <si>
    <t>luchiyo@uol.com.br</t>
  </si>
  <si>
    <t>45 9975 5074</t>
  </si>
  <si>
    <t>137.056.278-05</t>
  </si>
  <si>
    <t>Charlston Rodrigues</t>
  </si>
  <si>
    <t>Acompanhante 3 bebê</t>
  </si>
  <si>
    <t>63 9 8132 9119</t>
  </si>
  <si>
    <t>Eduardo Batista Inhoque</t>
  </si>
  <si>
    <t>AVISADO AO RESPONSÁVEL</t>
  </si>
  <si>
    <t>eb.inhoque@bol.com.br</t>
  </si>
  <si>
    <t>51 9 9983 0103</t>
  </si>
  <si>
    <t>Bruno Atilio Fernandes de Martini</t>
  </si>
  <si>
    <t>Daniel Matos</t>
  </si>
  <si>
    <t>Bruno Alvarenga</t>
  </si>
  <si>
    <t>b_demartini@hotmail.com</t>
  </si>
  <si>
    <t>12 9 9633 6520</t>
  </si>
  <si>
    <t>Karina Valentine</t>
  </si>
  <si>
    <t>Jonatas Brito do N de Souza</t>
  </si>
  <si>
    <t>Izabela Brito</t>
  </si>
  <si>
    <t>Sofia Brito (3 anos)</t>
  </si>
  <si>
    <t>Elisa Brito (1 ano)</t>
  </si>
  <si>
    <t>agrojonatas@hotmail.com</t>
  </si>
  <si>
    <t>77 9 9908 0021</t>
  </si>
  <si>
    <t>030.240.715-47</t>
  </si>
  <si>
    <t>Bianca Thamiris Mizusaki</t>
  </si>
  <si>
    <t>Olivia Zotarelli Menegassi</t>
  </si>
  <si>
    <t>Marcos Akira Mizusaki Júnior</t>
  </si>
  <si>
    <t>biancamizusaki@hotmail.com</t>
  </si>
  <si>
    <t>18 99132 7902</t>
  </si>
  <si>
    <t>401.724.888-85</t>
  </si>
  <si>
    <t>Bruna Nogueira Dall'Agnol</t>
  </si>
  <si>
    <t>13 99707 1210</t>
  </si>
  <si>
    <t>Marcelo Ryba</t>
  </si>
  <si>
    <t>Acompanhante 3 (criança)</t>
  </si>
  <si>
    <t>41 99925 0150</t>
  </si>
  <si>
    <t>Observações:
https://www.airbnb.com.br/rooms/23144897</t>
  </si>
  <si>
    <t>Nádia Nicolao</t>
  </si>
  <si>
    <t>Rosina</t>
  </si>
  <si>
    <t>Cristian Wolf</t>
  </si>
  <si>
    <t>Pablo Teixeira da Silva</t>
  </si>
  <si>
    <t xml:space="preserve">Cleise Gindri Haigert </t>
  </si>
  <si>
    <t>Davi Haigert Teixeira</t>
  </si>
  <si>
    <t>pabloteixeiras@hotmail.com</t>
  </si>
  <si>
    <t>55 9 9155 4232</t>
  </si>
  <si>
    <t>803.199.120-00</t>
  </si>
  <si>
    <t>Layse</t>
  </si>
  <si>
    <t>Kalyanna Gil Portal</t>
  </si>
  <si>
    <t>Kaio Simões</t>
  </si>
  <si>
    <t>Bruna Cypriano</t>
  </si>
  <si>
    <t>Leandro Hilton</t>
  </si>
  <si>
    <t>Rui Carlos</t>
  </si>
  <si>
    <t>Observações:
https://www.airbnb.com.br/rooms/28283340</t>
  </si>
  <si>
    <t>Jacqueline Santos</t>
  </si>
  <si>
    <t>Regina Ruaro</t>
  </si>
  <si>
    <t>Check in antecipado p 13h</t>
  </si>
  <si>
    <t>Ivanise</t>
  </si>
  <si>
    <t>Bruno Nahas</t>
  </si>
  <si>
    <t>Luziany Tarter</t>
  </si>
  <si>
    <t>Wendel Albino</t>
  </si>
  <si>
    <t>Wellington Cruz</t>
  </si>
  <si>
    <t>Leonardo Vergani</t>
  </si>
  <si>
    <t>Rafa muller</t>
  </si>
  <si>
    <t>Lucas Adao</t>
  </si>
  <si>
    <t>Dyego Phillip</t>
  </si>
  <si>
    <t>Felipe Tolentino</t>
  </si>
  <si>
    <t>Flavio Filho</t>
  </si>
  <si>
    <t>Jéssica Krawulski</t>
  </si>
  <si>
    <t>Walkyria Costa</t>
  </si>
  <si>
    <t>Eduardo Souza</t>
  </si>
  <si>
    <t>Reserva para Nicolas-Whats app</t>
  </si>
  <si>
    <t>Check in Antecipado</t>
  </si>
  <si>
    <t>Iwyna Vial</t>
  </si>
  <si>
    <t>Rejane</t>
  </si>
  <si>
    <t>Guilherme Szerman</t>
  </si>
  <si>
    <t>Resreva Marcos</t>
  </si>
  <si>
    <t>Estadia gratuita para compensar problema cm hotel</t>
  </si>
  <si>
    <t>Francisco Wilkie</t>
  </si>
  <si>
    <t>Tony San</t>
  </si>
  <si>
    <t>Isabella Santos</t>
  </si>
  <si>
    <t>1000 reais dep feito -tem q confirmar</t>
  </si>
  <si>
    <t>Eliane Farcioli</t>
  </si>
  <si>
    <t>Daniel Tormim</t>
  </si>
  <si>
    <t>José Flavio</t>
  </si>
  <si>
    <t>Aline Bora</t>
  </si>
  <si>
    <t>Gustavo Catramby</t>
  </si>
  <si>
    <t>Rosângela Lobozzo Dower Stabile</t>
  </si>
  <si>
    <t>Confirmado</t>
  </si>
  <si>
    <t>Felipe Pierozan</t>
  </si>
  <si>
    <t>Check in as 13h se possivel</t>
  </si>
  <si>
    <t>Nidia Lope</t>
  </si>
  <si>
    <t>Pablo Ruggeri</t>
  </si>
  <si>
    <t>Lorena Lopes Cardoso</t>
  </si>
  <si>
    <t>Giovana Trevenzoli</t>
  </si>
  <si>
    <t>André Torres</t>
  </si>
  <si>
    <t>Marcia Faria</t>
  </si>
  <si>
    <t>Luana Rosa</t>
  </si>
  <si>
    <t>Marcelo Geraldo</t>
  </si>
  <si>
    <t>Uso Proprio</t>
  </si>
  <si>
    <t>Fernando P.</t>
  </si>
  <si>
    <t>Jhasla Canan</t>
  </si>
  <si>
    <t>4800 Depositados</t>
  </si>
  <si>
    <t>Fernando Cymrot</t>
  </si>
  <si>
    <t>Fabio Vieira</t>
  </si>
  <si>
    <t>Mohamed Hammoud</t>
  </si>
  <si>
    <t>Simone Koltun</t>
  </si>
  <si>
    <t>Elisângela Ávila Batista</t>
  </si>
  <si>
    <t>João Luiz Batista</t>
  </si>
  <si>
    <t>João Vitor Ávila Batista</t>
  </si>
  <si>
    <t>elisangela_avila@globo.com</t>
  </si>
  <si>
    <t>41 9 9691 8584</t>
  </si>
  <si>
    <t>Odair Gomes</t>
  </si>
  <si>
    <t>gomesoda@gmail.com</t>
  </si>
  <si>
    <t>+554599085308</t>
  </si>
  <si>
    <t>Santiago Lovera</t>
  </si>
  <si>
    <t>Eduardo Orlando</t>
  </si>
  <si>
    <t>Ana Gamarra</t>
  </si>
  <si>
    <t>Bruno Teodoro</t>
  </si>
  <si>
    <t xml:space="preserve"> Facundo Lovera</t>
  </si>
  <si>
    <t>Lhotellier@gmail.com</t>
  </si>
  <si>
    <t xml:space="preserve"> Ignacio Lovera</t>
  </si>
  <si>
    <t>+55 11 996073113</t>
  </si>
  <si>
    <t>Edith Lezcano</t>
  </si>
  <si>
    <t xml:space="preserve">s_lovera@hotmail.com </t>
  </si>
  <si>
    <t>+595971283000</t>
  </si>
  <si>
    <t>Fernando Pretto</t>
  </si>
  <si>
    <t>Daniela Brambila Magnus</t>
  </si>
  <si>
    <t>Júlia Magnus Pretto (bebê, mas não necessita berço)</t>
  </si>
  <si>
    <t>fernando_pretto@yahoo.com.br</t>
  </si>
  <si>
    <t>51 9 9897 5585</t>
  </si>
  <si>
    <t>Raphael Pinheiro</t>
  </si>
  <si>
    <t>Fernando Bitencourt</t>
  </si>
  <si>
    <t>Hospede com PET</t>
  </si>
  <si>
    <t>Joannie Soares</t>
  </si>
  <si>
    <t>Jucelia Martins dos Santos</t>
  </si>
  <si>
    <t>Jasmim Soares Fischer</t>
  </si>
  <si>
    <t>fernando-6co5xia8ag9xxynz@guest.airbnb.com</t>
  </si>
  <si>
    <t>+55 51 99131 4662</t>
  </si>
  <si>
    <t>Andres Restrepo</t>
  </si>
  <si>
    <t>Tatiana de Los Rios</t>
  </si>
  <si>
    <t>Andre Maia</t>
  </si>
  <si>
    <t>Gabriela Ragassi Maia</t>
  </si>
  <si>
    <t>Gabriel Ragassi Maia</t>
  </si>
  <si>
    <t>Carolina Ragassi Maia</t>
  </si>
  <si>
    <t>deco.maia@hotmail.com</t>
  </si>
  <si>
    <t>Fernando Silva Pereira</t>
  </si>
  <si>
    <t>cabfersp@gmail.com</t>
  </si>
  <si>
    <t>+5548988011852</t>
  </si>
  <si>
    <t>Marlon Youssef</t>
  </si>
  <si>
    <t>Em dinheiro</t>
  </si>
  <si>
    <t>Renata Silva</t>
  </si>
  <si>
    <t>Leandro Gonçalves da Silva</t>
  </si>
  <si>
    <t>Bernardo Camardo da Silva (10 anos)</t>
  </si>
  <si>
    <t>Bárbara Camargo da Silva (6 anos)</t>
  </si>
  <si>
    <t>renatacsilva@icloud.com</t>
  </si>
  <si>
    <t>51 9 9251 7313</t>
  </si>
  <si>
    <t>Gabriel da Silva Moraes</t>
  </si>
  <si>
    <t>Ayla Correa Moraes</t>
  </si>
  <si>
    <t>carlabiacchi@gmail.com</t>
  </si>
  <si>
    <t>11 9 9512 2887</t>
  </si>
  <si>
    <t>Agni Rodrigues Puig</t>
  </si>
  <si>
    <t>Gustavo Cynowiec dos Anjos</t>
  </si>
  <si>
    <t>Luisa Puig Cynowiec dos Anjos</t>
  </si>
  <si>
    <t>Helena Puig Cynowiec dos Anjos (4 meses)</t>
  </si>
  <si>
    <t>agnirodriguespuig@gmail.com</t>
  </si>
  <si>
    <t>51 9 9106 2014</t>
  </si>
  <si>
    <t>Manoel Luis Godinho Junior</t>
  </si>
  <si>
    <t>Rodrigo Castro</t>
  </si>
  <si>
    <t>Valerie Uziel</t>
  </si>
  <si>
    <t>Gustavo Pizzo</t>
  </si>
  <si>
    <t>Falta 480 reais</t>
  </si>
  <si>
    <t>Pedro Henrique Sartori</t>
  </si>
  <si>
    <t>Mariella Dias Estanislau</t>
  </si>
  <si>
    <t>Giovana Biasi</t>
  </si>
  <si>
    <t>Rodrigo Almeida</t>
  </si>
  <si>
    <t>Giovana Sartori</t>
  </si>
  <si>
    <t>17 9 9615 1639</t>
  </si>
  <si>
    <t>Leo Gustavo Menon</t>
  </si>
  <si>
    <t>mariella.dias@icloud.com</t>
  </si>
  <si>
    <t>48 9 9111 6565</t>
  </si>
  <si>
    <t>08283160907</t>
  </si>
  <si>
    <t>Alexandre Adami</t>
  </si>
  <si>
    <t>Cristiane Santos Wilhelms</t>
  </si>
  <si>
    <t>Fábio Reich</t>
  </si>
  <si>
    <t>criswilhelms@yahoo.com.br</t>
  </si>
  <si>
    <t>54 9 9625 6237</t>
  </si>
  <si>
    <t>Icaro Chinazzo</t>
  </si>
  <si>
    <t>Gabriela Pereira</t>
  </si>
  <si>
    <t>Lucas Silveira Verardi</t>
  </si>
  <si>
    <t>Silvana de Souza Pereira</t>
  </si>
  <si>
    <t>Laura Pereira Araujo (7 anos)</t>
  </si>
  <si>
    <t>Lidiane Santos Alves</t>
  </si>
  <si>
    <t>Ulisse César Dalmachio Alves</t>
  </si>
  <si>
    <t>Andréia Cancherini Barboza</t>
  </si>
  <si>
    <t>Ricardo Fabiano Teixeira Barboza</t>
  </si>
  <si>
    <t>lidiane.alves@raizen.com</t>
  </si>
  <si>
    <t>19 9 9651 6260</t>
  </si>
  <si>
    <t>Uso próprio</t>
  </si>
  <si>
    <t>Tatianne da Silva Paz Souza</t>
  </si>
  <si>
    <t>Gleydson de Castro Souza</t>
  </si>
  <si>
    <t>tatiannepazsouza@gmail.com</t>
  </si>
  <si>
    <t>61 9 9286 6144</t>
  </si>
  <si>
    <t>93077823187</t>
  </si>
  <si>
    <t>Camilo Prates</t>
  </si>
  <si>
    <t>Daniela Mombach</t>
  </si>
  <si>
    <t>Carolina Mombach Prates</t>
  </si>
  <si>
    <t>miloprates@gmail.com</t>
  </si>
  <si>
    <t>61 9 9818 2777</t>
  </si>
  <si>
    <t>Mateus Dagostin Luz</t>
  </si>
  <si>
    <t>Fernanda Patricia Silva</t>
  </si>
  <si>
    <t>Daniela Cerdan Torres</t>
  </si>
  <si>
    <t>Lucas Torres Ramos</t>
  </si>
  <si>
    <t>Catarina Torres Ramos</t>
  </si>
  <si>
    <t>mateusdagostin@gmail.com</t>
  </si>
  <si>
    <t>+55 11 98799 5768</t>
  </si>
  <si>
    <t>Maria Lopez</t>
  </si>
  <si>
    <t>Cesar Poncio</t>
  </si>
  <si>
    <t>47 9 9946 7811</t>
  </si>
  <si>
    <t>001.563.800-64</t>
  </si>
  <si>
    <t>Andrea Lopez</t>
  </si>
  <si>
    <t>Rodrigo Marques</t>
  </si>
  <si>
    <t>Verificar dados com o hóspede</t>
  </si>
  <si>
    <t>Aparecida Brandão</t>
  </si>
  <si>
    <t>48 9 8499 0007</t>
  </si>
  <si>
    <t>Matheus Alberto Ambrosi</t>
  </si>
  <si>
    <t>André Moura da Silva</t>
  </si>
  <si>
    <t>Giulia Frantz Moura</t>
  </si>
  <si>
    <t xml:space="preserve"> andremouras@hotmai.com</t>
  </si>
  <si>
    <t>71 9 8659 3635</t>
  </si>
  <si>
    <t>05848497702</t>
  </si>
  <si>
    <t>Marco Mosimann</t>
  </si>
  <si>
    <t>47 8406 7260</t>
  </si>
  <si>
    <t>Gustavo DePaula</t>
  </si>
  <si>
    <t>Nicolas Diaz</t>
  </si>
  <si>
    <t>Debora Milles</t>
  </si>
  <si>
    <t>1 (317) 979-9699</t>
  </si>
  <si>
    <t>Alexandre Bentivoglio</t>
  </si>
  <si>
    <t>Joice Bentivoglio</t>
  </si>
  <si>
    <t>Gabriel Bentivoglio</t>
  </si>
  <si>
    <t>Elton Alípio Martins</t>
  </si>
  <si>
    <t>62 98494 4311</t>
  </si>
  <si>
    <t>Gustavo Costa</t>
  </si>
  <si>
    <t>Fabia Rigon</t>
  </si>
  <si>
    <t>contato@protosul.com.br</t>
  </si>
  <si>
    <t>54 9 9112 7099</t>
  </si>
  <si>
    <t>811.054.950-00</t>
  </si>
  <si>
    <t>Nédio Rodrigo Tormen</t>
  </si>
  <si>
    <t>Beatriz Fruet Emendorfer</t>
  </si>
  <si>
    <t>Rodrigo Pinheiro</t>
  </si>
  <si>
    <t>47 9 9780 0812</t>
  </si>
  <si>
    <t>47 99759 2424</t>
  </si>
  <si>
    <t>Andrei Custodio Maciel</t>
  </si>
  <si>
    <t>47 9 8814 7644</t>
  </si>
  <si>
    <t xml:space="preserve">Fernanda Cassel Mota </t>
  </si>
  <si>
    <t>Fabio V. Brandao</t>
  </si>
  <si>
    <t>nanda.c.mota@hotmail.com</t>
  </si>
  <si>
    <t>11 9 9907 0407</t>
  </si>
  <si>
    <t>013.008.190-65</t>
  </si>
  <si>
    <t>Federico Campos</t>
  </si>
  <si>
    <t>fedecampos@hotmail.com</t>
  </si>
  <si>
    <t>54 351 520 1656</t>
  </si>
  <si>
    <t>dni 23171030</t>
  </si>
  <si>
    <t>Emilio Ayuso</t>
  </si>
  <si>
    <t>19 9 9236 1864</t>
  </si>
  <si>
    <t>Rogerio Menandro Lucio</t>
  </si>
  <si>
    <t>17 9 9788 0061</t>
  </si>
  <si>
    <t>Nataly Heitor Martini</t>
  </si>
  <si>
    <t>Tiago Natari Vieira</t>
  </si>
  <si>
    <t>Celine Martini Natari</t>
  </si>
  <si>
    <t>natalymartini@gmail.com</t>
  </si>
  <si>
    <t>65 9 8124 9599</t>
  </si>
  <si>
    <t>John Hiroshi Sakuma</t>
  </si>
  <si>
    <t>Reserva feita por Andressa Sakuma</t>
  </si>
  <si>
    <t>Sandra Aiko Omori</t>
  </si>
  <si>
    <t>41 9 9143 0800</t>
  </si>
  <si>
    <t>sandra.omori@yahoo.com.br</t>
  </si>
  <si>
    <t>Rosânea Sasso</t>
  </si>
  <si>
    <t>Acompanhante 2 (12 anos)</t>
  </si>
  <si>
    <t>48 99179 5069</t>
  </si>
  <si>
    <t>Ricardo Vinicius Zocolaro</t>
  </si>
  <si>
    <t>A PAGAR</t>
  </si>
  <si>
    <t>ricardo@machadonet.com.br</t>
  </si>
  <si>
    <t>66 9 9985 9991</t>
  </si>
  <si>
    <t>Marcos Flávio</t>
  </si>
  <si>
    <t>Daniel Lacerda</t>
  </si>
  <si>
    <t>Arnaldo Lacerda</t>
  </si>
  <si>
    <t>Andrea Mauad Lacerda</t>
  </si>
  <si>
    <t>Raisa Fuijizaki</t>
  </si>
  <si>
    <t>labirintomania@uol.com.br</t>
  </si>
  <si>
    <t>41 9994 0552</t>
  </si>
  <si>
    <t>Adila Suarez</t>
  </si>
  <si>
    <t>João Accioly</t>
  </si>
  <si>
    <t>Bruce Suarez Accioly</t>
  </si>
  <si>
    <t>adilasuarez@gmail.com</t>
  </si>
  <si>
    <t>21 9 7299 4049</t>
  </si>
  <si>
    <t>Leslie Charbon</t>
  </si>
  <si>
    <t>Stefani Dias dos Santos</t>
  </si>
  <si>
    <t>tourmanage@aol.com</t>
  </si>
  <si>
    <t>41 9 9822 6091</t>
  </si>
  <si>
    <t>Roberto Santos</t>
  </si>
  <si>
    <t>Lincoln Pereira Costa</t>
  </si>
  <si>
    <t>Pamella Priscilla Barros</t>
  </si>
  <si>
    <t>lincolnpc@gmail.com</t>
  </si>
  <si>
    <t>11 98174-5354</t>
  </si>
  <si>
    <t>Armando Nascimento</t>
  </si>
  <si>
    <t>Nádia Nascimento</t>
  </si>
  <si>
    <t>Bruna Nascimento</t>
  </si>
  <si>
    <t>Carolina Nascimento</t>
  </si>
  <si>
    <t>nnasciomentorepre@gmail.com</t>
  </si>
  <si>
    <t>54 9 9984 8573</t>
  </si>
  <si>
    <t>Priscila Kamano</t>
  </si>
  <si>
    <t xml:space="preserve">Edson Massato Kamano </t>
  </si>
  <si>
    <t>Patrícia Lika Kamano (8 anos)</t>
  </si>
  <si>
    <t>Tatiane Mami Kamano (5 anos)</t>
  </si>
  <si>
    <t>ekamano@hotmail.com</t>
  </si>
  <si>
    <t>11 9 8258 0005</t>
  </si>
  <si>
    <t>Marina Martini</t>
  </si>
  <si>
    <t>Ana Laura Ferreira</t>
  </si>
  <si>
    <t>Lucas Martini Tebaldi</t>
  </si>
  <si>
    <t>A confirmar</t>
  </si>
  <si>
    <t>marina.martini@ymail.com</t>
  </si>
  <si>
    <t>51 98121 5700</t>
  </si>
  <si>
    <t>Bloqueado pelo proprietário</t>
  </si>
  <si>
    <t>Luis Amaral</t>
  </si>
  <si>
    <t>Fabiane Amaral</t>
  </si>
  <si>
    <t>Roger Ramos Sales</t>
  </si>
  <si>
    <t>Elaine Martins Pasquim</t>
  </si>
  <si>
    <t>Sarah Martins Pasquim Sales</t>
  </si>
  <si>
    <t>Igor Martins Pasquim Sales</t>
  </si>
  <si>
    <t>roger.sales05@gmail.com</t>
  </si>
  <si>
    <t>61 98121 0660</t>
  </si>
  <si>
    <t>Observações:
https://www.airbnb.com.br/rooms/21023786</t>
  </si>
  <si>
    <t>Ricardo Viana Balsini</t>
  </si>
  <si>
    <t>+554899540021</t>
  </si>
  <si>
    <t>Bernardo Rigo</t>
  </si>
  <si>
    <t>Monique da Silva Torres</t>
  </si>
  <si>
    <t>Zulma Aboy</t>
  </si>
  <si>
    <t>Alexandre Oliveira Bruno</t>
  </si>
  <si>
    <t>Negócio feito com a Sil, depósito feito na conta corrente do Fernando</t>
  </si>
  <si>
    <t>Miguel Bailak</t>
  </si>
  <si>
    <t>Michel Stumpf</t>
  </si>
  <si>
    <t>michel@brasteccomponents.com</t>
  </si>
  <si>
    <t>54 9 8111 8011</t>
  </si>
  <si>
    <t>Onei</t>
  </si>
  <si>
    <t>Late check out 18h</t>
  </si>
  <si>
    <t xml:space="preserve">Raphael Keil Gonçalves </t>
  </si>
  <si>
    <t>Júlia Costa Dutra</t>
  </si>
  <si>
    <t>raphael_keil@hotmail.com</t>
  </si>
  <si>
    <t>Glauco</t>
  </si>
  <si>
    <t>Guilherme Andrade Bichuette Coelho</t>
  </si>
  <si>
    <t>Daniela Fistarol</t>
  </si>
  <si>
    <t>guillerme.petrobras@gmail.com</t>
  </si>
  <si>
    <t>22 9 8137 2227</t>
  </si>
  <si>
    <t>Juliana Vasconcelos</t>
  </si>
  <si>
    <t>Priscila Sordi</t>
  </si>
  <si>
    <t>Gal Bouskila</t>
  </si>
  <si>
    <t>Julia Raspini</t>
  </si>
  <si>
    <t>Juliano Garcia</t>
  </si>
  <si>
    <t>Gabrielle Turatti</t>
  </si>
  <si>
    <t>Edipo</t>
  </si>
  <si>
    <t>Check-in antecipado 12h</t>
  </si>
  <si>
    <t>julianogarcia@yahoo.com.br</t>
  </si>
  <si>
    <t>51 9 8124 0315</t>
  </si>
  <si>
    <t>Samir Cecim</t>
  </si>
  <si>
    <t>Caroline Messer</t>
  </si>
  <si>
    <t>samcecim@hotmail.com</t>
  </si>
  <si>
    <t>51 9 8179 4817</t>
  </si>
  <si>
    <t>Eduardo Inhoque</t>
  </si>
  <si>
    <t xml:space="preserve">Melissa Azambuja de Oliveira </t>
  </si>
  <si>
    <t xml:space="preserve">Rogério Armani Madeira </t>
  </si>
  <si>
    <t xml:space="preserve">Lauren Oliveira Madeira </t>
  </si>
  <si>
    <t>Leonardo Oliveira Madeira</t>
  </si>
  <si>
    <t>Daiane Potrich</t>
  </si>
  <si>
    <t>Daniel Girardi</t>
  </si>
  <si>
    <t>Eduarda Potrich Girardi (bebê)</t>
  </si>
  <si>
    <t>daianepotrich@gmail.com</t>
  </si>
  <si>
    <t>54 9 9117 0478</t>
  </si>
  <si>
    <t>Aline Filla</t>
  </si>
  <si>
    <t>Thiago Manganelli</t>
  </si>
  <si>
    <t>alinefilla@hotmail.com</t>
  </si>
  <si>
    <t>Iuri</t>
  </si>
  <si>
    <t>Fred Viotti</t>
  </si>
  <si>
    <t>Joana Zortea</t>
  </si>
  <si>
    <t>Apartamento trocado para o 2206</t>
  </si>
  <si>
    <t>Gustavo</t>
  </si>
  <si>
    <t>Artur</t>
  </si>
  <si>
    <t>Marcel Esteves</t>
  </si>
  <si>
    <t>jpzortea@hotmail.com</t>
  </si>
  <si>
    <t>(54) 99606.7611</t>
  </si>
  <si>
    <t>Ana Sampietro</t>
  </si>
  <si>
    <t>Late check out as 15h se possivel</t>
  </si>
  <si>
    <t xml:space="preserve">eb.inhoque@bol.com.br </t>
  </si>
  <si>
    <t>+555199830103</t>
  </si>
  <si>
    <t>Lucas Duarte</t>
  </si>
  <si>
    <t>Terezinha Matilde Licks</t>
  </si>
  <si>
    <t>Está junto com o Camilo Prates do 2313</t>
  </si>
  <si>
    <t>Ana Maria Sousa Chagas</t>
  </si>
  <si>
    <t>Jose Antonio Porteiro Cardoso</t>
  </si>
  <si>
    <t>Rafaela Cristina Oliari</t>
  </si>
  <si>
    <t>Thiago Gomes</t>
  </si>
  <si>
    <t>rafaelaoliari@gmail.com</t>
  </si>
  <si>
    <t>41 9 9176 7880</t>
  </si>
  <si>
    <t>029.161.199-06</t>
  </si>
  <si>
    <t>Danilo Martins</t>
  </si>
  <si>
    <t>Lilian</t>
  </si>
  <si>
    <t>Roberto Pasquali Santos</t>
  </si>
  <si>
    <t>pasqualibucomaxilo@yahoo.com.br</t>
  </si>
  <si>
    <t>77 99156- 6666</t>
  </si>
  <si>
    <t>Marila Mariotto</t>
  </si>
  <si>
    <t>Gislaine Schlickmann</t>
  </si>
  <si>
    <t>Andyanara Schlickmann</t>
  </si>
  <si>
    <t>ma_mariotto@hotmail.com</t>
  </si>
  <si>
    <t>11 995503212</t>
  </si>
  <si>
    <t>222.250.618-23</t>
  </si>
  <si>
    <t>Jéssica Silva</t>
  </si>
  <si>
    <t xml:space="preserve">Roberto Pasquali Santos  </t>
  </si>
  <si>
    <t>Yuan Ting</t>
  </si>
  <si>
    <t>Hugo</t>
  </si>
  <si>
    <t>Luiz Francisco Tavares Da Silva Jr</t>
  </si>
  <si>
    <t>Reserva era de 26 a 30/04</t>
  </si>
  <si>
    <t>11 9 9996 0210</t>
  </si>
  <si>
    <t>José Fortes Neto</t>
  </si>
  <si>
    <t>José fortes neto</t>
  </si>
  <si>
    <t xml:space="preserve">Josiane Sobieranski </t>
  </si>
  <si>
    <t>18 99751 2070</t>
  </si>
  <si>
    <t>Gabriela Selime</t>
  </si>
  <si>
    <t>Leonardo Barreto</t>
  </si>
  <si>
    <t>22 9 9869 3282</t>
  </si>
  <si>
    <t>María Florencia Baquero Digón</t>
  </si>
  <si>
    <t>Daniel Kubiça</t>
  </si>
  <si>
    <t>55 9 8129 3172</t>
  </si>
  <si>
    <t>Frederico Ernani Moura Marques</t>
  </si>
  <si>
    <t>Marcos Flávio Moellmann Ribeiro</t>
  </si>
  <si>
    <t>fredernani@hotmail.com</t>
  </si>
  <si>
    <t>Karol</t>
  </si>
  <si>
    <t>Deposito feito</t>
  </si>
  <si>
    <t>11 94754 5100</t>
  </si>
  <si>
    <t>288.957.458.09</t>
  </si>
  <si>
    <t xml:space="preserve">Alan Silvano da Silva </t>
  </si>
  <si>
    <t>Pagamento feito inteiro, mas para 50% esse quarto e 50% do quarto 2206. COLOCAR PAGO AQUI QUANDO A SEGUNDA PARCELA FOR PAGA.</t>
  </si>
  <si>
    <t>Thais Aline Cardanha Silva</t>
  </si>
  <si>
    <t>Matheus</t>
  </si>
  <si>
    <t>Rodrigo Somorovsky</t>
  </si>
  <si>
    <t>Maria Susana Campanella</t>
  </si>
  <si>
    <t>Charlise Wilhelm</t>
  </si>
  <si>
    <t>Rodrigo Resmini Zanella</t>
  </si>
  <si>
    <t>rodrigoresminizanella@gmail.com</t>
  </si>
  <si>
    <t>51 9 8581 6048</t>
  </si>
  <si>
    <t>007759140-29</t>
  </si>
  <si>
    <t xml:space="preserve">	Ricardo Oliveira </t>
  </si>
  <si>
    <t>Fernando Antonini</t>
  </si>
  <si>
    <t>Aline Manenti</t>
  </si>
  <si>
    <t>antonini.ctbmf@gmail.com</t>
  </si>
  <si>
    <t>48 9 9946 5051</t>
  </si>
  <si>
    <t>V M</t>
  </si>
  <si>
    <t>Luis Fernando</t>
  </si>
  <si>
    <t>Reserva esta no 1404-</t>
  </si>
  <si>
    <t>Mari Correa</t>
  </si>
  <si>
    <t>Claudia Cárdenas</t>
  </si>
  <si>
    <t>Misael Santos</t>
  </si>
  <si>
    <t>Paula Carvalho</t>
  </si>
  <si>
    <t>Erika</t>
  </si>
  <si>
    <t>Check in antecipado</t>
  </si>
  <si>
    <t>Contratado por ADRIANO GRANDI</t>
  </si>
  <si>
    <t>48 9 8404 4421</t>
  </si>
  <si>
    <t>675.987.570-20</t>
  </si>
  <si>
    <t>Raphael Oliveira Martines</t>
  </si>
  <si>
    <t>Thiago Leal Vianna</t>
  </si>
  <si>
    <t xml:space="preserve">Fabio Guzik
</t>
  </si>
  <si>
    <t>Suélen Suzin</t>
  </si>
  <si>
    <t>54 9 9932 4292</t>
  </si>
  <si>
    <t xml:space="preserve">	Edson Camargo </t>
  </si>
  <si>
    <t>Jose Leonardo Bergamini</t>
  </si>
  <si>
    <t>Cama de solteiros</t>
  </si>
  <si>
    <t>Leonardo Serra</t>
  </si>
  <si>
    <t>Dionatan Caldart</t>
  </si>
  <si>
    <t>João Paulo Menezes</t>
  </si>
  <si>
    <t>Lissandro Souza</t>
  </si>
  <si>
    <t>Helena</t>
  </si>
  <si>
    <t>Diane Lago</t>
  </si>
  <si>
    <t>Jefferson Moura Andrade</t>
  </si>
  <si>
    <t>Verificar deposito</t>
  </si>
  <si>
    <t>Leticia Mantiñan</t>
  </si>
  <si>
    <t>Cancelado - Wesley - 242.5 de multa</t>
  </si>
  <si>
    <t>Dom Diego</t>
  </si>
  <si>
    <t>Check in 12h</t>
  </si>
  <si>
    <t>Berço</t>
  </si>
  <si>
    <t>Andrea Silva</t>
  </si>
  <si>
    <t>Vania Lage</t>
  </si>
  <si>
    <t>Ana Teresa</t>
  </si>
  <si>
    <t>Leticia Trevisan Campagnolo</t>
  </si>
  <si>
    <t>Tortelli Fabiano</t>
  </si>
  <si>
    <t>Jeane Moura</t>
  </si>
  <si>
    <t>Eduardo Nhoque</t>
  </si>
  <si>
    <t>Karen Costa</t>
  </si>
  <si>
    <t>Marcelo Ximenes</t>
  </si>
  <si>
    <t>Francine Mendes</t>
  </si>
  <si>
    <t>Fernando De Pina Cabral</t>
  </si>
  <si>
    <t>Observações:
https://www.airbnb.com.br/rooms/30814786</t>
  </si>
  <si>
    <t>Rafael Loeblein</t>
  </si>
  <si>
    <t>Augusto Guelli</t>
  </si>
  <si>
    <t>Rafael Campos</t>
  </si>
  <si>
    <t>Diego Floriano</t>
  </si>
  <si>
    <t>Ariane Vuono</t>
  </si>
  <si>
    <t>Allan Legacy</t>
  </si>
  <si>
    <t>Bruna Rorato</t>
  </si>
  <si>
    <t xml:space="preserve">Troca de apto </t>
  </si>
  <si>
    <t>61 9176 1051</t>
  </si>
  <si>
    <t>jefferson-cfy3dwtmrb5hqqpv@guest.airbnb.com</t>
  </si>
  <si>
    <t>18 9 9655 6465</t>
  </si>
  <si>
    <t>Juliana de Andrade</t>
  </si>
  <si>
    <t>Rodicler Cb</t>
  </si>
  <si>
    <t>Josiane Brigida Rogal</t>
  </si>
  <si>
    <t>Bruno Camozzato</t>
  </si>
  <si>
    <t>Bloqueado pelo usuário</t>
  </si>
  <si>
    <t>Rubiany Kelly Pereira</t>
  </si>
  <si>
    <t>Ebladston</t>
  </si>
  <si>
    <t>Paulo Pinto</t>
  </si>
  <si>
    <t>Cancelamento</t>
  </si>
  <si>
    <t>Carolina Vialle</t>
  </si>
  <si>
    <t>Mauricio Freire</t>
  </si>
  <si>
    <t>Giulliano Puga da Cruz</t>
  </si>
  <si>
    <t>Prisca Oliveira</t>
  </si>
  <si>
    <t>Mikael Lekich Migotto</t>
  </si>
  <si>
    <t>Bebê</t>
  </si>
  <si>
    <t>Kélida Bastos</t>
  </si>
  <si>
    <t>Cristián Torres</t>
  </si>
  <si>
    <t>cristian@clickmkt.cl</t>
  </si>
  <si>
    <t>+56954016080</t>
  </si>
  <si>
    <t>Polyana Lanza Neves</t>
  </si>
  <si>
    <t>Polyana</t>
  </si>
  <si>
    <t>Pedir um berco</t>
  </si>
  <si>
    <t>Anna Sjölin</t>
  </si>
  <si>
    <t>Acompanhante2</t>
  </si>
  <si>
    <t>Fabiane Barrueco</t>
  </si>
  <si>
    <t>Ana Paula Miotto</t>
  </si>
  <si>
    <t>Jacinto Miotto Neto</t>
  </si>
  <si>
    <t>Luísa Miotto</t>
  </si>
  <si>
    <t>Fernanda Miotto</t>
  </si>
  <si>
    <t>Lucas Scafini</t>
  </si>
  <si>
    <t>Tammy Fischer Cardozo</t>
  </si>
  <si>
    <t>scafini@newpointcelular.com</t>
  </si>
  <si>
    <t>51 9 9211 8732</t>
  </si>
  <si>
    <t>Aluguel externo</t>
  </si>
  <si>
    <t>Alejandro Carvallo Santande</t>
  </si>
  <si>
    <t>Estará no pool</t>
  </si>
  <si>
    <t>Ariane Dos Santos</t>
  </si>
  <si>
    <t>Jaqueline Yuri Tanaka</t>
  </si>
  <si>
    <t>Adam Foerster</t>
  </si>
  <si>
    <t>2550 depositados</t>
  </si>
  <si>
    <t>Manoel Marques Neto</t>
  </si>
  <si>
    <t>Mariane Caravina Almeida</t>
  </si>
  <si>
    <t>marques_ks@hotmail.com</t>
  </si>
  <si>
    <t>18 9 9149 1479</t>
  </si>
  <si>
    <t>Waldo Soares</t>
  </si>
  <si>
    <t xml:space="preserve">Acompanhante </t>
  </si>
  <si>
    <t>Acompanhante Bebê</t>
  </si>
  <si>
    <t>Laura Moyano</t>
  </si>
  <si>
    <t>Maria Antelo</t>
  </si>
  <si>
    <t>Larissa Willwock</t>
  </si>
  <si>
    <t>Lucas Barbosa</t>
  </si>
  <si>
    <t>31 99334 7360</t>
  </si>
  <si>
    <t>Fabrício Santos</t>
  </si>
  <si>
    <t>Katia</t>
  </si>
  <si>
    <t>Gilmar Marcos Beux Jr</t>
  </si>
  <si>
    <t>54 99935 5262</t>
  </si>
  <si>
    <t>Contrato enviado no whats e 780+780+780  dep feito - confirmar se caiu</t>
  </si>
  <si>
    <t>Jordanna Kehdy Borges</t>
  </si>
  <si>
    <t>Jordanna Kehdy</t>
  </si>
  <si>
    <t>Gregory Viana Cabrobo</t>
  </si>
  <si>
    <t>jordannakehdy@hotmail.com</t>
  </si>
  <si>
    <t>34 9 9100 3636</t>
  </si>
  <si>
    <t>Mario Zerlotti</t>
  </si>
  <si>
    <t>Nadjane Moraes</t>
  </si>
  <si>
    <t>Pagamento em 3 depositos de 386</t>
  </si>
  <si>
    <t>Wilton Silva</t>
  </si>
  <si>
    <t>nmoraesfontes@gmail.com</t>
  </si>
  <si>
    <t>+5511994176047</t>
  </si>
  <si>
    <t>Flavio Cavalcanti</t>
  </si>
  <si>
    <t>67 9 9206 4013</t>
  </si>
  <si>
    <t>João Daniel Ramos</t>
  </si>
  <si>
    <t>022.128.609-86</t>
  </si>
  <si>
    <t>Josinaldo Martins</t>
  </si>
  <si>
    <t>Pedro Etchepare</t>
  </si>
  <si>
    <t>Jessica Barthel</t>
  </si>
  <si>
    <t>Gustavo Cargnin Kremer</t>
  </si>
  <si>
    <t>Pago na conta da Seazone</t>
  </si>
  <si>
    <t>Renato Francisco Kremer</t>
  </si>
  <si>
    <t>Daniela Cargnin Kremer</t>
  </si>
  <si>
    <t>Guilherme Cargnin Kremer</t>
  </si>
  <si>
    <t xml:space="preserve">Luam Heredia Silva Costa </t>
  </si>
  <si>
    <t>Maria Fernanda dias Heredia</t>
  </si>
  <si>
    <t>Luísa dias Heredia (2 anos)</t>
  </si>
  <si>
    <t>luamheredia@yahoo.com.br</t>
  </si>
  <si>
    <t>32 9 9123 4583</t>
  </si>
  <si>
    <t>Barbara Carpes</t>
  </si>
  <si>
    <t>Alexandre Sartori</t>
  </si>
  <si>
    <t>Alessandra Marques Sartori</t>
  </si>
  <si>
    <t>Felipe Marques Sartori</t>
  </si>
  <si>
    <t>alexandresartori@yahoo.com</t>
  </si>
  <si>
    <t>51 98209 1915</t>
  </si>
  <si>
    <t>Márcia Faria</t>
  </si>
  <si>
    <t>André Alves de Jesus</t>
  </si>
  <si>
    <t>Hellen Balbo de Jesus</t>
  </si>
  <si>
    <t xml:space="preserve">Gabriel de Oliveira Gonçalves </t>
  </si>
  <si>
    <t>Pedro Balbo de Jesus</t>
  </si>
  <si>
    <t>Vicente Balbo de Jesus</t>
  </si>
  <si>
    <t>andre.alves.jesus@gmail.com</t>
  </si>
  <si>
    <t>41 9 9999 0301</t>
  </si>
  <si>
    <t>Fábio Vieira Condé Rocha</t>
  </si>
  <si>
    <t>21 9 8842 8695</t>
  </si>
  <si>
    <t>gdog.rj@gmail.com</t>
  </si>
  <si>
    <t>Marlon Abdalla Youssef</t>
  </si>
  <si>
    <t>Pago em Dinheiro</t>
  </si>
  <si>
    <t>Adriana Youssef</t>
  </si>
  <si>
    <t>+554199087183</t>
  </si>
  <si>
    <t>Sergio Rufino Marques</t>
  </si>
  <si>
    <t>rufino_marques@hotmail.com</t>
  </si>
  <si>
    <t>31 9 9345 6607</t>
  </si>
  <si>
    <t xml:space="preserve"> 998.384.866-04</t>
  </si>
  <si>
    <t>Federico Platero</t>
  </si>
  <si>
    <t>Roberto Stier Robstier</t>
  </si>
  <si>
    <t>Roberta Funchal</t>
  </si>
  <si>
    <t>41 9973 4056</t>
  </si>
  <si>
    <t>Glauto Lisboa Melo Junior</t>
  </si>
  <si>
    <t>Nicole Anicet</t>
  </si>
  <si>
    <t>Vicente Melo</t>
  </si>
  <si>
    <t xml:space="preserve">glauto@gmail.com </t>
  </si>
  <si>
    <t>+555191881247</t>
  </si>
  <si>
    <t>Wandir Leite Filho</t>
  </si>
  <si>
    <t>62 9 8200 8282</t>
  </si>
  <si>
    <t>Juarez Reis</t>
  </si>
  <si>
    <t>62 9 8413 9903</t>
  </si>
  <si>
    <t>Antonio Souza</t>
  </si>
  <si>
    <t>A reserva do airbnb foi movida p o 4406, e 600 pago para o Pedro via transfe o Antonio ficou no quarto</t>
  </si>
  <si>
    <t>Ricardo lo Bello Silveira</t>
  </si>
  <si>
    <t>Dinheiro pego pelo Fernando</t>
  </si>
  <si>
    <t>Michel Proprietário</t>
  </si>
  <si>
    <t>Dummy 2 - Reserva feita para o fds no lugar do Juarez, de sexta a domingo. Pago em dinheiro, está no caixinha</t>
  </si>
  <si>
    <t>Dinheiro pego pelo Kremer e usado como caixinha pra pagar consertos VDI208</t>
  </si>
  <si>
    <t>Vanessa Bentack</t>
  </si>
  <si>
    <t>Glaucio Cesar Costa</t>
  </si>
  <si>
    <t>Amanda da Silva Costa</t>
  </si>
  <si>
    <t>Enrico Cesar Costa</t>
  </si>
  <si>
    <t xml:space="preserve">Matteo Cesar Costa </t>
  </si>
  <si>
    <t>glaucio.cesar@gmail.com</t>
  </si>
  <si>
    <t>Iury Patrik</t>
  </si>
  <si>
    <t>Está no 4406</t>
  </si>
  <si>
    <t>31 9 8598 8947</t>
  </si>
  <si>
    <t>Heloisa Telles</t>
  </si>
  <si>
    <t>Michele Alencar</t>
  </si>
  <si>
    <t>Heinrich Meister</t>
  </si>
  <si>
    <t>Laís Maurer</t>
  </si>
  <si>
    <t>Mariana Azevedo</t>
  </si>
  <si>
    <t>Matheus Gue</t>
  </si>
  <si>
    <t>heinrich.meister@outlook.com</t>
  </si>
  <si>
    <t>954 541-6381</t>
  </si>
  <si>
    <t>C1NXT85H3</t>
  </si>
  <si>
    <t>Raphael Rosa de souza</t>
  </si>
  <si>
    <t>Danilo Macedo</t>
  </si>
  <si>
    <t>Candice ronchi</t>
  </si>
  <si>
    <t>49 9 9914 2120</t>
  </si>
  <si>
    <t>Missena Macedo</t>
  </si>
  <si>
    <t>Victor Macedo</t>
  </si>
  <si>
    <t>danbmacedo@gmail.com</t>
  </si>
  <si>
    <t>11 9 8484 7711</t>
  </si>
  <si>
    <t>Alencar Silvestre</t>
  </si>
  <si>
    <t>EM DINHEIRO PARA FERNANDO</t>
  </si>
  <si>
    <t>ams@ultramar.com.br</t>
  </si>
  <si>
    <t>48 9 9823 1111</t>
  </si>
  <si>
    <t>549.827.239-15</t>
  </si>
  <si>
    <t>Osvaldo Cerino</t>
  </si>
  <si>
    <t>Stella Maris Trossero</t>
  </si>
  <si>
    <t>ojcerino@gmail.com</t>
  </si>
  <si>
    <t>+54 9 11 15 2388 1577</t>
  </si>
  <si>
    <t>Saul Trejo</t>
  </si>
  <si>
    <t>507 6 615 0662</t>
  </si>
  <si>
    <t>Almir Marcos Cocchetto</t>
  </si>
  <si>
    <t>Hilmara Cardoso Campos Ribeiro</t>
  </si>
  <si>
    <t>Franco Scárdua</t>
  </si>
  <si>
    <t>Nadja Cardoso Campos Ribeiro</t>
  </si>
  <si>
    <t>Renata Rodrigues Ribeiro</t>
  </si>
  <si>
    <t>hilmara_ribeiro@hotmail.com</t>
  </si>
  <si>
    <t>61 9 8383 8396</t>
  </si>
  <si>
    <t>Penha Broseghini Cocchetto</t>
  </si>
  <si>
    <t>francoscardua@gmail.com</t>
  </si>
  <si>
    <t>27 99981 1660</t>
  </si>
  <si>
    <t xml:space="preserve"> 103.422.327-54</t>
  </si>
  <si>
    <t>Katia Casagrande</t>
  </si>
  <si>
    <t>Maya Casagrande</t>
  </si>
  <si>
    <t>Pietra Casagrande</t>
  </si>
  <si>
    <t>Marcus Casagrande</t>
  </si>
  <si>
    <t>k-joias@hotmail.com</t>
  </si>
  <si>
    <t>+554891196061</t>
  </si>
  <si>
    <t>Marcelo Altmayer</t>
  </si>
  <si>
    <t>marceloaltmayer@gmail.com</t>
  </si>
  <si>
    <t>54 9 9114 0531</t>
  </si>
  <si>
    <t>Maria Elena Moro</t>
  </si>
  <si>
    <t>Rosendo García</t>
  </si>
  <si>
    <t>Tomás García</t>
  </si>
  <si>
    <t>Juan Ignacio García</t>
  </si>
  <si>
    <t>elemoro@hotmail.com</t>
  </si>
  <si>
    <t>098522063</t>
  </si>
  <si>
    <t>Roni Freitas</t>
  </si>
  <si>
    <t>PAGAMENTO EM DINHEIRO, KREMER BUSCOU</t>
  </si>
  <si>
    <t>roniifreitas@outlook.com</t>
  </si>
  <si>
    <t>48 9 9155 3111</t>
  </si>
  <si>
    <t>Camila Eyng Webber Bongiolo</t>
  </si>
  <si>
    <t>Marcelo Vitto Bongiolo</t>
  </si>
  <si>
    <t>João Gabriel (6 anos)</t>
  </si>
  <si>
    <t>Luiza (4 anos)</t>
  </si>
  <si>
    <t>camilaeyng@hotmail.com</t>
  </si>
  <si>
    <t>48 9 9938 1929</t>
  </si>
  <si>
    <t>Bárbara Mazocante Majadas</t>
  </si>
  <si>
    <t>Sarah Patrícia Araújo Cardoso</t>
  </si>
  <si>
    <t>Bruna Cabral</t>
  </si>
  <si>
    <t>Denise Tavares</t>
  </si>
  <si>
    <t>babimajadas@gmail.com</t>
  </si>
  <si>
    <t>62 9 8176 0148</t>
  </si>
  <si>
    <t>026.679.971-07</t>
  </si>
  <si>
    <t>Lissandro Will Silva Souza</t>
  </si>
  <si>
    <t>Sheila Katia Barbosa Gomes</t>
  </si>
  <si>
    <t>Enzo gabriel barbosa gomes Souza</t>
  </si>
  <si>
    <t>lissandro.souza@gmail.com</t>
  </si>
  <si>
    <t>71 99170 0512</t>
  </si>
  <si>
    <t>Carla Schultze</t>
  </si>
  <si>
    <t>11 9 5570 3108</t>
  </si>
  <si>
    <t>Ernanes Melo</t>
  </si>
  <si>
    <t>ernanesmelo@hotmail.com</t>
  </si>
  <si>
    <t>64 9 9627 0035</t>
  </si>
  <si>
    <t>841.665.761-00</t>
  </si>
  <si>
    <t>Gustavo Kremer</t>
  </si>
  <si>
    <t>Rodrigo de Bastos</t>
  </si>
  <si>
    <t>rd.bastosit@gmail.com</t>
  </si>
  <si>
    <t>11 9 9791 1826</t>
  </si>
  <si>
    <t>Carlos Volk</t>
  </si>
  <si>
    <t>Maria da Glória de Sousa</t>
  </si>
  <si>
    <t>Valor cobrado em boleto da Paula</t>
  </si>
  <si>
    <t xml:space="preserve"> Elisiane Cristina dos Santos Moreira</t>
  </si>
  <si>
    <t xml:space="preserve">Carlos Alberto Moreira Júnior </t>
  </si>
  <si>
    <t>elisiane.s.moreira@gmail.com</t>
  </si>
  <si>
    <t>41 9 8843 9814</t>
  </si>
  <si>
    <t>Heitor Dalla Rosa</t>
  </si>
  <si>
    <t>Isabela Guedes</t>
  </si>
  <si>
    <t>heitorf@hotmail.com</t>
  </si>
  <si>
    <t>41 9 9995 5792</t>
  </si>
  <si>
    <t>029.657.709-09</t>
  </si>
  <si>
    <t>Bianca Eline Cautero Kitto</t>
  </si>
  <si>
    <t>Rafael Jacob</t>
  </si>
  <si>
    <t>Enzo Cautero Kitto Jacob</t>
  </si>
  <si>
    <t>biancaeline@hotmail.com</t>
  </si>
  <si>
    <t>47 98496 3203</t>
  </si>
  <si>
    <t>288.173.668-89</t>
  </si>
  <si>
    <t>Sayonara Maia</t>
  </si>
  <si>
    <t>João Halley de H Cavalcânti Gomes</t>
  </si>
  <si>
    <t>Arthur Maia Pessoa</t>
  </si>
  <si>
    <t>83 9 9607 0573</t>
  </si>
  <si>
    <t>Raul Kopf</t>
  </si>
  <si>
    <t>11 9 4963 4444</t>
  </si>
  <si>
    <t>Caroline Sagioro</t>
  </si>
  <si>
    <t>11 9 9717 5620</t>
  </si>
  <si>
    <t>Breno Bragato Scardua</t>
  </si>
  <si>
    <t xml:space="preserve">Blenda Tembra Scardua </t>
  </si>
  <si>
    <t>Mariana Tembra Scardua (8 anos)</t>
  </si>
  <si>
    <t>Lucas Tembra Scardua ( 2 anos)</t>
  </si>
  <si>
    <t>brenobragato@yahoo.com.br</t>
  </si>
  <si>
    <t>45 9 8431 7898</t>
  </si>
  <si>
    <t>074.120.037-63</t>
  </si>
  <si>
    <t>Aline Parente</t>
  </si>
  <si>
    <t>João Pedro Menezes</t>
  </si>
  <si>
    <t>jpsmenezes@yahoo.com.br</t>
  </si>
  <si>
    <t>41 9 9117 4800</t>
  </si>
  <si>
    <t>Observações:
https://www.airbnb.com.br/rooms/29610145</t>
  </si>
  <si>
    <t>Joseph Elie Chouveke</t>
  </si>
  <si>
    <t>Miriam Chouveke</t>
  </si>
  <si>
    <t>11 9 9980 6022</t>
  </si>
  <si>
    <t>josephchouveke@gmail.com</t>
  </si>
  <si>
    <t>Ricardo Colombo</t>
  </si>
  <si>
    <t>PAGARA EM DOLAR NO MOMENTO DO CHECK-IN</t>
  </si>
  <si>
    <t>ricardocolombo@live.com.ar</t>
  </si>
  <si>
    <t>54 9 11 44779239</t>
  </si>
  <si>
    <t>DNI 4.547.732</t>
  </si>
  <si>
    <t>Pedro Paulo Junqueira Figueiredo Pogetti</t>
  </si>
  <si>
    <t>Victoria Romanini Brambilla</t>
  </si>
  <si>
    <t>pedropaulojfp@outlook.com</t>
  </si>
  <si>
    <t>18 9 9118 1212</t>
  </si>
  <si>
    <t>Edras Duraes Anunciação</t>
  </si>
  <si>
    <t>11 9 8403 6649</t>
  </si>
  <si>
    <t>Dimitris Spertos</t>
  </si>
  <si>
    <t>David Seoane</t>
  </si>
  <si>
    <t xml:space="preserve">Fábio Arrotheia </t>
  </si>
  <si>
    <t>Elizandra Regina Buzzi Arrotheia</t>
  </si>
  <si>
    <t>Júlia Buzzi Arrotheia</t>
  </si>
  <si>
    <t>Mateus Buzzi Arrotheia</t>
  </si>
  <si>
    <t>fabio@uniformesmilcores.com.br</t>
  </si>
  <si>
    <t>66 9 9996 1630</t>
  </si>
  <si>
    <t>Carla Dezideiro</t>
  </si>
  <si>
    <t>Antonio Siqueira</t>
  </si>
  <si>
    <t>carladezideiro@yahoo.com.br</t>
  </si>
  <si>
    <t>47 9 8828 2738</t>
  </si>
  <si>
    <t>Cleverson Ronaldo Leonel</t>
  </si>
  <si>
    <t>Lilian Maria Livero Leonel</t>
  </si>
  <si>
    <t>Alice Livero Leonel</t>
  </si>
  <si>
    <t xml:space="preserve">crleonel@hotmail </t>
  </si>
  <si>
    <t>024.189.709-22</t>
  </si>
  <si>
    <t>Tiago Rost</t>
  </si>
  <si>
    <t>Jane Macedo</t>
  </si>
  <si>
    <t>27 99996 0727</t>
  </si>
  <si>
    <t>Flavia Cagnin</t>
  </si>
  <si>
    <t>flávia.cagnin@yahoo.com</t>
  </si>
  <si>
    <t>47 9 9790 1470</t>
  </si>
  <si>
    <t xml:space="preserve"> 076.142.169-62</t>
  </si>
  <si>
    <t>Jorge Almeida da Motta</t>
  </si>
  <si>
    <t>228.593.900-06</t>
  </si>
  <si>
    <t>Depósito feito na conta Fernando</t>
  </si>
  <si>
    <t>jeffersonma.p@hotmail.com</t>
  </si>
  <si>
    <t>332 630 938 43</t>
  </si>
  <si>
    <t>Joao Pedro Oliveira</t>
  </si>
  <si>
    <t xml:space="preserve">51 98182 6668 </t>
  </si>
  <si>
    <t>Itacir Xavier Leite</t>
  </si>
  <si>
    <t xml:space="preserve"> 41 99987 0206</t>
  </si>
  <si>
    <t>Julieta Bongiovanni</t>
  </si>
  <si>
    <t>Ivan Reichart</t>
  </si>
  <si>
    <t>bongiovannijulieta@gmail.com</t>
  </si>
  <si>
    <t>54 911 3195 8444</t>
  </si>
  <si>
    <t>Observações:
https://www.airbnb.com.br/rooms/31082966
Paula da Costa Ávila</t>
  </si>
  <si>
    <t>Ricardo Steidel</t>
  </si>
  <si>
    <t>41 9 9822 9968</t>
  </si>
  <si>
    <t>Vera Natalia Ricápito</t>
  </si>
  <si>
    <t>Lucas Machado</t>
  </si>
  <si>
    <t>Heitor Matheus da Silveira Pfitscher</t>
  </si>
  <si>
    <t>22 99989 4575</t>
  </si>
  <si>
    <t>Helena Raquel Volpi</t>
  </si>
  <si>
    <t>Ana Pincegher</t>
  </si>
  <si>
    <t>helenarvolpi@gmail.com</t>
  </si>
  <si>
    <t>47 9 9999 6631</t>
  </si>
  <si>
    <t>041.087.069-27</t>
  </si>
  <si>
    <t>Gustavo Corrêa</t>
  </si>
  <si>
    <t>Rosângela Bragato Scardua</t>
  </si>
  <si>
    <t>Maria Elizabete Monteiro de Souza</t>
  </si>
  <si>
    <t>Anne Patricia Goes</t>
  </si>
  <si>
    <t>41 9 9931 5980</t>
  </si>
  <si>
    <t>Naomi Chouveke</t>
  </si>
  <si>
    <t>Yael Chouveke</t>
  </si>
  <si>
    <t>Israel Chouveke</t>
  </si>
  <si>
    <t>David Chouveke</t>
  </si>
  <si>
    <t xml:space="preserve">Raphael Rosa de Souza </t>
  </si>
  <si>
    <t xml:space="preserve">Mathias guidalli de Souza </t>
  </si>
  <si>
    <t xml:space="preserve">Yuri guidalli de Souza </t>
  </si>
  <si>
    <t>Renata Guevara Duarte</t>
  </si>
  <si>
    <t>Era no quarto 1112, fechado por Airbnb</t>
  </si>
  <si>
    <t>Flavia Godoy</t>
  </si>
  <si>
    <t>Paola stephany César e Silva</t>
  </si>
  <si>
    <t>Juliana cabrera de cristofaro</t>
  </si>
  <si>
    <t>18 9 9750 7449</t>
  </si>
  <si>
    <t>Renata Lins</t>
  </si>
  <si>
    <t>81 99526 6460</t>
  </si>
  <si>
    <t>Marcia Castelaci</t>
  </si>
  <si>
    <t>Davison Oliveira</t>
  </si>
  <si>
    <t>marciacastelaci66@gmail.com</t>
  </si>
  <si>
    <t>54 9 9640 9166</t>
  </si>
  <si>
    <t>018.913.660-09</t>
  </si>
  <si>
    <t>Leandro Ferreira dos Santos</t>
  </si>
  <si>
    <t>Danivia Silva Paiva dos santos</t>
  </si>
  <si>
    <t>Felipe Paiva dos santos</t>
  </si>
  <si>
    <t>Lara Paiva dos santos</t>
  </si>
  <si>
    <t>leandrinhofsantos@hotmail.com</t>
  </si>
  <si>
    <t>11 9 8586 9205</t>
  </si>
  <si>
    <t>Eddy Prieto</t>
  </si>
  <si>
    <t>Reserva do conjugado (3413&amp;3415)</t>
  </si>
  <si>
    <t>1 (786) 556-6710</t>
  </si>
  <si>
    <t>Junior Cabral</t>
  </si>
  <si>
    <t>48 9 9118 0469</t>
  </si>
  <si>
    <t>Rafael Gallassini</t>
  </si>
  <si>
    <t>PAGAMENTO SERÁ FEITO EM DINHEIRO PARA FERNANDO</t>
  </si>
  <si>
    <t>Matheus Zanella</t>
  </si>
  <si>
    <t>32 499 50 35 13</t>
  </si>
  <si>
    <t>Franco Bragato Scardua</t>
  </si>
  <si>
    <t>Vanessa Broseghini Cocchetto</t>
  </si>
  <si>
    <t>Acompanhantes 2</t>
  </si>
  <si>
    <t>103.422.327-54</t>
  </si>
  <si>
    <t>Roberto Carlos de Bastos</t>
  </si>
  <si>
    <t>Cristiane Borges de Carvalho</t>
  </si>
  <si>
    <t>Larissa Carvalho de Bastos</t>
  </si>
  <si>
    <t>roberto.cbastos@uol.com.br</t>
  </si>
  <si>
    <t>11 9 8076 0302</t>
  </si>
  <si>
    <t>270.139.358-24</t>
  </si>
  <si>
    <t>Observações:
https://www.airbnb.com.br/rooms/31081903
Dummy: Eduardo Schmidt</t>
  </si>
  <si>
    <t>Observações:
https://www.airbnb.com.br/rooms/17979777</t>
  </si>
  <si>
    <t>Ivan Kovacic</t>
  </si>
  <si>
    <t>Já depositado na conta do Queiroz, não houve comissão</t>
  </si>
  <si>
    <t>Luciano Saporitti</t>
  </si>
  <si>
    <t>Alessandre Gomes</t>
  </si>
  <si>
    <t>68 9 9205 2595</t>
  </si>
  <si>
    <t>Silvina Laura Charlin</t>
  </si>
  <si>
    <t>Juan Carlos Costanzo</t>
  </si>
  <si>
    <t>silvichar1@hotmail.com</t>
  </si>
  <si>
    <t>54 11 3429 8737</t>
  </si>
  <si>
    <t>DNI 25181684</t>
  </si>
  <si>
    <t>Nédio Rodrigo</t>
  </si>
  <si>
    <t>Almir Francisco Doré Junior</t>
  </si>
  <si>
    <t>Dummy Matheus Ambrosi</t>
  </si>
  <si>
    <t xml:space="preserve"> Tathiane Geraldino Doré</t>
  </si>
  <si>
    <t xml:space="preserve">Júlia Geraldino Doré </t>
  </si>
  <si>
    <t>Estevão Verli de Souza</t>
  </si>
  <si>
    <t>Lívia Herdy Rodrigues Verli</t>
  </si>
  <si>
    <t>27 9 9687 8647</t>
  </si>
  <si>
    <t>Sol Denessini</t>
  </si>
  <si>
    <t>Agnaldo Parreiras</t>
  </si>
  <si>
    <t>Maria do Carmo de Oliveira Parreiras</t>
  </si>
  <si>
    <t>condeparreiras@gmail.com</t>
  </si>
  <si>
    <t>31 9 9886 1717</t>
  </si>
  <si>
    <t>Alexandre Ramalho</t>
  </si>
  <si>
    <t>Cancelamento do hóspede - 17 a 19/05</t>
  </si>
  <si>
    <t xml:space="preserve">Alexandre Santos Pagliusi </t>
  </si>
  <si>
    <t>Ana Paula Narcizo Pagliusi</t>
  </si>
  <si>
    <t>alexpagliusi@terra.com.br</t>
  </si>
  <si>
    <t>11 94757 2129</t>
  </si>
  <si>
    <t>Marcelo Janene</t>
  </si>
  <si>
    <t>41 9 9113 2013</t>
  </si>
  <si>
    <t>Diego dos Santos de Sousa</t>
  </si>
  <si>
    <t>Vanessa de Lima Ferreira Sousa</t>
  </si>
  <si>
    <t>Isabela de Lima Ferreira Sousa (5 meses)</t>
  </si>
  <si>
    <t>sou_d@hotmail.com</t>
  </si>
  <si>
    <t>11 9 9642 3863</t>
  </si>
  <si>
    <t>320.601.328-35</t>
  </si>
  <si>
    <t>Marina Cardoso</t>
  </si>
  <si>
    <t>51 9 9997 9855</t>
  </si>
  <si>
    <t>Juliana Wolff</t>
  </si>
  <si>
    <t>RESERVA 1213</t>
  </si>
  <si>
    <t>Carlos Oliveira</t>
  </si>
  <si>
    <t>jwolff@globo.com</t>
  </si>
  <si>
    <t>21 9 7125 4397</t>
  </si>
  <si>
    <t>137053827-80</t>
  </si>
  <si>
    <t>Maria Caroline</t>
  </si>
  <si>
    <t>65 99638 8525</t>
  </si>
  <si>
    <t>Matheus Henrique Araujo fernandes</t>
  </si>
  <si>
    <t xml:space="preserve">Diogo Muniz da Rocha </t>
  </si>
  <si>
    <t>matheus_l.s@hotmail.com</t>
  </si>
  <si>
    <t>21 9 7916 8908</t>
  </si>
  <si>
    <t>160.246.247-56</t>
  </si>
  <si>
    <t>Philip Anastassiadis</t>
  </si>
  <si>
    <t>Fabricio Griesbach</t>
  </si>
  <si>
    <t>47 9 8498 6620</t>
  </si>
  <si>
    <t>Thiago Tannús</t>
  </si>
  <si>
    <t>Bruna de oliveira tannus</t>
  </si>
  <si>
    <t>Rodrigo Barbosa de Souza</t>
  </si>
  <si>
    <t>Andressa cruvinel leao</t>
  </si>
  <si>
    <t>thiagotannus@yahoo.com.br</t>
  </si>
  <si>
    <t>34 9 9226 6838</t>
  </si>
  <si>
    <t xml:space="preserve">Roseany Carvalho de Assunção </t>
  </si>
  <si>
    <t>Marcos Carvalho Miranda de Assunção</t>
  </si>
  <si>
    <t>Isabella Carvalho Sousa de Assunção</t>
  </si>
  <si>
    <t>roseany_uau@hotmail.com</t>
  </si>
  <si>
    <t xml:space="preserve">95 99142-6230 </t>
  </si>
  <si>
    <t>897.154.462-72</t>
  </si>
  <si>
    <t>Marcio Coelho Rocha Filho</t>
  </si>
  <si>
    <t>Julia Sousa Gonçalves de Araújo</t>
  </si>
  <si>
    <t>marcito77@hotmail.com</t>
  </si>
  <si>
    <t>11 99813 2936</t>
  </si>
  <si>
    <t>335.885.788-38</t>
  </si>
  <si>
    <t>Observações:
https://www.airbnb.com.br/rooms/30370268</t>
  </si>
  <si>
    <t xml:space="preserve"> Eduardo Naufal Neto</t>
  </si>
  <si>
    <t>Cláudia</t>
  </si>
  <si>
    <t>José (bebê)</t>
  </si>
  <si>
    <t>dunaufal@hotmail.com</t>
  </si>
  <si>
    <t>18 9 9601 5259</t>
  </si>
  <si>
    <t>Andréa Siminioni</t>
  </si>
  <si>
    <t>Silvina Charlin</t>
  </si>
  <si>
    <t>Juan Manuel Constanzo</t>
  </si>
  <si>
    <t>Santiago Lucas Costanzo</t>
  </si>
  <si>
    <t>+54 113429 8737</t>
  </si>
  <si>
    <t>Beach Village</t>
  </si>
  <si>
    <t>Observações:
https://www.airbnb.com.br/rooms/10001582</t>
  </si>
  <si>
    <t>Ana Paula Santos</t>
  </si>
  <si>
    <t>Afonso licks</t>
  </si>
  <si>
    <t>Neusa B. Mirapalheta</t>
  </si>
  <si>
    <t>Ana Carolina Pahissa</t>
  </si>
  <si>
    <t>Valor com 30% de desconto airbnb</t>
  </si>
  <si>
    <t>Lucila Natalia Paradeda</t>
  </si>
  <si>
    <t>Organizar duas camas de solteiro, por favor.</t>
  </si>
  <si>
    <t>Evellyn Godoy Martins</t>
  </si>
  <si>
    <t>Aparecida Inês Palma Martins</t>
  </si>
  <si>
    <t>Maria de Fátima Godoy da  Silva</t>
  </si>
  <si>
    <t>Emilly Godoy Martins + 1 bebê de 1 ano</t>
  </si>
  <si>
    <t>elton.evellyn@gmail.com</t>
  </si>
  <si>
    <t>19 9 8800 5293</t>
  </si>
  <si>
    <t>Leonardo Santana</t>
  </si>
  <si>
    <t>Obs. Reserva feita em nome de Adriano Grandi.</t>
  </si>
  <si>
    <t>Alyne lima</t>
  </si>
  <si>
    <t>Ana Inés Córdoba Grasso</t>
  </si>
  <si>
    <t>Ruben Rossi</t>
  </si>
  <si>
    <t>Valentín Rossi</t>
  </si>
  <si>
    <t>Lucía Rossi + Pilar Rossi (Bebê 1 ANO)</t>
  </si>
  <si>
    <t>aicordobagrasso@gmail.com</t>
  </si>
  <si>
    <t>+598 99 551 991</t>
  </si>
  <si>
    <t>3.016.915-7</t>
  </si>
  <si>
    <t>Marina Braz</t>
  </si>
  <si>
    <t>Rafael Adum De Campos</t>
  </si>
  <si>
    <t>Isabel Ripoll Adum De Campos</t>
  </si>
  <si>
    <t>Manuela Braz Adum De Campos</t>
  </si>
  <si>
    <t>marinapbraz@gmail.com</t>
  </si>
  <si>
    <t>21 96607 7459</t>
  </si>
  <si>
    <t>Maria Victoria Pressler</t>
  </si>
  <si>
    <t>Nicolas Strianese</t>
  </si>
  <si>
    <t>Cristobal Lopez Pressler (10y)</t>
  </si>
  <si>
    <t>Amalia Lopez Pressler (7y) e Leon Strianese (2y)</t>
  </si>
  <si>
    <t>Michael Fonseca</t>
  </si>
  <si>
    <t>Carolina Flores Silvano</t>
  </si>
  <si>
    <t>12 98211 7995</t>
  </si>
  <si>
    <t>William Verbena</t>
  </si>
  <si>
    <t>williamverbena@hotmail.com</t>
  </si>
  <si>
    <t>14 9 8147 5620</t>
  </si>
  <si>
    <t>Carlos Alexandre Volk</t>
  </si>
  <si>
    <t>Renato Meirelles Ruas</t>
  </si>
  <si>
    <t>Aline Mattos Riani</t>
  </si>
  <si>
    <t>Márcio Vinícius Ferreira Mendes</t>
  </si>
  <si>
    <t>Lívia Maria Mendes Riani</t>
  </si>
  <si>
    <t>aline_riani@yahoo.com.br</t>
  </si>
  <si>
    <t>32 98803 4992</t>
  </si>
  <si>
    <t>059.532.326-08</t>
  </si>
  <si>
    <t>João Henrique Loffi Schmitt</t>
  </si>
  <si>
    <t>48 99914 1327</t>
  </si>
  <si>
    <t>Renato</t>
  </si>
  <si>
    <t>Felipe Carvalho Reis Cordeiro</t>
  </si>
  <si>
    <t>79 9 9995 5180</t>
  </si>
  <si>
    <t>Ivan Carmo</t>
  </si>
  <si>
    <t>41 9 9264 4674</t>
  </si>
  <si>
    <t>William Stormowski</t>
  </si>
  <si>
    <t>Larissa Adami</t>
  </si>
  <si>
    <t>Larissa reservou o quarto 2307 mas Fernando pediu para que a colocassemos no quarto 4410</t>
  </si>
  <si>
    <t>19 9 9711 3540</t>
  </si>
  <si>
    <t>Gonzalo Pereyra Moine</t>
  </si>
  <si>
    <t>Flavia Olinger</t>
  </si>
  <si>
    <t>gonzalo.pereyramoine@gmail.com</t>
  </si>
  <si>
    <t>54 11 5151 9404</t>
  </si>
  <si>
    <t>DU 22.201.096</t>
  </si>
  <si>
    <t>Alessandro Marcon</t>
  </si>
  <si>
    <t>Diogo Sabino Silva</t>
  </si>
  <si>
    <t>Tayana Fleury Orlandini</t>
  </si>
  <si>
    <t>di.sa.bino@hotmail.com</t>
  </si>
  <si>
    <t>43 9 9123 8644</t>
  </si>
  <si>
    <t>061.417.889-47</t>
  </si>
  <si>
    <t>Isadora</t>
  </si>
  <si>
    <t>Adriana Gomes</t>
  </si>
  <si>
    <t>Mireille Bezerra</t>
  </si>
  <si>
    <t>Damares Ehlert</t>
  </si>
  <si>
    <t>Trina Ruthes Coelho</t>
  </si>
  <si>
    <t>Adair Fernandes</t>
  </si>
  <si>
    <t>Leonardo Sanches Ferreira</t>
  </si>
  <si>
    <t>Leandro Lopes</t>
  </si>
  <si>
    <t>Leandro Gonçalves</t>
  </si>
  <si>
    <t>Vinny Meller</t>
  </si>
  <si>
    <t>Rafaela Muller</t>
  </si>
  <si>
    <t>Janaína Lins</t>
  </si>
  <si>
    <t>Rodrigo Machado</t>
  </si>
  <si>
    <t>41 98873 9748</t>
  </si>
  <si>
    <t>Maria Fernanda Leonardi</t>
  </si>
  <si>
    <t>Pablo Seffrin</t>
  </si>
  <si>
    <t>Rafael Trevizan</t>
  </si>
  <si>
    <t>Flávio Marsico</t>
  </si>
  <si>
    <t>Bruno Ferreira Andrade</t>
  </si>
  <si>
    <t>Fabiana De Conto Goettems</t>
  </si>
  <si>
    <t>Renato De Quadros Coelho</t>
  </si>
  <si>
    <t>Carla Loureiro</t>
  </si>
  <si>
    <t>Bruno Rocha</t>
  </si>
  <si>
    <t>Fulvio Perin</t>
  </si>
  <si>
    <t>Rubia Dos Santos Ronzoni</t>
  </si>
  <si>
    <t>Barbara Belchior</t>
  </si>
  <si>
    <t xml:space="preserve">Sandro Mitsuharu Kajiyama </t>
  </si>
  <si>
    <t>VIA FABIO ARROTHEIA</t>
  </si>
  <si>
    <t xml:space="preserve">Clenir Guterres Kajiyama </t>
  </si>
  <si>
    <t xml:space="preserve">Pedro Guterres Kajiyama </t>
  </si>
  <si>
    <t>Vicente Guterres Kajiyama</t>
  </si>
  <si>
    <t>66 9 9903 5893</t>
  </si>
  <si>
    <t>Carlos Assini</t>
  </si>
  <si>
    <t>Wilian Rk</t>
  </si>
  <si>
    <t>Michelle Sayuri Herrera</t>
  </si>
  <si>
    <t>Betinho Silvano</t>
  </si>
  <si>
    <t>Manutencao</t>
  </si>
  <si>
    <t>Rodrigo Soares Da Silva</t>
  </si>
  <si>
    <t>Kelly P Alves</t>
  </si>
  <si>
    <t>Ana Sgarbossa</t>
  </si>
  <si>
    <t>Ilana Salvestrin</t>
  </si>
  <si>
    <t>Jaqueline Nava Cittadin Simone</t>
  </si>
  <si>
    <t>Marcelo Izaguirre</t>
  </si>
  <si>
    <t>Carlos S Ramos Queiroz</t>
  </si>
  <si>
    <t>Acompanhante 4</t>
  </si>
  <si>
    <t>Rodrigo Lucente</t>
  </si>
  <si>
    <t>rodrigo.lucente@hotmail.com</t>
  </si>
  <si>
    <t>16 9 9799 0888</t>
  </si>
  <si>
    <t>Milton Schmaedecke</t>
  </si>
  <si>
    <t>Ramezie Mohamed</t>
  </si>
  <si>
    <t>Alfredo Schmaedecke</t>
  </si>
  <si>
    <t>alfredo.sch@gmail.com</t>
  </si>
  <si>
    <t>67 99617 0708</t>
  </si>
  <si>
    <t>Carlos Jaques</t>
  </si>
  <si>
    <t>Esperando hotel adicionar hóspedes para enviar por email</t>
  </si>
  <si>
    <t>Osvaldo Junior</t>
  </si>
  <si>
    <t>Michele Borges</t>
  </si>
  <si>
    <t>Jairo Borges</t>
  </si>
  <si>
    <t>Rosemari Borges</t>
  </si>
  <si>
    <t>Isadora Borges Brauner</t>
  </si>
  <si>
    <t>Martina Borges Brauner</t>
  </si>
  <si>
    <t>eliezer.brauner@polofilms.com.br</t>
  </si>
  <si>
    <t>+555199670853</t>
  </si>
  <si>
    <t>Ricardo Hoffmann</t>
  </si>
  <si>
    <t>Ger Covelli</t>
  </si>
  <si>
    <t>Leticia Albert Schafer</t>
  </si>
  <si>
    <t>Acompanhante1</t>
  </si>
  <si>
    <t>Amauri Affonso</t>
  </si>
  <si>
    <t>Metado do valor pego em dinheiro</t>
  </si>
  <si>
    <t>Leticia Demarchi</t>
  </si>
  <si>
    <t>amauri@affonsoimoveis.com.br</t>
  </si>
  <si>
    <t>+555184239777</t>
  </si>
  <si>
    <t>Patricia Mallo</t>
  </si>
  <si>
    <t>Maximiano Cendali</t>
  </si>
  <si>
    <t>Laura Zalazar</t>
  </si>
  <si>
    <t>Pablo Cendali</t>
  </si>
  <si>
    <t>Mia Cendali</t>
  </si>
  <si>
    <t>laumaxi06@hotmail.com</t>
  </si>
  <si>
    <t>+54 1165806995</t>
  </si>
  <si>
    <r>
      <t xml:space="preserve">Observações:
https://www.airbnb.com.br/rooms/30815291
</t>
    </r>
    <r>
      <rPr>
        <color rgb="FFFF0000"/>
      </rPr>
      <t>Divisão de conjugado: 65,36%</t>
    </r>
  </si>
  <si>
    <t>Amadeo Rodrigues da Silva</t>
  </si>
  <si>
    <t>Roberto Villa Verde Fahrion</t>
  </si>
  <si>
    <t>reserva feita junto com a estadia em 01/03 no apto 464</t>
  </si>
  <si>
    <t>catierling@gmail.com</t>
  </si>
  <si>
    <t>+555195402375</t>
  </si>
  <si>
    <t>Luiz Marchetti Filho</t>
  </si>
  <si>
    <t>Reserva feita pela Vera</t>
  </si>
  <si>
    <t>Adriana Marchetti</t>
  </si>
  <si>
    <t>Joselaine Bierende</t>
  </si>
  <si>
    <t>Zubin Chandra</t>
  </si>
  <si>
    <t>Joseph Taylor Alvaro</t>
  </si>
  <si>
    <t>zubinchandra@gmail.com</t>
  </si>
  <si>
    <t>+17342766825</t>
  </si>
  <si>
    <t>Gabriela Guedes</t>
  </si>
  <si>
    <t>Felipe José Martins Hoffmann</t>
  </si>
  <si>
    <t>Valquiria de Camargo Hoffmann</t>
  </si>
  <si>
    <t>Samuel Felipe Hoffmann (5 anos)</t>
  </si>
  <si>
    <t>felipejhoffmann@gmail.com</t>
  </si>
  <si>
    <t>(41) 987272832</t>
  </si>
  <si>
    <t>Alessandra Andrade</t>
  </si>
  <si>
    <t>Ademir Ribeiro de Andrade</t>
  </si>
  <si>
    <t>Andressa lima da costa Andrade</t>
  </si>
  <si>
    <t>Mariana Andrade</t>
  </si>
  <si>
    <t>Vinicius Arruda</t>
  </si>
  <si>
    <t>kidelemar@hotmail.com</t>
  </si>
  <si>
    <t>+5519988039720</t>
  </si>
  <si>
    <t>Odair Gomes da Silva</t>
  </si>
  <si>
    <t>48 99085308</t>
  </si>
  <si>
    <t>55 9 8127 8837</t>
  </si>
  <si>
    <t>Victor Canezin de Oliveira</t>
  </si>
  <si>
    <t>47 99936 5282</t>
  </si>
  <si>
    <t>Vilson Wentz</t>
  </si>
  <si>
    <t>vilson-admpi94xbygjf639@guest.airbnb.com</t>
  </si>
  <si>
    <t>+1 (419) 206-9496</t>
  </si>
  <si>
    <t>49 99919 9551</t>
  </si>
  <si>
    <t>Victor Leite</t>
  </si>
  <si>
    <t>+55 11 97283 4400</t>
  </si>
  <si>
    <t>Edsmar Resende</t>
  </si>
  <si>
    <t>Jorge Pereira de Oliveira</t>
  </si>
  <si>
    <t>Eduardo de Campos Mello</t>
  </si>
  <si>
    <t>Loiselene de Campos Mello</t>
  </si>
  <si>
    <t>eduardo.adm85@hotmail.com</t>
  </si>
  <si>
    <t>48 99104 5757</t>
  </si>
  <si>
    <t>246063248-72</t>
  </si>
  <si>
    <t>edsmar-3jdxg1er8ehk3hst@guest.airbnb.com</t>
  </si>
  <si>
    <t>Martin Ascheri</t>
  </si>
  <si>
    <t xml:space="preserve">Silmara Popazoglo </t>
  </si>
  <si>
    <t xml:space="preserve">Paola Marenco </t>
  </si>
  <si>
    <t>Francisco Ascheri</t>
  </si>
  <si>
    <t>Juana Ascheri</t>
  </si>
  <si>
    <t>mascheri27@gmail.com</t>
  </si>
  <si>
    <t xml:space="preserve"> </t>
  </si>
  <si>
    <t>3084721/0</t>
  </si>
  <si>
    <t>Alan Daniel Moreira</t>
  </si>
  <si>
    <t>Letícia Popazoglo Moreira</t>
  </si>
  <si>
    <t xml:space="preserve">Daniel Popazoglo Moreira </t>
  </si>
  <si>
    <t>silmarapopazoglo@hotmail.com</t>
  </si>
  <si>
    <t>11 99192947</t>
  </si>
  <si>
    <t>Fernanda Kathyere</t>
  </si>
  <si>
    <t>Fábio Rodigheri</t>
  </si>
  <si>
    <t>UNICO DEPOSITO DE 1000</t>
  </si>
  <si>
    <t>Guilherme Rahde</t>
  </si>
  <si>
    <t xml:space="preserve">grahde@gmail.com </t>
  </si>
  <si>
    <t>51 99163 8666</t>
  </si>
  <si>
    <t>48 9 9155 1641</t>
  </si>
  <si>
    <t>038.272.688-00</t>
  </si>
  <si>
    <t>Walber Rondon</t>
  </si>
  <si>
    <t>Daniela Ribeiro</t>
  </si>
  <si>
    <t>Pedro Rondon</t>
  </si>
  <si>
    <t>Caio Rondon</t>
  </si>
  <si>
    <t>61 9 8452 5649</t>
  </si>
  <si>
    <t>066697596-57</t>
  </si>
  <si>
    <t>Silvio Albanese Jr</t>
  </si>
  <si>
    <t>sijr_al@yahoo.com.br</t>
  </si>
  <si>
    <t>11 9 9999 7877</t>
  </si>
  <si>
    <t>Gonzalo Antuña</t>
  </si>
  <si>
    <t>Eliana Laiton</t>
  </si>
  <si>
    <t>Benjamin antuña</t>
  </si>
  <si>
    <t>elgonza_22@hotmail.com</t>
  </si>
  <si>
    <t>54 11 5980 0702</t>
  </si>
  <si>
    <t>Paula Fonseca Camera</t>
  </si>
  <si>
    <t>Diego Ferraz</t>
  </si>
  <si>
    <t>Mariana Vicentini</t>
  </si>
  <si>
    <t>Giovanni Mori</t>
  </si>
  <si>
    <t>paulafcamera@hotmail.com</t>
  </si>
  <si>
    <t>71 9 9995 3200</t>
  </si>
  <si>
    <t>German Sommer</t>
  </si>
  <si>
    <t>Serena Dessy</t>
  </si>
  <si>
    <t>André Silva Barreto</t>
  </si>
  <si>
    <t>abarreto@univali.br</t>
  </si>
  <si>
    <t>47 9 9147 4433</t>
  </si>
  <si>
    <t>012.039.747-10</t>
  </si>
  <si>
    <t>Vinícius Brehm</t>
  </si>
  <si>
    <t>Greice Brehm</t>
  </si>
  <si>
    <t>Lucas Brehm</t>
  </si>
  <si>
    <t>Amanda Brehm</t>
  </si>
  <si>
    <t>vinibrehm@hotmail.com</t>
  </si>
  <si>
    <t>54 99157 4266</t>
  </si>
  <si>
    <t>Diego Placente</t>
  </si>
  <si>
    <t>Ludmila Savio</t>
  </si>
  <si>
    <t>Jazmin Placente</t>
  </si>
  <si>
    <t>Henrique Finzer</t>
  </si>
  <si>
    <t>Pilar Placente</t>
  </si>
  <si>
    <t>diego-placente@hotmail.com</t>
  </si>
  <si>
    <t>+5493416602789</t>
  </si>
  <si>
    <t>Stephany Toledo</t>
  </si>
  <si>
    <t>henriquefinzer@hotmail.com</t>
  </si>
  <si>
    <t>34 99198 8363</t>
  </si>
  <si>
    <t>Juan Carlos Pereira Yaques</t>
  </si>
  <si>
    <t>Justin Metzler</t>
  </si>
  <si>
    <t>Maria Noel Giordano</t>
  </si>
  <si>
    <t>Maria Ofelia Tavares</t>
  </si>
  <si>
    <t>justinmetzler@icloud.com</t>
  </si>
  <si>
    <t>mngiord@montevideo.com.uy</t>
  </si>
  <si>
    <t>+1 (847) 310-2419</t>
  </si>
  <si>
    <t>+59898837192</t>
  </si>
  <si>
    <t>Sheila Beatriz Budal Rycheta</t>
  </si>
  <si>
    <t>Leonardo Firmo Alves</t>
  </si>
  <si>
    <t>Sabrina Rycheta</t>
  </si>
  <si>
    <t>Franciani Ribas + Anne Polli</t>
  </si>
  <si>
    <t>41 9 8411 2236</t>
  </si>
  <si>
    <t>037.289.829-70</t>
  </si>
  <si>
    <t>Jair Jonko Araujo</t>
  </si>
  <si>
    <t>Valdriane Soares Araujo</t>
  </si>
  <si>
    <t>jair.jonko@gmail.com</t>
  </si>
  <si>
    <t>53 9 9114 6303</t>
  </si>
  <si>
    <t>540.090.300-20</t>
  </si>
  <si>
    <t>Ricardo Langer</t>
  </si>
  <si>
    <t>Paulo Fernando De Oliveira</t>
  </si>
  <si>
    <t>2550 pagos</t>
  </si>
  <si>
    <t xml:space="preserve">pf.advogado@bol.com.br </t>
  </si>
  <si>
    <t>Valdirene Scherdien</t>
  </si>
  <si>
    <t>Cristiano Pessanha Lobato</t>
  </si>
  <si>
    <t>Christiana Igliori Machado</t>
  </si>
  <si>
    <t xml:space="preserve">Taina Igliori Machado Lobato </t>
  </si>
  <si>
    <t>Beatriz Igliori Machado Lobato (9 anos)</t>
  </si>
  <si>
    <t>61 99678 1013</t>
  </si>
  <si>
    <t>658.545.351-49</t>
  </si>
  <si>
    <t>Natatia Kozan</t>
  </si>
  <si>
    <t>Leandro H.  Faustin</t>
  </si>
  <si>
    <t>Ângela Faustin</t>
  </si>
  <si>
    <t>Elaine Aparecida da Silva</t>
  </si>
  <si>
    <t>Bebês de 1 ano: Fernanda Faustin e Isabela Faustin</t>
  </si>
  <si>
    <t>Cristiano LobatoCristiano Pessanha Lobato</t>
  </si>
  <si>
    <t xml:space="preserve">Eliézer Martinelli Brauner </t>
  </si>
  <si>
    <t>(51) 99967.0853</t>
  </si>
  <si>
    <t>Roberta Araujo Viero</t>
  </si>
  <si>
    <t>robertaviero@terra.com.br</t>
  </si>
  <si>
    <t>51 9 8114 2032</t>
  </si>
  <si>
    <t>Luciano Junio</t>
  </si>
  <si>
    <t>Richard Luan Carvalho de Melo</t>
  </si>
  <si>
    <t>Erica Lorrany da Silva Cortêz</t>
  </si>
  <si>
    <t>Yasmim Fernandes Albuquerque</t>
  </si>
  <si>
    <t>lucikrailer@gmail.com</t>
  </si>
  <si>
    <t>62 9 9478 6241</t>
  </si>
  <si>
    <t>Silvana Rosa</t>
  </si>
  <si>
    <t>11 98579 8767</t>
  </si>
  <si>
    <t>Francisco Bezerra</t>
  </si>
  <si>
    <t xml:space="preserve">Marina Elise da Silva </t>
  </si>
  <si>
    <t>Pedro Calero Drews</t>
  </si>
  <si>
    <t>Larissa Luise da Silva</t>
  </si>
  <si>
    <t>Christiano Cony</t>
  </si>
  <si>
    <t>arininhaes@hotmail.com</t>
  </si>
  <si>
    <t>47 99103 6968</t>
  </si>
  <si>
    <t>Federico Machado</t>
  </si>
  <si>
    <t>Romina Toledo</t>
  </si>
  <si>
    <t>Candelaria Machado</t>
  </si>
  <si>
    <t>Bautista Machado</t>
  </si>
  <si>
    <t>Isabella Machado</t>
  </si>
  <si>
    <t>federicomachado50@gmail.com</t>
  </si>
  <si>
    <t>+59894292586</t>
  </si>
  <si>
    <t>Karla Carraro</t>
  </si>
  <si>
    <t>51 9 9966 8882</t>
  </si>
  <si>
    <t>Serise Amaral Pequeno</t>
  </si>
  <si>
    <t>Reserva feita pelo pai da Serise, Marcel.</t>
  </si>
  <si>
    <t>61 98112 9325</t>
  </si>
  <si>
    <t>Patricia Muller</t>
  </si>
  <si>
    <t>Clodoaldo dos santos Miranda</t>
  </si>
  <si>
    <t>superpatriciasuper@hotmail.com</t>
  </si>
  <si>
    <t>41 9 9918 9611</t>
  </si>
  <si>
    <t>Marialice Carvalho</t>
  </si>
  <si>
    <t>33 9 9118 9129</t>
  </si>
  <si>
    <t>‭145,5‬</t>
  </si>
  <si>
    <t>Sabrina Ribeiro</t>
  </si>
  <si>
    <t>Pedro</t>
  </si>
  <si>
    <t>Enzo Lucas</t>
  </si>
  <si>
    <t>Natália</t>
  </si>
  <si>
    <t>47 9 9644 1170</t>
  </si>
  <si>
    <t xml:space="preserve">Janaina Gomes Januário </t>
  </si>
  <si>
    <t xml:space="preserve">Rafaela Raabe Monteiro Mesquita </t>
  </si>
  <si>
    <t xml:space="preserve">João Victor de Andrade Nascimento </t>
  </si>
  <si>
    <t>janaina6525@hotmail.com</t>
  </si>
  <si>
    <t>69 9 9222 2411</t>
  </si>
  <si>
    <t>939.680.862-87</t>
  </si>
  <si>
    <t>Tatiana Lazzaris</t>
  </si>
  <si>
    <t>Acompanhante 3 + 1</t>
  </si>
  <si>
    <t>41 99922 0322</t>
  </si>
  <si>
    <t>Mabeli Lisboa</t>
  </si>
  <si>
    <t>41 9 9851 6422</t>
  </si>
  <si>
    <t>Camila Fernandes Oliveira</t>
  </si>
  <si>
    <t>Octavio Pinto De Azeredo Junior</t>
  </si>
  <si>
    <t>Dener Duarte Oliveira</t>
  </si>
  <si>
    <t>Queroline Fernandes Oliveira</t>
  </si>
  <si>
    <t>mylazinha.jc@gmail.com</t>
  </si>
  <si>
    <t>69 9 9279 7963</t>
  </si>
  <si>
    <t>001.151.332-24</t>
  </si>
  <si>
    <t>Leonardo Luis Soares</t>
  </si>
  <si>
    <t>Patricia Pollesi Soares + Alice Pollesi Soares (bebê de 10 meses)</t>
  </si>
  <si>
    <t>João Batista Soares</t>
  </si>
  <si>
    <t>Elizabeth Soares Saraiva + Maria Ines Pollesi de Toledo</t>
  </si>
  <si>
    <t>leo.soares@hotmail.com</t>
  </si>
  <si>
    <t>19 9 8185 8861</t>
  </si>
  <si>
    <t>332.430.468-74</t>
  </si>
  <si>
    <t>Juan Ariel potschka</t>
  </si>
  <si>
    <t>Janette Lorenzo</t>
  </si>
  <si>
    <t>Ian Potschka</t>
  </si>
  <si>
    <t>Quarto conjugado, favor abrir a porta entre 462 e 464</t>
  </si>
  <si>
    <t>arielpot@hotmail.com</t>
  </si>
  <si>
    <t>54 93764 22 1102</t>
  </si>
  <si>
    <t>Anicoli Romanini</t>
  </si>
  <si>
    <t>Graziela Romanini</t>
  </si>
  <si>
    <t>Grasiane Romanini</t>
  </si>
  <si>
    <t>anicoliromanini@yahoo.com.br</t>
  </si>
  <si>
    <t>54 9 9163 4020</t>
  </si>
  <si>
    <t>Sergio Tadeu Borges Depieri</t>
  </si>
  <si>
    <t>Sandra Cristina Guardada Barreto</t>
  </si>
  <si>
    <t xml:space="preserve">stbdepieri@gmail.com  </t>
  </si>
  <si>
    <t>11 9 4109 3867</t>
  </si>
  <si>
    <t>832.785.838-68</t>
  </si>
  <si>
    <t>Chrystian Lino</t>
  </si>
  <si>
    <t xml:space="preserve">Cassiane Gomes da Silva Lino e Lucas Henrique Gomes da Silva Lino (bebê) </t>
  </si>
  <si>
    <t>Vitor Henrique Gomes da Silva Lino</t>
  </si>
  <si>
    <t>Pedro Henrique Gomes da Silva Lino</t>
  </si>
  <si>
    <t>chrystian@adv.oabsp.org.br</t>
  </si>
  <si>
    <t>19 997916940</t>
  </si>
  <si>
    <t>Flávia Werner</t>
  </si>
  <si>
    <t>Alexandre Werner</t>
  </si>
  <si>
    <t>Helena Werner (11 anos)</t>
  </si>
  <si>
    <t>Bernardo Werner (9 anos)</t>
  </si>
  <si>
    <t>flawerner@gmail.com</t>
  </si>
  <si>
    <t>47 991070725</t>
  </si>
  <si>
    <t>005994729-28</t>
  </si>
  <si>
    <r>
      <t xml:space="preserve">Observações:
https://www.airbnb.com.br/rooms/14871575
</t>
    </r>
    <r>
      <rPr>
        <color rgb="FFFF0000"/>
      </rPr>
      <t>Divisão de conjugado: 34,64%</t>
    </r>
  </si>
  <si>
    <t>Eliezer Brauner</t>
  </si>
  <si>
    <t>michele@mcborges.com.br</t>
  </si>
  <si>
    <t>51 9 9346 4045</t>
  </si>
  <si>
    <t>Rogerio Della Giacoma Neto</t>
  </si>
  <si>
    <t xml:space="preserve">rogeriogiacoma@onda.com.br </t>
  </si>
  <si>
    <t>41 9 9973 2702</t>
  </si>
  <si>
    <t>Leandro Piazza</t>
  </si>
  <si>
    <t>Suasan Schmitt</t>
  </si>
  <si>
    <t>Leandro.piazza@me.com</t>
  </si>
  <si>
    <t>+554891284562</t>
  </si>
  <si>
    <t xml:space="preserve">Adrian Uthayagumaran </t>
  </si>
  <si>
    <t>Elliot Sharples-Gordon</t>
  </si>
  <si>
    <t>Nicol White</t>
  </si>
  <si>
    <t>adrian.uthay@gmail.com</t>
  </si>
  <si>
    <t>+1 (519) 852-2583</t>
  </si>
  <si>
    <t>Anelise Bittencourt</t>
  </si>
  <si>
    <t>anelise-zqjg4fq4v4bf87u0@guest.airbnb.com</t>
  </si>
  <si>
    <t>+55 41 9530 9333</t>
  </si>
  <si>
    <t>Milene Feres Borges</t>
  </si>
  <si>
    <t>Alexandre Pedroso</t>
  </si>
  <si>
    <t>mileneborges@hotmail.com</t>
  </si>
  <si>
    <t>11 9 5959 6490</t>
  </si>
  <si>
    <t>Túlio Moura Rocha</t>
  </si>
  <si>
    <t>Letícia Oliveira Santos</t>
  </si>
  <si>
    <t>tulio.rocha@zup.com.br</t>
  </si>
  <si>
    <t>34 9 9903 1928</t>
  </si>
  <si>
    <t>Wellington Pereira</t>
  </si>
  <si>
    <t>Núbia de Oliveira Sousa</t>
  </si>
  <si>
    <t>Isabela de Paula</t>
  </si>
  <si>
    <t>pessoal@wellington.org.br</t>
  </si>
  <si>
    <t>61 9 8173 8777</t>
  </si>
  <si>
    <t>Pago na conta Santander</t>
  </si>
  <si>
    <t>guga_narducci@hotmail.com</t>
  </si>
  <si>
    <t>+5519997412627</t>
  </si>
  <si>
    <t>João Luis Matusalem</t>
  </si>
  <si>
    <t>Juliana Zwetsch</t>
  </si>
  <si>
    <t>Gustavo Berlim</t>
  </si>
  <si>
    <t>Guilherme Berlim</t>
  </si>
  <si>
    <t>Ricardo Scheleder</t>
  </si>
  <si>
    <t>Maria Lucia Galleri</t>
  </si>
  <si>
    <t>Julian Rossi</t>
  </si>
  <si>
    <t>Santiago Rossi (4 anos)</t>
  </si>
  <si>
    <t>lgalleri@gmail.com</t>
  </si>
  <si>
    <t>Felipe Carvalho C. Mariz</t>
  </si>
  <si>
    <t>felipemariz01@gmail.com</t>
  </si>
  <si>
    <t>81 9 8881 2540</t>
  </si>
  <si>
    <t>Adriana da Silva Tavares</t>
  </si>
  <si>
    <t>Giovanna K. Tavares (cama solteiro)</t>
  </si>
  <si>
    <t>Eliane da Silva Souza (cama solteiro)</t>
  </si>
  <si>
    <t>Junto cm 455 dia 28 de marco</t>
  </si>
  <si>
    <t>Elaine Takata</t>
  </si>
  <si>
    <t>Alex Rodrigues da Silva</t>
  </si>
  <si>
    <t>Nicollas Yudi Takata</t>
  </si>
  <si>
    <t>Riane Machado</t>
  </si>
  <si>
    <t>Vanessa Tancon</t>
  </si>
  <si>
    <t>rianemachado@hotmail.com</t>
  </si>
  <si>
    <t>47 9 9268 0149</t>
  </si>
  <si>
    <t>Renata Gonçalves Tibo</t>
  </si>
  <si>
    <t>renata.tibo10@gmail.com</t>
  </si>
  <si>
    <t>31 9 9800 3201</t>
  </si>
  <si>
    <t>Roberto Tomaz de Miranda</t>
  </si>
  <si>
    <t>Ingrid Silva Santos Miranda</t>
  </si>
  <si>
    <t>robertotomaz@hotmail.com</t>
  </si>
  <si>
    <t>+55 41 99868 8005</t>
  </si>
  <si>
    <t>034.070.339-31</t>
  </si>
  <si>
    <t>Andrea Maria Paiva de Oliveira</t>
  </si>
  <si>
    <t>Heitor luiz ribeiro</t>
  </si>
  <si>
    <t>Manuela Paiva Leão Ribeiro</t>
  </si>
  <si>
    <t>+55 11 97468 6199</t>
  </si>
  <si>
    <t>291.991.978-47</t>
  </si>
  <si>
    <t>Henry Mundim</t>
  </si>
  <si>
    <t>61 98122 1445</t>
  </si>
  <si>
    <t xml:space="preserve">Rafael Alves Agostinho </t>
  </si>
  <si>
    <t xml:space="preserve">Otávio Jacinto Lunardi </t>
  </si>
  <si>
    <t xml:space="preserve">João Henrique Loffi </t>
  </si>
  <si>
    <t>rafael_edy@hotmail.com</t>
  </si>
  <si>
    <t>48 99925 9191</t>
  </si>
  <si>
    <t>Eduardo Trevizani</t>
  </si>
  <si>
    <t>Carolini mendes</t>
  </si>
  <si>
    <t>eduardotrevizani2@gmail.com</t>
  </si>
  <si>
    <t>(48) 99660-1720</t>
  </si>
  <si>
    <t>084.392.549-38</t>
  </si>
  <si>
    <t>Erica Reiff</t>
  </si>
  <si>
    <t xml:space="preserve">Armando Luiz Bastos Bezerra </t>
  </si>
  <si>
    <t>ericareiff@yahoo.com.br</t>
  </si>
  <si>
    <t>21 96709 1293</t>
  </si>
  <si>
    <t>122.252.367-12</t>
  </si>
  <si>
    <t>Costao do Santinho</t>
  </si>
  <si>
    <t>Observações:
https://www.airbnb.com.br/rooms/9939061</t>
  </si>
  <si>
    <t>Monikelly Teles de Menezes Morais</t>
  </si>
  <si>
    <t>Depósito conta BB Fernando</t>
  </si>
  <si>
    <t>Sergio Borges Morais</t>
  </si>
  <si>
    <t>Pedro Queiroz</t>
  </si>
  <si>
    <t>Felipe Reis</t>
  </si>
  <si>
    <t>sergio586@hotmail.com</t>
  </si>
  <si>
    <t>47 9659-7127</t>
  </si>
  <si>
    <t>057.444.043-76</t>
  </si>
  <si>
    <t>Gustavo Henrique Carvalho do Valle</t>
  </si>
  <si>
    <t>Kamila Cristina Martins Santos do Valle</t>
  </si>
  <si>
    <t>gustavovalle89@hotmail.com</t>
  </si>
  <si>
    <t>(17) 99626-3588</t>
  </si>
  <si>
    <t>384.233.118-56</t>
  </si>
  <si>
    <t>Daniel Moraes Giffoni</t>
  </si>
  <si>
    <t>Fernanda Vieira Machado Rodante Giffoni</t>
  </si>
  <si>
    <t>Micaella Rodante Giffoni</t>
  </si>
  <si>
    <t>danielgiffoni@gmail.com</t>
  </si>
  <si>
    <t>11 98579 7733</t>
  </si>
  <si>
    <t>Diego Cardoso</t>
  </si>
  <si>
    <t>diegocardoso26@live.com</t>
  </si>
  <si>
    <t xml:space="preserve"> 41 9 9723 9977</t>
  </si>
  <si>
    <t>058.330.589-02</t>
  </si>
  <si>
    <t>Rafaela Constâncio</t>
  </si>
  <si>
    <t>44 9 9714 8485</t>
  </si>
  <si>
    <t>Tereza Berlofa</t>
  </si>
  <si>
    <t>11 9 9461 7521</t>
  </si>
  <si>
    <t>Majorye Belato</t>
  </si>
  <si>
    <t>majorye@hormail.com</t>
  </si>
  <si>
    <t>47 9 9632 2724</t>
  </si>
  <si>
    <t>399.392.928-48</t>
  </si>
  <si>
    <t>Esley Abreu Damasceno</t>
  </si>
  <si>
    <t>Alessandra Ferrer de Sousa Forte</t>
  </si>
  <si>
    <t>José Vinícius Forte Damasceno</t>
  </si>
  <si>
    <t>esley89@gmail.com</t>
  </si>
  <si>
    <t>85 9 9981 0226</t>
  </si>
  <si>
    <t>044.177.093-27</t>
  </si>
  <si>
    <t xml:space="preserve">Davison Oliveira </t>
  </si>
  <si>
    <t>54 9 8151 4122</t>
  </si>
  <si>
    <t>Allan Bacellar Zabot</t>
  </si>
  <si>
    <t>Nicolle Rocha da Silva</t>
  </si>
  <si>
    <t>allanzabot@outlook.com</t>
  </si>
  <si>
    <t>48 9 9642 8400</t>
  </si>
  <si>
    <t>Francielle Rodrigues de Carvalho</t>
  </si>
  <si>
    <t>Jeanfrantiesco Borba Bonamigo</t>
  </si>
  <si>
    <t>francielle.rcarvalho@gmail.com</t>
  </si>
  <si>
    <t>41 9 9193 1156</t>
  </si>
  <si>
    <t>Jefferson Yuki</t>
  </si>
  <si>
    <t>Melissa Ferrer Lambert</t>
  </si>
  <si>
    <t>34 602 627 165</t>
  </si>
  <si>
    <t xml:space="preserve">Viviane Batista Vasconcelos dos Anjos </t>
  </si>
  <si>
    <t xml:space="preserve"> Leonardo Cardoso</t>
  </si>
  <si>
    <t>Vivi.anjos@gmail.com</t>
  </si>
  <si>
    <t>43 9 9651 4651</t>
  </si>
  <si>
    <t>Natalia Almeida</t>
  </si>
  <si>
    <t>Henrique Morais de Oliveira</t>
  </si>
  <si>
    <t>nataliapazin.engquim@gmail.com</t>
  </si>
  <si>
    <t>37 9 9130 6712</t>
  </si>
  <si>
    <t>092899486-47</t>
  </si>
  <si>
    <t>Jordania Dias Patrício</t>
  </si>
  <si>
    <t>Fillipe Ferraz</t>
  </si>
  <si>
    <t>jordaniadiasp@gmail.com</t>
  </si>
  <si>
    <t>27 9 9700 4819</t>
  </si>
  <si>
    <t>144.853.557-30</t>
  </si>
  <si>
    <t>Caio Teixeira Zardo</t>
  </si>
  <si>
    <t>caiozardo123@gmail.com</t>
  </si>
  <si>
    <t>41 9 9614 2409</t>
  </si>
  <si>
    <t>101.433.719-40</t>
  </si>
  <si>
    <t>Perla Xochitl Leal Galicia</t>
  </si>
  <si>
    <t>draperlaleal@gmail.com</t>
  </si>
  <si>
    <t>52 55 8579 0381</t>
  </si>
  <si>
    <t>Passport number: G29538070</t>
  </si>
  <si>
    <t>Eduardo Jandre de Oliveira</t>
  </si>
  <si>
    <t>Greiceane Penchiná de Souza Jandre</t>
  </si>
  <si>
    <t>eduardojandre@gmail.com</t>
  </si>
  <si>
    <t>21 9 8700 9300</t>
  </si>
  <si>
    <t>Marlo Roberto Herrmann</t>
  </si>
  <si>
    <t xml:space="preserve">Rayana Sewald </t>
  </si>
  <si>
    <t>marloherrmann709@gmail.com</t>
  </si>
  <si>
    <t xml:space="preserve"> 51 9 9940 1466</t>
  </si>
  <si>
    <t>575.484.470-00</t>
  </si>
  <si>
    <t>Monalisa Alvares da Silva Campos</t>
  </si>
  <si>
    <t>monalisacampos@gmail.com</t>
  </si>
  <si>
    <t>31 9 9477 8428</t>
  </si>
  <si>
    <t>071.456.946-11</t>
  </si>
  <si>
    <t>Eduardo Bidese De Souza</t>
  </si>
  <si>
    <t>eduardobidese.adv@gmail.com</t>
  </si>
  <si>
    <t>54 9 9129 1559</t>
  </si>
  <si>
    <t>023.653.980-90</t>
  </si>
  <si>
    <t>Hellen Cristine Ribeiro</t>
  </si>
  <si>
    <t>Evelin Francini dos Santo</t>
  </si>
  <si>
    <t>hellen.br.2010@hotmail.com</t>
  </si>
  <si>
    <t>19 9 8241 1639</t>
  </si>
  <si>
    <t>364.640.638-04</t>
  </si>
  <si>
    <t>Maria Helena Rodrigues Remedio</t>
  </si>
  <si>
    <t>51 9 9668 4292</t>
  </si>
  <si>
    <t>Aloysio Silva</t>
  </si>
  <si>
    <t>Fernanda Rezende Silva</t>
  </si>
  <si>
    <t>Alice Rezende Silva</t>
  </si>
  <si>
    <t xml:space="preserve">Acompanhante 3 </t>
  </si>
  <si>
    <t>aloysiosilva@gmail.com</t>
  </si>
  <si>
    <t>61 9 8410 1973</t>
  </si>
  <si>
    <t>Elen Yamada De Souza</t>
  </si>
  <si>
    <t>351 93 194 0942</t>
  </si>
  <si>
    <t>Felipe Donizeti</t>
  </si>
  <si>
    <t>Villa D'Italia</t>
  </si>
  <si>
    <t>Observações:
https://www.airbnb.com.br/rooms/32545822</t>
  </si>
  <si>
    <t>BANCO DE DADOS - HÓSPEDES SEAZONE</t>
  </si>
  <si>
    <t>Apartamento</t>
  </si>
  <si>
    <t>Hóspede</t>
  </si>
  <si>
    <t>Limpeza</t>
  </si>
  <si>
    <t># de pessoas</t>
  </si>
  <si>
    <t>Organização camas</t>
  </si>
  <si>
    <t>arturonavarro22@hotmail.com</t>
  </si>
  <si>
    <t>+5493874695440</t>
  </si>
  <si>
    <t>Nataly Bacigalupo</t>
  </si>
  <si>
    <t>Michelle Navarro</t>
  </si>
  <si>
    <t>Valeria Navarro</t>
  </si>
  <si>
    <t>Ryan D'Errico</t>
  </si>
  <si>
    <t>US Passport</t>
  </si>
  <si>
    <t>Rogério Rossi</t>
  </si>
  <si>
    <t>rogamil@gmail.com</t>
  </si>
  <si>
    <t>54 9 8116 9685</t>
  </si>
  <si>
    <t>347249400-00</t>
  </si>
  <si>
    <t>Bruno Alves de Oliveira</t>
  </si>
  <si>
    <t>12 9 8819 7070</t>
  </si>
  <si>
    <t>439.752.948-50</t>
  </si>
  <si>
    <t>Cristine Govoni Kologeski</t>
  </si>
  <si>
    <t>bocas31.ms@gmail.com</t>
  </si>
  <si>
    <t>Nicolas Cervantes</t>
  </si>
  <si>
    <t>4 adultos + 2 crianças</t>
  </si>
  <si>
    <t>11 94227 0187</t>
  </si>
  <si>
    <t>232.945.268-30</t>
  </si>
  <si>
    <t>Bruno V L Victorelli</t>
  </si>
  <si>
    <t>brunovictorelli@hotmail.com</t>
  </si>
  <si>
    <t>43 99177 2786</t>
  </si>
  <si>
    <t>648.439.209-91</t>
  </si>
  <si>
    <t>Claudia Cabral</t>
  </si>
  <si>
    <t>598 99 095 827</t>
  </si>
  <si>
    <t>Scarlett Bruhn</t>
  </si>
  <si>
    <t>Chile</t>
  </si>
  <si>
    <t>OK</t>
  </si>
  <si>
    <t>scarlett.bruhn@gmail.com</t>
  </si>
  <si>
    <t>56 9 84290696</t>
  </si>
  <si>
    <t>Valeska Niemeyer Bobato</t>
  </si>
  <si>
    <t>Newton Alex Bervian</t>
  </si>
  <si>
    <t>49 9 8819 8775</t>
  </si>
  <si>
    <t>Comprovantes</t>
  </si>
  <si>
    <t>Tabela diárias* Suite Junior - il Campanario 2019/2020</t>
  </si>
  <si>
    <t>Março</t>
  </si>
  <si>
    <t>Abril</t>
  </si>
  <si>
    <t>Maio</t>
  </si>
  <si>
    <t>Junho</t>
  </si>
  <si>
    <t>Julho</t>
  </si>
  <si>
    <t>Agosto</t>
  </si>
  <si>
    <t>Setembro</t>
  </si>
  <si>
    <t>Outubro</t>
  </si>
  <si>
    <t>Novembro</t>
  </si>
  <si>
    <t>Dezembro</t>
  </si>
  <si>
    <t>Janeiro</t>
  </si>
  <si>
    <t>Fevereiro</t>
  </si>
  <si>
    <t>*Exceto feriados e datas especiais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</si>
</sst>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8">
    <numFmt numFmtId="164" formatCode="[$R$ -416]#,##0.00"/>
    <numFmt numFmtId="165" formatCode="d-mmm-yy"/>
    <numFmt numFmtId="166" formatCode="mmm&quot;-&quot;yyyy"/>
    <numFmt numFmtId="167" formatCode="#,##0;(#,##0)"/>
    <numFmt numFmtId="168" formatCode="dd/mm/yyyy"/>
    <numFmt numFmtId="169" formatCode="#,##0.0"/>
    <numFmt numFmtId="170" formatCode="d&quot;-&quot;mmm&quot;-&quot;yy"/>
    <numFmt numFmtId="171" formatCode="0.0%"/>
    <numFmt numFmtId="172" formatCode="d&quot;-&quot;mmm&quot;-&quot;yyyy"/>
    <numFmt numFmtId="173" formatCode="[$R$ -416]#,##0"/>
    <numFmt numFmtId="174" formatCode="mmm-d"/>
    <numFmt numFmtId="175" formatCode="dd-mmm-yy"/>
    <numFmt numFmtId="176" formatCode="#,##0.000"/>
    <numFmt numFmtId="177" formatCode="[$$]#,##0.00"/>
    <numFmt numFmtId="178" formatCode="m/d/yyyy h:mm:ss"/>
    <numFmt numFmtId="179" formatCode="dd/mm/yyyy hh:mm:ss"/>
    <numFmt numFmtId="180" formatCode="yyyy.m"/>
    <numFmt numFmtId="181" formatCode="yyyy-mm-dd"/>
  </numFmts>
  <fonts count="33">
    <font>
      <sz val="10.0"/>
      <color rgb="FF000000"/>
      <name val="Arial"/>
    </font>
    <font>
      <name val="Arial"/>
    </font>
    <font/>
    <font>
      <b/>
      <name val="Arial"/>
    </font>
    <font>
      <b/>
    </font>
    <font>
      <u/>
      <color rgb="FF0000FF"/>
    </font>
    <font>
      <b/>
      <u/>
      <color rgb="FF0000FF"/>
    </font>
    <font>
      <sz val="8.0"/>
    </font>
    <font>
      <u/>
      <color rgb="FF0000FF"/>
    </font>
    <font>
      <u/>
      <color rgb="FF1155CC"/>
    </font>
    <font>
      <sz val="11.0"/>
      <color rgb="FF1155CC"/>
      <name val="Inconsolata"/>
    </font>
    <font>
      <b/>
      <u/>
      <color rgb="FF0000FF"/>
    </font>
    <font>
      <b/>
      <sz val="12.0"/>
    </font>
    <font>
      <sz val="11.0"/>
      <color rgb="FF000000"/>
      <name val="Calibri"/>
    </font>
    <font>
      <sz val="11.0"/>
      <color rgb="FF000000"/>
      <name val="Arial"/>
    </font>
    <font>
      <b/>
      <sz val="11.0"/>
      <color rgb="FF000000"/>
      <name val="Arial"/>
    </font>
    <font>
      <b/>
      <sz val="11.0"/>
      <color rgb="FF000000"/>
      <name val="Calibri"/>
    </font>
    <font>
      <b/>
      <sz val="12.0"/>
      <color rgb="FF000000"/>
      <name val="Arial"/>
    </font>
    <font>
      <u/>
      <color rgb="FF0000FF"/>
    </font>
    <font>
      <sz val="11.0"/>
      <color rgb="FF484848"/>
      <name val="Circular"/>
    </font>
    <font>
      <sz val="10.0"/>
      <name val="Inherit"/>
    </font>
    <font>
      <color rgb="FF000000"/>
      <name val="Arial"/>
    </font>
    <font>
      <u/>
      <color rgb="FF0000FF"/>
    </font>
    <font>
      <color rgb="FF000000"/>
    </font>
    <font>
      <sz val="10.0"/>
      <name val="Arial"/>
    </font>
    <font>
      <sz val="10.0"/>
      <color rgb="FF484848"/>
      <name val="Arial"/>
    </font>
    <font>
      <sz val="11.0"/>
      <color rgb="FF484848"/>
      <name val="Arial"/>
    </font>
    <font>
      <sz val="11.0"/>
      <color rgb="FF008489"/>
      <name val="Circular"/>
    </font>
    <font>
      <color rgb="FF222222"/>
      <name val="Arial"/>
    </font>
    <font>
      <u/>
      <sz val="11.0"/>
      <color rgb="FF484848"/>
      <name val="Circular"/>
    </font>
    <font>
      <name val="Roboto"/>
    </font>
    <font>
      <sz val="11.0"/>
      <name val="Arial"/>
    </font>
    <font>
      <b/>
      <sz val="14.0"/>
      <name val="Comfortaa"/>
    </font>
  </fonts>
  <fills count="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</fills>
  <borders count="41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/>
    </border>
    <border>
      <left/>
      <right/>
      <bottom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FFFFFF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000000"/>
      </bottom>
    </border>
    <border>
      <left style="thin">
        <color rgb="FF000000"/>
      </left>
      <right style="thin">
        <color rgb="FFFFFFFF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27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0" fontId="2" numFmtId="0" xfId="0" applyBorder="1" applyFont="1"/>
    <xf borderId="3" fillId="0" fontId="2" numFmtId="0" xfId="0" applyBorder="1" applyFont="1"/>
    <xf borderId="0" fillId="0" fontId="2" numFmtId="0" xfId="0" applyAlignment="1" applyFont="1">
      <alignment readingOrder="0"/>
    </xf>
    <xf borderId="1" fillId="2" fontId="1" numFmtId="0" xfId="0" applyAlignment="1" applyBorder="1" applyFont="1">
      <alignment readingOrder="0" vertical="bottom"/>
    </xf>
    <xf borderId="0" fillId="0" fontId="2" numFmtId="0" xfId="0" applyFont="1"/>
    <xf borderId="2" fillId="2" fontId="1" numFmtId="0" xfId="0" applyAlignment="1" applyBorder="1" applyFont="1">
      <alignment vertical="bottom"/>
    </xf>
    <xf borderId="3" fillId="2" fontId="1" numFmtId="0" xfId="0" applyAlignment="1" applyBorder="1" applyFont="1">
      <alignment vertical="bottom"/>
    </xf>
    <xf borderId="0" fillId="0" fontId="3" numFmtId="0" xfId="0" applyAlignment="1" applyFont="1">
      <alignment horizontal="right" vertical="bottom"/>
    </xf>
    <xf borderId="0" fillId="0" fontId="1" numFmtId="0" xfId="0" applyAlignment="1" applyFont="1">
      <alignment horizontal="center" vertical="bottom"/>
    </xf>
    <xf borderId="2" fillId="0" fontId="3" numFmtId="0" xfId="0" applyAlignment="1" applyBorder="1" applyFont="1">
      <alignment horizontal="right" vertical="bottom"/>
    </xf>
    <xf borderId="0" fillId="0" fontId="2" numFmtId="0" xfId="0" applyAlignment="1" applyFont="1">
      <alignment horizontal="center"/>
    </xf>
    <xf borderId="4" fillId="0" fontId="2" numFmtId="0" xfId="0" applyBorder="1" applyFont="1"/>
    <xf borderId="5" fillId="0" fontId="2" numFmtId="0" xfId="0" applyAlignment="1" applyBorder="1" applyFont="1">
      <alignment horizontal="center"/>
    </xf>
    <xf borderId="5" fillId="0" fontId="2" numFmtId="0" xfId="0" applyBorder="1" applyFont="1"/>
    <xf borderId="4" fillId="2" fontId="1" numFmtId="0" xfId="0" applyAlignment="1" applyBorder="1" applyFont="1">
      <alignment vertical="bottom"/>
    </xf>
    <xf borderId="6" fillId="0" fontId="2" numFmtId="0" xfId="0" applyBorder="1" applyFont="1"/>
    <xf borderId="0" fillId="2" fontId="1" numFmtId="0" xfId="0" applyAlignment="1" applyFont="1">
      <alignment vertical="bottom"/>
    </xf>
    <xf borderId="7" fillId="0" fontId="2" numFmtId="0" xfId="0" applyBorder="1" applyFont="1"/>
    <xf borderId="5" fillId="2" fontId="1" numFmtId="0" xfId="0" applyAlignment="1" applyBorder="1" applyFont="1">
      <alignment vertical="bottom"/>
    </xf>
    <xf borderId="8" fillId="0" fontId="2" numFmtId="0" xfId="0" applyBorder="1" applyFont="1"/>
    <xf borderId="7" fillId="0" fontId="2" numFmtId="0" xfId="0" applyAlignment="1" applyBorder="1" applyFont="1">
      <alignment readingOrder="0"/>
    </xf>
    <xf borderId="6" fillId="2" fontId="1" numFmtId="0" xfId="0" applyAlignment="1" applyBorder="1" applyFont="1">
      <alignment vertical="bottom"/>
    </xf>
    <xf borderId="7" fillId="0" fontId="2" numFmtId="0" xfId="0" applyBorder="1" applyFont="1"/>
    <xf borderId="7" fillId="2" fontId="1" numFmtId="0" xfId="0" applyAlignment="1" applyBorder="1" applyFont="1">
      <alignment vertical="bottom"/>
    </xf>
    <xf borderId="7" fillId="0" fontId="3" numFmtId="0" xfId="0" applyAlignment="1" applyBorder="1" applyFont="1">
      <alignment horizontal="right" vertical="bottom"/>
    </xf>
    <xf borderId="8" fillId="2" fontId="1" numFmtId="0" xfId="0" applyAlignment="1" applyBorder="1" applyFont="1">
      <alignment vertical="bottom"/>
    </xf>
    <xf borderId="0" fillId="0" fontId="2" numFmtId="0" xfId="0" applyAlignment="1" applyFont="1">
      <alignment horizontal="center" readingOrder="0"/>
    </xf>
    <xf borderId="7" fillId="0" fontId="1" numFmtId="0" xfId="0" applyAlignment="1" applyBorder="1" applyFont="1">
      <alignment horizontal="center" vertical="bottom"/>
    </xf>
    <xf borderId="0" fillId="0" fontId="2" numFmtId="14" xfId="0" applyAlignment="1" applyFont="1" applyNumberFormat="1">
      <alignment readingOrder="0"/>
    </xf>
    <xf borderId="7" fillId="0" fontId="2" numFmtId="0" xfId="0" applyAlignment="1" applyBorder="1" applyFont="1">
      <alignment horizontal="center"/>
    </xf>
    <xf borderId="9" fillId="0" fontId="4" numFmtId="0" xfId="0" applyAlignment="1" applyBorder="1" applyFont="1">
      <alignment horizontal="center" readingOrder="0" shrinkToFit="0" vertical="center" wrapText="1"/>
    </xf>
    <xf borderId="8" fillId="0" fontId="2" numFmtId="0" xfId="0" applyAlignment="1" applyBorder="1" applyFont="1">
      <alignment horizontal="center"/>
    </xf>
    <xf borderId="0" fillId="0" fontId="2" numFmtId="0" xfId="0" applyAlignment="1" applyFont="1">
      <alignment horizontal="right" readingOrder="0"/>
    </xf>
    <xf borderId="0" fillId="0" fontId="2" numFmtId="14" xfId="0" applyAlignment="1" applyFont="1" applyNumberFormat="1">
      <alignment horizontal="center" readingOrder="0"/>
    </xf>
    <xf borderId="0" fillId="0" fontId="2" numFmtId="164" xfId="0" applyAlignment="1" applyFont="1" applyNumberFormat="1">
      <alignment horizontal="left" readingOrder="0"/>
    </xf>
    <xf borderId="10" fillId="0" fontId="4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/>
    </xf>
    <xf borderId="5" fillId="0" fontId="2" numFmtId="14" xfId="0" applyAlignment="1" applyBorder="1" applyFont="1" applyNumberFormat="1">
      <alignment horizontal="center" readingOrder="0"/>
    </xf>
    <xf borderId="0" fillId="0" fontId="3" numFmtId="0" xfId="0" applyAlignment="1" applyFont="1">
      <alignment horizontal="center" vertical="bottom"/>
    </xf>
    <xf borderId="10" fillId="0" fontId="4" numFmtId="0" xfId="0" applyAlignment="1" applyBorder="1" applyFont="1">
      <alignment horizontal="center" readingOrder="0" shrinkToFit="0" textRotation="180" vertical="center" wrapText="1"/>
    </xf>
    <xf borderId="9" fillId="0" fontId="4" numFmtId="0" xfId="0" applyAlignment="1" applyBorder="1" applyFont="1">
      <alignment horizontal="center" readingOrder="0"/>
    </xf>
    <xf borderId="2" fillId="0" fontId="3" numFmtId="0" xfId="0" applyAlignment="1" applyBorder="1" applyFont="1">
      <alignment horizontal="center" vertical="bottom"/>
    </xf>
    <xf borderId="10" fillId="0" fontId="4" numFmtId="0" xfId="0" applyAlignment="1" applyBorder="1" applyFont="1">
      <alignment horizontal="center" readingOrder="0" shrinkToFit="0" wrapText="1"/>
    </xf>
    <xf borderId="10" fillId="0" fontId="4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/>
    </xf>
    <xf borderId="7" fillId="0" fontId="3" numFmtId="0" xfId="0" applyAlignment="1" applyBorder="1" applyFont="1">
      <alignment horizontal="center" vertical="bottom"/>
    </xf>
    <xf borderId="4" fillId="0" fontId="5" numFmtId="0" xfId="0" applyAlignment="1" applyBorder="1" applyFont="1">
      <alignment readingOrder="0"/>
    </xf>
    <xf borderId="10" fillId="0" fontId="6" numFmtId="0" xfId="0" applyAlignment="1" applyBorder="1" applyFont="1">
      <alignment horizontal="center" readingOrder="0"/>
    </xf>
    <xf borderId="10" fillId="3" fontId="7" numFmtId="0" xfId="0" applyAlignment="1" applyBorder="1" applyFill="1" applyFont="1">
      <alignment readingOrder="0"/>
    </xf>
    <xf borderId="0" fillId="2" fontId="2" numFmtId="0" xfId="0" applyAlignment="1" applyFont="1">
      <alignment readingOrder="0"/>
    </xf>
    <xf borderId="10" fillId="0" fontId="2" numFmtId="0" xfId="0" applyBorder="1" applyFont="1"/>
    <xf borderId="0" fillId="2" fontId="2" numFmtId="0" xfId="0" applyAlignment="1" applyFont="1">
      <alignment horizontal="center" readingOrder="0"/>
    </xf>
    <xf borderId="10" fillId="4" fontId="7" numFmtId="0" xfId="0" applyAlignment="1" applyBorder="1" applyFill="1" applyFont="1">
      <alignment horizontal="center" readingOrder="0"/>
    </xf>
    <xf borderId="0" fillId="0" fontId="2" numFmtId="165" xfId="0" applyAlignment="1" applyFont="1" applyNumberFormat="1">
      <alignment readingOrder="0"/>
    </xf>
    <xf borderId="10" fillId="2" fontId="4" numFmtId="166" xfId="0" applyAlignment="1" applyBorder="1" applyFont="1" applyNumberFormat="1">
      <alignment readingOrder="0"/>
    </xf>
    <xf borderId="10" fillId="5" fontId="4" numFmtId="166" xfId="0" applyAlignment="1" applyBorder="1" applyFill="1" applyFont="1" applyNumberFormat="1">
      <alignment readingOrder="0"/>
    </xf>
    <xf borderId="10" fillId="5" fontId="7" numFmtId="0" xfId="0" applyAlignment="1" applyBorder="1" applyFont="1">
      <alignment horizontal="center" readingOrder="0"/>
    </xf>
    <xf borderId="4" fillId="0" fontId="4" numFmtId="0" xfId="0" applyAlignment="1" applyBorder="1" applyFont="1">
      <alignment horizontal="center" readingOrder="0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3" fontId="7" numFmtId="167" xfId="0" applyAlignment="1" applyFont="1" applyNumberFormat="1">
      <alignment readingOrder="0"/>
    </xf>
    <xf borderId="0" fillId="0" fontId="7" numFmtId="0" xfId="0" applyAlignment="1" applyFont="1">
      <alignment horizontal="center" readingOrder="0"/>
    </xf>
    <xf borderId="0" fillId="4" fontId="7" numFmtId="0" xfId="0" applyAlignment="1" applyFont="1">
      <alignment horizontal="center" readingOrder="0"/>
    </xf>
    <xf borderId="0" fillId="0" fontId="2" numFmtId="9" xfId="0" applyAlignment="1" applyFont="1" applyNumberFormat="1">
      <alignment readingOrder="0"/>
    </xf>
    <xf borderId="0" fillId="3" fontId="2" numFmtId="167" xfId="0" applyAlignment="1" applyFont="1" applyNumberFormat="1">
      <alignment readingOrder="0"/>
    </xf>
    <xf borderId="0" fillId="0" fontId="2" numFmtId="167" xfId="0" applyFont="1" applyNumberFormat="1"/>
    <xf borderId="4" fillId="0" fontId="2" numFmtId="0" xfId="0" applyAlignment="1" applyBorder="1" applyFont="1">
      <alignment horizontal="right"/>
    </xf>
    <xf borderId="0" fillId="4" fontId="7" numFmtId="9" xfId="0" applyAlignment="1" applyFont="1" applyNumberFormat="1">
      <alignment horizontal="center"/>
    </xf>
    <xf borderId="0" fillId="0" fontId="2" numFmtId="168" xfId="0" applyAlignment="1" applyFont="1" applyNumberFormat="1">
      <alignment readingOrder="0"/>
    </xf>
    <xf borderId="0" fillId="0" fontId="8" numFmtId="0" xfId="0" applyAlignment="1" applyFont="1">
      <alignment readingOrder="0"/>
    </xf>
    <xf borderId="0" fillId="0" fontId="2" numFmtId="169" xfId="0" applyFont="1" applyNumberFormat="1"/>
    <xf borderId="0" fillId="5" fontId="2" numFmtId="167" xfId="0" applyAlignment="1" applyFont="1" applyNumberFormat="1">
      <alignment readingOrder="0"/>
    </xf>
    <xf borderId="0" fillId="5" fontId="2" numFmtId="169" xfId="0" applyFont="1" applyNumberFormat="1"/>
    <xf borderId="0" fillId="5" fontId="7" numFmtId="9" xfId="0" applyAlignment="1" applyFont="1" applyNumberFormat="1">
      <alignment horizontal="center"/>
    </xf>
    <xf borderId="0" fillId="3" fontId="2" numFmtId="167" xfId="0" applyFont="1" applyNumberFormat="1"/>
    <xf borderId="5" fillId="0" fontId="2" numFmtId="0" xfId="0" applyAlignment="1" applyBorder="1" applyFont="1">
      <alignment horizontal="center" readingOrder="0"/>
    </xf>
    <xf borderId="0" fillId="0" fontId="2" numFmtId="170" xfId="0" applyAlignment="1" applyFont="1" applyNumberFormat="1">
      <alignment readingOrder="0"/>
    </xf>
    <xf borderId="0" fillId="0" fontId="9" numFmtId="0" xfId="0" applyAlignment="1" applyFont="1">
      <alignment readingOrder="0"/>
    </xf>
    <xf borderId="0" fillId="0" fontId="1" numFmtId="169" xfId="0" applyAlignment="1" applyFont="1" applyNumberFormat="1">
      <alignment horizontal="right" vertical="bottom"/>
    </xf>
    <xf borderId="0" fillId="5" fontId="2" numFmtId="167" xfId="0" applyFont="1" applyNumberFormat="1"/>
    <xf borderId="0" fillId="5" fontId="1" numFmtId="169" xfId="0" applyAlignment="1" applyFont="1" applyNumberFormat="1">
      <alignment horizontal="right" vertical="bottom"/>
    </xf>
    <xf borderId="0" fillId="0" fontId="2" numFmtId="164" xfId="0" applyFont="1" applyNumberFormat="1"/>
    <xf borderId="0" fillId="0" fontId="2" numFmtId="9" xfId="0" applyFont="1" applyNumberFormat="1"/>
    <xf borderId="0" fillId="0" fontId="2" numFmtId="164" xfId="0" applyFont="1" applyNumberFormat="1"/>
    <xf borderId="0" fillId="0" fontId="2" numFmtId="164" xfId="0" applyAlignment="1" applyFont="1" applyNumberFormat="1">
      <alignment horizontal="center"/>
    </xf>
    <xf borderId="0" fillId="0" fontId="2" numFmtId="10" xfId="0" applyAlignment="1" applyFont="1" applyNumberFormat="1">
      <alignment readingOrder="0"/>
    </xf>
    <xf borderId="0" fillId="3" fontId="7" numFmtId="0" xfId="0" applyAlignment="1" applyFont="1">
      <alignment readingOrder="0"/>
    </xf>
    <xf borderId="0" fillId="2" fontId="4" numFmtId="166" xfId="0" applyAlignment="1" applyFont="1" applyNumberFormat="1">
      <alignment readingOrder="0"/>
    </xf>
    <xf borderId="0" fillId="3" fontId="7" numFmtId="0" xfId="0" applyAlignment="1" applyFont="1">
      <alignment horizontal="center" readingOrder="0"/>
    </xf>
    <xf borderId="0" fillId="2" fontId="7" numFmtId="0" xfId="0" applyAlignment="1" applyFont="1">
      <alignment horizontal="center" readingOrder="0"/>
    </xf>
    <xf borderId="0" fillId="4" fontId="7" numFmtId="9" xfId="0" applyAlignment="1" applyFont="1" applyNumberFormat="1">
      <alignment horizontal="center" readingOrder="0"/>
    </xf>
    <xf borderId="2" fillId="0" fontId="1" numFmtId="169" xfId="0" applyAlignment="1" applyBorder="1" applyFont="1" applyNumberFormat="1">
      <alignment horizontal="right" vertical="bottom"/>
    </xf>
    <xf borderId="0" fillId="0" fontId="1" numFmtId="169" xfId="0" applyAlignment="1" applyFont="1" applyNumberFormat="1">
      <alignment horizontal="right" readingOrder="0" vertical="bottom"/>
    </xf>
    <xf borderId="0" fillId="5" fontId="7" numFmtId="9" xfId="0" applyAlignment="1" applyFont="1" applyNumberFormat="1">
      <alignment horizontal="center" readingOrder="0"/>
    </xf>
    <xf borderId="0" fillId="0" fontId="2" numFmtId="169" xfId="0" applyAlignment="1" applyFont="1" applyNumberFormat="1">
      <alignment readingOrder="0"/>
    </xf>
    <xf borderId="0" fillId="0" fontId="4" numFmtId="0" xfId="0" applyAlignment="1" applyFont="1">
      <alignment horizontal="right" readingOrder="0"/>
    </xf>
    <xf borderId="0" fillId="4" fontId="7" numFmtId="167" xfId="0" applyAlignment="1" applyFont="1" applyNumberFormat="1">
      <alignment horizontal="center"/>
    </xf>
    <xf borderId="0" fillId="4" fontId="7" numFmtId="171" xfId="0" applyAlignment="1" applyFont="1" applyNumberFormat="1">
      <alignment horizontal="center"/>
    </xf>
    <xf borderId="7" fillId="0" fontId="4" numFmtId="0" xfId="0" applyAlignment="1" applyBorder="1" applyFont="1">
      <alignment horizontal="right" readingOrder="0"/>
    </xf>
    <xf borderId="7" fillId="3" fontId="2" numFmtId="167" xfId="0" applyBorder="1" applyFont="1" applyNumberFormat="1"/>
    <xf borderId="7" fillId="4" fontId="7" numFmtId="167" xfId="0" applyAlignment="1" applyBorder="1" applyFont="1" applyNumberFormat="1">
      <alignment horizontal="center"/>
    </xf>
    <xf borderId="7" fillId="0" fontId="2" numFmtId="169" xfId="0" applyBorder="1" applyFont="1" applyNumberFormat="1"/>
    <xf borderId="7" fillId="4" fontId="7" numFmtId="171" xfId="0" applyAlignment="1" applyBorder="1" applyFont="1" applyNumberFormat="1">
      <alignment horizontal="center"/>
    </xf>
    <xf borderId="0" fillId="0" fontId="2" numFmtId="171" xfId="0" applyAlignment="1" applyFont="1" applyNumberFormat="1">
      <alignment readingOrder="0"/>
    </xf>
    <xf borderId="0" fillId="2" fontId="10" numFmtId="0" xfId="0" applyFont="1"/>
    <xf borderId="2" fillId="2" fontId="1" numFmtId="9" xfId="0" applyAlignment="1" applyBorder="1" applyFont="1" applyNumberFormat="1">
      <alignment vertical="bottom"/>
    </xf>
    <xf borderId="0" fillId="2" fontId="1" numFmtId="9" xfId="0" applyAlignment="1" applyFont="1" applyNumberFormat="1">
      <alignment vertical="bottom"/>
    </xf>
    <xf borderId="7" fillId="2" fontId="1" numFmtId="9" xfId="0" applyAlignment="1" applyBorder="1" applyFont="1" applyNumberFormat="1">
      <alignment vertical="bottom"/>
    </xf>
    <xf borderId="0" fillId="0" fontId="2" numFmtId="9" xfId="0" applyAlignment="1" applyFont="1" applyNumberFormat="1">
      <alignment horizontal="center" readingOrder="0"/>
    </xf>
    <xf borderId="0" fillId="0" fontId="2" numFmtId="0" xfId="0" applyAlignment="1" applyFont="1">
      <alignment readingOrder="0"/>
    </xf>
    <xf borderId="10" fillId="0" fontId="11" numFmtId="9" xfId="0" applyAlignment="1" applyBorder="1" applyFont="1" applyNumberFormat="1">
      <alignment horizontal="center" readingOrder="0"/>
    </xf>
    <xf borderId="10" fillId="0" fontId="4" numFmtId="9" xfId="0" applyAlignment="1" applyBorder="1" applyFont="1" applyNumberFormat="1">
      <alignment horizontal="center" readingOrder="0"/>
    </xf>
    <xf borderId="7" fillId="4" fontId="7" numFmtId="9" xfId="0" applyAlignment="1" applyBorder="1" applyFont="1" applyNumberFormat="1">
      <alignment horizontal="center"/>
    </xf>
    <xf borderId="0" fillId="0" fontId="2" numFmtId="9" xfId="0" applyAlignment="1" applyFont="1" applyNumberFormat="1">
      <alignment horizontal="center"/>
    </xf>
    <xf borderId="4" fillId="0" fontId="2" numFmtId="0" xfId="0" applyAlignment="1" applyBorder="1" applyFont="1">
      <alignment horizontal="right" readingOrder="0"/>
    </xf>
    <xf borderId="0" fillId="0" fontId="1" numFmtId="172" xfId="0" applyAlignment="1" applyFont="1" applyNumberFormat="1">
      <alignment horizontal="right" vertical="bottom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horizontal="left"/>
    </xf>
    <xf borderId="0" fillId="0" fontId="2" numFmtId="173" xfId="0" applyFont="1" applyNumberFormat="1"/>
    <xf borderId="11" fillId="0" fontId="12" numFmtId="0" xfId="0" applyAlignment="1" applyBorder="1" applyFont="1">
      <alignment horizontal="center" readingOrder="0"/>
    </xf>
    <xf borderId="12" fillId="0" fontId="2" numFmtId="0" xfId="0" applyBorder="1" applyFont="1"/>
    <xf borderId="13" fillId="0" fontId="2" numFmtId="0" xfId="0" applyBorder="1" applyFont="1"/>
    <xf borderId="14" fillId="0" fontId="13" numFmtId="0" xfId="0" applyAlignment="1" applyBorder="1" applyFont="1">
      <alignment horizontal="left" shrinkToFit="0" vertical="bottom" wrapText="0"/>
    </xf>
    <xf borderId="15" fillId="0" fontId="14" numFmtId="0" xfId="0" applyAlignment="1" applyBorder="1" applyFont="1">
      <alignment horizontal="center" readingOrder="0" shrinkToFit="0" vertical="bottom" wrapText="0"/>
    </xf>
    <xf borderId="16" fillId="0" fontId="14" numFmtId="0" xfId="0" applyAlignment="1" applyBorder="1" applyFont="1">
      <alignment horizontal="center" readingOrder="0" shrinkToFit="0" vertical="bottom" wrapText="0"/>
    </xf>
    <xf borderId="16" fillId="0" fontId="14" numFmtId="173" xfId="0" applyAlignment="1" applyBorder="1" applyFont="1" applyNumberFormat="1">
      <alignment horizontal="center" readingOrder="0" shrinkToFit="0" vertical="bottom" wrapText="0"/>
    </xf>
    <xf borderId="17" fillId="0" fontId="13" numFmtId="0" xfId="0" applyAlignment="1" applyBorder="1" applyFont="1">
      <alignment horizontal="left" readingOrder="0" shrinkToFit="0" vertical="bottom" wrapText="0"/>
    </xf>
    <xf borderId="18" fillId="0" fontId="15" numFmtId="164" xfId="0" applyAlignment="1" applyBorder="1" applyFont="1" applyNumberFormat="1">
      <alignment horizontal="center" readingOrder="0" shrinkToFit="0" vertical="bottom" wrapText="0"/>
    </xf>
    <xf borderId="19" fillId="0" fontId="16" numFmtId="164" xfId="0" applyAlignment="1" applyBorder="1" applyFont="1" applyNumberFormat="1">
      <alignment horizontal="center" readingOrder="0" shrinkToFit="0" vertical="bottom" wrapText="0"/>
    </xf>
    <xf borderId="19" fillId="0" fontId="16" numFmtId="173" xfId="0" applyAlignment="1" applyBorder="1" applyFont="1" applyNumberFormat="1">
      <alignment horizontal="center" readingOrder="0" shrinkToFit="0" vertical="bottom" wrapText="0"/>
    </xf>
    <xf borderId="17" fillId="0" fontId="13" numFmtId="174" xfId="0" applyAlignment="1" applyBorder="1" applyFont="1" applyNumberFormat="1">
      <alignment horizontal="left" readingOrder="0" shrinkToFit="0" vertical="bottom" wrapText="0"/>
    </xf>
    <xf borderId="18" fillId="0" fontId="16" numFmtId="164" xfId="0" applyAlignment="1" applyBorder="1" applyFont="1" applyNumberFormat="1">
      <alignment horizontal="center" readingOrder="0" shrinkToFit="0" vertical="bottom" wrapText="0"/>
    </xf>
    <xf borderId="20" fillId="0" fontId="13" numFmtId="0" xfId="0" applyAlignment="1" applyBorder="1" applyFont="1">
      <alignment horizontal="left" readingOrder="0" shrinkToFit="0" vertical="bottom" wrapText="0"/>
    </xf>
    <xf borderId="21" fillId="0" fontId="16" numFmtId="164" xfId="0" applyAlignment="1" applyBorder="1" applyFont="1" applyNumberFormat="1">
      <alignment horizontal="center" readingOrder="0" shrinkToFit="0" vertical="bottom" wrapText="0"/>
    </xf>
    <xf borderId="22" fillId="0" fontId="16" numFmtId="164" xfId="0" applyAlignment="1" applyBorder="1" applyFont="1" applyNumberFormat="1">
      <alignment horizontal="center" readingOrder="0" shrinkToFit="0" vertical="bottom" wrapText="0"/>
    </xf>
    <xf borderId="22" fillId="0" fontId="16" numFmtId="173" xfId="0" applyAlignment="1" applyBorder="1" applyFont="1" applyNumberFormat="1">
      <alignment horizontal="center" readingOrder="0" shrinkToFit="0" vertical="bottom" wrapText="0"/>
    </xf>
    <xf borderId="0" fillId="0" fontId="13" numFmtId="0" xfId="0" applyAlignment="1" applyFont="1">
      <alignment horizontal="left" shrinkToFit="0" vertical="bottom" wrapText="0"/>
    </xf>
    <xf borderId="0" fillId="0" fontId="13" numFmtId="0" xfId="0" applyAlignment="1" applyFont="1">
      <alignment horizontal="center" shrinkToFit="0" vertical="bottom" wrapText="0"/>
    </xf>
    <xf borderId="11" fillId="0" fontId="15" numFmtId="0" xfId="0" applyAlignment="1" applyBorder="1" applyFont="1">
      <alignment horizontal="left" readingOrder="0" shrinkToFit="0" vertical="bottom" wrapText="0"/>
    </xf>
    <xf borderId="23" fillId="0" fontId="2" numFmtId="0" xfId="0" applyBorder="1" applyFont="1"/>
    <xf borderId="24" fillId="0" fontId="16" numFmtId="164" xfId="0" applyAlignment="1" applyBorder="1" applyFont="1" applyNumberFormat="1">
      <alignment horizontal="center" readingOrder="0" shrinkToFit="0" vertical="bottom" wrapText="0"/>
    </xf>
    <xf borderId="11" fillId="0" fontId="17" numFmtId="0" xfId="0" applyAlignment="1" applyBorder="1" applyFont="1">
      <alignment horizontal="center" readingOrder="0" shrinkToFit="0" vertical="bottom" wrapText="0"/>
    </xf>
    <xf borderId="14" fillId="0" fontId="13" numFmtId="0" xfId="0" applyAlignment="1" applyBorder="1" applyFont="1">
      <alignment horizontal="left" readingOrder="0" shrinkToFit="0" vertical="bottom" wrapText="0"/>
    </xf>
    <xf borderId="15" fillId="0" fontId="13" numFmtId="0" xfId="0" applyAlignment="1" applyBorder="1" applyFont="1">
      <alignment horizontal="center" readingOrder="0" shrinkToFit="0" vertical="bottom" wrapText="0"/>
    </xf>
    <xf borderId="16" fillId="0" fontId="16" numFmtId="164" xfId="0" applyAlignment="1" applyBorder="1" applyFont="1" applyNumberFormat="1">
      <alignment horizontal="center" readingOrder="0" shrinkToFit="0" vertical="bottom" wrapText="0"/>
    </xf>
    <xf borderId="16" fillId="0" fontId="16" numFmtId="173" xfId="0" applyAlignment="1" applyBorder="1" applyFont="1" applyNumberFormat="1">
      <alignment horizontal="center" readingOrder="0" shrinkToFit="0" vertical="bottom" wrapText="0"/>
    </xf>
    <xf borderId="18" fillId="0" fontId="13" numFmtId="0" xfId="0" applyAlignment="1" applyBorder="1" applyFont="1">
      <alignment horizontal="center" readingOrder="0" shrinkToFit="0" vertical="bottom" wrapText="0"/>
    </xf>
    <xf borderId="19" fillId="0" fontId="15" numFmtId="164" xfId="0" applyAlignment="1" applyBorder="1" applyFont="1" applyNumberFormat="1">
      <alignment horizontal="center" readingOrder="0" shrinkToFit="0" vertical="bottom" wrapText="0"/>
    </xf>
    <xf borderId="17" fillId="0" fontId="13" numFmtId="165" xfId="0" applyAlignment="1" applyBorder="1" applyFont="1" applyNumberFormat="1">
      <alignment horizontal="left" readingOrder="0" shrinkToFit="0" vertical="bottom" wrapText="0"/>
    </xf>
    <xf borderId="17" fillId="0" fontId="13" numFmtId="175" xfId="0" applyAlignment="1" applyBorder="1" applyFont="1" applyNumberFormat="1">
      <alignment horizontal="left" readingOrder="0" shrinkToFit="0" vertical="bottom" wrapText="0"/>
    </xf>
    <xf borderId="20" fillId="0" fontId="13" numFmtId="175" xfId="0" applyAlignment="1" applyBorder="1" applyFont="1" applyNumberFormat="1">
      <alignment horizontal="left" readingOrder="0" shrinkToFit="0" vertical="bottom" wrapText="0"/>
    </xf>
    <xf borderId="21" fillId="0" fontId="13" numFmtId="0" xfId="0" applyAlignment="1" applyBorder="1" applyFont="1">
      <alignment horizontal="center" readingOrder="0" shrinkToFit="0" vertical="bottom" wrapText="0"/>
    </xf>
    <xf borderId="2" fillId="0" fontId="1" numFmtId="0" xfId="0" applyAlignment="1" applyBorder="1" applyFont="1">
      <alignment horizontal="left" readingOrder="0" vertical="bottom"/>
    </xf>
    <xf borderId="2" fillId="0" fontId="3" numFmtId="0" xfId="0" applyAlignment="1" applyBorder="1" applyFont="1">
      <alignment readingOrder="0" vertical="top"/>
    </xf>
    <xf borderId="0" fillId="0" fontId="3" numFmtId="0" xfId="0" applyAlignment="1" applyFont="1">
      <alignment readingOrder="0" vertical="top"/>
    </xf>
    <xf borderId="0" fillId="0" fontId="1" numFmtId="0" xfId="0" applyAlignment="1" applyFont="1">
      <alignment horizontal="left" readingOrder="0" vertical="bottom"/>
    </xf>
    <xf borderId="7" fillId="0" fontId="1" numFmtId="0" xfId="0" applyAlignment="1" applyBorder="1" applyFont="1">
      <alignment horizontal="left" readingOrder="0" vertical="bottom"/>
    </xf>
    <xf borderId="0" fillId="0" fontId="18" numFmtId="0" xfId="0" applyAlignment="1" applyFont="1">
      <alignment readingOrder="0"/>
    </xf>
    <xf borderId="25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5" fillId="0" fontId="2" numFmtId="0" xfId="0" applyAlignment="1" applyBorder="1" applyFont="1">
      <alignment readingOrder="0"/>
    </xf>
    <xf borderId="0" fillId="0" fontId="2" numFmtId="10" xfId="0" applyAlignment="1" applyFont="1" applyNumberFormat="1">
      <alignment horizontal="center"/>
    </xf>
    <xf borderId="5" fillId="0" fontId="2" numFmtId="0" xfId="0" applyAlignment="1" applyBorder="1" applyFont="1">
      <alignment readingOrder="0"/>
    </xf>
    <xf borderId="7" fillId="0" fontId="2" numFmtId="9" xfId="0" applyAlignment="1" applyBorder="1" applyFont="1" applyNumberFormat="1">
      <alignment horizontal="center"/>
    </xf>
    <xf borderId="0" fillId="0" fontId="1" numFmtId="0" xfId="0" applyAlignment="1" applyFont="1">
      <alignment vertical="bottom"/>
    </xf>
    <xf quotePrefix="1" borderId="0" fillId="0" fontId="2" numFmtId="0" xfId="0" applyAlignment="1" applyFont="1">
      <alignment readingOrder="0"/>
    </xf>
    <xf borderId="0" fillId="2" fontId="19" numFmtId="0" xfId="0" applyAlignment="1" applyFont="1">
      <alignment readingOrder="0"/>
    </xf>
    <xf borderId="0" fillId="0" fontId="20" numFmtId="0" xfId="0" applyAlignment="1" applyFont="1">
      <alignment horizontal="left" readingOrder="0"/>
    </xf>
    <xf borderId="0" fillId="0" fontId="2" numFmtId="49" xfId="0" applyAlignment="1" applyFont="1" applyNumberFormat="1">
      <alignment readingOrder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3" xfId="0" applyAlignment="1" applyFont="1" applyNumberFormat="1">
      <alignment horizontal="right" vertical="bottom"/>
    </xf>
    <xf borderId="0" fillId="0" fontId="1" numFmtId="1" xfId="0" applyAlignment="1" applyFont="1" applyNumberFormat="1">
      <alignment horizontal="right" vertical="bottom"/>
    </xf>
    <xf borderId="0" fillId="0" fontId="21" numFmtId="3" xfId="0" applyAlignment="1" applyFont="1" applyNumberFormat="1">
      <alignment horizontal="right" vertical="bottom"/>
    </xf>
    <xf borderId="0" fillId="0" fontId="21" numFmtId="0" xfId="0" applyAlignment="1" applyFont="1">
      <alignment horizontal="right" vertical="bottom"/>
    </xf>
    <xf borderId="0" fillId="0" fontId="1" numFmtId="2" xfId="0" applyAlignment="1" applyFont="1" applyNumberFormat="1">
      <alignment horizontal="right" vertical="bottom"/>
    </xf>
    <xf borderId="0" fillId="2" fontId="21" numFmtId="0" xfId="0" applyAlignment="1" applyFont="1">
      <alignment horizontal="left" readingOrder="0"/>
    </xf>
    <xf borderId="0" fillId="2" fontId="19" numFmtId="0" xfId="0" applyAlignment="1" applyFont="1">
      <alignment readingOrder="0"/>
    </xf>
    <xf borderId="26" fillId="0" fontId="1" numFmtId="0" xfId="0" applyAlignment="1" applyBorder="1" applyFont="1">
      <alignment vertical="bottom"/>
    </xf>
    <xf borderId="27" fillId="6" fontId="1" numFmtId="0" xfId="0" applyAlignment="1" applyBorder="1" applyFill="1" applyFont="1">
      <alignment vertical="bottom"/>
    </xf>
    <xf borderId="0" fillId="0" fontId="21" numFmtId="0" xfId="0" applyAlignment="1" applyFont="1">
      <alignment horizontal="right" vertical="bottom"/>
    </xf>
    <xf borderId="1" fillId="2" fontId="1" numFmtId="0" xfId="0" applyAlignment="1" applyBorder="1" applyFont="1">
      <alignment horizontal="right" vertical="bottom"/>
    </xf>
    <xf borderId="0" fillId="0" fontId="22" numFmtId="0" xfId="0" applyAlignment="1" applyFont="1">
      <alignment horizontal="right" readingOrder="0"/>
    </xf>
    <xf borderId="9" fillId="0" fontId="4" numFmtId="0" xfId="0" applyAlignment="1" applyBorder="1" applyFont="1">
      <alignment horizontal="right" readingOrder="0"/>
    </xf>
    <xf borderId="0" fillId="0" fontId="2" numFmtId="0" xfId="0" applyAlignment="1" applyFont="1">
      <alignment horizontal="right"/>
    </xf>
    <xf borderId="0" fillId="0" fontId="2" numFmtId="168" xfId="0" applyFont="1" applyNumberFormat="1"/>
    <xf borderId="0" fillId="2" fontId="1" numFmtId="0" xfId="0" applyAlignment="1" applyFont="1">
      <alignment vertical="bottom"/>
    </xf>
    <xf borderId="0" fillId="2" fontId="21" numFmtId="0" xfId="0" applyAlignment="1" applyFont="1">
      <alignment horizontal="right" vertical="bottom"/>
    </xf>
    <xf borderId="0" fillId="0" fontId="23" numFmtId="0" xfId="0" applyFont="1"/>
    <xf borderId="0" fillId="0" fontId="23" numFmtId="0" xfId="0" applyFont="1"/>
    <xf borderId="0" fillId="4" fontId="2" numFmtId="0" xfId="0" applyAlignment="1" applyFont="1">
      <alignment horizontal="center"/>
    </xf>
    <xf borderId="0" fillId="0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4" fillId="0" fontId="24" numFmtId="0" xfId="0" applyAlignment="1" applyBorder="1" applyFont="1">
      <alignment horizontal="right"/>
    </xf>
    <xf borderId="0" fillId="0" fontId="24" numFmtId="168" xfId="0" applyAlignment="1" applyFont="1" applyNumberFormat="1">
      <alignment readingOrder="0"/>
    </xf>
    <xf borderId="0" fillId="0" fontId="24" numFmtId="0" xfId="0" applyFont="1"/>
    <xf borderId="0" fillId="0" fontId="24" numFmtId="0" xfId="0" applyAlignment="1" applyFont="1">
      <alignment readingOrder="0" vertical="bottom"/>
    </xf>
    <xf borderId="0" fillId="0" fontId="24" numFmtId="0" xfId="0" applyAlignment="1" applyFont="1">
      <alignment readingOrder="0"/>
    </xf>
    <xf borderId="0" fillId="2" fontId="25" numFmtId="0" xfId="0" applyAlignment="1" applyFont="1">
      <alignment readingOrder="0"/>
    </xf>
    <xf borderId="0" fillId="2" fontId="26" numFmtId="0" xfId="0" applyAlignment="1" applyFont="1">
      <alignment readingOrder="0"/>
    </xf>
    <xf borderId="0" fillId="2" fontId="27" numFmtId="0" xfId="0" applyAlignment="1" applyFont="1">
      <alignment readingOrder="0"/>
    </xf>
    <xf borderId="0" fillId="0" fontId="24" numFmtId="0" xfId="0" applyAlignment="1" applyFont="1">
      <alignment vertical="bottom"/>
    </xf>
    <xf borderId="0" fillId="0" fontId="4" numFmtId="0" xfId="0" applyFont="1"/>
    <xf borderId="0" fillId="0" fontId="21" numFmtId="176" xfId="0" applyAlignment="1" applyFont="1" applyNumberFormat="1">
      <alignment horizontal="right" vertical="bottom"/>
    </xf>
    <xf quotePrefix="1" borderId="0" fillId="0" fontId="2" numFmtId="0" xfId="0" applyFont="1"/>
    <xf borderId="10" fillId="0" fontId="4" numFmtId="0" xfId="0" applyAlignment="1" applyBorder="1" applyFont="1">
      <alignment horizontal="right" readingOrder="0"/>
    </xf>
    <xf borderId="0" fillId="0" fontId="1" numFmtId="0" xfId="0" applyAlignment="1" applyFont="1">
      <alignment horizontal="right" vertical="bottom"/>
    </xf>
    <xf borderId="1" fillId="0" fontId="3" numFmtId="0" xfId="0" applyAlignment="1" applyBorder="1" applyFont="1">
      <alignment readingOrder="0" vertical="top"/>
    </xf>
    <xf borderId="0" fillId="0" fontId="3" numFmtId="49" xfId="0" applyAlignment="1" applyFont="1" applyNumberFormat="1">
      <alignment readingOrder="0" vertical="top"/>
    </xf>
    <xf borderId="0" fillId="0" fontId="4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vertical="bottom"/>
    </xf>
    <xf borderId="0" fillId="0" fontId="2" numFmtId="49" xfId="0" applyFont="1" applyNumberFormat="1"/>
    <xf borderId="0" fillId="6" fontId="1" numFmtId="0" xfId="0" applyAlignment="1" applyFont="1">
      <alignment horizontal="right" vertical="bottom"/>
    </xf>
    <xf borderId="0" fillId="2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horizontal="right" readingOrder="0" vertical="bottom"/>
    </xf>
    <xf borderId="0" fillId="0" fontId="21" numFmtId="0" xfId="0" applyAlignment="1" applyFont="1">
      <alignment horizontal="right" readingOrder="0" vertical="bottom"/>
    </xf>
    <xf borderId="2" fillId="0" fontId="1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right"/>
    </xf>
    <xf borderId="2" fillId="0" fontId="2" numFmtId="168" xfId="0" applyAlignment="1" applyBorder="1" applyFont="1" applyNumberFormat="1">
      <alignment readingOrder="0"/>
    </xf>
    <xf borderId="2" fillId="0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0" fillId="0" fontId="1" numFmtId="0" xfId="0" applyAlignment="1" applyFont="1">
      <alignment readingOrder="0" vertical="bottom"/>
    </xf>
    <xf borderId="6" fillId="0" fontId="2" numFmtId="0" xfId="0" applyAlignment="1" applyBorder="1" applyFont="1">
      <alignment horizontal="right"/>
    </xf>
    <xf borderId="7" fillId="0" fontId="2" numFmtId="168" xfId="0" applyAlignment="1" applyBorder="1" applyFont="1" applyNumberFormat="1">
      <alignment readingOrder="0"/>
    </xf>
    <xf borderId="7" fillId="0" fontId="2" numFmtId="0" xfId="0" applyAlignment="1" applyBorder="1" applyFont="1">
      <alignment readingOrder="0"/>
    </xf>
    <xf borderId="0" fillId="2" fontId="28" numFmtId="0" xfId="0" applyAlignment="1" applyFont="1">
      <alignment readingOrder="0"/>
    </xf>
    <xf borderId="0" fillId="2" fontId="29" numFmtId="0" xfId="0" applyAlignment="1" applyFont="1">
      <alignment readingOrder="0"/>
    </xf>
    <xf borderId="0" fillId="0" fontId="23" numFmtId="0" xfId="0" applyFont="1"/>
    <xf borderId="0" fillId="0" fontId="30" numFmtId="0" xfId="0" applyAlignment="1" applyFont="1">
      <alignment readingOrder="0"/>
    </xf>
    <xf borderId="0" fillId="0" fontId="1" numFmtId="0" xfId="0" applyFont="1"/>
    <xf borderId="0" fillId="0" fontId="2" numFmtId="177" xfId="0" applyAlignment="1" applyFont="1" applyNumberFormat="1">
      <alignment readingOrder="0"/>
    </xf>
    <xf borderId="0" fillId="2" fontId="31" numFmtId="0" xfId="0" applyAlignment="1" applyFont="1">
      <alignment readingOrder="0"/>
    </xf>
    <xf borderId="0" fillId="0" fontId="30" numFmtId="0" xfId="0" applyAlignment="1" applyFont="1">
      <alignment horizontal="right" readingOrder="0"/>
    </xf>
    <xf borderId="0" fillId="2" fontId="1" numFmtId="0" xfId="0" applyAlignment="1" applyFont="1">
      <alignment readingOrder="0"/>
    </xf>
    <xf borderId="0" fillId="2" fontId="19" numFmtId="0" xfId="0" applyFont="1"/>
    <xf borderId="0" fillId="6" fontId="1" numFmtId="0" xfId="0" applyAlignment="1" applyFont="1">
      <alignment vertical="bottom"/>
    </xf>
    <xf borderId="0" fillId="0" fontId="21" numFmtId="3" xfId="0" applyAlignment="1" applyFont="1" applyNumberFormat="1">
      <alignment horizontal="right" readingOrder="0" vertical="bottom"/>
    </xf>
    <xf borderId="0" fillId="0" fontId="21" numFmtId="169" xfId="0" applyAlignment="1" applyFont="1" applyNumberFormat="1">
      <alignment horizontal="right" vertical="bottom"/>
    </xf>
    <xf borderId="5" fillId="0" fontId="1" numFmtId="0" xfId="0" applyAlignment="1" applyBorder="1" applyFont="1">
      <alignment vertical="bottom"/>
    </xf>
    <xf quotePrefix="1" borderId="5" fillId="0" fontId="2" numFmtId="0" xfId="0" applyAlignment="1" applyBorder="1" applyFont="1">
      <alignment readingOrder="0"/>
    </xf>
    <xf borderId="0" fillId="2" fontId="19" numFmtId="0" xfId="0" applyAlignment="1" applyFont="1">
      <alignment horizontal="left" readingOrder="0"/>
    </xf>
    <xf borderId="0" fillId="0" fontId="31" numFmtId="0" xfId="0" applyAlignment="1" applyFont="1">
      <alignment readingOrder="0"/>
    </xf>
    <xf borderId="2" fillId="2" fontId="3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1" numFmtId="0" xfId="0" applyAlignment="1" applyBorder="1" applyFont="1">
      <alignment vertical="bottom"/>
    </xf>
    <xf borderId="4" fillId="0" fontId="2" numFmtId="0" xfId="0" applyAlignment="1" applyBorder="1" applyFont="1">
      <alignment readingOrder="0"/>
    </xf>
    <xf quotePrefix="1" borderId="0" fillId="0" fontId="1" numFmtId="0" xfId="0" applyAlignment="1" applyFont="1">
      <alignment readingOrder="0" vertical="bottom"/>
    </xf>
    <xf borderId="0" fillId="0" fontId="19" numFmtId="0" xfId="0" applyAlignment="1" applyFont="1">
      <alignment horizontal="left" readingOrder="0"/>
    </xf>
    <xf borderId="0" fillId="0" fontId="1" numFmtId="0" xfId="0" applyAlignment="1" applyFont="1">
      <alignment horizontal="left" vertical="bottom"/>
    </xf>
    <xf borderId="7" fillId="0" fontId="1" numFmtId="0" xfId="0" applyAlignment="1" applyBorder="1" applyFont="1">
      <alignment horizontal="left" vertical="bottom"/>
    </xf>
    <xf borderId="28" fillId="0" fontId="2" numFmtId="0" xfId="0" applyBorder="1" applyFont="1"/>
    <xf borderId="29" fillId="0" fontId="2" numFmtId="0" xfId="0" applyBorder="1" applyFont="1"/>
    <xf borderId="30" fillId="0" fontId="2" numFmtId="0" xfId="0" applyBorder="1" applyFont="1"/>
    <xf borderId="9" fillId="0" fontId="4" numFmtId="0" xfId="0" applyAlignment="1" applyBorder="1" applyFont="1">
      <alignment horizontal="center" readingOrder="0" shrinkToFit="0" wrapText="1"/>
    </xf>
    <xf borderId="25" fillId="0" fontId="2" numFmtId="0" xfId="0" applyBorder="1" applyFont="1"/>
    <xf borderId="31" fillId="0" fontId="2" numFmtId="0" xfId="0" applyBorder="1" applyFont="1"/>
    <xf borderId="32" fillId="0" fontId="2" numFmtId="0" xfId="0" applyAlignment="1" applyBorder="1" applyFont="1">
      <alignment readingOrder="0"/>
    </xf>
    <xf borderId="33" fillId="0" fontId="2" numFmtId="164" xfId="0" applyAlignment="1" applyBorder="1" applyFont="1" applyNumberFormat="1">
      <alignment readingOrder="0"/>
    </xf>
    <xf borderId="34" fillId="0" fontId="2" numFmtId="0" xfId="0" applyAlignment="1" applyBorder="1" applyFont="1">
      <alignment readingOrder="0"/>
    </xf>
    <xf borderId="35" fillId="0" fontId="2" numFmtId="164" xfId="0" applyAlignment="1" applyBorder="1" applyFont="1" applyNumberFormat="1">
      <alignment readingOrder="0"/>
    </xf>
    <xf borderId="36" fillId="0" fontId="2" numFmtId="0" xfId="0" applyAlignment="1" applyBorder="1" applyFont="1">
      <alignment readingOrder="0"/>
    </xf>
    <xf borderId="37" fillId="0" fontId="2" numFmtId="164" xfId="0" applyAlignment="1" applyBorder="1" applyFont="1" applyNumberFormat="1">
      <alignment readingOrder="0"/>
    </xf>
    <xf borderId="38" fillId="0" fontId="2" numFmtId="0" xfId="0" applyAlignment="1" applyBorder="1" applyFont="1">
      <alignment readingOrder="0"/>
    </xf>
    <xf borderId="39" fillId="0" fontId="2" numFmtId="0" xfId="0" applyBorder="1" applyFont="1"/>
    <xf borderId="40" fillId="0" fontId="2" numFmtId="0" xfId="0" applyBorder="1" applyFont="1"/>
    <xf borderId="0" fillId="0" fontId="2" numFmtId="178" xfId="0" applyFont="1" applyNumberFormat="1"/>
    <xf borderId="0" fillId="0" fontId="2" numFmtId="14" xfId="0" applyFont="1" applyNumberFormat="1"/>
    <xf borderId="0" fillId="0" fontId="2" numFmtId="179" xfId="0" applyFont="1" applyNumberFormat="1"/>
    <xf borderId="0" fillId="0" fontId="2" numFmtId="180" xfId="0" applyFont="1" applyNumberFormat="1"/>
    <xf borderId="0" fillId="0" fontId="2" numFmtId="181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1" numFmtId="10" xfId="0" applyAlignment="1" applyFont="1" applyNumberFormat="1">
      <alignment vertical="bottom"/>
    </xf>
    <xf borderId="6" fillId="0" fontId="2" numFmtId="0" xfId="0" applyAlignment="1" applyBorder="1" applyFont="1">
      <alignment readingOrder="0"/>
    </xf>
    <xf borderId="7" fillId="0" fontId="1" numFmtId="0" xfId="0" applyAlignment="1" applyBorder="1" applyFont="1">
      <alignment vertical="bottom"/>
    </xf>
  </cellXfs>
  <cellStyles count="1">
    <cellStyle xfId="0" name="Normal" builtinId="0"/>
  </cellStyles>
  <dxfs count="2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8.xml"/><Relationship Id="rId22" Type="http://schemas.openxmlformats.org/officeDocument/2006/relationships/worksheet" Target="worksheets/sheet20.xml"/><Relationship Id="rId21" Type="http://schemas.openxmlformats.org/officeDocument/2006/relationships/worksheet" Target="worksheets/sheet19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33" Type="http://schemas.openxmlformats.org/officeDocument/2006/relationships/worksheet" Target="worksheets/sheet31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35" Type="http://schemas.openxmlformats.org/officeDocument/2006/relationships/worksheet" Target="worksheets/sheet33.xml"/><Relationship Id="rId12" Type="http://schemas.openxmlformats.org/officeDocument/2006/relationships/worksheet" Target="worksheets/sheet10.xml"/><Relationship Id="rId34" Type="http://schemas.openxmlformats.org/officeDocument/2006/relationships/worksheet" Target="worksheets/sheet32.xml"/><Relationship Id="rId15" Type="http://schemas.openxmlformats.org/officeDocument/2006/relationships/worksheet" Target="worksheets/sheet13.xml"/><Relationship Id="rId37" Type="http://schemas.openxmlformats.org/officeDocument/2006/relationships/worksheet" Target="worksheets/sheet35.xml"/><Relationship Id="rId14" Type="http://schemas.openxmlformats.org/officeDocument/2006/relationships/worksheet" Target="worksheets/sheet12.xml"/><Relationship Id="rId36" Type="http://schemas.openxmlformats.org/officeDocument/2006/relationships/worksheet" Target="worksheets/sheet34.xml"/><Relationship Id="rId17" Type="http://schemas.openxmlformats.org/officeDocument/2006/relationships/worksheet" Target="worksheets/sheet15.xml"/><Relationship Id="rId16" Type="http://schemas.openxmlformats.org/officeDocument/2006/relationships/worksheet" Target="worksheets/sheet14.xml"/><Relationship Id="rId38" Type="http://schemas.openxmlformats.org/officeDocument/2006/relationships/worksheet" Target="worksheets/sheet36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5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209550</xdr:colOff>
      <xdr:row>0</xdr:row>
      <xdr:rowOff>0</xdr:rowOff>
    </xdr:from>
    <xdr:ext cx="2743200" cy="5238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76200</xdr:colOff>
      <xdr:row>0</xdr:row>
      <xdr:rowOff>28575</xdr:rowOff>
    </xdr:from>
    <xdr:ext cx="2743200" cy="5238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9525</xdr:colOff>
      <xdr:row>0</xdr:row>
      <xdr:rowOff>0</xdr:rowOff>
    </xdr:from>
    <xdr:ext cx="3095625" cy="590550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9525</xdr:colOff>
      <xdr:row>0</xdr:row>
      <xdr:rowOff>0</xdr:rowOff>
    </xdr:from>
    <xdr:ext cx="3095625" cy="590550"/>
    <xdr:pic>
      <xdr:nvPicPr>
        <xdr:cNvPr id="0" name="image2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0</xdr:rowOff>
    </xdr:from>
    <xdr:ext cx="2743200" cy="52387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28575</xdr:colOff>
      <xdr:row>0</xdr:row>
      <xdr:rowOff>9525</xdr:rowOff>
    </xdr:from>
    <xdr:ext cx="2743200" cy="5238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400050</xdr:colOff>
      <xdr:row>5</xdr:row>
      <xdr:rowOff>123825</xdr:rowOff>
    </xdr:from>
    <xdr:ext cx="1114425" cy="20955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28575</xdr:colOff>
      <xdr:row>0</xdr:row>
      <xdr:rowOff>9525</xdr:rowOff>
    </xdr:from>
    <xdr:ext cx="2743200" cy="5238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400050</xdr:colOff>
      <xdr:row>5</xdr:row>
      <xdr:rowOff>123825</xdr:rowOff>
    </xdr:from>
    <xdr:ext cx="1114425" cy="20955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28575</xdr:colOff>
      <xdr:row>0</xdr:row>
      <xdr:rowOff>9525</xdr:rowOff>
    </xdr:from>
    <xdr:ext cx="2743200" cy="5238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400050</xdr:colOff>
      <xdr:row>5</xdr:row>
      <xdr:rowOff>123825</xdr:rowOff>
    </xdr:from>
    <xdr:ext cx="1114425" cy="20955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28575</xdr:colOff>
      <xdr:row>0</xdr:row>
      <xdr:rowOff>9525</xdr:rowOff>
    </xdr:from>
    <xdr:ext cx="2743200" cy="5238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28575</xdr:colOff>
      <xdr:row>0</xdr:row>
      <xdr:rowOff>9525</xdr:rowOff>
    </xdr:from>
    <xdr:ext cx="2743200" cy="5238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28575</xdr:colOff>
      <xdr:row>0</xdr:row>
      <xdr:rowOff>9525</xdr:rowOff>
    </xdr:from>
    <xdr:ext cx="2743200" cy="5238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28575</xdr:colOff>
      <xdr:row>0</xdr:row>
      <xdr:rowOff>9525</xdr:rowOff>
    </xdr:from>
    <xdr:ext cx="2743200" cy="5238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28575</xdr:colOff>
      <xdr:row>0</xdr:row>
      <xdr:rowOff>9525</xdr:rowOff>
    </xdr:from>
    <xdr:ext cx="2743200" cy="5238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28575</xdr:colOff>
      <xdr:row>0</xdr:row>
      <xdr:rowOff>9525</xdr:rowOff>
    </xdr:from>
    <xdr:ext cx="2743200" cy="5238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28575</xdr:colOff>
      <xdr:row>0</xdr:row>
      <xdr:rowOff>9525</xdr:rowOff>
    </xdr:from>
    <xdr:ext cx="2743200" cy="5238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28575</xdr:colOff>
      <xdr:row>0</xdr:row>
      <xdr:rowOff>9525</xdr:rowOff>
    </xdr:from>
    <xdr:ext cx="2743200" cy="5238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28575</xdr:colOff>
      <xdr:row>0</xdr:row>
      <xdr:rowOff>9525</xdr:rowOff>
    </xdr:from>
    <xdr:ext cx="2743200" cy="5238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28575</xdr:rowOff>
    </xdr:from>
    <xdr:ext cx="2609850" cy="49530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28575</xdr:colOff>
      <xdr:row>0</xdr:row>
      <xdr:rowOff>0</xdr:rowOff>
    </xdr:from>
    <xdr:ext cx="2743200" cy="5238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28575</xdr:colOff>
      <xdr:row>0</xdr:row>
      <xdr:rowOff>9525</xdr:rowOff>
    </xdr:from>
    <xdr:ext cx="2743200" cy="5238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28575</xdr:colOff>
      <xdr:row>0</xdr:row>
      <xdr:rowOff>9525</xdr:rowOff>
    </xdr:from>
    <xdr:ext cx="2743200" cy="5238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28575</xdr:colOff>
      <xdr:row>0</xdr:row>
      <xdr:rowOff>9525</xdr:rowOff>
    </xdr:from>
    <xdr:ext cx="2743200" cy="5238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28575</xdr:colOff>
      <xdr:row>0</xdr:row>
      <xdr:rowOff>9525</xdr:rowOff>
    </xdr:from>
    <xdr:ext cx="2743200" cy="5238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28575</xdr:colOff>
      <xdr:row>0</xdr:row>
      <xdr:rowOff>9525</xdr:rowOff>
    </xdr:from>
    <xdr:ext cx="2743200" cy="5238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28575</xdr:colOff>
      <xdr:row>0</xdr:row>
      <xdr:rowOff>9525</xdr:rowOff>
    </xdr:from>
    <xdr:ext cx="2743200" cy="5238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28575</xdr:colOff>
      <xdr:row>0</xdr:row>
      <xdr:rowOff>9525</xdr:rowOff>
    </xdr:from>
    <xdr:ext cx="2743200" cy="5238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28575</xdr:colOff>
      <xdr:row>0</xdr:row>
      <xdr:rowOff>9525</xdr:rowOff>
    </xdr:from>
    <xdr:ext cx="2743200" cy="5238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0</xdr:colOff>
      <xdr:row>0</xdr:row>
      <xdr:rowOff>38100</xdr:rowOff>
    </xdr:from>
    <xdr:ext cx="2838450" cy="542925"/>
    <xdr:pic>
      <xdr:nvPicPr>
        <xdr:cNvPr id="0" name="image3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28575</xdr:colOff>
      <xdr:row>0</xdr:row>
      <xdr:rowOff>9525</xdr:rowOff>
    </xdr:from>
    <xdr:ext cx="2743200" cy="523875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23</xdr:col>
      <xdr:colOff>400050</xdr:colOff>
      <xdr:row>28</xdr:row>
      <xdr:rowOff>123825</xdr:rowOff>
    </xdr:from>
    <xdr:ext cx="1114425" cy="209550"/>
    <xdr:pic>
      <xdr:nvPicPr>
        <xdr:cNvPr id="0" name="image1.png" title="Imagem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airbnb.com.br/rooms/30815291" TargetMode="External"/><Relationship Id="rId11" Type="http://schemas.openxmlformats.org/officeDocument/2006/relationships/hyperlink" Target="https://www.airbnb.com.br/rooms/30814786" TargetMode="External"/><Relationship Id="rId22" Type="http://schemas.openxmlformats.org/officeDocument/2006/relationships/hyperlink" Target="https://www.airbnb.com.br/rooms/32545822" TargetMode="External"/><Relationship Id="rId10" Type="http://schemas.openxmlformats.org/officeDocument/2006/relationships/hyperlink" Target="https://www.airbnb.com.br/rooms/21023786" TargetMode="External"/><Relationship Id="rId21" Type="http://schemas.openxmlformats.org/officeDocument/2006/relationships/hyperlink" Target="https://www.airbnb.com.br/rooms/14871575" TargetMode="External"/><Relationship Id="rId13" Type="http://schemas.openxmlformats.org/officeDocument/2006/relationships/hyperlink" Target="https://www.airbnb.com.br/rooms/31085662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www.airbnb.com.br/rooms/20590417" TargetMode="External"/><Relationship Id="rId23" Type="http://schemas.openxmlformats.org/officeDocument/2006/relationships/hyperlink" Target="https://www.airbnb.com.br/rooms/33209518" TargetMode="External"/><Relationship Id="rId1" Type="http://schemas.openxmlformats.org/officeDocument/2006/relationships/hyperlink" Target="https://www.airbnb.com.br/rooms/24208342" TargetMode="External"/><Relationship Id="rId2" Type="http://schemas.openxmlformats.org/officeDocument/2006/relationships/hyperlink" Target="https://www.airbnb.com.br/rooms/32634648" TargetMode="External"/><Relationship Id="rId3" Type="http://schemas.openxmlformats.org/officeDocument/2006/relationships/hyperlink" Target="https://www.airbnb.com.br/rooms/14928377" TargetMode="External"/><Relationship Id="rId4" Type="http://schemas.openxmlformats.org/officeDocument/2006/relationships/hyperlink" Target="https://www.airbnb.com.br/rooms/9921616" TargetMode="External"/><Relationship Id="rId9" Type="http://schemas.openxmlformats.org/officeDocument/2006/relationships/hyperlink" Target="https://www.airbnb.com.br/rooms/30333581" TargetMode="External"/><Relationship Id="rId15" Type="http://schemas.openxmlformats.org/officeDocument/2006/relationships/hyperlink" Target="https://www.airbnb.com.br/rooms/31082966" TargetMode="External"/><Relationship Id="rId14" Type="http://schemas.openxmlformats.org/officeDocument/2006/relationships/hyperlink" Target="https://www.airbnb.com.br/rooms/29610145" TargetMode="External"/><Relationship Id="rId17" Type="http://schemas.openxmlformats.org/officeDocument/2006/relationships/hyperlink" Target="https://www.airbnb.com.br/rooms/17979777" TargetMode="External"/><Relationship Id="rId16" Type="http://schemas.openxmlformats.org/officeDocument/2006/relationships/hyperlink" Target="https://www.airbnb.com.br/rooms/31081903" TargetMode="External"/><Relationship Id="rId5" Type="http://schemas.openxmlformats.org/officeDocument/2006/relationships/hyperlink" Target="https://www.airbnb.com.br/rooms/32138307" TargetMode="External"/><Relationship Id="rId19" Type="http://schemas.openxmlformats.org/officeDocument/2006/relationships/hyperlink" Target="https://www.airbnb.com.br/rooms/10001582" TargetMode="External"/><Relationship Id="rId6" Type="http://schemas.openxmlformats.org/officeDocument/2006/relationships/hyperlink" Target="https://www.airbnb.com.br/rooms/30840592" TargetMode="External"/><Relationship Id="rId18" Type="http://schemas.openxmlformats.org/officeDocument/2006/relationships/hyperlink" Target="https://www.airbnb.com.br/rooms/30370268" TargetMode="External"/><Relationship Id="rId7" Type="http://schemas.openxmlformats.org/officeDocument/2006/relationships/hyperlink" Target="https://www.airbnb.com.br/rooms/23144897" TargetMode="External"/><Relationship Id="rId8" Type="http://schemas.openxmlformats.org/officeDocument/2006/relationships/hyperlink" Target="https://www.airbnb.com.br/rooms/2828334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hyperlink" Target="mailto:ricardo@balsinicorrea.com.br" TargetMode="External"/><Relationship Id="rId2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hyperlink" Target="http://fredernani@hotmail.com/" TargetMode="External"/><Relationship Id="rId2" Type="http://schemas.openxmlformats.org/officeDocument/2006/relationships/hyperlink" Target="mailto:ricardo@balsinicorrea.com.br" TargetMode="External"/><Relationship Id="rId3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12.0"/>
    <col customWidth="1" min="2" max="3" width="10.71"/>
    <col customWidth="1" min="4" max="4" width="16.86"/>
    <col customWidth="1" min="5" max="5" width="8.57"/>
    <col customWidth="1" min="6" max="6" width="10.57"/>
    <col customWidth="1" min="7" max="7" width="10.0"/>
    <col customWidth="1" min="8" max="8" width="12.71"/>
    <col customWidth="1" min="9" max="9" width="11.71"/>
    <col customWidth="1" min="10" max="10" width="10.86"/>
    <col customWidth="1" min="11" max="11" width="9.86"/>
    <col customWidth="1" min="12" max="12" width="8.86"/>
    <col customWidth="1" min="13" max="13" width="10.86"/>
    <col customWidth="1" min="14" max="14" width="16.71"/>
    <col customWidth="1" min="15" max="25" width="3.29"/>
    <col customWidth="1" min="26" max="26" width="37.0"/>
    <col customWidth="1" min="27" max="27" width="38.71"/>
  </cols>
  <sheetData>
    <row r="1">
      <c r="A1" s="1"/>
      <c r="B1" s="2"/>
      <c r="C1" s="2"/>
      <c r="D1" s="2"/>
      <c r="E1" s="2"/>
      <c r="F1" s="2"/>
      <c r="G1" s="3"/>
      <c r="H1" s="4" t="s">
        <v>0</v>
      </c>
      <c r="J1" s="4" t="s">
        <v>1</v>
      </c>
      <c r="K1" s="6"/>
      <c r="L1" s="9"/>
      <c r="M1" s="9"/>
      <c r="N1" s="9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9"/>
      <c r="AA1" s="11"/>
    </row>
    <row r="2">
      <c r="A2" s="13"/>
      <c r="G2" s="15"/>
      <c r="H2" s="4" t="s">
        <v>2</v>
      </c>
      <c r="J2" s="4" t="s">
        <v>3</v>
      </c>
      <c r="K2" s="6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>
      <c r="A3" s="17"/>
      <c r="B3" s="19"/>
      <c r="C3" s="19"/>
      <c r="D3" s="19"/>
      <c r="E3" s="19"/>
      <c r="F3" s="19"/>
      <c r="G3" s="21"/>
      <c r="H3" s="4" t="s">
        <v>4</v>
      </c>
      <c r="I3" s="22"/>
      <c r="J3" s="22" t="s">
        <v>5</v>
      </c>
      <c r="K3" s="24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  <c r="W3" s="26"/>
      <c r="X3" s="26"/>
      <c r="Y3" s="26"/>
      <c r="Z3" s="26"/>
      <c r="AA3" s="26"/>
    </row>
    <row r="4" ht="8.25" customHeight="1">
      <c r="A4" s="4"/>
      <c r="B4" s="4"/>
      <c r="C4" s="4"/>
      <c r="D4" s="4"/>
      <c r="E4" s="4"/>
      <c r="F4" s="28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30"/>
      <c r="S4" s="30"/>
      <c r="T4" s="30"/>
      <c r="U4" s="30"/>
      <c r="V4" s="30"/>
      <c r="W4" s="30"/>
      <c r="X4" s="30"/>
      <c r="Y4" s="30"/>
    </row>
    <row r="5" ht="77.25" customHeight="1">
      <c r="A5" s="32" t="s">
        <v>6</v>
      </c>
      <c r="B5" s="37" t="s">
        <v>8</v>
      </c>
      <c r="C5" s="37" t="s">
        <v>9</v>
      </c>
      <c r="D5" s="37" t="s">
        <v>10</v>
      </c>
      <c r="E5" s="37" t="s">
        <v>11</v>
      </c>
      <c r="F5" s="37" t="s">
        <v>12</v>
      </c>
      <c r="G5" s="37" t="s">
        <v>13</v>
      </c>
      <c r="H5" s="37" t="s">
        <v>14</v>
      </c>
      <c r="I5" s="37" t="s">
        <v>15</v>
      </c>
      <c r="J5" s="37" t="s">
        <v>16</v>
      </c>
      <c r="K5" s="37" t="s">
        <v>17</v>
      </c>
      <c r="L5" s="37" t="s">
        <v>18</v>
      </c>
      <c r="M5" s="37" t="s">
        <v>16</v>
      </c>
      <c r="N5" s="37" t="s">
        <v>19</v>
      </c>
      <c r="O5" s="41" t="s">
        <v>20</v>
      </c>
      <c r="P5" s="41" t="s">
        <v>22</v>
      </c>
      <c r="Q5" s="41" t="s">
        <v>23</v>
      </c>
      <c r="R5" s="41" t="s">
        <v>24</v>
      </c>
      <c r="S5" s="41" t="s">
        <v>25</v>
      </c>
      <c r="T5" s="41" t="s">
        <v>26</v>
      </c>
      <c r="U5" s="41" t="s">
        <v>27</v>
      </c>
      <c r="V5" s="41" t="s">
        <v>28</v>
      </c>
      <c r="W5" s="41" t="s">
        <v>29</v>
      </c>
      <c r="X5" s="41" t="s">
        <v>30</v>
      </c>
      <c r="Y5" s="41" t="s">
        <v>31</v>
      </c>
      <c r="Z5" s="44" t="s">
        <v>32</v>
      </c>
      <c r="AA5" s="44" t="s">
        <v>35</v>
      </c>
      <c r="AB5" s="44" t="s">
        <v>36</v>
      </c>
    </row>
    <row r="6">
      <c r="A6" s="48" t="s">
        <v>38</v>
      </c>
      <c r="B6" s="4">
        <v>550.0</v>
      </c>
      <c r="C6" s="4">
        <v>1110.0</v>
      </c>
      <c r="D6" s="51" t="s">
        <v>40</v>
      </c>
      <c r="E6" s="51" t="s">
        <v>43</v>
      </c>
      <c r="F6" s="53">
        <v>1.0</v>
      </c>
      <c r="G6" s="4" t="s">
        <v>46</v>
      </c>
      <c r="H6" s="55">
        <v>43599.0</v>
      </c>
      <c r="I6" s="4" t="s">
        <v>48</v>
      </c>
      <c r="J6" s="4" t="s">
        <v>49</v>
      </c>
      <c r="K6" s="4" t="s">
        <v>50</v>
      </c>
      <c r="L6" s="4" t="s">
        <v>52</v>
      </c>
      <c r="M6" s="4"/>
      <c r="N6" s="28"/>
      <c r="O6" s="28" t="s">
        <v>53</v>
      </c>
      <c r="P6" s="28" t="s">
        <v>53</v>
      </c>
      <c r="Q6" s="28" t="s">
        <v>54</v>
      </c>
      <c r="R6" s="28" t="s">
        <v>53</v>
      </c>
      <c r="S6" s="28" t="s">
        <v>53</v>
      </c>
      <c r="T6" s="28" t="s">
        <v>53</v>
      </c>
      <c r="U6" s="28" t="s">
        <v>53</v>
      </c>
      <c r="V6" s="28" t="s">
        <v>53</v>
      </c>
      <c r="W6" s="28" t="s">
        <v>53</v>
      </c>
      <c r="X6" s="28" t="s">
        <v>54</v>
      </c>
      <c r="Y6" s="28" t="s">
        <v>54</v>
      </c>
      <c r="Z6" s="4"/>
      <c r="AA6" s="4"/>
      <c r="AB6" s="4"/>
    </row>
    <row r="7">
      <c r="A7" s="48" t="s">
        <v>41</v>
      </c>
      <c r="B7" s="4">
        <v>420.0</v>
      </c>
      <c r="C7" s="4">
        <v>1111.0</v>
      </c>
      <c r="D7" s="51" t="s">
        <v>59</v>
      </c>
      <c r="E7" s="51" t="s">
        <v>60</v>
      </c>
      <c r="F7" s="53">
        <v>1.0</v>
      </c>
      <c r="G7" s="4" t="s">
        <v>46</v>
      </c>
      <c r="H7" s="55">
        <v>43617.0</v>
      </c>
      <c r="I7" s="4" t="s">
        <v>49</v>
      </c>
      <c r="J7" s="4" t="s">
        <v>61</v>
      </c>
      <c r="K7" s="4" t="s">
        <v>50</v>
      </c>
      <c r="L7" s="4" t="s">
        <v>52</v>
      </c>
      <c r="M7" s="4"/>
      <c r="N7" s="28"/>
      <c r="O7" s="28" t="s">
        <v>53</v>
      </c>
      <c r="P7" s="28" t="s">
        <v>54</v>
      </c>
      <c r="Q7" s="28" t="s">
        <v>54</v>
      </c>
      <c r="R7" s="28" t="s">
        <v>54</v>
      </c>
      <c r="S7" s="28" t="s">
        <v>54</v>
      </c>
      <c r="T7" s="28" t="s">
        <v>54</v>
      </c>
      <c r="U7" s="28" t="s">
        <v>54</v>
      </c>
      <c r="V7" s="28" t="s">
        <v>63</v>
      </c>
      <c r="W7" s="28" t="s">
        <v>54</v>
      </c>
      <c r="X7" s="28" t="s">
        <v>54</v>
      </c>
      <c r="Y7" s="28" t="s">
        <v>54</v>
      </c>
      <c r="Z7" s="4"/>
      <c r="AA7" s="4"/>
      <c r="AB7" s="4"/>
    </row>
    <row r="8">
      <c r="A8" s="48" t="s">
        <v>42</v>
      </c>
      <c r="B8" s="4">
        <v>420.0</v>
      </c>
      <c r="C8" s="4">
        <v>1112.0</v>
      </c>
      <c r="D8" s="51" t="s">
        <v>40</v>
      </c>
      <c r="E8" s="51" t="s">
        <v>67</v>
      </c>
      <c r="F8" s="53">
        <v>1.0</v>
      </c>
      <c r="G8" s="4" t="s">
        <v>46</v>
      </c>
      <c r="H8" s="55">
        <v>43599.0</v>
      </c>
      <c r="I8" s="4" t="s">
        <v>48</v>
      </c>
      <c r="J8" s="4" t="s">
        <v>49</v>
      </c>
      <c r="K8" s="4" t="s">
        <v>50</v>
      </c>
      <c r="L8" s="4" t="s">
        <v>52</v>
      </c>
      <c r="M8" s="4"/>
      <c r="N8" s="28"/>
      <c r="O8" s="28" t="s">
        <v>53</v>
      </c>
      <c r="P8" s="28" t="s">
        <v>53</v>
      </c>
      <c r="Q8" s="28" t="s">
        <v>54</v>
      </c>
      <c r="R8" s="28" t="s">
        <v>53</v>
      </c>
      <c r="S8" s="28" t="s">
        <v>53</v>
      </c>
      <c r="T8" s="28" t="s">
        <v>53</v>
      </c>
      <c r="U8" s="28" t="s">
        <v>53</v>
      </c>
      <c r="V8" s="28" t="s">
        <v>53</v>
      </c>
      <c r="W8" s="28" t="s">
        <v>53</v>
      </c>
      <c r="X8" s="28" t="s">
        <v>54</v>
      </c>
      <c r="Y8" s="28" t="s">
        <v>54</v>
      </c>
      <c r="Z8" s="4"/>
      <c r="AA8" s="4"/>
      <c r="AB8" s="4"/>
    </row>
    <row r="9">
      <c r="A9" s="48" t="s">
        <v>45</v>
      </c>
      <c r="B9" s="4">
        <v>420.0</v>
      </c>
      <c r="C9" s="4">
        <v>1211.0</v>
      </c>
      <c r="D9" s="51" t="s">
        <v>71</v>
      </c>
      <c r="E9" s="51" t="s">
        <v>60</v>
      </c>
      <c r="F9" s="53">
        <v>1.0</v>
      </c>
      <c r="G9" s="4" t="s">
        <v>46</v>
      </c>
      <c r="H9" s="55">
        <v>43454.0</v>
      </c>
      <c r="I9" s="6" t="s">
        <v>73</v>
      </c>
      <c r="J9" s="6" t="s">
        <v>73</v>
      </c>
      <c r="K9" s="6" t="s">
        <v>50</v>
      </c>
      <c r="L9" s="4" t="s">
        <v>52</v>
      </c>
      <c r="M9" s="4">
        <f>if(left(E9,2)="JR",if(left(A9,3)="ILC",C9,""),"")</f>
        <v>1211</v>
      </c>
      <c r="N9" s="28" t="s">
        <v>83</v>
      </c>
      <c r="O9" s="28" t="s">
        <v>53</v>
      </c>
      <c r="P9" s="28" t="s">
        <v>54</v>
      </c>
      <c r="Q9" s="28" t="s">
        <v>54</v>
      </c>
      <c r="R9" s="28" t="s">
        <v>53</v>
      </c>
      <c r="S9" s="28" t="s">
        <v>53</v>
      </c>
      <c r="T9" s="28" t="s">
        <v>53</v>
      </c>
      <c r="U9" s="28" t="s">
        <v>53</v>
      </c>
      <c r="V9" s="28" t="s">
        <v>63</v>
      </c>
      <c r="W9" s="28" t="s">
        <v>53</v>
      </c>
      <c r="X9" s="28" t="s">
        <v>54</v>
      </c>
      <c r="Y9" s="28" t="s">
        <v>53</v>
      </c>
      <c r="Z9" s="70" t="s">
        <v>84</v>
      </c>
      <c r="AA9" s="4"/>
      <c r="AB9" s="4" t="s">
        <v>88</v>
      </c>
    </row>
    <row r="10">
      <c r="A10" s="48" t="s">
        <v>47</v>
      </c>
      <c r="B10" s="4">
        <v>420.0</v>
      </c>
      <c r="C10" s="4">
        <v>1213.0</v>
      </c>
      <c r="D10" s="51" t="s">
        <v>89</v>
      </c>
      <c r="E10" s="51" t="s">
        <v>60</v>
      </c>
      <c r="F10" s="53">
        <v>1.0</v>
      </c>
      <c r="G10" s="4" t="s">
        <v>46</v>
      </c>
      <c r="H10" s="55">
        <v>43617.0</v>
      </c>
      <c r="I10" s="4" t="s">
        <v>49</v>
      </c>
      <c r="J10" s="4" t="s">
        <v>61</v>
      </c>
      <c r="K10" s="4" t="s">
        <v>50</v>
      </c>
      <c r="L10" s="4" t="s">
        <v>52</v>
      </c>
      <c r="M10" s="4"/>
      <c r="N10" s="28"/>
      <c r="O10" s="28" t="s">
        <v>54</v>
      </c>
      <c r="P10" s="28" t="s">
        <v>53</v>
      </c>
      <c r="Q10" s="28" t="s">
        <v>54</v>
      </c>
      <c r="R10" s="28" t="s">
        <v>53</v>
      </c>
      <c r="S10" s="28" t="s">
        <v>54</v>
      </c>
      <c r="T10" s="28" t="s">
        <v>54</v>
      </c>
      <c r="U10" s="28" t="s">
        <v>54</v>
      </c>
      <c r="V10" s="28" t="s">
        <v>63</v>
      </c>
      <c r="W10" s="28" t="s">
        <v>53</v>
      </c>
      <c r="X10" s="28" t="s">
        <v>54</v>
      </c>
      <c r="Y10" s="28" t="s">
        <v>54</v>
      </c>
      <c r="Z10" s="4"/>
      <c r="AA10" s="4"/>
    </row>
    <row r="11">
      <c r="A11" s="48" t="s">
        <v>51</v>
      </c>
      <c r="B11" s="4">
        <v>420.0</v>
      </c>
      <c r="C11" s="4">
        <v>1314.0</v>
      </c>
      <c r="D11" s="51" t="s">
        <v>90</v>
      </c>
      <c r="E11" s="51" t="s">
        <v>67</v>
      </c>
      <c r="F11" s="53">
        <v>1.0</v>
      </c>
      <c r="G11" s="4" t="s">
        <v>91</v>
      </c>
      <c r="H11" s="55">
        <v>43617.0</v>
      </c>
      <c r="I11" s="4" t="s">
        <v>49</v>
      </c>
      <c r="J11" s="4" t="s">
        <v>61</v>
      </c>
      <c r="K11" s="4" t="s">
        <v>50</v>
      </c>
      <c r="L11" s="4" t="s">
        <v>52</v>
      </c>
      <c r="M11" s="4">
        <f t="shared" ref="M11:M31" si="1">if(left(E11,2)="JR",if(left(A11,3)="ILC",C11,""),"")</f>
        <v>1314</v>
      </c>
      <c r="N11" s="28"/>
      <c r="O11" s="28" t="s">
        <v>53</v>
      </c>
      <c r="P11" s="28" t="s">
        <v>53</v>
      </c>
      <c r="Q11" s="28" t="s">
        <v>53</v>
      </c>
      <c r="R11" s="28" t="s">
        <v>53</v>
      </c>
      <c r="S11" s="28" t="s">
        <v>54</v>
      </c>
      <c r="T11" s="28" t="s">
        <v>54</v>
      </c>
      <c r="U11" s="28" t="s">
        <v>54</v>
      </c>
      <c r="V11" s="28" t="s">
        <v>63</v>
      </c>
      <c r="W11" s="28" t="s">
        <v>53</v>
      </c>
      <c r="X11" s="28" t="s">
        <v>54</v>
      </c>
      <c r="Y11" s="28" t="s">
        <v>54</v>
      </c>
      <c r="Z11" s="70" t="s">
        <v>92</v>
      </c>
      <c r="AA11" s="4"/>
    </row>
    <row r="12">
      <c r="A12" s="48" t="s">
        <v>55</v>
      </c>
      <c r="B12" s="4">
        <v>420.0</v>
      </c>
      <c r="C12" s="4">
        <v>1404.0</v>
      </c>
      <c r="D12" s="51" t="s">
        <v>93</v>
      </c>
      <c r="E12" s="51" t="s">
        <v>67</v>
      </c>
      <c r="F12" s="53">
        <v>1.0</v>
      </c>
      <c r="G12" s="4" t="s">
        <v>46</v>
      </c>
      <c r="H12" s="55">
        <v>43435.0</v>
      </c>
      <c r="I12" s="6" t="s">
        <v>61</v>
      </c>
      <c r="J12" s="6" t="s">
        <v>61</v>
      </c>
      <c r="K12" s="6" t="s">
        <v>50</v>
      </c>
      <c r="L12" s="4" t="s">
        <v>52</v>
      </c>
      <c r="M12" s="4">
        <f t="shared" si="1"/>
        <v>1404</v>
      </c>
      <c r="N12" s="28"/>
      <c r="O12" s="28" t="s">
        <v>54</v>
      </c>
      <c r="P12" s="28" t="s">
        <v>54</v>
      </c>
      <c r="Q12" s="28" t="s">
        <v>54</v>
      </c>
      <c r="R12" s="28" t="s">
        <v>53</v>
      </c>
      <c r="S12" s="28" t="s">
        <v>53</v>
      </c>
      <c r="T12" s="28" t="s">
        <v>53</v>
      </c>
      <c r="U12" s="28" t="s">
        <v>53</v>
      </c>
      <c r="V12" s="28" t="s">
        <v>63</v>
      </c>
      <c r="W12" s="28" t="s">
        <v>53</v>
      </c>
      <c r="X12" s="28" t="s">
        <v>54</v>
      </c>
      <c r="Y12" s="28" t="s">
        <v>53</v>
      </c>
      <c r="Z12" s="70" t="s">
        <v>94</v>
      </c>
      <c r="AA12" s="4"/>
    </row>
    <row r="13">
      <c r="A13" s="48" t="s">
        <v>56</v>
      </c>
      <c r="B13" s="4">
        <v>420.0</v>
      </c>
      <c r="C13" s="4">
        <v>2203.0</v>
      </c>
      <c r="D13" s="51" t="s">
        <v>95</v>
      </c>
      <c r="E13" s="51" t="s">
        <v>60</v>
      </c>
      <c r="F13" s="53">
        <v>1.0</v>
      </c>
      <c r="G13" s="4" t="s">
        <v>46</v>
      </c>
      <c r="H13" s="55">
        <v>43507.0</v>
      </c>
      <c r="I13" s="4" t="s">
        <v>96</v>
      </c>
      <c r="J13" s="4" t="s">
        <v>61</v>
      </c>
      <c r="K13" s="4" t="s">
        <v>50</v>
      </c>
      <c r="L13" s="4" t="s">
        <v>52</v>
      </c>
      <c r="M13" s="4">
        <f t="shared" si="1"/>
        <v>2203</v>
      </c>
      <c r="N13" s="28"/>
      <c r="O13" s="28" t="s">
        <v>53</v>
      </c>
      <c r="P13" s="28" t="s">
        <v>53</v>
      </c>
      <c r="Q13" s="28" t="s">
        <v>54</v>
      </c>
      <c r="R13" s="28" t="s">
        <v>53</v>
      </c>
      <c r="S13" s="28" t="s">
        <v>53</v>
      </c>
      <c r="T13" s="28" t="s">
        <v>53</v>
      </c>
      <c r="U13" s="28" t="s">
        <v>53</v>
      </c>
      <c r="V13" s="28" t="s">
        <v>63</v>
      </c>
      <c r="W13" s="28" t="s">
        <v>53</v>
      </c>
      <c r="X13" s="28" t="s">
        <v>54</v>
      </c>
      <c r="Y13" s="28" t="s">
        <v>54</v>
      </c>
      <c r="Z13" s="70" t="s">
        <v>97</v>
      </c>
      <c r="AA13" s="4"/>
    </row>
    <row r="14">
      <c r="A14" s="48" t="s">
        <v>57</v>
      </c>
      <c r="B14" s="4">
        <v>420.0</v>
      </c>
      <c r="C14" s="4">
        <v>2206.0</v>
      </c>
      <c r="D14" s="51" t="s">
        <v>98</v>
      </c>
      <c r="E14" s="51" t="s">
        <v>67</v>
      </c>
      <c r="F14" s="53">
        <v>1.0</v>
      </c>
      <c r="G14" s="4" t="s">
        <v>46</v>
      </c>
      <c r="H14" s="55">
        <v>43525.0</v>
      </c>
      <c r="I14" s="4" t="s">
        <v>49</v>
      </c>
      <c r="J14" s="4" t="s">
        <v>61</v>
      </c>
      <c r="K14" s="4" t="s">
        <v>50</v>
      </c>
      <c r="L14" s="4" t="s">
        <v>52</v>
      </c>
      <c r="M14" s="4">
        <f t="shared" si="1"/>
        <v>2206</v>
      </c>
      <c r="N14" s="28"/>
      <c r="O14" s="28" t="s">
        <v>54</v>
      </c>
      <c r="P14" s="28" t="s">
        <v>53</v>
      </c>
      <c r="Q14" s="28" t="s">
        <v>54</v>
      </c>
      <c r="R14" s="28" t="s">
        <v>53</v>
      </c>
      <c r="S14" s="28" t="s">
        <v>54</v>
      </c>
      <c r="T14" s="28" t="s">
        <v>54</v>
      </c>
      <c r="U14" s="28" t="s">
        <v>54</v>
      </c>
      <c r="V14" s="28" t="s">
        <v>63</v>
      </c>
      <c r="W14" s="28" t="s">
        <v>53</v>
      </c>
      <c r="X14" s="28" t="s">
        <v>54</v>
      </c>
      <c r="Y14" s="28" t="s">
        <v>54</v>
      </c>
      <c r="Z14" s="70" t="s">
        <v>99</v>
      </c>
      <c r="AA14" s="4"/>
    </row>
    <row r="15" hidden="1">
      <c r="A15" s="48" t="s">
        <v>58</v>
      </c>
      <c r="B15" s="4"/>
      <c r="C15" s="4">
        <v>2303.0</v>
      </c>
      <c r="D15" s="51" t="s">
        <v>100</v>
      </c>
      <c r="E15" s="51" t="s">
        <v>60</v>
      </c>
      <c r="F15" s="53" t="s">
        <v>101</v>
      </c>
      <c r="G15" s="4" t="s">
        <v>46</v>
      </c>
      <c r="H15" s="55">
        <v>43462.0</v>
      </c>
      <c r="I15" s="4" t="s">
        <v>49</v>
      </c>
      <c r="J15" s="6" t="s">
        <v>61</v>
      </c>
      <c r="K15" s="6" t="s">
        <v>50</v>
      </c>
      <c r="L15" s="4" t="s">
        <v>52</v>
      </c>
      <c r="M15" s="4">
        <f t="shared" si="1"/>
        <v>2303</v>
      </c>
      <c r="N15" s="28"/>
      <c r="O15" s="28" t="s">
        <v>54</v>
      </c>
      <c r="P15" s="28" t="s">
        <v>54</v>
      </c>
      <c r="Q15" s="28" t="s">
        <v>54</v>
      </c>
      <c r="R15" s="28" t="s">
        <v>53</v>
      </c>
      <c r="S15" s="28" t="s">
        <v>53</v>
      </c>
      <c r="T15" s="28" t="s">
        <v>53</v>
      </c>
      <c r="U15" s="28" t="s">
        <v>53</v>
      </c>
      <c r="V15" s="28" t="s">
        <v>63</v>
      </c>
      <c r="W15" s="28" t="s">
        <v>53</v>
      </c>
      <c r="X15" s="28" t="s">
        <v>54</v>
      </c>
      <c r="Y15" s="28" t="s">
        <v>53</v>
      </c>
      <c r="Z15" s="70" t="s">
        <v>102</v>
      </c>
      <c r="AA15" s="4"/>
    </row>
    <row r="16">
      <c r="A16" s="48" t="s">
        <v>62</v>
      </c>
      <c r="B16" s="4">
        <v>550.0</v>
      </c>
      <c r="C16" s="4">
        <v>2307.0</v>
      </c>
      <c r="D16" s="51" t="s">
        <v>93</v>
      </c>
      <c r="E16" s="51" t="s">
        <v>103</v>
      </c>
      <c r="F16" s="53">
        <v>1.0</v>
      </c>
      <c r="G16" s="4" t="s">
        <v>46</v>
      </c>
      <c r="H16" s="55">
        <v>43435.0</v>
      </c>
      <c r="I16" s="6" t="s">
        <v>61</v>
      </c>
      <c r="J16" s="6" t="s">
        <v>61</v>
      </c>
      <c r="K16" s="6" t="s">
        <v>50</v>
      </c>
      <c r="L16" s="4" t="s">
        <v>52</v>
      </c>
      <c r="M16" s="4" t="str">
        <f t="shared" si="1"/>
        <v/>
      </c>
      <c r="N16" s="28"/>
      <c r="O16" s="28" t="s">
        <v>54</v>
      </c>
      <c r="P16" s="28" t="s">
        <v>54</v>
      </c>
      <c r="Q16" s="28" t="s">
        <v>54</v>
      </c>
      <c r="R16" s="28" t="s">
        <v>53</v>
      </c>
      <c r="S16" s="28" t="s">
        <v>53</v>
      </c>
      <c r="T16" s="28" t="s">
        <v>53</v>
      </c>
      <c r="U16" s="28" t="s">
        <v>53</v>
      </c>
      <c r="V16" s="28" t="s">
        <v>63</v>
      </c>
      <c r="W16" s="28" t="s">
        <v>53</v>
      </c>
      <c r="X16" s="28" t="s">
        <v>54</v>
      </c>
      <c r="Y16" s="28" t="s">
        <v>53</v>
      </c>
      <c r="Z16" s="70" t="s">
        <v>104</v>
      </c>
      <c r="AA16" s="4"/>
    </row>
    <row r="17">
      <c r="A17" s="48" t="s">
        <v>64</v>
      </c>
      <c r="B17" s="4">
        <v>420.0</v>
      </c>
      <c r="C17" s="4">
        <v>2313.0</v>
      </c>
      <c r="D17" s="51" t="s">
        <v>93</v>
      </c>
      <c r="E17" s="51" t="s">
        <v>60</v>
      </c>
      <c r="F17" s="53">
        <v>1.0</v>
      </c>
      <c r="G17" s="4" t="s">
        <v>46</v>
      </c>
      <c r="H17" s="55">
        <v>43435.0</v>
      </c>
      <c r="I17" s="6" t="s">
        <v>61</v>
      </c>
      <c r="J17" s="6" t="s">
        <v>61</v>
      </c>
      <c r="K17" s="6" t="s">
        <v>50</v>
      </c>
      <c r="L17" s="4" t="s">
        <v>52</v>
      </c>
      <c r="M17" s="4">
        <f t="shared" si="1"/>
        <v>2313</v>
      </c>
      <c r="N17" s="28"/>
      <c r="O17" s="28" t="s">
        <v>54</v>
      </c>
      <c r="P17" s="28" t="s">
        <v>54</v>
      </c>
      <c r="Q17" s="28" t="s">
        <v>54</v>
      </c>
      <c r="R17" s="28" t="s">
        <v>53</v>
      </c>
      <c r="S17" s="28" t="s">
        <v>53</v>
      </c>
      <c r="T17" s="28" t="s">
        <v>53</v>
      </c>
      <c r="U17" s="28" t="s">
        <v>53</v>
      </c>
      <c r="V17" s="28" t="s">
        <v>63</v>
      </c>
      <c r="W17" s="28" t="s">
        <v>53</v>
      </c>
      <c r="X17" s="28" t="s">
        <v>54</v>
      </c>
      <c r="Y17" s="28" t="s">
        <v>53</v>
      </c>
      <c r="Z17" s="70" t="s">
        <v>105</v>
      </c>
      <c r="AA17" s="4"/>
    </row>
    <row r="18">
      <c r="A18" s="48" t="s">
        <v>65</v>
      </c>
      <c r="B18" s="4">
        <v>420.0</v>
      </c>
      <c r="C18" s="4">
        <v>2412.0</v>
      </c>
      <c r="D18" s="51" t="s">
        <v>106</v>
      </c>
      <c r="E18" s="51" t="s">
        <v>67</v>
      </c>
      <c r="F18" s="53">
        <v>1.0</v>
      </c>
      <c r="G18" s="4" t="s">
        <v>46</v>
      </c>
      <c r="H18" s="55">
        <v>43435.0</v>
      </c>
      <c r="I18" s="4" t="s">
        <v>49</v>
      </c>
      <c r="J18" s="6" t="s">
        <v>61</v>
      </c>
      <c r="K18" s="6" t="s">
        <v>50</v>
      </c>
      <c r="L18" s="4" t="s">
        <v>52</v>
      </c>
      <c r="M18" s="4">
        <f t="shared" si="1"/>
        <v>2412</v>
      </c>
      <c r="N18" s="28"/>
      <c r="O18" s="28" t="s">
        <v>53</v>
      </c>
      <c r="P18" s="28" t="s">
        <v>54</v>
      </c>
      <c r="Q18" s="28" t="s">
        <v>54</v>
      </c>
      <c r="R18" s="28" t="s">
        <v>53</v>
      </c>
      <c r="S18" s="28" t="s">
        <v>53</v>
      </c>
      <c r="T18" s="28" t="s">
        <v>53</v>
      </c>
      <c r="U18" s="28" t="s">
        <v>53</v>
      </c>
      <c r="V18" s="28" t="s">
        <v>63</v>
      </c>
      <c r="W18" s="28" t="s">
        <v>53</v>
      </c>
      <c r="X18" s="28" t="s">
        <v>54</v>
      </c>
      <c r="Y18" s="28" t="s">
        <v>53</v>
      </c>
      <c r="Z18" s="70" t="s">
        <v>107</v>
      </c>
      <c r="AA18" s="4"/>
    </row>
    <row r="19">
      <c r="A19" s="48" t="s">
        <v>68</v>
      </c>
      <c r="B19" s="4">
        <v>420.0</v>
      </c>
      <c r="C19" s="4">
        <v>2413.0</v>
      </c>
      <c r="D19" s="51" t="s">
        <v>93</v>
      </c>
      <c r="E19" s="51" t="s">
        <v>60</v>
      </c>
      <c r="F19" s="53">
        <v>1.0</v>
      </c>
      <c r="G19" s="4" t="s">
        <v>46</v>
      </c>
      <c r="H19" s="55">
        <v>43435.0</v>
      </c>
      <c r="I19" s="6" t="s">
        <v>61</v>
      </c>
      <c r="J19" s="6" t="s">
        <v>61</v>
      </c>
      <c r="K19" s="6" t="s">
        <v>50</v>
      </c>
      <c r="L19" s="4" t="s">
        <v>52</v>
      </c>
      <c r="M19" s="4">
        <f t="shared" si="1"/>
        <v>2413</v>
      </c>
      <c r="N19" s="28"/>
      <c r="O19" s="28" t="s">
        <v>54</v>
      </c>
      <c r="P19" s="28" t="s">
        <v>54</v>
      </c>
      <c r="Q19" s="28" t="s">
        <v>54</v>
      </c>
      <c r="R19" s="28" t="s">
        <v>53</v>
      </c>
      <c r="S19" s="28" t="s">
        <v>53</v>
      </c>
      <c r="T19" s="28" t="s">
        <v>53</v>
      </c>
      <c r="U19" s="28" t="s">
        <v>53</v>
      </c>
      <c r="V19" s="28" t="s">
        <v>63</v>
      </c>
      <c r="W19" s="28" t="s">
        <v>53</v>
      </c>
      <c r="X19" s="28" t="s">
        <v>54</v>
      </c>
      <c r="Y19" s="28" t="s">
        <v>53</v>
      </c>
      <c r="Z19" s="70" t="s">
        <v>108</v>
      </c>
      <c r="AA19" s="4"/>
    </row>
    <row r="20">
      <c r="A20" s="48" t="s">
        <v>70</v>
      </c>
      <c r="B20" s="4">
        <v>420.0</v>
      </c>
      <c r="C20" s="4">
        <v>3104.0</v>
      </c>
      <c r="D20" s="51" t="s">
        <v>109</v>
      </c>
      <c r="E20" s="51" t="s">
        <v>67</v>
      </c>
      <c r="F20" s="53">
        <v>1.0</v>
      </c>
      <c r="G20" s="4" t="s">
        <v>46</v>
      </c>
      <c r="H20" s="55">
        <v>43435.0</v>
      </c>
      <c r="I20" s="4" t="s">
        <v>49</v>
      </c>
      <c r="J20" s="6" t="s">
        <v>61</v>
      </c>
      <c r="K20" s="6" t="s">
        <v>50</v>
      </c>
      <c r="L20" s="4" t="s">
        <v>101</v>
      </c>
      <c r="M20" s="4">
        <f t="shared" si="1"/>
        <v>3104</v>
      </c>
      <c r="N20" s="28"/>
      <c r="O20" s="28" t="s">
        <v>53</v>
      </c>
      <c r="P20" s="28" t="s">
        <v>54</v>
      </c>
      <c r="Q20" s="28" t="s">
        <v>54</v>
      </c>
      <c r="R20" s="28" t="s">
        <v>53</v>
      </c>
      <c r="S20" s="28" t="s">
        <v>53</v>
      </c>
      <c r="T20" s="28" t="s">
        <v>53</v>
      </c>
      <c r="U20" s="28" t="s">
        <v>53</v>
      </c>
      <c r="V20" s="28" t="s">
        <v>63</v>
      </c>
      <c r="W20" s="28" t="s">
        <v>53</v>
      </c>
      <c r="X20" s="28" t="s">
        <v>54</v>
      </c>
      <c r="Y20" s="28" t="s">
        <v>53</v>
      </c>
      <c r="Z20" s="70" t="s">
        <v>110</v>
      </c>
      <c r="AA20" s="70" t="s">
        <v>111</v>
      </c>
    </row>
    <row r="21">
      <c r="A21" s="48" t="s">
        <v>72</v>
      </c>
      <c r="B21" s="4">
        <v>550.0</v>
      </c>
      <c r="C21" s="4">
        <v>3310.0</v>
      </c>
      <c r="D21" s="51" t="s">
        <v>112</v>
      </c>
      <c r="E21" s="51" t="s">
        <v>43</v>
      </c>
      <c r="F21" s="53">
        <v>1.0</v>
      </c>
      <c r="G21" s="4" t="s">
        <v>46</v>
      </c>
      <c r="H21" s="55">
        <v>43579.0</v>
      </c>
      <c r="I21" s="4" t="s">
        <v>49</v>
      </c>
      <c r="J21" s="6" t="s">
        <v>61</v>
      </c>
      <c r="K21" s="6" t="s">
        <v>50</v>
      </c>
      <c r="L21" s="4" t="s">
        <v>113</v>
      </c>
      <c r="M21" s="4" t="str">
        <f t="shared" si="1"/>
        <v/>
      </c>
      <c r="N21" s="28"/>
      <c r="O21" s="28" t="s">
        <v>54</v>
      </c>
      <c r="P21" s="28" t="s">
        <v>53</v>
      </c>
      <c r="Q21" s="28" t="s">
        <v>53</v>
      </c>
      <c r="R21" s="28" t="s">
        <v>53</v>
      </c>
      <c r="S21" s="28" t="s">
        <v>53</v>
      </c>
      <c r="T21" s="28" t="s">
        <v>53</v>
      </c>
      <c r="U21" s="28" t="s">
        <v>53</v>
      </c>
      <c r="V21" s="28" t="s">
        <v>63</v>
      </c>
      <c r="W21" s="28" t="s">
        <v>53</v>
      </c>
      <c r="X21" s="28" t="s">
        <v>54</v>
      </c>
      <c r="Y21" s="28" t="s">
        <v>54</v>
      </c>
      <c r="Z21" s="70" t="s">
        <v>114</v>
      </c>
      <c r="AA21" s="4"/>
    </row>
    <row r="22">
      <c r="A22" s="48" t="s">
        <v>74</v>
      </c>
      <c r="B22" s="4">
        <v>420.0</v>
      </c>
      <c r="C22" s="4">
        <v>3312.0</v>
      </c>
      <c r="D22" s="51" t="s">
        <v>115</v>
      </c>
      <c r="E22" s="51" t="s">
        <v>67</v>
      </c>
      <c r="F22" s="53">
        <v>1.0</v>
      </c>
      <c r="G22" s="4" t="s">
        <v>46</v>
      </c>
      <c r="H22" s="77">
        <v>43525.0</v>
      </c>
      <c r="I22" s="4" t="s">
        <v>116</v>
      </c>
      <c r="J22" s="6" t="s">
        <v>61</v>
      </c>
      <c r="K22" s="6" t="s">
        <v>50</v>
      </c>
      <c r="L22" s="4" t="s">
        <v>52</v>
      </c>
      <c r="M22" s="4">
        <f t="shared" si="1"/>
        <v>3312</v>
      </c>
      <c r="N22" s="28"/>
      <c r="O22" s="28" t="s">
        <v>53</v>
      </c>
      <c r="P22" s="28" t="s">
        <v>54</v>
      </c>
      <c r="Q22" s="28" t="s">
        <v>53</v>
      </c>
      <c r="R22" s="28" t="s">
        <v>53</v>
      </c>
      <c r="S22" s="28" t="s">
        <v>53</v>
      </c>
      <c r="T22" s="28" t="s">
        <v>53</v>
      </c>
      <c r="U22" s="28" t="s">
        <v>53</v>
      </c>
      <c r="V22" s="28" t="s">
        <v>63</v>
      </c>
      <c r="W22" s="28" t="s">
        <v>53</v>
      </c>
      <c r="X22" s="28" t="s">
        <v>54</v>
      </c>
      <c r="Y22" s="28" t="s">
        <v>53</v>
      </c>
      <c r="Z22" s="70" t="s">
        <v>117</v>
      </c>
      <c r="AA22" s="4"/>
    </row>
    <row r="23">
      <c r="A23" s="48" t="s">
        <v>75</v>
      </c>
      <c r="B23" s="4">
        <v>420.0</v>
      </c>
      <c r="C23" s="4">
        <v>3413.0</v>
      </c>
      <c r="D23" s="51" t="s">
        <v>112</v>
      </c>
      <c r="E23" s="51" t="s">
        <v>60</v>
      </c>
      <c r="F23" s="53">
        <v>1.0</v>
      </c>
      <c r="G23" s="4" t="s">
        <v>46</v>
      </c>
      <c r="H23" s="55">
        <v>43579.0</v>
      </c>
      <c r="I23" s="4" t="s">
        <v>49</v>
      </c>
      <c r="J23" s="6" t="s">
        <v>61</v>
      </c>
      <c r="K23" s="6" t="s">
        <v>50</v>
      </c>
      <c r="L23" s="4" t="s">
        <v>52</v>
      </c>
      <c r="M23" s="4">
        <f t="shared" si="1"/>
        <v>3413</v>
      </c>
      <c r="N23" s="28"/>
      <c r="O23" s="28" t="s">
        <v>54</v>
      </c>
      <c r="P23" s="28" t="s">
        <v>53</v>
      </c>
      <c r="Q23" s="28" t="s">
        <v>53</v>
      </c>
      <c r="R23" s="28" t="s">
        <v>53</v>
      </c>
      <c r="S23" s="28" t="s">
        <v>53</v>
      </c>
      <c r="T23" s="28" t="s">
        <v>53</v>
      </c>
      <c r="U23" s="28" t="s">
        <v>53</v>
      </c>
      <c r="V23" s="28" t="s">
        <v>53</v>
      </c>
      <c r="W23" s="28" t="s">
        <v>53</v>
      </c>
      <c r="X23" s="28" t="s">
        <v>54</v>
      </c>
      <c r="Y23" s="28" t="s">
        <v>54</v>
      </c>
      <c r="Z23" s="70" t="s">
        <v>118</v>
      </c>
    </row>
    <row r="24">
      <c r="A24" s="48" t="s">
        <v>78</v>
      </c>
      <c r="B24" s="4">
        <v>550.0</v>
      </c>
      <c r="C24" s="4">
        <v>3415.0</v>
      </c>
      <c r="D24" s="51" t="s">
        <v>112</v>
      </c>
      <c r="E24" s="51" t="s">
        <v>121</v>
      </c>
      <c r="F24" s="53">
        <v>1.0</v>
      </c>
      <c r="G24" s="4" t="s">
        <v>46</v>
      </c>
      <c r="H24" s="55">
        <v>43579.0</v>
      </c>
      <c r="I24" s="4" t="s">
        <v>49</v>
      </c>
      <c r="J24" s="6" t="s">
        <v>61</v>
      </c>
      <c r="K24" s="6" t="s">
        <v>50</v>
      </c>
      <c r="L24" s="4" t="s">
        <v>52</v>
      </c>
      <c r="M24" s="4" t="str">
        <f t="shared" si="1"/>
        <v/>
      </c>
      <c r="N24" s="28"/>
      <c r="O24" s="28" t="s">
        <v>54</v>
      </c>
      <c r="P24" s="28" t="s">
        <v>53</v>
      </c>
      <c r="Q24" s="28" t="s">
        <v>53</v>
      </c>
      <c r="R24" s="28" t="s">
        <v>53</v>
      </c>
      <c r="S24" s="28" t="s">
        <v>53</v>
      </c>
      <c r="T24" s="28" t="s">
        <v>53</v>
      </c>
      <c r="U24" s="28" t="s">
        <v>53</v>
      </c>
      <c r="V24" s="28" t="s">
        <v>53</v>
      </c>
      <c r="W24" s="28" t="s">
        <v>53</v>
      </c>
      <c r="X24" s="28" t="s">
        <v>54</v>
      </c>
      <c r="Y24" s="28" t="s">
        <v>54</v>
      </c>
      <c r="Z24" s="70" t="s">
        <v>122</v>
      </c>
    </row>
    <row r="25">
      <c r="A25" s="48" t="s">
        <v>79</v>
      </c>
      <c r="B25" s="4">
        <v>420.0</v>
      </c>
      <c r="C25" s="4">
        <v>4406.0</v>
      </c>
      <c r="D25" s="51" t="s">
        <v>95</v>
      </c>
      <c r="E25" s="51" t="s">
        <v>67</v>
      </c>
      <c r="F25" s="53">
        <v>1.0</v>
      </c>
      <c r="G25" s="4" t="s">
        <v>123</v>
      </c>
      <c r="H25" s="77">
        <v>43511.0</v>
      </c>
      <c r="I25" s="4" t="s">
        <v>96</v>
      </c>
      <c r="J25" s="4" t="s">
        <v>61</v>
      </c>
      <c r="K25" s="4" t="s">
        <v>50</v>
      </c>
      <c r="L25" s="4" t="s">
        <v>52</v>
      </c>
      <c r="M25" s="4">
        <f t="shared" si="1"/>
        <v>4406</v>
      </c>
      <c r="N25" s="28"/>
      <c r="O25" s="28" t="s">
        <v>53</v>
      </c>
      <c r="P25" s="28" t="s">
        <v>53</v>
      </c>
      <c r="Q25" s="28" t="s">
        <v>54</v>
      </c>
      <c r="R25" s="28" t="s">
        <v>53</v>
      </c>
      <c r="S25" s="28" t="s">
        <v>53</v>
      </c>
      <c r="T25" s="28" t="s">
        <v>53</v>
      </c>
      <c r="U25" s="28" t="s">
        <v>53</v>
      </c>
      <c r="V25" s="28" t="s">
        <v>63</v>
      </c>
      <c r="W25" s="28" t="s">
        <v>54</v>
      </c>
      <c r="X25" s="28" t="s">
        <v>54</v>
      </c>
      <c r="Y25" s="28" t="s">
        <v>54</v>
      </c>
      <c r="Z25" s="70" t="s">
        <v>124</v>
      </c>
      <c r="AA25" s="4"/>
    </row>
    <row r="26">
      <c r="A26" s="48" t="s">
        <v>80</v>
      </c>
      <c r="B26" s="4">
        <v>550.0</v>
      </c>
      <c r="C26" s="4">
        <v>4410.0</v>
      </c>
      <c r="D26" s="51" t="s">
        <v>125</v>
      </c>
      <c r="E26" s="51" t="s">
        <v>43</v>
      </c>
      <c r="F26" s="53">
        <v>1.0</v>
      </c>
      <c r="G26" s="4" t="s">
        <v>46</v>
      </c>
      <c r="H26" s="77">
        <v>43525.0</v>
      </c>
      <c r="I26" s="4" t="s">
        <v>49</v>
      </c>
      <c r="J26" s="6" t="s">
        <v>61</v>
      </c>
      <c r="K26" s="6" t="s">
        <v>50</v>
      </c>
      <c r="L26" s="4" t="s">
        <v>52</v>
      </c>
      <c r="M26" s="4" t="str">
        <f t="shared" si="1"/>
        <v/>
      </c>
      <c r="N26" s="28"/>
      <c r="O26" s="28" t="s">
        <v>53</v>
      </c>
      <c r="P26" s="28" t="s">
        <v>54</v>
      </c>
      <c r="Q26" s="28" t="s">
        <v>54</v>
      </c>
      <c r="R26" s="28" t="s">
        <v>53</v>
      </c>
      <c r="S26" s="28" t="s">
        <v>53</v>
      </c>
      <c r="T26" s="28" t="s">
        <v>53</v>
      </c>
      <c r="U26" s="28" t="s">
        <v>53</v>
      </c>
      <c r="V26" s="28" t="s">
        <v>63</v>
      </c>
      <c r="W26" s="28" t="s">
        <v>53</v>
      </c>
      <c r="X26" s="28" t="s">
        <v>54</v>
      </c>
      <c r="Y26" s="28" t="s">
        <v>53</v>
      </c>
      <c r="Z26" s="70" t="s">
        <v>126</v>
      </c>
      <c r="AA26" s="4"/>
    </row>
    <row r="27">
      <c r="A27" s="48" t="s">
        <v>81</v>
      </c>
      <c r="B27" s="4">
        <v>300.0</v>
      </c>
      <c r="C27" s="4">
        <v>455.0</v>
      </c>
      <c r="D27" s="51" t="s">
        <v>93</v>
      </c>
      <c r="E27" s="51" t="s">
        <v>103</v>
      </c>
      <c r="F27" s="53">
        <v>0.0</v>
      </c>
      <c r="G27" s="4" t="s">
        <v>46</v>
      </c>
      <c r="H27" s="55">
        <v>43435.0</v>
      </c>
      <c r="I27" s="6" t="s">
        <v>61</v>
      </c>
      <c r="J27" s="6" t="s">
        <v>61</v>
      </c>
      <c r="K27" s="6" t="s">
        <v>50</v>
      </c>
      <c r="L27" s="4" t="s">
        <v>52</v>
      </c>
      <c r="M27" s="4" t="str">
        <f t="shared" si="1"/>
        <v/>
      </c>
      <c r="N27" s="28"/>
      <c r="O27" s="28" t="s">
        <v>54</v>
      </c>
      <c r="P27" s="28" t="s">
        <v>54</v>
      </c>
      <c r="Q27" s="28" t="s">
        <v>53</v>
      </c>
      <c r="R27" s="28" t="s">
        <v>53</v>
      </c>
      <c r="S27" s="28" t="s">
        <v>53</v>
      </c>
      <c r="T27" s="28" t="s">
        <v>53</v>
      </c>
      <c r="U27" s="28" t="s">
        <v>53</v>
      </c>
      <c r="V27" s="28" t="s">
        <v>63</v>
      </c>
      <c r="W27" s="28" t="s">
        <v>53</v>
      </c>
      <c r="X27" s="28" t="s">
        <v>54</v>
      </c>
      <c r="Y27" s="28" t="s">
        <v>53</v>
      </c>
      <c r="Z27" s="70" t="s">
        <v>127</v>
      </c>
      <c r="AA27" s="4"/>
    </row>
    <row r="28">
      <c r="A28" s="48" t="s">
        <v>82</v>
      </c>
      <c r="B28" s="4">
        <v>400.0</v>
      </c>
      <c r="C28" s="4">
        <v>462.0</v>
      </c>
      <c r="D28" s="51" t="s">
        <v>93</v>
      </c>
      <c r="E28" s="51" t="s">
        <v>43</v>
      </c>
      <c r="F28" s="53">
        <v>1.0</v>
      </c>
      <c r="G28" s="4" t="s">
        <v>46</v>
      </c>
      <c r="H28" s="55">
        <v>43435.0</v>
      </c>
      <c r="I28" s="6" t="s">
        <v>61</v>
      </c>
      <c r="J28" s="6" t="s">
        <v>61</v>
      </c>
      <c r="K28" s="6" t="s">
        <v>50</v>
      </c>
      <c r="L28" s="4" t="s">
        <v>52</v>
      </c>
      <c r="M28" s="4" t="str">
        <f t="shared" si="1"/>
        <v/>
      </c>
      <c r="N28" s="28"/>
      <c r="O28" s="28" t="s">
        <v>54</v>
      </c>
      <c r="P28" s="28" t="s">
        <v>54</v>
      </c>
      <c r="Q28" s="28" t="s">
        <v>53</v>
      </c>
      <c r="R28" s="28" t="s">
        <v>53</v>
      </c>
      <c r="S28" s="28" t="s">
        <v>53</v>
      </c>
      <c r="T28" s="28" t="s">
        <v>53</v>
      </c>
      <c r="U28" s="28" t="s">
        <v>53</v>
      </c>
      <c r="V28" s="28" t="s">
        <v>63</v>
      </c>
      <c r="W28" s="28" t="s">
        <v>53</v>
      </c>
      <c r="X28" s="28" t="s">
        <v>54</v>
      </c>
      <c r="Y28" s="28" t="s">
        <v>53</v>
      </c>
      <c r="Z28" s="70" t="s">
        <v>128</v>
      </c>
      <c r="AA28" s="4"/>
    </row>
    <row r="29">
      <c r="A29" s="48" t="s">
        <v>85</v>
      </c>
      <c r="B29" s="4">
        <v>250.0</v>
      </c>
      <c r="C29" s="4">
        <v>464.0</v>
      </c>
      <c r="D29" s="51" t="s">
        <v>93</v>
      </c>
      <c r="E29" s="51" t="s">
        <v>67</v>
      </c>
      <c r="F29" s="53">
        <v>0.0</v>
      </c>
      <c r="G29" s="4" t="s">
        <v>46</v>
      </c>
      <c r="H29" s="55">
        <v>43435.0</v>
      </c>
      <c r="I29" s="6" t="s">
        <v>61</v>
      </c>
      <c r="J29" s="6" t="s">
        <v>61</v>
      </c>
      <c r="K29" s="6" t="s">
        <v>50</v>
      </c>
      <c r="L29" s="4" t="s">
        <v>52</v>
      </c>
      <c r="M29" s="4" t="str">
        <f t="shared" si="1"/>
        <v/>
      </c>
      <c r="N29" s="28"/>
      <c r="O29" s="28" t="s">
        <v>54</v>
      </c>
      <c r="P29" s="28" t="s">
        <v>54</v>
      </c>
      <c r="Q29" s="28" t="s">
        <v>53</v>
      </c>
      <c r="R29" s="28" t="s">
        <v>53</v>
      </c>
      <c r="S29" s="28" t="s">
        <v>53</v>
      </c>
      <c r="T29" s="28" t="s">
        <v>53</v>
      </c>
      <c r="U29" s="28" t="s">
        <v>53</v>
      </c>
      <c r="V29" s="28" t="s">
        <v>63</v>
      </c>
      <c r="W29" s="28" t="s">
        <v>53</v>
      </c>
      <c r="X29" s="28" t="s">
        <v>54</v>
      </c>
      <c r="Y29" s="28" t="s">
        <v>53</v>
      </c>
      <c r="Z29" s="70" t="s">
        <v>129</v>
      </c>
      <c r="AA29" s="4"/>
    </row>
    <row r="30">
      <c r="A30" s="48" t="s">
        <v>86</v>
      </c>
      <c r="B30" s="4">
        <v>950.0</v>
      </c>
      <c r="C30" s="4">
        <v>208.0</v>
      </c>
      <c r="D30" s="51" t="s">
        <v>98</v>
      </c>
      <c r="E30" s="51" t="s">
        <v>130</v>
      </c>
      <c r="F30" s="53">
        <v>2.0</v>
      </c>
      <c r="G30" s="4" t="s">
        <v>46</v>
      </c>
      <c r="H30" s="55">
        <v>43525.0</v>
      </c>
      <c r="I30" s="4" t="s">
        <v>49</v>
      </c>
      <c r="J30" s="6" t="s">
        <v>61</v>
      </c>
      <c r="K30" s="6" t="s">
        <v>50</v>
      </c>
      <c r="L30" s="4" t="s">
        <v>52</v>
      </c>
      <c r="M30" s="4" t="str">
        <f t="shared" si="1"/>
        <v/>
      </c>
      <c r="O30" s="4" t="s">
        <v>53</v>
      </c>
      <c r="P30" s="4" t="s">
        <v>53</v>
      </c>
      <c r="Q30" s="4" t="s">
        <v>54</v>
      </c>
      <c r="R30" s="4" t="s">
        <v>54</v>
      </c>
      <c r="S30" s="4" t="s">
        <v>54</v>
      </c>
      <c r="T30" s="4" t="s">
        <v>54</v>
      </c>
      <c r="U30" s="4" t="s">
        <v>54</v>
      </c>
      <c r="V30" s="4" t="s">
        <v>63</v>
      </c>
      <c r="W30" s="4" t="s">
        <v>54</v>
      </c>
      <c r="X30" s="28" t="s">
        <v>54</v>
      </c>
      <c r="Y30" s="4" t="s">
        <v>54</v>
      </c>
      <c r="Z30" s="70" t="s">
        <v>131</v>
      </c>
    </row>
    <row r="31">
      <c r="A31" s="48" t="s">
        <v>87</v>
      </c>
      <c r="B31" s="4">
        <v>650.0</v>
      </c>
      <c r="C31" s="4">
        <v>2206.0</v>
      </c>
      <c r="D31" s="51" t="s">
        <v>95</v>
      </c>
      <c r="E31" s="51" t="s">
        <v>54</v>
      </c>
      <c r="F31" s="53">
        <v>1.0</v>
      </c>
      <c r="G31" s="4" t="s">
        <v>123</v>
      </c>
      <c r="H31" s="55">
        <v>43511.0</v>
      </c>
      <c r="I31" s="4" t="s">
        <v>96</v>
      </c>
      <c r="J31" s="6" t="s">
        <v>61</v>
      </c>
      <c r="K31" s="6" t="s">
        <v>50</v>
      </c>
      <c r="L31" s="4" t="s">
        <v>52</v>
      </c>
      <c r="M31" s="4" t="str">
        <f t="shared" si="1"/>
        <v/>
      </c>
      <c r="O31" s="4" t="s">
        <v>54</v>
      </c>
      <c r="P31" s="4" t="s">
        <v>54</v>
      </c>
      <c r="Q31" s="4" t="s">
        <v>54</v>
      </c>
      <c r="R31" s="4" t="s">
        <v>53</v>
      </c>
      <c r="S31" s="4" t="s">
        <v>53</v>
      </c>
      <c r="T31" s="4" t="s">
        <v>53</v>
      </c>
      <c r="U31" s="4" t="s">
        <v>53</v>
      </c>
      <c r="V31" s="4" t="s">
        <v>63</v>
      </c>
      <c r="W31" s="4" t="s">
        <v>54</v>
      </c>
      <c r="X31" s="28" t="s">
        <v>54</v>
      </c>
      <c r="Y31" s="4" t="s">
        <v>54</v>
      </c>
      <c r="Z31" s="70" t="s">
        <v>132</v>
      </c>
    </row>
    <row r="32">
      <c r="A32" s="13"/>
      <c r="F32" s="12"/>
    </row>
    <row r="33">
      <c r="A33" s="13"/>
      <c r="B33">
        <f>sum(B6:B31)</f>
        <v>11600</v>
      </c>
      <c r="D33" s="78"/>
      <c r="F33" s="12"/>
    </row>
    <row r="34">
      <c r="A34" s="13"/>
      <c r="F34" s="12"/>
    </row>
    <row r="35">
      <c r="A35" s="13"/>
      <c r="F35" s="12"/>
    </row>
    <row r="36">
      <c r="A36" s="13"/>
      <c r="F36" s="12"/>
    </row>
    <row r="37">
      <c r="A37" s="13"/>
      <c r="F37" s="12"/>
    </row>
    <row r="38">
      <c r="A38" s="13"/>
      <c r="F38" s="12"/>
    </row>
    <row r="39">
      <c r="A39" s="13"/>
      <c r="F39" s="12"/>
    </row>
    <row r="40">
      <c r="A40" s="13"/>
      <c r="F40" s="12"/>
    </row>
    <row r="41">
      <c r="A41" s="13"/>
      <c r="F41" s="12"/>
    </row>
    <row r="42">
      <c r="A42" s="13"/>
      <c r="F42" s="12"/>
    </row>
    <row r="43">
      <c r="A43" s="13"/>
      <c r="F43" s="12"/>
    </row>
    <row r="44">
      <c r="A44" s="13"/>
      <c r="F44" s="12"/>
    </row>
    <row r="45">
      <c r="A45" s="13"/>
      <c r="F45" s="12"/>
    </row>
    <row r="46">
      <c r="A46" s="13"/>
      <c r="F46" s="12"/>
    </row>
    <row r="47">
      <c r="A47" s="13"/>
      <c r="F47" s="12"/>
    </row>
    <row r="48">
      <c r="A48" s="13"/>
      <c r="F48" s="12"/>
    </row>
    <row r="49">
      <c r="A49" s="13"/>
      <c r="F49" s="12"/>
    </row>
    <row r="50">
      <c r="A50" s="13"/>
      <c r="F50" s="12"/>
    </row>
    <row r="51">
      <c r="A51" s="13"/>
      <c r="F51" s="12"/>
    </row>
    <row r="52">
      <c r="A52" s="13"/>
      <c r="F52" s="12"/>
    </row>
    <row r="53">
      <c r="A53" s="13"/>
      <c r="F53" s="12"/>
    </row>
    <row r="54">
      <c r="A54" s="13"/>
      <c r="F54" s="12"/>
    </row>
    <row r="55">
      <c r="A55" s="13"/>
      <c r="F55" s="12"/>
    </row>
    <row r="56">
      <c r="A56" s="13"/>
      <c r="F56" s="12"/>
    </row>
    <row r="57">
      <c r="A57" s="13"/>
      <c r="F57" s="12"/>
    </row>
    <row r="58">
      <c r="A58" s="13"/>
      <c r="F58" s="12"/>
    </row>
    <row r="59">
      <c r="A59" s="13"/>
      <c r="F59" s="12"/>
    </row>
    <row r="60">
      <c r="A60" s="13"/>
      <c r="F60" s="12"/>
    </row>
    <row r="61">
      <c r="A61" s="13"/>
      <c r="F61" s="12"/>
    </row>
    <row r="62">
      <c r="A62" s="13"/>
      <c r="F62" s="12"/>
    </row>
    <row r="63">
      <c r="A63" s="13"/>
      <c r="F63" s="12"/>
    </row>
    <row r="64">
      <c r="A64" s="13"/>
      <c r="F64" s="12"/>
    </row>
    <row r="65">
      <c r="A65" s="13"/>
      <c r="F65" s="12"/>
    </row>
    <row r="66">
      <c r="A66" s="13"/>
      <c r="F66" s="12"/>
    </row>
    <row r="67">
      <c r="A67" s="13"/>
      <c r="F67" s="12"/>
    </row>
    <row r="68">
      <c r="A68" s="13"/>
      <c r="F68" s="12"/>
    </row>
    <row r="69">
      <c r="A69" s="13"/>
      <c r="F69" s="12"/>
    </row>
    <row r="70">
      <c r="A70" s="13"/>
      <c r="F70" s="12"/>
    </row>
    <row r="71">
      <c r="A71" s="13"/>
      <c r="F71" s="12"/>
    </row>
    <row r="72">
      <c r="A72" s="13"/>
      <c r="F72" s="12"/>
    </row>
    <row r="73">
      <c r="A73" s="13"/>
      <c r="F73" s="12"/>
    </row>
    <row r="74">
      <c r="A74" s="13"/>
      <c r="F74" s="12"/>
    </row>
    <row r="75">
      <c r="A75" s="13"/>
      <c r="F75" s="12"/>
    </row>
    <row r="76">
      <c r="A76" s="13"/>
      <c r="F76" s="12"/>
    </row>
    <row r="77">
      <c r="A77" s="13"/>
      <c r="F77" s="12"/>
    </row>
    <row r="78">
      <c r="A78" s="13"/>
      <c r="F78" s="12"/>
    </row>
    <row r="79">
      <c r="A79" s="13"/>
      <c r="F79" s="12"/>
    </row>
    <row r="80">
      <c r="A80" s="13"/>
      <c r="F80" s="12"/>
    </row>
    <row r="81">
      <c r="A81" s="13"/>
      <c r="F81" s="12"/>
    </row>
    <row r="82">
      <c r="A82" s="13"/>
      <c r="F82" s="12"/>
    </row>
    <row r="83">
      <c r="A83" s="13"/>
      <c r="F83" s="12"/>
    </row>
    <row r="84">
      <c r="A84" s="13"/>
      <c r="F84" s="12"/>
    </row>
    <row r="85">
      <c r="A85" s="13"/>
      <c r="F85" s="12"/>
    </row>
    <row r="86">
      <c r="A86" s="13"/>
      <c r="F86" s="12"/>
    </row>
    <row r="87">
      <c r="A87" s="13"/>
      <c r="F87" s="12"/>
    </row>
    <row r="88">
      <c r="A88" s="13"/>
      <c r="F88" s="12"/>
    </row>
    <row r="89">
      <c r="A89" s="13"/>
      <c r="F89" s="12"/>
    </row>
    <row r="90">
      <c r="A90" s="13"/>
      <c r="F90" s="12"/>
    </row>
    <row r="91">
      <c r="A91" s="13"/>
      <c r="F91" s="12"/>
    </row>
    <row r="92">
      <c r="A92" s="13"/>
      <c r="F92" s="12"/>
    </row>
    <row r="93">
      <c r="A93" s="13"/>
      <c r="F93" s="12"/>
    </row>
    <row r="94">
      <c r="A94" s="13"/>
      <c r="F94" s="12"/>
    </row>
    <row r="95">
      <c r="A95" s="13"/>
      <c r="F95" s="12"/>
    </row>
    <row r="96">
      <c r="A96" s="13"/>
      <c r="F96" s="12"/>
    </row>
    <row r="97">
      <c r="A97" s="13"/>
      <c r="F97" s="12"/>
    </row>
    <row r="98">
      <c r="A98" s="13"/>
      <c r="F98" s="12"/>
    </row>
    <row r="99">
      <c r="A99" s="13"/>
      <c r="F99" s="12"/>
    </row>
    <row r="100">
      <c r="A100" s="13"/>
      <c r="F100" s="12"/>
    </row>
    <row r="101">
      <c r="A101" s="13"/>
      <c r="F101" s="12"/>
    </row>
    <row r="102">
      <c r="A102" s="13"/>
      <c r="F102" s="12"/>
    </row>
    <row r="103">
      <c r="A103" s="13"/>
      <c r="F103" s="12"/>
    </row>
    <row r="104">
      <c r="A104" s="13"/>
      <c r="F104" s="12"/>
    </row>
    <row r="105">
      <c r="A105" s="13"/>
      <c r="F105" s="12"/>
    </row>
    <row r="106">
      <c r="A106" s="13"/>
      <c r="F106" s="12"/>
    </row>
    <row r="107">
      <c r="A107" s="13"/>
      <c r="F107" s="12"/>
    </row>
    <row r="108">
      <c r="A108" s="13"/>
      <c r="F108" s="12"/>
    </row>
    <row r="109">
      <c r="A109" s="13"/>
      <c r="F109" s="12"/>
    </row>
    <row r="110">
      <c r="A110" s="13"/>
      <c r="F110" s="12"/>
    </row>
    <row r="111">
      <c r="A111" s="13"/>
      <c r="F111" s="12"/>
    </row>
    <row r="112">
      <c r="A112" s="13"/>
      <c r="F112" s="12"/>
    </row>
    <row r="113">
      <c r="A113" s="13"/>
      <c r="F113" s="12"/>
    </row>
    <row r="114">
      <c r="A114" s="13"/>
      <c r="F114" s="12"/>
    </row>
    <row r="115">
      <c r="A115" s="13"/>
      <c r="F115" s="12"/>
    </row>
    <row r="116">
      <c r="A116" s="13"/>
      <c r="F116" s="12"/>
    </row>
    <row r="117">
      <c r="A117" s="13"/>
      <c r="F117" s="12"/>
    </row>
    <row r="118">
      <c r="A118" s="13"/>
      <c r="F118" s="12"/>
    </row>
    <row r="119">
      <c r="A119" s="13"/>
      <c r="F119" s="12"/>
    </row>
    <row r="120">
      <c r="A120" s="13"/>
      <c r="F120" s="12"/>
    </row>
    <row r="121">
      <c r="A121" s="13"/>
      <c r="F121" s="12"/>
    </row>
    <row r="122">
      <c r="A122" s="13"/>
      <c r="F122" s="12"/>
    </row>
    <row r="123">
      <c r="A123" s="13"/>
      <c r="F123" s="12"/>
    </row>
    <row r="124">
      <c r="A124" s="13"/>
      <c r="F124" s="12"/>
    </row>
    <row r="125">
      <c r="A125" s="13"/>
      <c r="F125" s="12"/>
    </row>
    <row r="126">
      <c r="A126" s="13"/>
      <c r="F126" s="12"/>
    </row>
    <row r="127">
      <c r="A127" s="13"/>
      <c r="F127" s="12"/>
    </row>
    <row r="128">
      <c r="A128" s="13"/>
      <c r="F128" s="12"/>
    </row>
    <row r="129">
      <c r="A129" s="13"/>
      <c r="F129" s="12"/>
    </row>
    <row r="130">
      <c r="A130" s="13"/>
      <c r="F130" s="12"/>
    </row>
    <row r="131">
      <c r="A131" s="13"/>
      <c r="F131" s="12"/>
    </row>
    <row r="132">
      <c r="A132" s="13"/>
      <c r="F132" s="12"/>
    </row>
    <row r="133">
      <c r="A133" s="13"/>
      <c r="F133" s="12"/>
    </row>
    <row r="134">
      <c r="A134" s="13"/>
      <c r="F134" s="12"/>
    </row>
    <row r="135">
      <c r="A135" s="13"/>
      <c r="F135" s="12"/>
    </row>
    <row r="136">
      <c r="A136" s="13"/>
      <c r="F136" s="12"/>
    </row>
    <row r="137">
      <c r="A137" s="13"/>
      <c r="F137" s="12"/>
    </row>
    <row r="138">
      <c r="A138" s="13"/>
      <c r="F138" s="12"/>
    </row>
    <row r="139">
      <c r="A139" s="13"/>
      <c r="F139" s="12"/>
    </row>
    <row r="140">
      <c r="A140" s="13"/>
      <c r="F140" s="12"/>
    </row>
    <row r="141">
      <c r="A141" s="13"/>
      <c r="F141" s="12"/>
    </row>
    <row r="142">
      <c r="A142" s="13"/>
      <c r="F142" s="12"/>
    </row>
    <row r="143">
      <c r="A143" s="13"/>
      <c r="F143" s="12"/>
    </row>
    <row r="144">
      <c r="A144" s="13"/>
      <c r="F144" s="12"/>
    </row>
    <row r="145">
      <c r="A145" s="13"/>
      <c r="F145" s="12"/>
    </row>
    <row r="146">
      <c r="A146" s="13"/>
      <c r="F146" s="12"/>
    </row>
    <row r="147">
      <c r="A147" s="13"/>
      <c r="F147" s="12"/>
    </row>
    <row r="148">
      <c r="A148" s="13"/>
      <c r="F148" s="12"/>
    </row>
    <row r="149">
      <c r="A149" s="13"/>
      <c r="F149" s="12"/>
    </row>
    <row r="150">
      <c r="A150" s="13"/>
      <c r="F150" s="12"/>
    </row>
    <row r="151">
      <c r="A151" s="13"/>
      <c r="F151" s="12"/>
    </row>
    <row r="152">
      <c r="A152" s="13"/>
      <c r="F152" s="12"/>
    </row>
    <row r="153">
      <c r="A153" s="13"/>
      <c r="F153" s="12"/>
    </row>
    <row r="154">
      <c r="A154" s="13"/>
      <c r="F154" s="12"/>
    </row>
    <row r="155">
      <c r="A155" s="13"/>
      <c r="F155" s="12"/>
    </row>
    <row r="156">
      <c r="A156" s="13"/>
      <c r="F156" s="12"/>
    </row>
    <row r="157">
      <c r="A157" s="13"/>
      <c r="F157" s="12"/>
    </row>
    <row r="158">
      <c r="A158" s="13"/>
      <c r="F158" s="12"/>
    </row>
    <row r="159">
      <c r="A159" s="13"/>
      <c r="F159" s="12"/>
    </row>
    <row r="160">
      <c r="A160" s="13"/>
      <c r="F160" s="12"/>
    </row>
    <row r="161">
      <c r="A161" s="13"/>
      <c r="F161" s="12"/>
    </row>
    <row r="162">
      <c r="A162" s="13"/>
      <c r="F162" s="12"/>
    </row>
    <row r="163">
      <c r="A163" s="13"/>
      <c r="F163" s="12"/>
    </row>
    <row r="164">
      <c r="A164" s="13"/>
      <c r="F164" s="12"/>
    </row>
    <row r="165">
      <c r="A165" s="13"/>
      <c r="F165" s="12"/>
    </row>
    <row r="166">
      <c r="A166" s="13"/>
      <c r="F166" s="12"/>
    </row>
    <row r="167">
      <c r="A167" s="13"/>
      <c r="F167" s="12"/>
    </row>
    <row r="168">
      <c r="A168" s="13"/>
      <c r="F168" s="12"/>
    </row>
    <row r="169">
      <c r="A169" s="13"/>
      <c r="F169" s="12"/>
    </row>
    <row r="170">
      <c r="A170" s="13"/>
      <c r="F170" s="12"/>
    </row>
    <row r="171">
      <c r="A171" s="13"/>
      <c r="F171" s="12"/>
    </row>
    <row r="172">
      <c r="A172" s="13"/>
      <c r="F172" s="12"/>
    </row>
    <row r="173">
      <c r="A173" s="13"/>
      <c r="F173" s="12"/>
    </row>
    <row r="174">
      <c r="A174" s="13"/>
      <c r="F174" s="12"/>
    </row>
    <row r="175">
      <c r="A175" s="13"/>
      <c r="F175" s="12"/>
    </row>
    <row r="176">
      <c r="A176" s="13"/>
      <c r="F176" s="12"/>
    </row>
    <row r="177">
      <c r="A177" s="13"/>
      <c r="F177" s="12"/>
    </row>
    <row r="178">
      <c r="A178" s="13"/>
      <c r="F178" s="12"/>
    </row>
    <row r="179">
      <c r="A179" s="13"/>
      <c r="F179" s="12"/>
    </row>
    <row r="180">
      <c r="A180" s="13"/>
      <c r="F180" s="12"/>
    </row>
    <row r="181">
      <c r="A181" s="13"/>
      <c r="F181" s="12"/>
    </row>
    <row r="182">
      <c r="A182" s="13"/>
      <c r="F182" s="12"/>
    </row>
    <row r="183">
      <c r="A183" s="13"/>
      <c r="F183" s="12"/>
    </row>
    <row r="184">
      <c r="A184" s="13"/>
      <c r="F184" s="12"/>
    </row>
    <row r="185">
      <c r="A185" s="13"/>
      <c r="F185" s="12"/>
    </row>
    <row r="186">
      <c r="A186" s="13"/>
      <c r="F186" s="12"/>
    </row>
    <row r="187">
      <c r="A187" s="13"/>
      <c r="F187" s="12"/>
    </row>
    <row r="188">
      <c r="A188" s="13"/>
      <c r="F188" s="12"/>
    </row>
    <row r="189">
      <c r="A189" s="13"/>
      <c r="F189" s="12"/>
    </row>
    <row r="190">
      <c r="A190" s="13"/>
      <c r="F190" s="12"/>
    </row>
    <row r="191">
      <c r="A191" s="13"/>
      <c r="F191" s="12"/>
    </row>
    <row r="192">
      <c r="A192" s="13"/>
      <c r="F192" s="12"/>
    </row>
    <row r="193">
      <c r="A193" s="13"/>
      <c r="F193" s="12"/>
    </row>
    <row r="194">
      <c r="A194" s="13"/>
      <c r="F194" s="12"/>
    </row>
    <row r="195">
      <c r="A195" s="13"/>
      <c r="F195" s="12"/>
    </row>
    <row r="196">
      <c r="A196" s="13"/>
      <c r="F196" s="12"/>
    </row>
    <row r="197">
      <c r="A197" s="13"/>
      <c r="F197" s="12"/>
    </row>
    <row r="198">
      <c r="A198" s="13"/>
      <c r="F198" s="12"/>
    </row>
    <row r="199">
      <c r="A199" s="13"/>
      <c r="F199" s="12"/>
    </row>
    <row r="200">
      <c r="A200" s="13"/>
      <c r="F200" s="12"/>
    </row>
    <row r="201">
      <c r="A201" s="13"/>
      <c r="F201" s="12"/>
    </row>
    <row r="202">
      <c r="A202" s="13"/>
      <c r="F202" s="12"/>
    </row>
    <row r="203">
      <c r="A203" s="13"/>
      <c r="F203" s="12"/>
    </row>
    <row r="204">
      <c r="A204" s="13"/>
      <c r="F204" s="12"/>
    </row>
    <row r="205">
      <c r="A205" s="13"/>
      <c r="F205" s="12"/>
    </row>
    <row r="206">
      <c r="A206" s="13"/>
      <c r="F206" s="12"/>
    </row>
    <row r="207">
      <c r="A207" s="13"/>
      <c r="F207" s="12"/>
    </row>
    <row r="208">
      <c r="A208" s="13"/>
      <c r="F208" s="12"/>
    </row>
    <row r="209">
      <c r="A209" s="13"/>
      <c r="F209" s="12"/>
    </row>
    <row r="210">
      <c r="A210" s="13"/>
      <c r="F210" s="12"/>
    </row>
    <row r="211">
      <c r="A211" s="13"/>
      <c r="F211" s="12"/>
    </row>
    <row r="212">
      <c r="A212" s="13"/>
      <c r="F212" s="12"/>
    </row>
    <row r="213">
      <c r="A213" s="13"/>
      <c r="F213" s="12"/>
    </row>
    <row r="214">
      <c r="A214" s="13"/>
      <c r="F214" s="12"/>
    </row>
    <row r="215">
      <c r="A215" s="13"/>
      <c r="F215" s="12"/>
    </row>
    <row r="216">
      <c r="A216" s="13"/>
      <c r="F216" s="12"/>
    </row>
    <row r="217">
      <c r="A217" s="13"/>
      <c r="F217" s="12"/>
    </row>
    <row r="218">
      <c r="A218" s="13"/>
      <c r="F218" s="12"/>
    </row>
    <row r="219">
      <c r="A219" s="13"/>
      <c r="F219" s="12"/>
    </row>
    <row r="220">
      <c r="A220" s="13"/>
      <c r="F220" s="12"/>
    </row>
    <row r="221">
      <c r="A221" s="13"/>
      <c r="F221" s="12"/>
    </row>
    <row r="222">
      <c r="A222" s="13"/>
      <c r="F222" s="12"/>
    </row>
    <row r="223">
      <c r="A223" s="13"/>
      <c r="F223" s="12"/>
    </row>
    <row r="224">
      <c r="A224" s="13"/>
      <c r="F224" s="12"/>
    </row>
    <row r="225">
      <c r="A225" s="13"/>
      <c r="F225" s="12"/>
    </row>
    <row r="226">
      <c r="A226" s="13"/>
      <c r="F226" s="12"/>
    </row>
    <row r="227">
      <c r="A227" s="13"/>
      <c r="F227" s="12"/>
    </row>
    <row r="228">
      <c r="A228" s="13"/>
      <c r="F228" s="12"/>
    </row>
    <row r="229">
      <c r="A229" s="13"/>
      <c r="F229" s="12"/>
    </row>
    <row r="230">
      <c r="A230" s="13"/>
      <c r="F230" s="12"/>
    </row>
    <row r="231">
      <c r="A231" s="13"/>
      <c r="F231" s="12"/>
    </row>
    <row r="232">
      <c r="A232" s="13"/>
      <c r="F232" s="12"/>
    </row>
    <row r="233">
      <c r="A233" s="13"/>
      <c r="F233" s="12"/>
    </row>
    <row r="234">
      <c r="A234" s="13"/>
      <c r="F234" s="12"/>
    </row>
    <row r="235">
      <c r="A235" s="13"/>
      <c r="F235" s="12"/>
    </row>
    <row r="236">
      <c r="A236" s="13"/>
      <c r="F236" s="12"/>
    </row>
    <row r="237">
      <c r="A237" s="13"/>
      <c r="F237" s="12"/>
    </row>
    <row r="238">
      <c r="A238" s="13"/>
      <c r="F238" s="12"/>
    </row>
    <row r="239">
      <c r="A239" s="13"/>
      <c r="F239" s="12"/>
    </row>
    <row r="240">
      <c r="A240" s="13"/>
      <c r="F240" s="12"/>
    </row>
    <row r="241">
      <c r="A241" s="13"/>
      <c r="F241" s="12"/>
    </row>
    <row r="242">
      <c r="A242" s="13"/>
      <c r="F242" s="12"/>
    </row>
    <row r="243">
      <c r="A243" s="13"/>
      <c r="F243" s="12"/>
    </row>
    <row r="244">
      <c r="A244" s="13"/>
      <c r="F244" s="12"/>
    </row>
    <row r="245">
      <c r="A245" s="13"/>
      <c r="F245" s="12"/>
    </row>
    <row r="246">
      <c r="A246" s="13"/>
      <c r="F246" s="12"/>
    </row>
    <row r="247">
      <c r="A247" s="13"/>
      <c r="F247" s="12"/>
    </row>
    <row r="248">
      <c r="A248" s="13"/>
      <c r="F248" s="12"/>
    </row>
    <row r="249">
      <c r="A249" s="13"/>
      <c r="F249" s="12"/>
    </row>
    <row r="250">
      <c r="A250" s="13"/>
      <c r="F250" s="12"/>
    </row>
    <row r="251">
      <c r="A251" s="13"/>
      <c r="F251" s="12"/>
    </row>
    <row r="252">
      <c r="A252" s="13"/>
      <c r="F252" s="12"/>
    </row>
    <row r="253">
      <c r="A253" s="13"/>
      <c r="F253" s="12"/>
    </row>
    <row r="254">
      <c r="A254" s="13"/>
      <c r="F254" s="12"/>
    </row>
    <row r="255">
      <c r="A255" s="13"/>
      <c r="F255" s="12"/>
    </row>
    <row r="256">
      <c r="A256" s="13"/>
      <c r="F256" s="12"/>
    </row>
    <row r="257">
      <c r="A257" s="13"/>
      <c r="F257" s="12"/>
    </row>
    <row r="258">
      <c r="A258" s="13"/>
      <c r="F258" s="12"/>
    </row>
    <row r="259">
      <c r="A259" s="13"/>
      <c r="F259" s="12"/>
    </row>
    <row r="260">
      <c r="A260" s="13"/>
      <c r="F260" s="12"/>
    </row>
    <row r="261">
      <c r="A261" s="13"/>
      <c r="F261" s="12"/>
    </row>
    <row r="262">
      <c r="A262" s="13"/>
      <c r="F262" s="12"/>
    </row>
    <row r="263">
      <c r="A263" s="13"/>
      <c r="F263" s="12"/>
    </row>
    <row r="264">
      <c r="A264" s="13"/>
      <c r="F264" s="12"/>
    </row>
    <row r="265">
      <c r="A265" s="13"/>
      <c r="F265" s="12"/>
    </row>
    <row r="266">
      <c r="A266" s="13"/>
      <c r="F266" s="12"/>
    </row>
    <row r="267">
      <c r="A267" s="13"/>
      <c r="F267" s="12"/>
    </row>
    <row r="268">
      <c r="A268" s="13"/>
      <c r="F268" s="12"/>
    </row>
    <row r="269">
      <c r="A269" s="13"/>
      <c r="F269" s="12"/>
    </row>
    <row r="270">
      <c r="A270" s="13"/>
      <c r="F270" s="12"/>
    </row>
    <row r="271">
      <c r="A271" s="13"/>
      <c r="F271" s="12"/>
    </row>
    <row r="272">
      <c r="A272" s="13"/>
      <c r="F272" s="12"/>
    </row>
    <row r="273">
      <c r="A273" s="13"/>
      <c r="F273" s="12"/>
    </row>
    <row r="274">
      <c r="A274" s="13"/>
      <c r="F274" s="12"/>
    </row>
    <row r="275">
      <c r="A275" s="13"/>
      <c r="F275" s="12"/>
    </row>
    <row r="276">
      <c r="A276" s="13"/>
      <c r="F276" s="12"/>
    </row>
    <row r="277">
      <c r="A277" s="13"/>
      <c r="F277" s="12"/>
    </row>
    <row r="278">
      <c r="A278" s="13"/>
      <c r="F278" s="12"/>
    </row>
    <row r="279">
      <c r="A279" s="13"/>
      <c r="F279" s="12"/>
    </row>
    <row r="280">
      <c r="A280" s="13"/>
      <c r="F280" s="12"/>
    </row>
    <row r="281">
      <c r="A281" s="13"/>
      <c r="F281" s="12"/>
    </row>
    <row r="282">
      <c r="A282" s="13"/>
      <c r="F282" s="12"/>
    </row>
    <row r="283">
      <c r="A283" s="13"/>
      <c r="F283" s="12"/>
    </row>
    <row r="284">
      <c r="A284" s="13"/>
      <c r="F284" s="12"/>
    </row>
    <row r="285">
      <c r="A285" s="13"/>
      <c r="F285" s="12"/>
    </row>
    <row r="286">
      <c r="A286" s="13"/>
      <c r="F286" s="12"/>
    </row>
    <row r="287">
      <c r="A287" s="13"/>
      <c r="F287" s="12"/>
    </row>
    <row r="288">
      <c r="A288" s="13"/>
      <c r="F288" s="12"/>
    </row>
    <row r="289">
      <c r="A289" s="13"/>
      <c r="F289" s="12"/>
    </row>
    <row r="290">
      <c r="A290" s="13"/>
      <c r="F290" s="12"/>
    </row>
    <row r="291">
      <c r="A291" s="13"/>
      <c r="F291" s="12"/>
    </row>
    <row r="292">
      <c r="A292" s="13"/>
      <c r="F292" s="12"/>
    </row>
    <row r="293">
      <c r="A293" s="17"/>
      <c r="B293" s="19"/>
      <c r="C293" s="19"/>
      <c r="D293" s="19"/>
      <c r="F293" s="12"/>
      <c r="O293" s="19"/>
      <c r="P293" s="19"/>
      <c r="Q293" s="19"/>
    </row>
  </sheetData>
  <mergeCells count="1">
    <mergeCell ref="A1:G3"/>
  </mergeCells>
  <conditionalFormatting sqref="N6:Y108 E31:F31 L32:M108">
    <cfRule type="cellIs" dxfId="0" priority="1" operator="equal">
      <formula>"N"</formula>
    </cfRule>
  </conditionalFormatting>
  <conditionalFormatting sqref="N6:Y108 E31:F31 L32:M108">
    <cfRule type="cellIs" dxfId="1" priority="2" operator="equal">
      <formula>"Y"</formula>
    </cfRule>
  </conditionalFormatting>
  <conditionalFormatting sqref="N1:N4 O1:Y293 N6:N293 E31:F31">
    <cfRule type="cellIs" dxfId="1" priority="3" operator="equal">
      <formula>"n/a"</formula>
    </cfRule>
  </conditionalFormatting>
  <hyperlinks>
    <hyperlink display="ILC1110" location="ILC1110!A1" ref="A6"/>
    <hyperlink display="ILC1111" location="ILC1111!A1" ref="A7"/>
    <hyperlink display="ILC1112" location="ILC1112!A1" ref="A8"/>
    <hyperlink display="ILC1211" location="ILC1211!A1" ref="A9"/>
    <hyperlink r:id="rId1" ref="Z9"/>
    <hyperlink display="ILC1213" location="ILC1213!A1" ref="A10"/>
    <hyperlink display="ILC1314" location="ILC1314!A1" ref="A11"/>
    <hyperlink r:id="rId2" ref="Z11"/>
    <hyperlink display="ILC1404" location="ILC1404!A1" ref="A12"/>
    <hyperlink r:id="rId3" ref="Z12"/>
    <hyperlink display="ILC2203" location="ILC2203!A1" ref="A13"/>
    <hyperlink r:id="rId4" ref="Z13"/>
    <hyperlink display="ILC2206" location="ILC2206!A1" ref="A14"/>
    <hyperlink r:id="rId5" ref="Z14"/>
    <hyperlink display="ILC2303" location="ILC2303!A1" ref="A15"/>
    <hyperlink r:id="rId6" ref="Z15"/>
    <hyperlink display="ILC2307" location="ILC2307!A1" ref="A16"/>
    <hyperlink r:id="rId7" ref="Z16"/>
    <hyperlink display="ILC2313" location="ILC2313!A1" ref="A17"/>
    <hyperlink r:id="rId8" ref="Z17"/>
    <hyperlink display="ILC2412" location="ILC2412!A1" ref="A18"/>
    <hyperlink r:id="rId9" ref="Z18"/>
    <hyperlink display="ILC2413" location="ILC2413!A1" ref="A19"/>
    <hyperlink r:id="rId10" ref="Z19"/>
    <hyperlink display="ILC3104" location="ILC3104!A1" ref="A20"/>
    <hyperlink r:id="rId11" ref="Z20"/>
    <hyperlink r:id="rId12" ref="AA20"/>
    <hyperlink display="ILC3310" location="ILC3310!A1" ref="A21"/>
    <hyperlink r:id="rId13" ref="Z21"/>
    <hyperlink display="ILC3312" location="ILC3312!A1" ref="A22"/>
    <hyperlink r:id="rId14" ref="Z22"/>
    <hyperlink display="ILC3413" location="null!A1" ref="A23"/>
    <hyperlink r:id="rId15" ref="Z23"/>
    <hyperlink display="ILC3415" location="null!A1" ref="A24"/>
    <hyperlink r:id="rId16" ref="Z24"/>
    <hyperlink display="ILC4406" location="ILC4406!A1" ref="A25"/>
    <hyperlink r:id="rId17" ref="Z25"/>
    <hyperlink display="ILC4410" location="ILC4410!A1" ref="A26"/>
    <hyperlink r:id="rId18" ref="Z26"/>
    <hyperlink display="JBV455" location="JBV455!A1" ref="A27"/>
    <hyperlink r:id="rId19" ref="Z27"/>
    <hyperlink display="JBV462" location="JBV462!A1" ref="A28"/>
    <hyperlink r:id="rId20" ref="Z28"/>
    <hyperlink display="JBV464" location="JBV464!A1" ref="A29"/>
    <hyperlink r:id="rId21" ref="Z29"/>
    <hyperlink display="VDI208" location="VDI208!A1" ref="A30"/>
    <hyperlink r:id="rId22" ref="Z30"/>
    <hyperlink display="STO2206" location="STO2206!A1" ref="A31"/>
    <hyperlink r:id="rId23" ref="Z31"/>
  </hyperlinks>
  <drawing r:id="rId2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4.43" defaultRowHeight="15.75"/>
  <cols>
    <col customWidth="1" min="1" max="1" width="5.86"/>
    <col customWidth="1" min="2" max="2" width="12.14"/>
    <col customWidth="1" min="3" max="11" width="8.57"/>
    <col customWidth="1" hidden="1" min="12" max="12" width="8.57"/>
    <col customWidth="1" min="13" max="13" width="11.43"/>
    <col customWidth="1" min="14" max="14" width="10.57"/>
    <col customWidth="1" min="15" max="19" width="8.57"/>
    <col customWidth="1" min="20" max="20" width="12.0"/>
    <col customWidth="1" min="21" max="27" width="8.57"/>
    <col customWidth="1" min="28" max="28" width="12.0"/>
  </cols>
  <sheetData>
    <row r="1">
      <c r="A1" s="5"/>
      <c r="B1" s="7"/>
      <c r="C1" s="7"/>
      <c r="D1" s="7"/>
      <c r="E1" s="7"/>
      <c r="F1" s="7"/>
      <c r="G1" s="7"/>
      <c r="H1" s="7"/>
      <c r="I1" s="7"/>
      <c r="J1" s="7"/>
      <c r="K1" s="7"/>
      <c r="L1" s="8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2"/>
      <c r="AA1" s="12"/>
      <c r="AB1" s="14"/>
    </row>
    <row r="2">
      <c r="A2" s="16"/>
      <c r="B2" s="18"/>
      <c r="C2" s="18"/>
      <c r="D2" s="18"/>
      <c r="E2" s="18"/>
      <c r="F2" s="18"/>
      <c r="G2" s="18"/>
      <c r="H2" s="18"/>
      <c r="I2" s="18"/>
      <c r="J2" s="18"/>
      <c r="K2" s="18"/>
      <c r="L2" s="2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2"/>
      <c r="AA2" s="12"/>
      <c r="AB2" s="14"/>
    </row>
    <row r="3">
      <c r="A3" s="23"/>
      <c r="B3" s="25"/>
      <c r="C3" s="25"/>
      <c r="D3" s="25"/>
      <c r="E3" s="25"/>
      <c r="F3" s="25"/>
      <c r="G3" s="25"/>
      <c r="H3" s="25"/>
      <c r="I3" s="25"/>
      <c r="J3" s="25"/>
      <c r="K3" s="25"/>
      <c r="L3" s="27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31"/>
      <c r="Z3" s="31"/>
      <c r="AA3" s="31"/>
      <c r="AB3" s="33"/>
    </row>
    <row r="4">
      <c r="A4" s="4"/>
      <c r="B4" s="4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35"/>
      <c r="U4" s="35"/>
      <c r="V4" s="35"/>
      <c r="W4" s="35"/>
      <c r="X4" s="35"/>
      <c r="Y4" s="35"/>
      <c r="Z4" s="35"/>
      <c r="AA4" s="35"/>
      <c r="AB4" s="39"/>
    </row>
    <row r="5">
      <c r="A5" s="42" t="s">
        <v>21</v>
      </c>
      <c r="B5" s="45" t="s">
        <v>33</v>
      </c>
      <c r="C5" s="49" t="s">
        <v>38</v>
      </c>
      <c r="D5" s="49" t="s">
        <v>41</v>
      </c>
      <c r="E5" s="49" t="s">
        <v>42</v>
      </c>
      <c r="F5" s="49" t="s">
        <v>45</v>
      </c>
      <c r="G5" s="49" t="s">
        <v>47</v>
      </c>
      <c r="H5" s="49" t="s">
        <v>51</v>
      </c>
      <c r="I5" s="49" t="s">
        <v>55</v>
      </c>
      <c r="J5" s="49" t="s">
        <v>56</v>
      </c>
      <c r="K5" s="49" t="s">
        <v>57</v>
      </c>
      <c r="L5" s="49" t="s">
        <v>58</v>
      </c>
      <c r="M5" s="49" t="s">
        <v>62</v>
      </c>
      <c r="N5" s="49" t="s">
        <v>64</v>
      </c>
      <c r="O5" s="49" t="s">
        <v>65</v>
      </c>
      <c r="P5" s="49" t="s">
        <v>68</v>
      </c>
      <c r="Q5" s="49" t="s">
        <v>70</v>
      </c>
      <c r="R5" s="49" t="s">
        <v>72</v>
      </c>
      <c r="S5" s="49" t="s">
        <v>74</v>
      </c>
      <c r="T5" s="49" t="s">
        <v>75</v>
      </c>
      <c r="U5" s="49" t="s">
        <v>78</v>
      </c>
      <c r="V5" s="49" t="s">
        <v>79</v>
      </c>
      <c r="W5" s="49" t="s">
        <v>80</v>
      </c>
      <c r="X5" s="49" t="s">
        <v>81</v>
      </c>
      <c r="Y5" s="49" t="s">
        <v>82</v>
      </c>
      <c r="Z5" s="49" t="s">
        <v>85</v>
      </c>
      <c r="AA5" s="49" t="s">
        <v>86</v>
      </c>
      <c r="AB5" s="49" t="s">
        <v>87</v>
      </c>
    </row>
    <row r="6" hidden="1">
      <c r="A6" s="67" t="str">
        <f t="shared" ref="A6:A385" si="2">CHOOSE(weekday(B6),"Sun","Mon","Tue","Wed","Thu","Fri","Sat")</f>
        <v>Mon</v>
      </c>
      <c r="B6" s="69">
        <v>43451.0</v>
      </c>
      <c r="C6" s="12"/>
      <c r="D6" s="12"/>
      <c r="E6" s="12"/>
      <c r="F6" s="12" t="str">
        <f>if(vlookup(B:B,'ILC1211'!$B9:F8448,5,false)="","Y","N")</f>
        <v>Y</v>
      </c>
      <c r="G6" s="12"/>
      <c r="H6" s="12" t="str">
        <f>if(vlookup(F:F,'ILC1211'!$B9:G8448,5,false)="","Y","N")</f>
        <v>#N/A</v>
      </c>
      <c r="I6" s="12" t="str">
        <f>if(vlookup(B:B,'ILC1404'!B9:F8171,5,false)="","Y","N")</f>
        <v>N</v>
      </c>
      <c r="J6" s="12"/>
      <c r="K6" s="12"/>
      <c r="L6" s="12" t="str">
        <f>if(vlookup(B:B,'ILC2303'!B9:F8448,5,false)="","Y","N")</f>
        <v>N</v>
      </c>
      <c r="M6" s="12" t="str">
        <f>if(vlookup(B:B,'ILC2307'!B9:F8964,5,false)="","Y","N")</f>
        <v>N</v>
      </c>
      <c r="N6" s="12" t="str">
        <f>if(vlookup(B:B,'ILC2313'!B9:F8603,5,false)="","Y","N")</f>
        <v>N</v>
      </c>
      <c r="O6" s="12" t="str">
        <f>if(vlookup(B:B,'ILC2412'!B9:F8448,5,false)="","Y","N")</f>
        <v>N</v>
      </c>
      <c r="P6" s="12" t="str">
        <f>if(vlookup(B:B,'ILC2413'!B9:F8946,5,false)="","Y","N")</f>
        <v>N</v>
      </c>
      <c r="Q6" s="12" t="str">
        <f>if(vlookup(B:B,'ILC3104'!B9:F8491,5,false)="","Y","N")</f>
        <v>Y</v>
      </c>
      <c r="R6" s="12"/>
      <c r="S6" s="12" t="str">
        <f>if(vlookup(B:B,'ILC3312'!B9:F8448,5,false)="","Y","N")</f>
        <v>N</v>
      </c>
      <c r="T6" s="12" t="str">
        <f t="shared" ref="T6:T12" si="3">if(vlookup(F:F,'ILC3315'!I9:M8448,5,false)="","Y","N")</f>
        <v>#REF!</v>
      </c>
      <c r="U6" s="12" t="str">
        <f t="shared" ref="U6:V6" si="1">if(vlookup(L:L,'ILC3315'!J9:N8448,5,false)="","Y","N")</f>
        <v>#REF!</v>
      </c>
      <c r="V6" s="12" t="str">
        <f t="shared" si="1"/>
        <v>#REF!</v>
      </c>
      <c r="W6" s="12" t="str">
        <f>if(vlookup(B:B,'ILC4410'!B9:F8615,5,false)="","Y","N")</f>
        <v>N</v>
      </c>
      <c r="X6" s="12" t="str">
        <f>if(vlookup(B:B,'JBV455'!B9:F8955,5,false)="","Y","N")</f>
        <v>N</v>
      </c>
      <c r="Y6" s="12" t="str">
        <f>if(vlookup(B:B,'JBV462'!B9:F8448,5,false)="","Y","N")</f>
        <v>Y</v>
      </c>
      <c r="Z6" s="12" t="str">
        <f>if(vlookup(B:B,'JBV464'!$B9:F8448,5,false)="",if(vlookup(B:B,'JBV462'!$B9:F8448,5,false)="",if(vlookup(B:B,'JBV462&amp;464'!$B9:F8448,5,false)="","Y","N"),"N"),"N")</f>
        <v>#REF!</v>
      </c>
      <c r="AA6" s="12"/>
      <c r="AB6" s="76"/>
    </row>
    <row r="7" hidden="1">
      <c r="A7" s="67" t="str">
        <f t="shared" si="2"/>
        <v>Tue</v>
      </c>
      <c r="B7" s="69">
        <v>43452.0</v>
      </c>
      <c r="C7" s="12"/>
      <c r="D7" s="12"/>
      <c r="E7" s="12"/>
      <c r="F7" s="12" t="str">
        <f>if(vlookup(B:B,'ILC1211'!$B10:F8449,5,false)="","Y","N")</f>
        <v>Y</v>
      </c>
      <c r="G7" s="12"/>
      <c r="H7" s="12" t="str">
        <f>if(vlookup(F:F,'ILC1211'!$B10:G8449,5,false)="","Y","N")</f>
        <v>#N/A</v>
      </c>
      <c r="I7" s="12" t="str">
        <f>if(vlookup(B:B,'ILC1404'!B10:F8172,5,false)="","Y","N")</f>
        <v>N</v>
      </c>
      <c r="J7" s="12"/>
      <c r="K7" s="12"/>
      <c r="L7" s="12" t="str">
        <f>if(vlookup(B:B,'ILC2303'!B10:F8449,5,false)="","Y","N")</f>
        <v>N</v>
      </c>
      <c r="M7" s="12" t="str">
        <f>if(vlookup(B:B,'ILC2307'!B10:F8965,5,false)="","Y","N")</f>
        <v>N</v>
      </c>
      <c r="N7" s="12" t="str">
        <f>if(vlookup(B:B,'ILC2313'!B10:F8604,5,false)="","Y","N")</f>
        <v>N</v>
      </c>
      <c r="O7" s="12" t="str">
        <f>if(vlookup(B:B,'ILC2412'!B10:F8449,5,false)="","Y","N")</f>
        <v>N</v>
      </c>
      <c r="P7" s="12" t="str">
        <f>if(vlookup(B:B,'ILC2413'!B10:F8947,5,false)="","Y","N")</f>
        <v>N</v>
      </c>
      <c r="Q7" s="12" t="str">
        <f>if(vlookup(B:B,'ILC3104'!B10:F8492,5,false)="","Y","N")</f>
        <v>N</v>
      </c>
      <c r="R7" s="12"/>
      <c r="S7" s="12" t="str">
        <f>if(vlookup(B:B,'ILC3312'!B10:F8449,5,false)="","Y","N")</f>
        <v>N</v>
      </c>
      <c r="T7" s="12" t="str">
        <f t="shared" si="3"/>
        <v>#REF!</v>
      </c>
      <c r="U7" s="12" t="str">
        <f t="shared" ref="U7:V7" si="4">if(vlookup(L:L,'ILC3315'!J10:N8449,5,false)="","Y","N")</f>
        <v>#REF!</v>
      </c>
      <c r="V7" s="12" t="str">
        <f t="shared" si="4"/>
        <v>#REF!</v>
      </c>
      <c r="W7" s="12" t="str">
        <f>if(vlookup(B:B,'ILC4410'!B10:F8616,5,false)="","Y","N")</f>
        <v>N</v>
      </c>
      <c r="X7" s="12" t="str">
        <f>if(vlookup(B:B,'JBV455'!B10:F8956,5,false)="","Y","N")</f>
        <v>N</v>
      </c>
      <c r="Y7" s="12" t="str">
        <f>if(vlookup(B:B,'JBV462'!B10:F8449,5,false)="","Y","N")</f>
        <v>Y</v>
      </c>
      <c r="Z7" s="12" t="str">
        <f>if(vlookup(B:B,'JBV464'!$B10:F8449,5,false)="",if(vlookup(B:B,'JBV462'!$B10:F8449,5,false)="",if(vlookup(B:B,'JBV462&amp;464'!$B10:F8449,5,false)="","Y","N"),"N"),"N")</f>
        <v>#REF!</v>
      </c>
      <c r="AA7" s="12"/>
      <c r="AB7" s="76"/>
    </row>
    <row r="8" hidden="1">
      <c r="A8" s="67" t="str">
        <f t="shared" si="2"/>
        <v>Wed</v>
      </c>
      <c r="B8" s="69">
        <v>43453.0</v>
      </c>
      <c r="C8" s="12"/>
      <c r="D8" s="12"/>
      <c r="E8" s="12"/>
      <c r="F8" s="12" t="str">
        <f>if(vlookup(B:B,'ILC1211'!$B11:F8450,5,false)="","Y","N")</f>
        <v>N</v>
      </c>
      <c r="G8" s="12"/>
      <c r="H8" s="12" t="str">
        <f>if(vlookup(F:F,'ILC1211'!$B11:G8450,5,false)="","Y","N")</f>
        <v>#N/A</v>
      </c>
      <c r="I8" s="12" t="str">
        <f>if(vlookup(B:B,'ILC1404'!B11:F8173,5,false)="","Y","N")</f>
        <v>N</v>
      </c>
      <c r="J8" s="12"/>
      <c r="K8" s="12"/>
      <c r="L8" s="12" t="str">
        <f>if(vlookup(B:B,'ILC2303'!B11:F8450,5,false)="","Y","N")</f>
        <v>N</v>
      </c>
      <c r="M8" s="12" t="str">
        <f>if(vlookup(B:B,'ILC2307'!B11:F8966,5,false)="","Y","N")</f>
        <v>N</v>
      </c>
      <c r="N8" s="12" t="str">
        <f>if(vlookup(B:B,'ILC2313'!B11:F8605,5,false)="","Y","N")</f>
        <v>N</v>
      </c>
      <c r="O8" s="12" t="str">
        <f>if(vlookup(B:B,'ILC2412'!B11:F8450,5,false)="","Y","N")</f>
        <v>N</v>
      </c>
      <c r="P8" s="12" t="str">
        <f>if(vlookup(B:B,'ILC2413'!B11:F8948,5,false)="","Y","N")</f>
        <v>N</v>
      </c>
      <c r="Q8" s="12" t="str">
        <f>if(vlookup(B:B,'ILC3104'!B11:F8493,5,false)="","Y","N")</f>
        <v>N</v>
      </c>
      <c r="R8" s="12"/>
      <c r="S8" s="12" t="str">
        <f>if(vlookup(B:B,'ILC3312'!B11:F8450,5,false)="","Y","N")</f>
        <v>N</v>
      </c>
      <c r="T8" s="12" t="str">
        <f t="shared" si="3"/>
        <v>#REF!</v>
      </c>
      <c r="U8" s="12" t="str">
        <f t="shared" ref="U8:V8" si="5">if(vlookup(L:L,'ILC3315'!J11:N8450,5,false)="","Y","N")</f>
        <v>#REF!</v>
      </c>
      <c r="V8" s="12" t="str">
        <f t="shared" si="5"/>
        <v>#REF!</v>
      </c>
      <c r="W8" s="12" t="str">
        <f>if(vlookup(B:B,'ILC4410'!B11:F8617,5,false)="","Y","N")</f>
        <v>N</v>
      </c>
      <c r="X8" s="12" t="str">
        <f>if(vlookup(B:B,'JBV455'!B11:F8957,5,false)="","Y","N")</f>
        <v>N</v>
      </c>
      <c r="Y8" s="12" t="str">
        <f>if(vlookup(B:B,'JBV462'!B11:F8450,5,false)="","Y","N")</f>
        <v>Y</v>
      </c>
      <c r="Z8" s="12" t="str">
        <f>if(vlookup(B:B,'JBV464'!$B11:F8450,5,false)="",if(vlookup(B:B,'JBV462'!$B11:F8450,5,false)="",if(vlookup(B:B,'JBV462&amp;464'!$B11:F8450,5,false)="","Y","N"),"N"),"N")</f>
        <v>N</v>
      </c>
      <c r="AA8" s="12"/>
      <c r="AB8" s="76"/>
    </row>
    <row r="9" hidden="1">
      <c r="A9" s="67" t="str">
        <f t="shared" si="2"/>
        <v>Thu</v>
      </c>
      <c r="B9" s="69">
        <v>43454.0</v>
      </c>
      <c r="C9" s="12"/>
      <c r="D9" s="12"/>
      <c r="E9" s="12"/>
      <c r="F9" s="12" t="str">
        <f>if(vlookup(B:B,'ILC1211'!$B12:F8451,5,false)="","Y","N")</f>
        <v>N</v>
      </c>
      <c r="G9" s="12"/>
      <c r="H9" s="12" t="str">
        <f>if(vlookup(F:F,'ILC1211'!$B12:G8451,5,false)="","Y","N")</f>
        <v>#N/A</v>
      </c>
      <c r="I9" s="12" t="str">
        <f>if(vlookup(B:B,'ILC1404'!B12:F8174,5,false)="","Y","N")</f>
        <v>N</v>
      </c>
      <c r="J9" s="12"/>
      <c r="K9" s="12"/>
      <c r="L9" s="12" t="str">
        <f>if(vlookup(B:B,'ILC2303'!B12:F8451,5,false)="","Y","N")</f>
        <v>N</v>
      </c>
      <c r="M9" s="12" t="str">
        <f>if(vlookup(B:B,'ILC2307'!B12:F8967,5,false)="","Y","N")</f>
        <v>N</v>
      </c>
      <c r="N9" s="12" t="str">
        <f>if(vlookup(B:B,'ILC2313'!B12:F8606,5,false)="","Y","N")</f>
        <v>N</v>
      </c>
      <c r="O9" s="12" t="str">
        <f>if(vlookup(B:B,'ILC2412'!B12:F8451,5,false)="","Y","N")</f>
        <v>N</v>
      </c>
      <c r="P9" s="12" t="str">
        <f>if(vlookup(B:B,'ILC2413'!B12:F8949,5,false)="","Y","N")</f>
        <v>N</v>
      </c>
      <c r="Q9" s="12" t="str">
        <f>if(vlookup(B:B,'ILC3104'!B12:F8494,5,false)="","Y","N")</f>
        <v>N</v>
      </c>
      <c r="R9" s="12"/>
      <c r="S9" s="12" t="str">
        <f>if(vlookup(B:B,'ILC3312'!B12:F8451,5,false)="","Y","N")</f>
        <v>N</v>
      </c>
      <c r="T9" s="12" t="str">
        <f t="shared" si="3"/>
        <v>#REF!</v>
      </c>
      <c r="U9" s="12" t="str">
        <f t="shared" ref="U9:V9" si="6">if(vlookup(L:L,'ILC3315'!J12:N8451,5,false)="","Y","N")</f>
        <v>#REF!</v>
      </c>
      <c r="V9" s="12" t="str">
        <f t="shared" si="6"/>
        <v>#REF!</v>
      </c>
      <c r="W9" s="12" t="str">
        <f>if(vlookup(B:B,'ILC4410'!B12:F8618,5,false)="","Y","N")</f>
        <v>N</v>
      </c>
      <c r="X9" s="12" t="str">
        <f>if(vlookup(B:B,'JBV455'!B12:F8958,5,false)="","Y","N")</f>
        <v>N</v>
      </c>
      <c r="Y9" s="12" t="str">
        <f>if(vlookup(B:B,'JBV462'!B12:F8451,5,false)="","Y","N")</f>
        <v>N</v>
      </c>
      <c r="Z9" s="12" t="str">
        <f>if(vlookup(B:B,'JBV464'!$B12:F8451,5,false)="",if(vlookup(B:B,'JBV462'!$B12:F8451,5,false)="",if(vlookup(B:B,'JBV462&amp;464'!$B12:F8451,5,false)="","Y","N"),"N"),"N")</f>
        <v>N</v>
      </c>
      <c r="AA9" s="12"/>
      <c r="AB9" s="76"/>
    </row>
    <row r="10" hidden="1">
      <c r="A10" s="67" t="str">
        <f t="shared" si="2"/>
        <v>Fri</v>
      </c>
      <c r="B10" s="69">
        <v>43455.0</v>
      </c>
      <c r="C10" s="12"/>
      <c r="D10" s="12"/>
      <c r="E10" s="12"/>
      <c r="F10" s="12" t="str">
        <f>if(vlookup(B:B,'ILC1211'!$B13:F8452,5,false)="","Y","N")</f>
        <v>N</v>
      </c>
      <c r="G10" s="12"/>
      <c r="H10" s="12" t="str">
        <f>if(vlookup(F:F,'ILC1211'!$B13:G8452,5,false)="","Y","N")</f>
        <v>#N/A</v>
      </c>
      <c r="I10" s="12" t="str">
        <f>if(vlookup(B:B,'ILC1404'!B13:F8175,5,false)="","Y","N")</f>
        <v>N</v>
      </c>
      <c r="J10" s="12"/>
      <c r="K10" s="12"/>
      <c r="L10" s="12" t="str">
        <f>if(vlookup(B:B,'ILC2303'!B13:F8452,5,false)="","Y","N")</f>
        <v>N</v>
      </c>
      <c r="M10" s="12" t="str">
        <f>if(vlookup(B:B,'ILC2307'!B13:F8968,5,false)="","Y","N")</f>
        <v>N</v>
      </c>
      <c r="N10" s="12" t="str">
        <f>if(vlookup(B:B,'ILC2313'!B13:F8607,5,false)="","Y","N")</f>
        <v>N</v>
      </c>
      <c r="O10" s="12" t="str">
        <f>if(vlookup(B:B,'ILC2412'!B13:F8452,5,false)="","Y","N")</f>
        <v>N</v>
      </c>
      <c r="P10" s="12" t="str">
        <f>if(vlookup(B:B,'ILC2413'!B13:F8950,5,false)="","Y","N")</f>
        <v>N</v>
      </c>
      <c r="Q10" s="12" t="str">
        <f>if(vlookup(B:B,'ILC3104'!B13:F8495,5,false)="","Y","N")</f>
        <v>N</v>
      </c>
      <c r="R10" s="12"/>
      <c r="S10" s="12" t="str">
        <f>if(vlookup(B:B,'ILC3312'!B13:F8452,5,false)="","Y","N")</f>
        <v>N</v>
      </c>
      <c r="T10" s="12" t="str">
        <f t="shared" si="3"/>
        <v>#REF!</v>
      </c>
      <c r="U10" s="12" t="str">
        <f t="shared" ref="U10:V10" si="7">if(vlookup(L:L,'ILC3315'!J13:N8452,5,false)="","Y","N")</f>
        <v>#REF!</v>
      </c>
      <c r="V10" s="12" t="str">
        <f t="shared" si="7"/>
        <v>#REF!</v>
      </c>
      <c r="W10" s="12" t="str">
        <f>if(vlookup(B:B,'ILC4410'!B13:F8619,5,false)="","Y","N")</f>
        <v>N</v>
      </c>
      <c r="X10" s="12" t="str">
        <f>if(vlookup(B:B,'JBV455'!B13:F8959,5,false)="","Y","N")</f>
        <v>N</v>
      </c>
      <c r="Y10" s="12" t="str">
        <f>if(vlookup(B:B,'JBV462'!B13:F8452,5,false)="","Y","N")</f>
        <v>N</v>
      </c>
      <c r="Z10" s="12" t="str">
        <f>if(vlookup(B:B,'JBV464'!$B13:F8452,5,false)="",if(vlookup(B:B,'JBV462'!$B13:F8452,5,false)="",if(vlookup(B:B,'JBV462&amp;464'!$B13:F8452,5,false)="","Y","N"),"N"),"N")</f>
        <v>N</v>
      </c>
      <c r="AA10" s="12"/>
      <c r="AB10" s="76"/>
    </row>
    <row r="11" hidden="1">
      <c r="A11" s="67" t="str">
        <f t="shared" si="2"/>
        <v>Sat</v>
      </c>
      <c r="B11" s="69">
        <v>43456.0</v>
      </c>
      <c r="C11" s="12"/>
      <c r="D11" s="12"/>
      <c r="E11" s="12"/>
      <c r="F11" s="12" t="str">
        <f>if(vlookup(B:B,'ILC1211'!$B14:F8453,5,false)="","Y","N")</f>
        <v>N</v>
      </c>
      <c r="G11" s="12"/>
      <c r="H11" s="12" t="str">
        <f>if(vlookup(F:F,'ILC1211'!$B14:G8453,5,false)="","Y","N")</f>
        <v>#N/A</v>
      </c>
      <c r="I11" s="12" t="str">
        <f>if(vlookup(B:B,'ILC1404'!B14:F8176,5,false)="","Y","N")</f>
        <v>N</v>
      </c>
      <c r="J11" s="12"/>
      <c r="K11" s="12"/>
      <c r="L11" s="12" t="str">
        <f>if(vlookup(B:B,'ILC2303'!B14:F8453,5,false)="","Y","N")</f>
        <v>N</v>
      </c>
      <c r="M11" s="12" t="str">
        <f>if(vlookup(B:B,'ILC2307'!B14:F8969,5,false)="","Y","N")</f>
        <v>N</v>
      </c>
      <c r="N11" s="12" t="str">
        <f>if(vlookup(B:B,'ILC2313'!B14:F8608,5,false)="","Y","N")</f>
        <v>N</v>
      </c>
      <c r="O11" s="12" t="str">
        <f>if(vlookup(B:B,'ILC2412'!B14:F8453,5,false)="","Y","N")</f>
        <v>N</v>
      </c>
      <c r="P11" s="12" t="str">
        <f>if(vlookup(B:B,'ILC2413'!B14:F8951,5,false)="","Y","N")</f>
        <v>N</v>
      </c>
      <c r="Q11" s="12" t="str">
        <f>if(vlookup(B:B,'ILC3104'!B14:F8496,5,false)="","Y","N")</f>
        <v>N</v>
      </c>
      <c r="R11" s="12"/>
      <c r="S11" s="12" t="str">
        <f>if(vlookup(B:B,'ILC3312'!B14:F8453,5,false)="","Y","N")</f>
        <v>N</v>
      </c>
      <c r="T11" s="12" t="str">
        <f t="shared" si="3"/>
        <v>#REF!</v>
      </c>
      <c r="U11" s="12" t="str">
        <f t="shared" ref="U11:V11" si="8">if(vlookup(L:L,'ILC3315'!J14:N8453,5,false)="","Y","N")</f>
        <v>#REF!</v>
      </c>
      <c r="V11" s="12" t="str">
        <f t="shared" si="8"/>
        <v>#REF!</v>
      </c>
      <c r="W11" s="12" t="str">
        <f>if(vlookup(B:B,'ILC4410'!B14:F8620,5,false)="","Y","N")</f>
        <v>N</v>
      </c>
      <c r="X11" s="12" t="str">
        <f>if(vlookup(B:B,'JBV455'!B14:F8960,5,false)="","Y","N")</f>
        <v>N</v>
      </c>
      <c r="Y11" s="12" t="str">
        <f>if(vlookup(B:B,'JBV462'!B14:F8453,5,false)="","Y","N")</f>
        <v>N</v>
      </c>
      <c r="Z11" s="12" t="str">
        <f>if(vlookup(B:B,'JBV464'!$B14:F8453,5,false)="",if(vlookup(B:B,'JBV462'!$B14:F8453,5,false)="",if(vlookup(B:B,'JBV462&amp;464'!$B14:F8453,5,false)="","Y","N"),"N"),"N")</f>
        <v>N</v>
      </c>
      <c r="AA11" s="12"/>
      <c r="AB11" s="76"/>
    </row>
    <row r="12" hidden="1">
      <c r="A12" s="67" t="str">
        <f t="shared" si="2"/>
        <v>Sun</v>
      </c>
      <c r="B12" s="69">
        <v>43457.0</v>
      </c>
      <c r="C12" s="12"/>
      <c r="D12" s="12"/>
      <c r="E12" s="12"/>
      <c r="F12" s="12" t="str">
        <f>if(vlookup(B:B,'ILC1211'!$B15:F8454,5,false)="","Y","N")</f>
        <v>N</v>
      </c>
      <c r="G12" s="12"/>
      <c r="H12" s="12" t="str">
        <f>if(vlookup(F:F,'ILC1211'!$B15:G8454,5,false)="","Y","N")</f>
        <v>#N/A</v>
      </c>
      <c r="I12" s="12" t="str">
        <f>if(vlookup(B:B,'ILC1404'!B15:F8177,5,false)="","Y","N")</f>
        <v>N</v>
      </c>
      <c r="J12" s="12"/>
      <c r="K12" s="12"/>
      <c r="L12" s="12" t="str">
        <f>if(vlookup(B:B,'ILC2303'!B15:F8454,5,false)="","Y","N")</f>
        <v>N</v>
      </c>
      <c r="M12" s="12" t="str">
        <f>if(vlookup(B:B,'ILC2307'!B15:F8970,5,false)="","Y","N")</f>
        <v>N</v>
      </c>
      <c r="N12" s="12" t="str">
        <f>if(vlookup(B:B,'ILC2313'!B15:F8609,5,false)="","Y","N")</f>
        <v>N</v>
      </c>
      <c r="O12" s="12" t="str">
        <f>if(vlookup(B:B,'ILC2412'!B15:F8454,5,false)="","Y","N")</f>
        <v>N</v>
      </c>
      <c r="P12" s="12" t="str">
        <f>if(vlookup(B:B,'ILC2413'!B15:F8952,5,false)="","Y","N")</f>
        <v>N</v>
      </c>
      <c r="Q12" s="12" t="str">
        <f>if(vlookup(B:B,'ILC3104'!B15:F8497,5,false)="","Y","N")</f>
        <v>N</v>
      </c>
      <c r="R12" s="12"/>
      <c r="S12" s="12" t="str">
        <f>if(vlookup(B:B,'ILC3312'!B15:F8454,5,false)="","Y","N")</f>
        <v>N</v>
      </c>
      <c r="T12" s="12" t="str">
        <f t="shared" si="3"/>
        <v>#REF!</v>
      </c>
      <c r="U12" s="12" t="str">
        <f t="shared" ref="U12:V12" si="9">if(vlookup(L:L,'ILC3315'!J15:N8454,5,false)="","Y","N")</f>
        <v>#REF!</v>
      </c>
      <c r="V12" s="12" t="str">
        <f t="shared" si="9"/>
        <v>#REF!</v>
      </c>
      <c r="W12" s="12" t="str">
        <f>if(vlookup(B:B,'ILC4410'!B15:F8621,5,false)="","Y","N")</f>
        <v>N</v>
      </c>
      <c r="X12" s="12" t="str">
        <f>if(vlookup(B:B,'JBV455'!B15:F8961,5,false)="","Y","N")</f>
        <v>N</v>
      </c>
      <c r="Y12" s="12" t="str">
        <f>if(vlookup(B:B,'JBV462'!B15:F8454,5,false)="","Y","N")</f>
        <v>N</v>
      </c>
      <c r="Z12" s="12" t="str">
        <f>if(vlookup(B:B,'JBV464'!$B15:F8454,5,false)="",if(vlookup(B:B,'JBV462'!$B15:F8454,5,false)="",if(vlookup(B:B,'JBV462&amp;464'!$B15:F8454,5,false)="","Y","N"),"N"),"N")</f>
        <v>N</v>
      </c>
      <c r="AA12" s="12"/>
      <c r="AB12" s="76"/>
    </row>
    <row r="13" hidden="1">
      <c r="A13" s="67" t="str">
        <f t="shared" si="2"/>
        <v>Mon</v>
      </c>
      <c r="B13" s="69">
        <v>43458.0</v>
      </c>
      <c r="C13" s="12"/>
      <c r="D13" s="12"/>
      <c r="E13" s="12"/>
      <c r="F13" s="12" t="str">
        <f>if(vlookup(B:B,'ILC1211'!$B16:F8455,5,false)="","Y","N")</f>
        <v>N</v>
      </c>
      <c r="G13" s="12"/>
      <c r="H13" s="12" t="str">
        <f>if(vlookup(F:F,'ILC1211'!$B16:G8455,5,false)="","Y","N")</f>
        <v>#N/A</v>
      </c>
      <c r="I13" s="12" t="str">
        <f>if(vlookup(B:B,'ILC1404'!B16:F8178,5,false)="","Y","N")</f>
        <v>N</v>
      </c>
      <c r="J13" s="12"/>
      <c r="K13" s="12"/>
      <c r="L13" s="12" t="str">
        <f>if(vlookup(B:B,'ILC2303'!B16:F8455,5,false)="","Y","N")</f>
        <v>N</v>
      </c>
      <c r="M13" s="12" t="str">
        <f>if(vlookup(B:B,'ILC2307'!B16:F8971,5,false)="","Y","N")</f>
        <v>N</v>
      </c>
      <c r="N13" s="12" t="str">
        <f>if(vlookup(B:B,'ILC2313'!B16:F8610,5,false)="","Y","N")</f>
        <v>N</v>
      </c>
      <c r="O13" s="12" t="str">
        <f>if(vlookup(B:B,'ILC2412'!B16:F8455,5,false)="","Y","N")</f>
        <v>N</v>
      </c>
      <c r="P13" s="12" t="str">
        <f>if(vlookup(B:B,'ILC2413'!B16:F8953,5,false)="","Y","N")</f>
        <v>N</v>
      </c>
      <c r="Q13" s="12" t="str">
        <f>if(vlookup(B:B,'ILC3104'!B16:F8498,5,false)="","Y","N")</f>
        <v>N</v>
      </c>
      <c r="R13" s="12"/>
      <c r="S13" s="12" t="str">
        <f>if(vlookup(B:B,'ILC3312'!B16:F8455,5,false)="","Y","N")</f>
        <v>N</v>
      </c>
      <c r="T13" s="12" t="str">
        <f>if(vlookup(B:B,ILC3413Texte!I6:M8962,5,false)="","Y","N")</f>
        <v>#REF!</v>
      </c>
      <c r="U13" s="12" t="str">
        <f>if(vlookup(B:B,'ILC3413&amp;3415'!I6:L8962,5,false)="","Y","N")</f>
        <v>#REF!</v>
      </c>
      <c r="V13" s="12" t="str">
        <f>if(vlookup(F:F,'ILC3413&amp;3415'!J6:M8962,5,false)="","Y","N")</f>
        <v>#REF!</v>
      </c>
      <c r="W13" s="12" t="str">
        <f>if(vlookup(B:B,'ILC4410'!B16:F8622,5,false)="","Y","N")</f>
        <v>N</v>
      </c>
      <c r="X13" s="12" t="str">
        <f>if(vlookup(B:B,'JBV455'!B16:F8962,5,false)="","Y","N")</f>
        <v>N</v>
      </c>
      <c r="Y13" s="12" t="str">
        <f>if(vlookup(B:B,'JBV462'!B16:F8455,5,false)="","Y","N")</f>
        <v>N</v>
      </c>
      <c r="Z13" s="12" t="str">
        <f>if(vlookup(B:B,'JBV464'!$B16:F8455,5,false)="",if(vlookup(B:B,'JBV462'!$B16:F8455,5,false)="",if(vlookup(B:B,'JBV462&amp;464'!$B16:F8455,5,false)="","Y","N"),"N"),"N")</f>
        <v>N</v>
      </c>
      <c r="AA13" s="12"/>
      <c r="AB13" s="76"/>
    </row>
    <row r="14" hidden="1">
      <c r="A14" s="67" t="str">
        <f t="shared" si="2"/>
        <v>Tue</v>
      </c>
      <c r="B14" s="69">
        <v>43459.0</v>
      </c>
      <c r="C14" s="12"/>
      <c r="D14" s="12"/>
      <c r="E14" s="12"/>
      <c r="F14" s="12" t="str">
        <f>if(vlookup(B:B,'ILC1211'!$B17:F8456,5,false)="","Y","N")</f>
        <v>N</v>
      </c>
      <c r="G14" s="12"/>
      <c r="H14" s="12" t="str">
        <f>if(vlookup(F:F,'ILC1211'!$B17:G8456,5,false)="","Y","N")</f>
        <v>#N/A</v>
      </c>
      <c r="I14" s="12" t="str">
        <f>if(vlookup(B:B,'ILC1404'!B17:F8179,5,false)="","Y","N")</f>
        <v>N</v>
      </c>
      <c r="J14" s="12"/>
      <c r="K14" s="12"/>
      <c r="L14" s="12" t="str">
        <f>if(vlookup(B:B,'ILC2303'!B17:F8456,5,false)="","Y","N")</f>
        <v>N</v>
      </c>
      <c r="M14" s="12" t="str">
        <f>if(vlookup(B:B,'ILC2307'!B17:F8972,5,false)="","Y","N")</f>
        <v>N</v>
      </c>
      <c r="N14" s="12" t="str">
        <f>if(vlookup(B:B,'ILC2313'!B17:F8611,5,false)="","Y","N")</f>
        <v>N</v>
      </c>
      <c r="O14" s="12" t="str">
        <f>if(vlookup(B:B,'ILC2412'!B17:F8456,5,false)="","Y","N")</f>
        <v>N</v>
      </c>
      <c r="P14" s="12" t="str">
        <f>if(vlookup(B:B,'ILC2413'!B17:F8954,5,false)="","Y","N")</f>
        <v>N</v>
      </c>
      <c r="Q14" s="12" t="str">
        <f>if(vlookup(B:B,'ILC3104'!B17:F8499,5,false)="","Y","N")</f>
        <v>N</v>
      </c>
      <c r="R14" s="12"/>
      <c r="S14" s="12" t="str">
        <f>if(vlookup(B:B,'ILC3312'!B17:F8456,5,false)="","Y","N")</f>
        <v>N</v>
      </c>
      <c r="T14" s="12" t="str">
        <f>if(vlookup(B:B,ILC3413Texte!I6:M8963,5,false)="","Y","N")</f>
        <v>#REF!</v>
      </c>
      <c r="U14" s="12" t="str">
        <f>if(vlookup(B:B,'ILC3413&amp;3415'!I6:L8963,5,false)="","Y","N")</f>
        <v>#REF!</v>
      </c>
      <c r="V14" s="12" t="str">
        <f>if(vlookup(F:F,'ILC3413&amp;3415'!J6:M8963,5,false)="","Y","N")</f>
        <v>#REF!</v>
      </c>
      <c r="W14" s="12" t="str">
        <f>if(vlookup(B:B,'ILC4410'!B17:F8623,5,false)="","Y","N")</f>
        <v>N</v>
      </c>
      <c r="X14" s="12" t="str">
        <f>if(vlookup(B:B,'JBV455'!B17:F8963,5,false)="","Y","N")</f>
        <v>N</v>
      </c>
      <c r="Y14" s="12" t="str">
        <f>if(vlookup(B:B,'JBV462'!B17:F8456,5,false)="","Y","N")</f>
        <v>N</v>
      </c>
      <c r="Z14" s="12" t="str">
        <f>if(vlookup(B:B,'JBV464'!$B17:F8456,5,false)="",if(vlookup(B:B,'JBV462'!$B17:F8456,5,false)="",if(vlookup(B:B,'JBV462&amp;464'!$B17:F8456,5,false)="","Y","N"),"N"),"N")</f>
        <v>N</v>
      </c>
      <c r="AA14" s="12"/>
      <c r="AB14" s="76"/>
    </row>
    <row r="15" hidden="1">
      <c r="A15" s="67" t="str">
        <f t="shared" si="2"/>
        <v>Wed</v>
      </c>
      <c r="B15" s="69">
        <v>43460.0</v>
      </c>
      <c r="C15" s="12"/>
      <c r="D15" s="12"/>
      <c r="E15" s="12"/>
      <c r="F15" s="12" t="str">
        <f>if(vlookup(B:B,'ILC1211'!$B18:F8457,5,false)="","Y","N")</f>
        <v>N</v>
      </c>
      <c r="G15" s="12"/>
      <c r="H15" s="12" t="str">
        <f>if(vlookup(F:F,'ILC1211'!$B18:G8457,5,false)="","Y","N")</f>
        <v>#N/A</v>
      </c>
      <c r="I15" s="12" t="str">
        <f>if(vlookup(B:B,'ILC1404'!B18:F8180,5,false)="","Y","N")</f>
        <v>N</v>
      </c>
      <c r="J15" s="12"/>
      <c r="K15" s="12"/>
      <c r="L15" s="12" t="str">
        <f>if(vlookup(B:B,'ILC2303'!B18:F8457,5,false)="","Y","N")</f>
        <v>N</v>
      </c>
      <c r="M15" s="12" t="str">
        <f>if(vlookup(B:B,'ILC2307'!B18:F8973,5,false)="","Y","N")</f>
        <v>N</v>
      </c>
      <c r="N15" s="12" t="str">
        <f>if(vlookup(B:B,'ILC2313'!B18:F8612,5,false)="","Y","N")</f>
        <v>N</v>
      </c>
      <c r="O15" s="12" t="str">
        <f>if(vlookup(B:B,'ILC2412'!B18:F8457,5,false)="","Y","N")</f>
        <v>N</v>
      </c>
      <c r="P15" s="12" t="str">
        <f>if(vlookup(B:B,'ILC2413'!B18:F8955,5,false)="","Y","N")</f>
        <v>N</v>
      </c>
      <c r="Q15" s="12" t="str">
        <f>if(vlookup(B:B,'ILC3104'!B18:F8500,5,false)="","Y","N")</f>
        <v>N</v>
      </c>
      <c r="R15" s="12"/>
      <c r="S15" s="12" t="str">
        <f>if(vlookup(B:B,'ILC3312'!B18:F8457,5,false)="","Y","N")</f>
        <v>N</v>
      </c>
      <c r="T15" s="12" t="str">
        <f>if(vlookup(B:B,ILC3413Texte!I6:M8964,5,false)="","Y","N")</f>
        <v>#REF!</v>
      </c>
      <c r="U15" s="12" t="str">
        <f>if(vlookup(B:B,'ILC3413&amp;3415'!I6:L8964,5,false)="","Y","N")</f>
        <v>#REF!</v>
      </c>
      <c r="V15" s="12" t="str">
        <f>if(vlookup(F:F,'ILC3413&amp;3415'!J6:M8964,5,false)="","Y","N")</f>
        <v>#REF!</v>
      </c>
      <c r="W15" s="12" t="str">
        <f>if(vlookup(B:B,'ILC4410'!B18:F8624,5,false)="","Y","N")</f>
        <v>N</v>
      </c>
      <c r="X15" s="12" t="str">
        <f>if(vlookup(B:B,'JBV455'!B18:F8964,5,false)="","Y","N")</f>
        <v>N</v>
      </c>
      <c r="Y15" s="12" t="str">
        <f>if(vlookup(B:B,'JBV462'!B18:F8457,5,false)="","Y","N")</f>
        <v>N</v>
      </c>
      <c r="Z15" s="12" t="str">
        <f>if(vlookup(B:B,'JBV464'!$B18:F8457,5,false)="",if(vlookup(B:B,'JBV462'!$B18:F8457,5,false)="",if(vlookup(B:B,'JBV462&amp;464'!$B18:F8457,5,false)="","Y","N"),"N"),"N")</f>
        <v>N</v>
      </c>
      <c r="AA15" s="12"/>
      <c r="AB15" s="76"/>
    </row>
    <row r="16" hidden="1">
      <c r="A16" s="67" t="str">
        <f t="shared" si="2"/>
        <v>Thu</v>
      </c>
      <c r="B16" s="69">
        <v>43461.0</v>
      </c>
      <c r="C16" s="12"/>
      <c r="D16" s="12"/>
      <c r="E16" s="12"/>
      <c r="F16" s="12" t="str">
        <f>if(vlookup(B:B,'ILC1211'!$B19:F8458,5,false)="","Y","N")</f>
        <v>N</v>
      </c>
      <c r="G16" s="12"/>
      <c r="H16" s="12" t="str">
        <f>if(vlookup(F:F,'ILC1211'!$B19:G8458,5,false)="","Y","N")</f>
        <v>#N/A</v>
      </c>
      <c r="I16" s="12" t="str">
        <f>if(vlookup(B:B,'ILC1404'!B19:F8181,5,false)="","Y","N")</f>
        <v>N</v>
      </c>
      <c r="J16" s="12"/>
      <c r="K16" s="12"/>
      <c r="L16" s="12" t="str">
        <f>if(vlookup(B:B,'ILC2303'!B19:F8458,5,false)="","Y","N")</f>
        <v>N</v>
      </c>
      <c r="M16" s="12" t="str">
        <f>if(vlookup(B:B,'ILC2307'!B19:F8974,5,false)="","Y","N")</f>
        <v>N</v>
      </c>
      <c r="N16" s="12" t="str">
        <f>if(vlookup(B:B,'ILC2313'!B19:F8613,5,false)="","Y","N")</f>
        <v>N</v>
      </c>
      <c r="O16" s="12" t="str">
        <f>if(vlookup(B:B,'ILC2412'!B19:F8458,5,false)="","Y","N")</f>
        <v>N</v>
      </c>
      <c r="P16" s="12" t="str">
        <f>if(vlookup(B:B,'ILC2413'!B19:F8956,5,false)="","Y","N")</f>
        <v>N</v>
      </c>
      <c r="Q16" s="12" t="str">
        <f>if(vlookup(B:B,'ILC3104'!B19:F8501,5,false)="","Y","N")</f>
        <v>N</v>
      </c>
      <c r="R16" s="12"/>
      <c r="S16" s="12" t="str">
        <f>if(vlookup(B:B,'ILC3312'!B19:F8458,5,false)="","Y","N")</f>
        <v>N</v>
      </c>
      <c r="T16" s="12" t="str">
        <f>if(vlookup(B:B,ILC3413Texte!I6:M8965,5,false)="","Y","N")</f>
        <v>#REF!</v>
      </c>
      <c r="U16" s="12" t="str">
        <f>if(vlookup(B:B,'ILC3413&amp;3415'!I6:L8965,5,false)="","Y","N")</f>
        <v>#REF!</v>
      </c>
      <c r="V16" s="12" t="str">
        <f>if(vlookup(F:F,'ILC3413&amp;3415'!J6:M8965,5,false)="","Y","N")</f>
        <v>#REF!</v>
      </c>
      <c r="W16" s="12" t="str">
        <f>if(vlookup(B:B,'ILC4410'!B19:F8625,5,false)="","Y","N")</f>
        <v>N</v>
      </c>
      <c r="X16" s="12" t="str">
        <f>if(vlookup(B:B,'JBV455'!B19:F8965,5,false)="","Y","N")</f>
        <v>N</v>
      </c>
      <c r="Y16" s="12" t="str">
        <f>if(vlookup(B:B,'JBV462'!B19:F8458,5,false)="","Y","N")</f>
        <v>Y</v>
      </c>
      <c r="Z16" s="12" t="str">
        <f>if(vlookup(B:B,'JBV464'!$B19:F8458,5,false)="",if(vlookup(B:B,'JBV462'!$B19:F8458,5,false)="",if(vlookup(B:B,'JBV462&amp;464'!$B19:F8458,5,false)="","Y","N"),"N"),"N")</f>
        <v>N</v>
      </c>
      <c r="AA16" s="12"/>
      <c r="AB16" s="76"/>
    </row>
    <row r="17" hidden="1">
      <c r="A17" s="67" t="str">
        <f t="shared" si="2"/>
        <v>Fri</v>
      </c>
      <c r="B17" s="69">
        <v>43462.0</v>
      </c>
      <c r="C17" s="12"/>
      <c r="D17" s="12"/>
      <c r="E17" s="12"/>
      <c r="F17" s="12" t="str">
        <f>if(vlookup(B:B,'ILC1211'!$B20:F8459,5,false)="","Y","N")</f>
        <v>N</v>
      </c>
      <c r="G17" s="12"/>
      <c r="H17" s="12" t="str">
        <f>if(vlookup(F:F,'ILC1211'!$B20:G8459,5,false)="","Y","N")</f>
        <v>#N/A</v>
      </c>
      <c r="I17" s="12" t="str">
        <f>if(vlookup(B:B,'ILC1404'!B20:F8182,5,false)="","Y","N")</f>
        <v>N</v>
      </c>
      <c r="J17" s="12"/>
      <c r="K17" s="12"/>
      <c r="L17" s="12" t="str">
        <f>if(vlookup(B:B,'ILC2303'!B20:F8459,5,false)="","Y","N")</f>
        <v>N</v>
      </c>
      <c r="M17" s="12" t="str">
        <f>if(vlookup(B:B,'ILC2307'!B20:F8975,5,false)="","Y","N")</f>
        <v>N</v>
      </c>
      <c r="N17" s="12" t="str">
        <f>if(vlookup(B:B,'ILC2313'!B20:F8614,5,false)="","Y","N")</f>
        <v>N</v>
      </c>
      <c r="O17" s="12" t="str">
        <f>if(vlookup(B:B,'ILC2412'!B20:F8459,5,false)="","Y","N")</f>
        <v>N</v>
      </c>
      <c r="P17" s="12" t="str">
        <f>if(vlookup(B:B,'ILC2413'!B20:F8957,5,false)="","Y","N")</f>
        <v>N</v>
      </c>
      <c r="Q17" s="12" t="str">
        <f>if(vlookup(B:B,'ILC3104'!B20:F8502,5,false)="","Y","N")</f>
        <v>N</v>
      </c>
      <c r="R17" s="12"/>
      <c r="S17" s="12" t="str">
        <f>if(vlookup(B:B,'ILC3312'!B20:F8459,5,false)="","Y","N")</f>
        <v>N</v>
      </c>
      <c r="T17" s="12" t="str">
        <f>if(vlookup(B:B,ILC3413Texte!I6:M8966,5,false)="","Y","N")</f>
        <v>#REF!</v>
      </c>
      <c r="U17" s="12" t="str">
        <f>if(vlookup(B:B,'ILC3413&amp;3415'!I6:L8966,5,false)="","Y","N")</f>
        <v>#REF!</v>
      </c>
      <c r="V17" s="12" t="str">
        <f>if(vlookup(F:F,'ILC3413&amp;3415'!J6:M8966,5,false)="","Y","N")</f>
        <v>#REF!</v>
      </c>
      <c r="W17" s="12" t="str">
        <f>if(vlookup(B:B,'ILC4410'!B20:F8626,5,false)="","Y","N")</f>
        <v>N</v>
      </c>
      <c r="X17" s="12" t="str">
        <f>if(vlookup(B:B,'JBV455'!B20:F8966,5,false)="","Y","N")</f>
        <v>N</v>
      </c>
      <c r="Y17" s="12" t="str">
        <f>if(vlookup(B:B,'JBV462'!B20:F8459,5,false)="","Y","N")</f>
        <v>N</v>
      </c>
      <c r="Z17" s="12" t="str">
        <f>if(vlookup(B:B,'JBV464'!$B20:F8459,5,false)="",if(vlookup(B:B,'JBV462'!$B20:F8459,5,false)="",if(vlookup(B:B,'JBV462&amp;464'!$B20:F8459,5,false)="","Y","N"),"N"),"N")</f>
        <v>N</v>
      </c>
      <c r="AA17" s="12"/>
      <c r="AB17" s="76"/>
    </row>
    <row r="18" hidden="1">
      <c r="A18" s="67" t="str">
        <f t="shared" si="2"/>
        <v>Sat</v>
      </c>
      <c r="B18" s="69">
        <v>43463.0</v>
      </c>
      <c r="C18" s="12"/>
      <c r="D18" s="12"/>
      <c r="E18" s="12"/>
      <c r="F18" s="12" t="str">
        <f>if(vlookup(B:B,'ILC1211'!$B21:F8460,5,false)="","Y","N")</f>
        <v>N</v>
      </c>
      <c r="G18" s="12"/>
      <c r="H18" s="12" t="str">
        <f>if(vlookup(F:F,'ILC1211'!$B21:G8460,5,false)="","Y","N")</f>
        <v>#N/A</v>
      </c>
      <c r="I18" s="12" t="str">
        <f>if(vlookup(B:B,'ILC1404'!B21:F8183,5,false)="","Y","N")</f>
        <v>N</v>
      </c>
      <c r="J18" s="12"/>
      <c r="K18" s="12"/>
      <c r="L18" s="12" t="str">
        <f>if(vlookup(B:B,'ILC2303'!B21:F8460,5,false)="","Y","N")</f>
        <v>N</v>
      </c>
      <c r="M18" s="12" t="str">
        <f>if(vlookup(B:B,'ILC2307'!B21:F8976,5,false)="","Y","N")</f>
        <v>N</v>
      </c>
      <c r="N18" s="12" t="str">
        <f>if(vlookup(B:B,'ILC2313'!B21:F8615,5,false)="","Y","N")</f>
        <v>N</v>
      </c>
      <c r="O18" s="12" t="str">
        <f>if(vlookup(B:B,'ILC2412'!B21:F8460,5,false)="","Y","N")</f>
        <v>N</v>
      </c>
      <c r="P18" s="12" t="str">
        <f>if(vlookup(B:B,'ILC2413'!B21:F8958,5,false)="","Y","N")</f>
        <v>N</v>
      </c>
      <c r="Q18" s="12" t="str">
        <f>if(vlookup(B:B,'ILC3104'!B21:F8503,5,false)="","Y","N")</f>
        <v>N</v>
      </c>
      <c r="R18" s="12"/>
      <c r="S18" s="12" t="str">
        <f>if(vlookup(B:B,'ILC3312'!B21:F8460,5,false)="","Y","N")</f>
        <v>N</v>
      </c>
      <c r="T18" s="12" t="str">
        <f>if(vlookup(B:B,ILC3413Texte!I6:M8967,5,false)="","Y","N")</f>
        <v>#REF!</v>
      </c>
      <c r="U18" s="12" t="str">
        <f>if(vlookup(B:B,'ILC3413&amp;3415'!I6:L8967,5,false)="","Y","N")</f>
        <v>#REF!</v>
      </c>
      <c r="V18" s="12" t="str">
        <f>if(vlookup(F:F,'ILC3413&amp;3415'!J6:M8967,5,false)="","Y","N")</f>
        <v>#REF!</v>
      </c>
      <c r="W18" s="12" t="str">
        <f>if(vlookup(B:B,'ILC4410'!B21:F8627,5,false)="","Y","N")</f>
        <v>N</v>
      </c>
      <c r="X18" s="12" t="str">
        <f>if(vlookup(B:B,'JBV455'!B21:F8967,5,false)="","Y","N")</f>
        <v>N</v>
      </c>
      <c r="Y18" s="12" t="str">
        <f>if(vlookup(B:B,'JBV462'!B21:F8460,5,false)="","Y","N")</f>
        <v>N</v>
      </c>
      <c r="Z18" s="12" t="str">
        <f>if(vlookup(B:B,'JBV464'!$B21:F8460,5,false)="",if(vlookup(B:B,'JBV462'!$B21:F8460,5,false)="",if(vlookup(B:B,'JBV462&amp;464'!$B21:F8460,5,false)="","Y","N"),"N"),"N")</f>
        <v>N</v>
      </c>
      <c r="AA18" s="12"/>
      <c r="AB18" s="76"/>
    </row>
    <row r="19" hidden="1">
      <c r="A19" s="67" t="str">
        <f t="shared" si="2"/>
        <v>Sun</v>
      </c>
      <c r="B19" s="69">
        <v>43464.0</v>
      </c>
      <c r="C19" s="12"/>
      <c r="D19" s="12"/>
      <c r="E19" s="12"/>
      <c r="F19" s="12" t="str">
        <f>if(vlookup(B:B,'ILC1211'!$B22:F8461,5,false)="","Y","N")</f>
        <v>N</v>
      </c>
      <c r="G19" s="12"/>
      <c r="H19" s="12" t="str">
        <f>if(vlookup(F:F,'ILC1211'!$B22:G8461,5,false)="","Y","N")</f>
        <v>#N/A</v>
      </c>
      <c r="I19" s="12" t="str">
        <f>if(vlookup(B:B,'ILC1404'!B22:F8184,5,false)="","Y","N")</f>
        <v>N</v>
      </c>
      <c r="J19" s="12"/>
      <c r="K19" s="12"/>
      <c r="L19" s="12" t="str">
        <f>if(vlookup(B:B,'ILC2303'!B22:F8461,5,false)="","Y","N")</f>
        <v>N</v>
      </c>
      <c r="M19" s="12" t="str">
        <f>if(vlookup(B:B,'ILC2307'!B22:F8977,5,false)="","Y","N")</f>
        <v>N</v>
      </c>
      <c r="N19" s="12" t="str">
        <f>if(vlookup(B:B,'ILC2313'!B22:F8616,5,false)="","Y","N")</f>
        <v>N</v>
      </c>
      <c r="O19" s="12" t="str">
        <f>if(vlookup(B:B,'ILC2412'!B22:F8461,5,false)="","Y","N")</f>
        <v>N</v>
      </c>
      <c r="P19" s="12" t="str">
        <f>if(vlookup(B:B,'ILC2413'!B22:F8959,5,false)="","Y","N")</f>
        <v>N</v>
      </c>
      <c r="Q19" s="12" t="str">
        <f>if(vlookup(B:B,'ILC3104'!B22:F8504,5,false)="","Y","N")</f>
        <v>N</v>
      </c>
      <c r="R19" s="12"/>
      <c r="S19" s="12" t="str">
        <f>if(vlookup(B:B,'ILC3312'!B22:F8461,5,false)="","Y","N")</f>
        <v>N</v>
      </c>
      <c r="T19" s="12" t="str">
        <f>if(vlookup(B:B,ILC3413Texte!I6:M8968,5,false)="","Y","N")</f>
        <v>#REF!</v>
      </c>
      <c r="U19" s="12" t="str">
        <f>if(vlookup(B:B,'ILC3413&amp;3415'!I6:L8968,5,false)="","Y","N")</f>
        <v>#REF!</v>
      </c>
      <c r="V19" s="12" t="str">
        <f>if(vlookup(F:F,'ILC3413&amp;3415'!J6:M8968,5,false)="","Y","N")</f>
        <v>#REF!</v>
      </c>
      <c r="W19" s="12" t="str">
        <f>if(vlookup(B:B,'ILC4410'!B22:F8628,5,false)="","Y","N")</f>
        <v>N</v>
      </c>
      <c r="X19" s="12" t="str">
        <f>if(vlookup(B:B,'JBV455'!B22:F8968,5,false)="","Y","N")</f>
        <v>N</v>
      </c>
      <c r="Y19" s="12" t="str">
        <f>if(vlookup(B:B,'JBV462'!B22:F8461,5,false)="","Y","N")</f>
        <v>N</v>
      </c>
      <c r="Z19" s="12" t="str">
        <f>if(vlookup(B:B,'JBV464'!$B22:F8461,5,false)="",if(vlookup(B:B,'JBV462'!$B22:F8461,5,false)="",if(vlookup(B:B,'JBV462&amp;464'!$B22:F8461,5,false)="","Y","N"),"N"),"N")</f>
        <v>N</v>
      </c>
      <c r="AA19" s="12"/>
      <c r="AB19" s="76"/>
    </row>
    <row r="20" hidden="1">
      <c r="A20" s="67" t="str">
        <f t="shared" si="2"/>
        <v>Mon</v>
      </c>
      <c r="B20" s="69">
        <v>43465.0</v>
      </c>
      <c r="C20" s="12"/>
      <c r="D20" s="12"/>
      <c r="E20" s="12"/>
      <c r="F20" s="12" t="str">
        <f>if(vlookup(B:B,'ILC1211'!$B23:F8462,5,false)="","Y","N")</f>
        <v>N</v>
      </c>
      <c r="G20" s="12"/>
      <c r="H20" s="12" t="str">
        <f>if(vlookup(F:F,'ILC1211'!$B23:G8462,5,false)="","Y","N")</f>
        <v>#N/A</v>
      </c>
      <c r="I20" s="12" t="str">
        <f>if(vlookup(B:B,'ILC1404'!B23:F8185,5,false)="","Y","N")</f>
        <v>N</v>
      </c>
      <c r="J20" s="12"/>
      <c r="K20" s="12"/>
      <c r="L20" s="12" t="str">
        <f>if(vlookup(B:B,'ILC2303'!B23:F8462,5,false)="","Y","N")</f>
        <v>N</v>
      </c>
      <c r="M20" s="12" t="str">
        <f>if(vlookup(B:B,'ILC2307'!B23:F8978,5,false)="","Y","N")</f>
        <v>N</v>
      </c>
      <c r="N20" s="12" t="str">
        <f>if(vlookup(B:B,'ILC2313'!B23:F8617,5,false)="","Y","N")</f>
        <v>N</v>
      </c>
      <c r="O20" s="12" t="str">
        <f>if(vlookup(B:B,'ILC2412'!B23:F8462,5,false)="","Y","N")</f>
        <v>N</v>
      </c>
      <c r="P20" s="12" t="str">
        <f>if(vlookup(B:B,'ILC2413'!B23:F8960,5,false)="","Y","N")</f>
        <v>N</v>
      </c>
      <c r="Q20" s="12" t="str">
        <f>if(vlookup(B:B,'ILC3104'!B23:F8505,5,false)="","Y","N")</f>
        <v>N</v>
      </c>
      <c r="R20" s="12"/>
      <c r="S20" s="12" t="str">
        <f>if(vlookup(B:B,'ILC3312'!B23:F8462,5,false)="","Y","N")</f>
        <v>N</v>
      </c>
      <c r="T20" s="12" t="str">
        <f>if(vlookup(B:B,ILC3413Texte!I6:M8969,5,false)="","Y","N")</f>
        <v>#REF!</v>
      </c>
      <c r="U20" s="12" t="str">
        <f>if(vlookup(B:B,'ILC3413&amp;3415'!I6:L8969,5,false)="","Y","N")</f>
        <v>#REF!</v>
      </c>
      <c r="V20" s="12" t="str">
        <f>if(vlookup(F:F,'ILC3413&amp;3415'!J6:M8969,5,false)="","Y","N")</f>
        <v>#REF!</v>
      </c>
      <c r="W20" s="12" t="str">
        <f>if(vlookup(B:B,'ILC4410'!B23:F8629,5,false)="","Y","N")</f>
        <v>N</v>
      </c>
      <c r="X20" s="12" t="str">
        <f>if(vlookup(B:B,'JBV455'!B23:F8969,5,false)="","Y","N")</f>
        <v>N</v>
      </c>
      <c r="Y20" s="12" t="str">
        <f>if(vlookup(B:B,'JBV462'!B23:F8462,5,false)="","Y","N")</f>
        <v>N</v>
      </c>
      <c r="Z20" s="12" t="str">
        <f>if(vlookup(B:B,'JBV464'!$B23:F8462,5,false)="",if(vlookup(B:B,'JBV462'!$B23:F8462,5,false)="",if(vlookup(B:B,'JBV462&amp;464'!$B23:F8462,5,false)="","Y","N"),"N"),"N")</f>
        <v>N</v>
      </c>
      <c r="AA20" s="12"/>
      <c r="AB20" s="76"/>
    </row>
    <row r="21" hidden="1">
      <c r="A21" s="67" t="str">
        <f t="shared" si="2"/>
        <v>Tue</v>
      </c>
      <c r="B21" s="69">
        <v>43466.0</v>
      </c>
      <c r="C21" s="12"/>
      <c r="D21" s="12"/>
      <c r="E21" s="12"/>
      <c r="F21" s="12" t="str">
        <f>if(vlookup(B:B,'ILC1211'!$B24:F8463,5,false)="","Y","N")</f>
        <v>N</v>
      </c>
      <c r="G21" s="12"/>
      <c r="H21" s="12" t="str">
        <f>if(vlookup(F:F,'ILC1211'!$B24:G8463,5,false)="","Y","N")</f>
        <v>#N/A</v>
      </c>
      <c r="I21" s="12" t="str">
        <f>if(vlookup(B:B,'ILC1404'!B24:F8186,5,false)="","Y","N")</f>
        <v>N</v>
      </c>
      <c r="J21" s="12"/>
      <c r="K21" s="12"/>
      <c r="L21" s="12" t="str">
        <f>if(vlookup(B:B,'ILC2303'!B24:F8463,5,false)="","Y","N")</f>
        <v>N</v>
      </c>
      <c r="M21" s="12" t="str">
        <f>if(vlookup(B:B,'ILC2307'!B24:F8979,5,false)="","Y","N")</f>
        <v>N</v>
      </c>
      <c r="N21" s="12" t="str">
        <f>if(vlookup(B:B,'ILC2313'!B24:F8618,5,false)="","Y","N")</f>
        <v>N</v>
      </c>
      <c r="O21" s="12" t="str">
        <f>if(vlookup(B:B,'ILC2412'!B24:F8463,5,false)="","Y","N")</f>
        <v>N</v>
      </c>
      <c r="P21" s="12" t="str">
        <f>if(vlookup(B:B,'ILC2413'!B24:F8961,5,false)="","Y","N")</f>
        <v>N</v>
      </c>
      <c r="Q21" s="12" t="str">
        <f>if(vlookup(B:B,'ILC3104'!B24:F8506,5,false)="","Y","N")</f>
        <v>N</v>
      </c>
      <c r="R21" s="12"/>
      <c r="S21" s="12" t="str">
        <f>if(vlookup(B:B,'ILC3312'!B24:F8463,5,false)="","Y","N")</f>
        <v>N</v>
      </c>
      <c r="T21" s="12" t="str">
        <f>if(vlookup(B:B,ILC3413Texte!I6:M8970,5,false)="","Y","N")</f>
        <v>#REF!</v>
      </c>
      <c r="U21" s="12" t="str">
        <f>if(vlookup(B:B,'ILC3413&amp;3415'!I6:L8970,5,false)="","Y","N")</f>
        <v>#REF!</v>
      </c>
      <c r="V21" s="12" t="str">
        <f>if(vlookup(F:F,'ILC3413&amp;3415'!J6:M8970,5,false)="","Y","N")</f>
        <v>#REF!</v>
      </c>
      <c r="W21" s="12" t="str">
        <f>if(vlookup(B:B,'ILC4410'!B24:F8630,5,false)="","Y","N")</f>
        <v>N</v>
      </c>
      <c r="X21" s="12" t="str">
        <f>if(vlookup(B:B,'JBV455'!B24:F8970,5,false)="","Y","N")</f>
        <v>N</v>
      </c>
      <c r="Y21" s="12" t="str">
        <f>if(vlookup(B:B,'JBV462'!B24:F8463,5,false)="","Y","N")</f>
        <v>N</v>
      </c>
      <c r="Z21" s="12" t="str">
        <f>if(vlookup(B:B,'JBV464'!$B24:F8463,5,false)="",if(vlookup(B:B,'JBV462'!$B24:F8463,5,false)="",if(vlookup(B:B,'JBV462&amp;464'!$B24:F8463,5,false)="","Y","N"),"N"),"N")</f>
        <v>N</v>
      </c>
      <c r="AA21" s="12"/>
      <c r="AB21" s="76"/>
    </row>
    <row r="22" hidden="1">
      <c r="A22" s="67" t="str">
        <f t="shared" si="2"/>
        <v>Wed</v>
      </c>
      <c r="B22" s="69">
        <v>43467.0</v>
      </c>
      <c r="C22" s="12"/>
      <c r="D22" s="12"/>
      <c r="E22" s="12"/>
      <c r="F22" s="12" t="str">
        <f>if(vlookup(B:B,'ILC1211'!$B25:F8464,5,false)="","Y","N")</f>
        <v>N</v>
      </c>
      <c r="G22" s="12"/>
      <c r="H22" s="12" t="str">
        <f>if(vlookup(F:F,'ILC1211'!$B25:G8464,5,false)="","Y","N")</f>
        <v>#N/A</v>
      </c>
      <c r="I22" s="12" t="str">
        <f>if(vlookup(B:B,'ILC1404'!B25:F8187,5,false)="","Y","N")</f>
        <v>N</v>
      </c>
      <c r="J22" s="12"/>
      <c r="K22" s="12"/>
      <c r="L22" s="12" t="str">
        <f>if(vlookup(B:B,'ILC2303'!B25:F8464,5,false)="","Y","N")</f>
        <v>N</v>
      </c>
      <c r="M22" s="12" t="str">
        <f>if(vlookup(B:B,'ILC2307'!B25:F8980,5,false)="","Y","N")</f>
        <v>N</v>
      </c>
      <c r="N22" s="12" t="str">
        <f>if(vlookup(B:B,'ILC2313'!B25:F8619,5,false)="","Y","N")</f>
        <v>N</v>
      </c>
      <c r="O22" s="12" t="str">
        <f>if(vlookup(B:B,'ILC2412'!B25:F8464,5,false)="","Y","N")</f>
        <v>N</v>
      </c>
      <c r="P22" s="12" t="str">
        <f>if(vlookup(B:B,'ILC2413'!B25:F8962,5,false)="","Y","N")</f>
        <v>N</v>
      </c>
      <c r="Q22" s="12" t="str">
        <f>if(vlookup(B:B,'ILC3104'!B25:F8507,5,false)="","Y","N")</f>
        <v>N</v>
      </c>
      <c r="R22" s="12"/>
      <c r="S22" s="12" t="str">
        <f>if(vlookup(B:B,'ILC3312'!B25:F8464,5,false)="","Y","N")</f>
        <v>N</v>
      </c>
      <c r="T22" s="12" t="str">
        <f>if(vlookup(B:B,ILC3413Texte!I6:M8971,5,false)="","Y","N")</f>
        <v>#REF!</v>
      </c>
      <c r="U22" s="12" t="str">
        <f>if(vlookup(B:B,'ILC3413&amp;3415'!I6:L8971,5,false)="","Y","N")</f>
        <v>#REF!</v>
      </c>
      <c r="V22" s="12" t="str">
        <f>if(vlookup(F:F,'ILC3413&amp;3415'!J6:M8971,5,false)="","Y","N")</f>
        <v>#REF!</v>
      </c>
      <c r="W22" s="12" t="str">
        <f>if(vlookup(B:B,'ILC4410'!B25:F8631,5,false)="","Y","N")</f>
        <v>N</v>
      </c>
      <c r="X22" s="12" t="str">
        <f>if(vlookup(B:B,'JBV455'!B25:F8971,5,false)="","Y","N")</f>
        <v>N</v>
      </c>
      <c r="Y22" s="12" t="str">
        <f>if(vlookup(B:B,'JBV462'!B25:F8464,5,false)="","Y","N")</f>
        <v>N</v>
      </c>
      <c r="Z22" s="12" t="str">
        <f>if(vlookup(B:B,'JBV464'!$B25:F8464,5,false)="",if(vlookup(B:B,'JBV462'!$B25:F8464,5,false)="",if(vlookup(B:B,'JBV462&amp;464'!$B25:F8464,5,false)="","Y","N"),"N"),"N")</f>
        <v>N</v>
      </c>
      <c r="AA22" s="12"/>
      <c r="AB22" s="76"/>
    </row>
    <row r="23" hidden="1">
      <c r="A23" s="67" t="str">
        <f t="shared" si="2"/>
        <v>Thu</v>
      </c>
      <c r="B23" s="69">
        <v>43468.0</v>
      </c>
      <c r="C23" s="12"/>
      <c r="D23" s="12"/>
      <c r="E23" s="12"/>
      <c r="F23" s="12" t="str">
        <f>if(vlookup(B:B,'ILC1211'!$B26:F8465,5,false)="","Y","N")</f>
        <v>N</v>
      </c>
      <c r="G23" s="12"/>
      <c r="H23" s="12" t="str">
        <f>if(vlookup(F:F,'ILC1211'!$B26:G8465,5,false)="","Y","N")</f>
        <v>#N/A</v>
      </c>
      <c r="I23" s="12" t="str">
        <f>if(vlookup(B:B,'ILC1404'!B26:F8188,5,false)="","Y","N")</f>
        <v>N</v>
      </c>
      <c r="J23" s="12"/>
      <c r="K23" s="12"/>
      <c r="L23" s="12" t="str">
        <f>if(vlookup(B:B,'ILC2303'!B26:F8465,5,false)="","Y","N")</f>
        <v>N</v>
      </c>
      <c r="M23" s="12" t="str">
        <f>if(vlookup(B:B,'ILC2307'!B26:F8981,5,false)="","Y","N")</f>
        <v>N</v>
      </c>
      <c r="N23" s="12" t="str">
        <f>if(vlookup(B:B,'ILC2313'!B26:F8620,5,false)="","Y","N")</f>
        <v>N</v>
      </c>
      <c r="O23" s="12" t="str">
        <f>if(vlookup(B:B,'ILC2412'!B26:F8465,5,false)="","Y","N")</f>
        <v>N</v>
      </c>
      <c r="P23" s="12" t="str">
        <f>if(vlookup(B:B,'ILC2413'!B26:F8963,5,false)="","Y","N")</f>
        <v>N</v>
      </c>
      <c r="Q23" s="12" t="str">
        <f>if(vlookup(B:B,'ILC3104'!B26:F8508,5,false)="","Y","N")</f>
        <v>N</v>
      </c>
      <c r="R23" s="12"/>
      <c r="S23" s="12" t="str">
        <f>if(vlookup(B:B,'ILC3312'!B26:F8465,5,false)="","Y","N")</f>
        <v>N</v>
      </c>
      <c r="T23" s="12" t="str">
        <f>if(vlookup(B:B,ILC3413Texte!I6:M8972,5,false)="","Y","N")</f>
        <v>#REF!</v>
      </c>
      <c r="U23" s="12" t="str">
        <f>if(vlookup(B:B,'ILC3413&amp;3415'!I6:L8972,5,false)="","Y","N")</f>
        <v>#REF!</v>
      </c>
      <c r="V23" s="12" t="str">
        <f>if(vlookup(F:F,'ILC3413&amp;3415'!J6:M8972,5,false)="","Y","N")</f>
        <v>#REF!</v>
      </c>
      <c r="W23" s="12" t="str">
        <f>if(vlookup(B:B,'ILC4410'!B26:F8632,5,false)="","Y","N")</f>
        <v>N</v>
      </c>
      <c r="X23" s="12" t="str">
        <f>if(vlookup(B:B,'JBV455'!B26:F8972,5,false)="","Y","N")</f>
        <v>N</v>
      </c>
      <c r="Y23" s="12" t="str">
        <f>if(vlookup(B:B,'JBV462'!B26:F8465,5,false)="","Y","N")</f>
        <v>N</v>
      </c>
      <c r="Z23" s="12" t="str">
        <f>if(vlookup(B:B,'JBV464'!$B26:F8465,5,false)="",if(vlookup(B:B,'JBV462'!$B26:F8465,5,false)="",if(vlookup(B:B,'JBV462&amp;464'!$B26:F8465,5,false)="","Y","N"),"N"),"N")</f>
        <v>N</v>
      </c>
      <c r="AA23" s="12"/>
      <c r="AB23" s="76"/>
    </row>
    <row r="24" hidden="1">
      <c r="A24" s="67" t="str">
        <f t="shared" si="2"/>
        <v>Fri</v>
      </c>
      <c r="B24" s="69">
        <v>43469.0</v>
      </c>
      <c r="C24" s="12"/>
      <c r="D24" s="12"/>
      <c r="E24" s="12"/>
      <c r="F24" s="12" t="str">
        <f>if(vlookup(B:B,'ILC1211'!$B27:F8466,5,false)="","Y","N")</f>
        <v>N</v>
      </c>
      <c r="G24" s="12"/>
      <c r="H24" s="12" t="str">
        <f>if(vlookup(F:F,'ILC1211'!$B27:G8466,5,false)="","Y","N")</f>
        <v>#N/A</v>
      </c>
      <c r="I24" s="12" t="str">
        <f>if(vlookup(B:B,'ILC1404'!B27:F8189,5,false)="","Y","N")</f>
        <v>N</v>
      </c>
      <c r="J24" s="12"/>
      <c r="K24" s="12"/>
      <c r="L24" s="12" t="str">
        <f>if(vlookup(B:B,'ILC2303'!B27:F8466,5,false)="","Y","N")</f>
        <v>N</v>
      </c>
      <c r="M24" s="12" t="str">
        <f>if(vlookup(B:B,'ILC2307'!B27:F8982,5,false)="","Y","N")</f>
        <v>N</v>
      </c>
      <c r="N24" s="12" t="str">
        <f>if(vlookup(B:B,'ILC2313'!B27:F8621,5,false)="","Y","N")</f>
        <v>N</v>
      </c>
      <c r="O24" s="12" t="str">
        <f>if(vlookup(B:B,'ILC2412'!B27:F8466,5,false)="","Y","N")</f>
        <v>N</v>
      </c>
      <c r="P24" s="12" t="str">
        <f>if(vlookup(B:B,'ILC2413'!B27:F8964,5,false)="","Y","N")</f>
        <v>N</v>
      </c>
      <c r="Q24" s="12" t="str">
        <f>if(vlookup(B:B,'ILC3104'!B27:F8509,5,false)="","Y","N")</f>
        <v>N</v>
      </c>
      <c r="R24" s="12"/>
      <c r="S24" s="12" t="str">
        <f>if(vlookup(B:B,'ILC3312'!B27:F8466,5,false)="","Y","N")</f>
        <v>N</v>
      </c>
      <c r="T24" s="12" t="str">
        <f>if(vlookup(B:B,ILC3413Texte!I6:M8973,5,false)="","Y","N")</f>
        <v>#REF!</v>
      </c>
      <c r="U24" s="12" t="str">
        <f>if(vlookup(B:B,'ILC3413&amp;3415'!I6:L8973,5,false)="","Y","N")</f>
        <v>#REF!</v>
      </c>
      <c r="V24" s="12" t="str">
        <f>if(vlookup(F:F,'ILC3413&amp;3415'!J6:M8973,5,false)="","Y","N")</f>
        <v>#REF!</v>
      </c>
      <c r="W24" s="12" t="str">
        <f>if(vlookup(B:B,'ILC4410'!B27:F8633,5,false)="","Y","N")</f>
        <v>N</v>
      </c>
      <c r="X24" s="12" t="str">
        <f>if(vlookup(B:B,'JBV455'!B27:F8973,5,false)="","Y","N")</f>
        <v>N</v>
      </c>
      <c r="Y24" s="12" t="str">
        <f>if(vlookup(B:B,'JBV462'!B27:F8466,5,false)="","Y","N")</f>
        <v>N</v>
      </c>
      <c r="Z24" s="12" t="str">
        <f>if(vlookup(B:B,'JBV464'!$B27:F8466,5,false)="",if(vlookup(B:B,'JBV462'!$B27:F8466,5,false)="",if(vlookup(B:B,'JBV462&amp;464'!$B27:F8466,5,false)="","Y","N"),"N"),"N")</f>
        <v>N</v>
      </c>
      <c r="AA24" s="12"/>
      <c r="AB24" s="76"/>
    </row>
    <row r="25" hidden="1">
      <c r="A25" s="67" t="str">
        <f t="shared" si="2"/>
        <v>Sat</v>
      </c>
      <c r="B25" s="69">
        <v>43470.0</v>
      </c>
      <c r="C25" s="12"/>
      <c r="D25" s="12"/>
      <c r="E25" s="12"/>
      <c r="F25" s="12" t="str">
        <f>if(vlookup(B:B,'ILC1211'!$B28:F8467,5,false)="","Y","N")</f>
        <v>N</v>
      </c>
      <c r="G25" s="12"/>
      <c r="H25" s="12" t="str">
        <f>if(vlookup(F:F,'ILC1211'!$B28:G8467,5,false)="","Y","N")</f>
        <v>#N/A</v>
      </c>
      <c r="I25" s="12" t="str">
        <f>if(vlookup(B:B,'ILC1404'!B28:F8190,5,false)="","Y","N")</f>
        <v>N</v>
      </c>
      <c r="J25" s="12"/>
      <c r="K25" s="12"/>
      <c r="L25" s="12" t="str">
        <f>if(vlookup(B:B,'ILC2303'!B28:F8467,5,false)="","Y","N")</f>
        <v>N</v>
      </c>
      <c r="M25" s="12" t="str">
        <f>if(vlookup(B:B,'ILC2307'!B28:F8983,5,false)="","Y","N")</f>
        <v>N</v>
      </c>
      <c r="N25" s="12" t="str">
        <f>if(vlookup(B:B,'ILC2313'!B28:F8622,5,false)="","Y","N")</f>
        <v>N</v>
      </c>
      <c r="O25" s="12" t="str">
        <f>if(vlookup(B:B,'ILC2412'!B28:F8467,5,false)="","Y","N")</f>
        <v>N</v>
      </c>
      <c r="P25" s="12" t="str">
        <f>if(vlookup(B:B,'ILC2413'!B28:F8965,5,false)="","Y","N")</f>
        <v>N</v>
      </c>
      <c r="Q25" s="12" t="str">
        <f>if(vlookup(B:B,'ILC3104'!B28:F8510,5,false)="","Y","N")</f>
        <v>N</v>
      </c>
      <c r="R25" s="12"/>
      <c r="S25" s="12" t="str">
        <f>if(vlookup(B:B,'ILC3312'!B28:F8467,5,false)="","Y","N")</f>
        <v>N</v>
      </c>
      <c r="T25" s="12" t="str">
        <f>if(vlookup(B:B,ILC3413Texte!I6:M8974,5,false)="","Y","N")</f>
        <v>#REF!</v>
      </c>
      <c r="U25" s="12" t="str">
        <f>if(vlookup(B:B,'ILC3413&amp;3415'!I6:L8974,5,false)="","Y","N")</f>
        <v>#REF!</v>
      </c>
      <c r="V25" s="12" t="str">
        <f>if(vlookup(F:F,'ILC3413&amp;3415'!J6:M8974,5,false)="","Y","N")</f>
        <v>#REF!</v>
      </c>
      <c r="W25" s="12" t="str">
        <f>if(vlookup(B:B,'ILC4410'!B28:F8634,5,false)="","Y","N")</f>
        <v>N</v>
      </c>
      <c r="X25" s="12" t="str">
        <f>if(vlookup(B:B,'JBV455'!B28:F8974,5,false)="","Y","N")</f>
        <v>N</v>
      </c>
      <c r="Y25" s="12" t="str">
        <f>if(vlookup(B:B,'JBV462'!B28:F8467,5,false)="","Y","N")</f>
        <v>N</v>
      </c>
      <c r="Z25" s="12" t="str">
        <f>if(vlookup(B:B,'JBV464'!$B28:F8467,5,false)="",if(vlookup(B:B,'JBV462'!$B28:F8467,5,false)="",if(vlookup(B:B,'JBV462&amp;464'!$B28:F8467,5,false)="","Y","N"),"N"),"N")</f>
        <v>N</v>
      </c>
      <c r="AA25" s="12"/>
      <c r="AB25" s="76"/>
    </row>
    <row r="26" hidden="1">
      <c r="A26" s="67" t="str">
        <f t="shared" si="2"/>
        <v>Sun</v>
      </c>
      <c r="B26" s="69">
        <v>43471.0</v>
      </c>
      <c r="C26" s="12"/>
      <c r="D26" s="12"/>
      <c r="E26" s="12"/>
      <c r="F26" s="12" t="str">
        <f>if(vlookup(B:B,'ILC1211'!$B29:F8468,5,false)="","Y","N")</f>
        <v>N</v>
      </c>
      <c r="G26" s="12"/>
      <c r="H26" s="12" t="str">
        <f>if(vlookup(F:F,'ILC1211'!$B29:G8468,5,false)="","Y","N")</f>
        <v>#N/A</v>
      </c>
      <c r="I26" s="12" t="str">
        <f>if(vlookup(B:B,'ILC1404'!B29:F8191,5,false)="","Y","N")</f>
        <v>N</v>
      </c>
      <c r="J26" s="12"/>
      <c r="K26" s="12"/>
      <c r="L26" s="12" t="str">
        <f>if(vlookup(B:B,'ILC2303'!B29:F8468,5,false)="","Y","N")</f>
        <v>N</v>
      </c>
      <c r="M26" s="12" t="str">
        <f>if(vlookup(B:B,'ILC2307'!B29:F8984,5,false)="","Y","N")</f>
        <v>N</v>
      </c>
      <c r="N26" s="12" t="str">
        <f>if(vlookup(B:B,'ILC2313'!B29:F8623,5,false)="","Y","N")</f>
        <v>N</v>
      </c>
      <c r="O26" s="12" t="str">
        <f>if(vlookup(B:B,'ILC2412'!B29:F8468,5,false)="","Y","N")</f>
        <v>N</v>
      </c>
      <c r="P26" s="12" t="str">
        <f>if(vlookup(B:B,'ILC2413'!B29:F8966,5,false)="","Y","N")</f>
        <v>N</v>
      </c>
      <c r="Q26" s="12" t="str">
        <f>if(vlookup(B:B,'ILC3104'!B29:F8511,5,false)="","Y","N")</f>
        <v>N</v>
      </c>
      <c r="R26" s="12"/>
      <c r="S26" s="12" t="str">
        <f>if(vlookup(B:B,'ILC3312'!B29:F8468,5,false)="","Y","N")</f>
        <v>N</v>
      </c>
      <c r="T26" s="12" t="str">
        <f>if(vlookup(B:B,ILC3413Texte!I6:M8975,5,false)="","Y","N")</f>
        <v>#REF!</v>
      </c>
      <c r="U26" s="12" t="str">
        <f>if(vlookup(B:B,'ILC3413&amp;3415'!I6:L8975,5,false)="","Y","N")</f>
        <v>#REF!</v>
      </c>
      <c r="V26" s="12" t="str">
        <f>if(vlookup(F:F,'ILC3413&amp;3415'!J6:M8975,5,false)="","Y","N")</f>
        <v>#REF!</v>
      </c>
      <c r="W26" s="12" t="str">
        <f>if(vlookup(B:B,'ILC4410'!B29:F8635,5,false)="","Y","N")</f>
        <v>N</v>
      </c>
      <c r="X26" s="12" t="str">
        <f>if(vlookup(B:B,'JBV455'!B29:F8975,5,false)="","Y","N")</f>
        <v>N</v>
      </c>
      <c r="Y26" s="12" t="str">
        <f>if(vlookup(B:B,'JBV462'!B29:F8468,5,false)="","Y","N")</f>
        <v>N</v>
      </c>
      <c r="Z26" s="12" t="str">
        <f>if(vlookup(B:B,'JBV464'!$B29:F8468,5,false)="",if(vlookup(B:B,'JBV462'!$B29:F8468,5,false)="",if(vlookup(B:B,'JBV462&amp;464'!$B29:F8468,5,false)="","Y","N"),"N"),"N")</f>
        <v>N</v>
      </c>
      <c r="AA26" s="12"/>
      <c r="AB26" s="76"/>
    </row>
    <row r="27" hidden="1">
      <c r="A27" s="67" t="str">
        <f t="shared" si="2"/>
        <v>Mon</v>
      </c>
      <c r="B27" s="69">
        <v>43472.0</v>
      </c>
      <c r="C27" s="12"/>
      <c r="D27" s="12"/>
      <c r="E27" s="12"/>
      <c r="F27" s="12" t="str">
        <f>if(vlookup(B:B,'ILC1211'!$B30:F8469,5,false)="","Y","N")</f>
        <v>N</v>
      </c>
      <c r="G27" s="12"/>
      <c r="H27" s="12" t="str">
        <f>if(vlookup(F:F,'ILC1211'!$B30:G8469,5,false)="","Y","N")</f>
        <v>#N/A</v>
      </c>
      <c r="I27" s="12" t="str">
        <f>if(vlookup(B:B,'ILC1404'!B30:F8192,5,false)="","Y","N")</f>
        <v>N</v>
      </c>
      <c r="J27" s="12"/>
      <c r="K27" s="12"/>
      <c r="L27" s="12" t="str">
        <f>if(vlookup(B:B,'ILC2303'!B30:F8469,5,false)="","Y","N")</f>
        <v>N</v>
      </c>
      <c r="M27" s="12" t="str">
        <f>if(vlookup(B:B,'ILC2307'!B30:F8985,5,false)="","Y","N")</f>
        <v>N</v>
      </c>
      <c r="N27" s="12" t="str">
        <f>if(vlookup(B:B,'ILC2313'!B30:F8624,5,false)="","Y","N")</f>
        <v>N</v>
      </c>
      <c r="O27" s="12" t="str">
        <f>if(vlookup(B:B,'ILC2412'!B30:F8469,5,false)="","Y","N")</f>
        <v>N</v>
      </c>
      <c r="P27" s="12" t="str">
        <f>if(vlookup(B:B,'ILC2413'!B30:F8967,5,false)="","Y","N")</f>
        <v>N</v>
      </c>
      <c r="Q27" s="12" t="str">
        <f>if(vlookup(B:B,'ILC3104'!B30:F8512,5,false)="","Y","N")</f>
        <v>N</v>
      </c>
      <c r="R27" s="12"/>
      <c r="S27" s="12" t="str">
        <f>if(vlookup(B:B,'ILC3312'!B30:F8469,5,false)="","Y","N")</f>
        <v>N</v>
      </c>
      <c r="T27" s="12" t="str">
        <f>if(vlookup(B:B,ILC3413Texte!I6:M8976,5,false)="","Y","N")</f>
        <v>#REF!</v>
      </c>
      <c r="U27" s="12" t="str">
        <f>if(vlookup(B:B,'ILC3413&amp;3415'!I6:L8976,5,false)="","Y","N")</f>
        <v>#REF!</v>
      </c>
      <c r="V27" s="12" t="str">
        <f>if(vlookup(F:F,'ILC3413&amp;3415'!J6:M8976,5,false)="","Y","N")</f>
        <v>#REF!</v>
      </c>
      <c r="W27" s="12" t="str">
        <f>if(vlookup(B:B,'ILC4410'!B30:F8636,5,false)="","Y","N")</f>
        <v>N</v>
      </c>
      <c r="X27" s="12" t="str">
        <f>if(vlookup(B:B,'JBV455'!B30:F8976,5,false)="","Y","N")</f>
        <v>N</v>
      </c>
      <c r="Y27" s="12" t="str">
        <f>if(vlookup(B:B,'JBV462'!B30:F8469,5,false)="","Y","N")</f>
        <v>N</v>
      </c>
      <c r="Z27" s="12" t="str">
        <f>if(vlookup(B:B,'JBV464'!$B30:F8469,5,false)="",if(vlookup(B:B,'JBV462'!$B30:F8469,5,false)="",if(vlookup(B:B,'JBV462&amp;464'!$B30:F8469,5,false)="","Y","N"),"N"),"N")</f>
        <v>N</v>
      </c>
      <c r="AA27" s="12"/>
      <c r="AB27" s="76"/>
    </row>
    <row r="28" hidden="1">
      <c r="A28" s="67" t="str">
        <f t="shared" si="2"/>
        <v>Tue</v>
      </c>
      <c r="B28" s="69">
        <v>43473.0</v>
      </c>
      <c r="C28" s="12"/>
      <c r="D28" s="12"/>
      <c r="E28" s="12"/>
      <c r="F28" s="12" t="str">
        <f>if(vlookup(B:B,'ILC1211'!$B31:F8470,5,false)="","Y","N")</f>
        <v>N</v>
      </c>
      <c r="G28" s="12"/>
      <c r="H28" s="12" t="str">
        <f>if(vlookup(F:F,'ILC1211'!$B31:G8470,5,false)="","Y","N")</f>
        <v>#N/A</v>
      </c>
      <c r="I28" s="12" t="str">
        <f>if(vlookup(B:B,'ILC1404'!B31:F8193,5,false)="","Y","N")</f>
        <v>N</v>
      </c>
      <c r="J28" s="12"/>
      <c r="K28" s="12"/>
      <c r="L28" s="12" t="str">
        <f>if(vlookup(B:B,'ILC2303'!B31:F8470,5,false)="","Y","N")</f>
        <v>N</v>
      </c>
      <c r="M28" s="12" t="str">
        <f>if(vlookup(B:B,'ILC2307'!B31:F8986,5,false)="","Y","N")</f>
        <v>N</v>
      </c>
      <c r="N28" s="12" t="str">
        <f>if(vlookup(B:B,'ILC2313'!B31:F8625,5,false)="","Y","N")</f>
        <v>N</v>
      </c>
      <c r="O28" s="12" t="str">
        <f>if(vlookup(B:B,'ILC2412'!B31:F8470,5,false)="","Y","N")</f>
        <v>N</v>
      </c>
      <c r="P28" s="12" t="str">
        <f>if(vlookup(B:B,'ILC2413'!B31:F8968,5,false)="","Y","N")</f>
        <v>N</v>
      </c>
      <c r="Q28" s="12" t="str">
        <f>if(vlookup(B:B,'ILC3104'!B31:F8513,5,false)="","Y","N")</f>
        <v>N</v>
      </c>
      <c r="R28" s="12"/>
      <c r="S28" s="12" t="str">
        <f>if(vlookup(B:B,'ILC3312'!B31:F8470,5,false)="","Y","N")</f>
        <v>N</v>
      </c>
      <c r="T28" s="12" t="str">
        <f>if(vlookup(B:B,ILC3413Texte!I6:M8977,5,false)="","Y","N")</f>
        <v>#REF!</v>
      </c>
      <c r="U28" s="12" t="str">
        <f>if(vlookup(B:B,'ILC3413&amp;3415'!I6:L8977,5,false)="","Y","N")</f>
        <v>#REF!</v>
      </c>
      <c r="V28" s="12" t="str">
        <f>if(vlookup(F:F,'ILC3413&amp;3415'!J6:M8977,5,false)="","Y","N")</f>
        <v>#REF!</v>
      </c>
      <c r="W28" s="12" t="str">
        <f>if(vlookup(B:B,'ILC4410'!B31:F8637,5,false)="","Y","N")</f>
        <v>N</v>
      </c>
      <c r="X28" s="12" t="str">
        <f>if(vlookup(B:B,'JBV455'!B31:F8977,5,false)="","Y","N")</f>
        <v>N</v>
      </c>
      <c r="Y28" s="12" t="str">
        <f>if(vlookup(B:B,'JBV462'!B31:F8470,5,false)="","Y","N")</f>
        <v>N</v>
      </c>
      <c r="Z28" s="12" t="str">
        <f>if(vlookup(B:B,'JBV464'!$B31:F8470,5,false)="",if(vlookup(B:B,'JBV462'!$B31:F8470,5,false)="",if(vlookup(B:B,'JBV462&amp;464'!$B31:F8470,5,false)="","Y","N"),"N"),"N")</f>
        <v>N</v>
      </c>
      <c r="AA28" s="12"/>
      <c r="AB28" s="76"/>
    </row>
    <row r="29" hidden="1">
      <c r="A29" s="67" t="str">
        <f t="shared" si="2"/>
        <v>Wed</v>
      </c>
      <c r="B29" s="69">
        <v>43474.0</v>
      </c>
      <c r="C29" s="12"/>
      <c r="D29" s="12"/>
      <c r="E29" s="12"/>
      <c r="F29" s="12" t="str">
        <f>if(vlookup(B:B,'ILC1211'!$B32:F8471,5,false)="","Y","N")</f>
        <v>N</v>
      </c>
      <c r="G29" s="12"/>
      <c r="H29" s="12" t="str">
        <f>if(vlookup(F:F,'ILC1211'!$B32:G8471,5,false)="","Y","N")</f>
        <v>#N/A</v>
      </c>
      <c r="I29" s="12" t="str">
        <f>if(vlookup(B:B,'ILC1404'!B32:F8194,5,false)="","Y","N")</f>
        <v>N</v>
      </c>
      <c r="J29" s="12"/>
      <c r="K29" s="12"/>
      <c r="L29" s="12" t="str">
        <f>if(vlookup(B:B,'ILC2303'!B32:F8471,5,false)="","Y","N")</f>
        <v>N</v>
      </c>
      <c r="M29" s="12" t="str">
        <f>if(vlookup(B:B,'ILC2307'!B32:F8987,5,false)="","Y","N")</f>
        <v>N</v>
      </c>
      <c r="N29" s="12" t="str">
        <f>if(vlookup(B:B,'ILC2313'!B32:F8626,5,false)="","Y","N")</f>
        <v>N</v>
      </c>
      <c r="O29" s="12" t="str">
        <f>if(vlookup(B:B,'ILC2412'!B32:F8471,5,false)="","Y","N")</f>
        <v>N</v>
      </c>
      <c r="P29" s="12" t="str">
        <f>if(vlookup(B:B,'ILC2413'!B32:F8969,5,false)="","Y","N")</f>
        <v>N</v>
      </c>
      <c r="Q29" s="12" t="str">
        <f>if(vlookup(B:B,'ILC3104'!B32:F8514,5,false)="","Y","N")</f>
        <v>N</v>
      </c>
      <c r="R29" s="12"/>
      <c r="S29" s="12" t="str">
        <f>if(vlookup(B:B,'ILC3312'!B32:F8471,5,false)="","Y","N")</f>
        <v>N</v>
      </c>
      <c r="T29" s="12" t="str">
        <f>if(vlookup(B:B,ILC3413Texte!I6:M8978,5,false)="","Y","N")</f>
        <v>#REF!</v>
      </c>
      <c r="U29" s="12" t="str">
        <f>if(vlookup(B:B,'ILC3413&amp;3415'!I6:L8978,5,false)="","Y","N")</f>
        <v>#REF!</v>
      </c>
      <c r="V29" s="12" t="str">
        <f>if(vlookup(F:F,'ILC3413&amp;3415'!J6:M8978,5,false)="","Y","N")</f>
        <v>#REF!</v>
      </c>
      <c r="W29" s="12" t="str">
        <f>if(vlookup(B:B,'ILC4410'!B32:F8638,5,false)="","Y","N")</f>
        <v>N</v>
      </c>
      <c r="X29" s="12" t="str">
        <f>if(vlookup(B:B,'JBV455'!B32:F8978,5,false)="","Y","N")</f>
        <v>N</v>
      </c>
      <c r="Y29" s="12" t="str">
        <f>if(vlookup(B:B,'JBV462'!B32:F8471,5,false)="","Y","N")</f>
        <v>N</v>
      </c>
      <c r="Z29" s="12" t="str">
        <f>if(vlookup(B:B,'JBV464'!$B32:F8471,5,false)="",if(vlookup(B:B,'JBV462'!$B32:F8471,5,false)="",if(vlookup(B:B,'JBV462&amp;464'!$B32:F8471,5,false)="","Y","N"),"N"),"N")</f>
        <v>N</v>
      </c>
      <c r="AA29" s="12"/>
      <c r="AB29" s="76"/>
    </row>
    <row r="30" hidden="1">
      <c r="A30" s="67" t="str">
        <f t="shared" si="2"/>
        <v>Thu</v>
      </c>
      <c r="B30" s="69">
        <v>43475.0</v>
      </c>
      <c r="C30" s="12"/>
      <c r="D30" s="12"/>
      <c r="E30" s="12"/>
      <c r="F30" s="12" t="str">
        <f>if(vlookup(B:B,'ILC1211'!$B33:F8472,5,false)="","Y","N")</f>
        <v>N</v>
      </c>
      <c r="G30" s="12"/>
      <c r="H30" s="12" t="str">
        <f>if(vlookup(F:F,'ILC1211'!$B33:G8472,5,false)="","Y","N")</f>
        <v>#N/A</v>
      </c>
      <c r="I30" s="12" t="str">
        <f>if(vlookup(B:B,'ILC1404'!B33:F8195,5,false)="","Y","N")</f>
        <v>N</v>
      </c>
      <c r="J30" s="12"/>
      <c r="K30" s="12"/>
      <c r="L30" s="12" t="str">
        <f>if(vlookup(B:B,'ILC2303'!B33:F8472,5,false)="","Y","N")</f>
        <v>N</v>
      </c>
      <c r="M30" s="12" t="str">
        <f>if(vlookup(B:B,'ILC2307'!B33:F8988,5,false)="","Y","N")</f>
        <v>N</v>
      </c>
      <c r="N30" s="12" t="str">
        <f>if(vlookup(B:B,'ILC2313'!B33:F8627,5,false)="","Y","N")</f>
        <v>N</v>
      </c>
      <c r="O30" s="12" t="str">
        <f>if(vlookup(B:B,'ILC2412'!B33:F8472,5,false)="","Y","N")</f>
        <v>N</v>
      </c>
      <c r="P30" s="12" t="str">
        <f>if(vlookup(B:B,'ILC2413'!B33:F8970,5,false)="","Y","N")</f>
        <v>N</v>
      </c>
      <c r="Q30" s="12" t="str">
        <f>if(vlookup(B:B,'ILC3104'!B33:F8515,5,false)="","Y","N")</f>
        <v>N</v>
      </c>
      <c r="R30" s="12"/>
      <c r="S30" s="12" t="str">
        <f>if(vlookup(B:B,'ILC3312'!B33:F8472,5,false)="","Y","N")</f>
        <v>N</v>
      </c>
      <c r="T30" s="12" t="str">
        <f>if(vlookup(B:B,ILC3413Texte!I6:M8979,5,false)="","Y","N")</f>
        <v>#REF!</v>
      </c>
      <c r="U30" s="12" t="str">
        <f>if(vlookup(B:B,'ILC3413&amp;3415'!I6:L8979,5,false)="","Y","N")</f>
        <v>#REF!</v>
      </c>
      <c r="V30" s="12" t="str">
        <f>if(vlookup(F:F,'ILC3413&amp;3415'!J6:M8979,5,false)="","Y","N")</f>
        <v>#REF!</v>
      </c>
      <c r="W30" s="12" t="str">
        <f>if(vlookup(B:B,'ILC4410'!B33:F8639,5,false)="","Y","N")</f>
        <v>N</v>
      </c>
      <c r="X30" s="12" t="str">
        <f>if(vlookup(B:B,'JBV455'!B33:F8979,5,false)="","Y","N")</f>
        <v>N</v>
      </c>
      <c r="Y30" s="12" t="str">
        <f>if(vlookup(B:B,'JBV462'!B33:F8472,5,false)="","Y","N")</f>
        <v>N</v>
      </c>
      <c r="Z30" s="12" t="str">
        <f>if(vlookup(B:B,'JBV464'!$B33:F8472,5,false)="",if(vlookup(B:B,'JBV462'!$B33:F8472,5,false)="",if(vlookup(B:B,'JBV462&amp;464'!$B33:F8472,5,false)="","Y","N"),"N"),"N")</f>
        <v>N</v>
      </c>
      <c r="AA30" s="12"/>
      <c r="AB30" s="76"/>
    </row>
    <row r="31" hidden="1">
      <c r="A31" s="67" t="str">
        <f t="shared" si="2"/>
        <v>Fri</v>
      </c>
      <c r="B31" s="69">
        <v>43476.0</v>
      </c>
      <c r="C31" s="12"/>
      <c r="D31" s="12"/>
      <c r="E31" s="12"/>
      <c r="F31" s="12" t="str">
        <f>if(vlookup(B:B,'ILC1211'!$B34:F8473,5,false)="","Y","N")</f>
        <v>N</v>
      </c>
      <c r="G31" s="12"/>
      <c r="H31" s="12" t="str">
        <f>if(vlookup(F:F,'ILC1211'!$B34:G8473,5,false)="","Y","N")</f>
        <v>#N/A</v>
      </c>
      <c r="I31" s="12" t="str">
        <f>if(vlookup(B:B,'ILC1404'!B34:F8196,5,false)="","Y","N")</f>
        <v>N</v>
      </c>
      <c r="J31" s="12"/>
      <c r="K31" s="12"/>
      <c r="L31" s="12" t="str">
        <f>if(vlookup(B:B,'ILC2303'!B34:F8473,5,false)="","Y","N")</f>
        <v>N</v>
      </c>
      <c r="M31" s="12" t="str">
        <f>if(vlookup(B:B,'ILC2307'!B34:F8989,5,false)="","Y","N")</f>
        <v>N</v>
      </c>
      <c r="N31" s="12" t="str">
        <f>if(vlookup(B:B,'ILC2313'!B34:F8628,5,false)="","Y","N")</f>
        <v>N</v>
      </c>
      <c r="O31" s="12" t="str">
        <f>if(vlookup(B:B,'ILC2412'!B34:F8473,5,false)="","Y","N")</f>
        <v>N</v>
      </c>
      <c r="P31" s="12" t="str">
        <f>if(vlookup(B:B,'ILC2413'!B34:F8971,5,false)="","Y","N")</f>
        <v>N</v>
      </c>
      <c r="Q31" s="12" t="str">
        <f>if(vlookup(B:B,'ILC3104'!B34:F8516,5,false)="","Y","N")</f>
        <v>N</v>
      </c>
      <c r="R31" s="12"/>
      <c r="S31" s="12" t="str">
        <f>if(vlookup(B:B,'ILC3312'!B34:F8473,5,false)="","Y","N")</f>
        <v>N</v>
      </c>
      <c r="T31" s="12" t="str">
        <f>if(vlookup(B:B,ILC3413Texte!I6:M8980,5,false)="","Y","N")</f>
        <v>#REF!</v>
      </c>
      <c r="U31" s="12" t="str">
        <f>if(vlookup(B:B,'ILC3413&amp;3415'!I6:L8980,5,false)="","Y","N")</f>
        <v>#REF!</v>
      </c>
      <c r="V31" s="12" t="str">
        <f>if(vlookup(F:F,'ILC3413&amp;3415'!J6:M8980,5,false)="","Y","N")</f>
        <v>#REF!</v>
      </c>
      <c r="W31" s="12" t="str">
        <f>if(vlookup(B:B,'ILC4410'!B34:F8640,5,false)="","Y","N")</f>
        <v>N</v>
      </c>
      <c r="X31" s="12" t="str">
        <f>if(vlookup(B:B,'JBV455'!B34:F8980,5,false)="","Y","N")</f>
        <v>N</v>
      </c>
      <c r="Y31" s="12" t="str">
        <f>if(vlookup(B:B,'JBV462'!B34:F8473,5,false)="","Y","N")</f>
        <v>N</v>
      </c>
      <c r="Z31" s="12" t="str">
        <f>if(vlookup(B:B,'JBV464'!$B34:F8473,5,false)="",if(vlookup(B:B,'JBV462'!$B34:F8473,5,false)="",if(vlookup(B:B,'JBV462&amp;464'!$B34:F8473,5,false)="","Y","N"),"N"),"N")</f>
        <v>N</v>
      </c>
      <c r="AA31" s="12"/>
      <c r="AB31" s="76"/>
    </row>
    <row r="32" hidden="1">
      <c r="A32" s="67" t="str">
        <f t="shared" si="2"/>
        <v>Sat</v>
      </c>
      <c r="B32" s="69">
        <v>43477.0</v>
      </c>
      <c r="C32" s="12"/>
      <c r="D32" s="12"/>
      <c r="E32" s="12"/>
      <c r="F32" s="12" t="str">
        <f>if(vlookup(B:B,'ILC1211'!$B35:F8474,5,false)="","Y","N")</f>
        <v>N</v>
      </c>
      <c r="G32" s="12"/>
      <c r="H32" s="12" t="str">
        <f>if(vlookup(F:F,'ILC1211'!$B35:G8474,5,false)="","Y","N")</f>
        <v>#N/A</v>
      </c>
      <c r="I32" s="12" t="str">
        <f>if(vlookup(B:B,'ILC1404'!B35:F8197,5,false)="","Y","N")</f>
        <v>N</v>
      </c>
      <c r="J32" s="12"/>
      <c r="K32" s="12"/>
      <c r="L32" s="12" t="str">
        <f>if(vlookup(B:B,'ILC2303'!B35:F8474,5,false)="","Y","N")</f>
        <v>N</v>
      </c>
      <c r="M32" s="12" t="str">
        <f>if(vlookup(B:B,'ILC2307'!B35:F8990,5,false)="","Y","N")</f>
        <v>N</v>
      </c>
      <c r="N32" s="12" t="str">
        <f>if(vlookup(B:B,'ILC2313'!B35:F8629,5,false)="","Y","N")</f>
        <v>N</v>
      </c>
      <c r="O32" s="12" t="str">
        <f>if(vlookup(B:B,'ILC2412'!B35:F8474,5,false)="","Y","N")</f>
        <v>N</v>
      </c>
      <c r="P32" s="12" t="str">
        <f>if(vlookup(B:B,'ILC2413'!B35:F8972,5,false)="","Y","N")</f>
        <v>N</v>
      </c>
      <c r="Q32" s="12" t="str">
        <f>if(vlookup(B:B,'ILC3104'!B35:F8517,5,false)="","Y","N")</f>
        <v>N</v>
      </c>
      <c r="R32" s="12"/>
      <c r="S32" s="12" t="str">
        <f>if(vlookup(B:B,'ILC3312'!B35:F8474,5,false)="","Y","N")</f>
        <v>N</v>
      </c>
      <c r="T32" s="12" t="str">
        <f>if(vlookup(B:B,ILC3413Texte!I6:M8981,5,false)="","Y","N")</f>
        <v>#REF!</v>
      </c>
      <c r="U32" s="12" t="str">
        <f>if(vlookup(B:B,'ILC3413&amp;3415'!I6:L8981,5,false)="","Y","N")</f>
        <v>#REF!</v>
      </c>
      <c r="V32" s="12" t="str">
        <f>if(vlookup(F:F,'ILC3413&amp;3415'!J6:M8981,5,false)="","Y","N")</f>
        <v>#REF!</v>
      </c>
      <c r="W32" s="12" t="str">
        <f>if(vlookup(B:B,'ILC4410'!B35:F8641,5,false)="","Y","N")</f>
        <v>N</v>
      </c>
      <c r="X32" s="12" t="str">
        <f>if(vlookup(B:B,'JBV455'!B35:F8981,5,false)="","Y","N")</f>
        <v>N</v>
      </c>
      <c r="Y32" s="12" t="str">
        <f>if(vlookup(B:B,'JBV462'!B35:F8474,5,false)="","Y","N")</f>
        <v>N</v>
      </c>
      <c r="Z32" s="12" t="str">
        <f>if(vlookup(B:B,'JBV464'!$B35:F8474,5,false)="",if(vlookup(B:B,'JBV462'!$B35:F8474,5,false)="",if(vlookup(B:B,'JBV462&amp;464'!$B35:F8474,5,false)="","Y","N"),"N"),"N")</f>
        <v>N</v>
      </c>
      <c r="AA32" s="12"/>
      <c r="AB32" s="76"/>
    </row>
    <row r="33" hidden="1">
      <c r="A33" s="67" t="str">
        <f t="shared" si="2"/>
        <v>Sun</v>
      </c>
      <c r="B33" s="69">
        <v>43478.0</v>
      </c>
      <c r="C33" s="12"/>
      <c r="D33" s="12"/>
      <c r="E33" s="12"/>
      <c r="F33" s="12" t="str">
        <f>if(vlookup(B:B,'ILC1211'!$B36:F8475,5,false)="","Y","N")</f>
        <v>N</v>
      </c>
      <c r="G33" s="12"/>
      <c r="H33" s="12" t="str">
        <f>if(vlookup(F:F,'ILC1211'!$B36:G8475,5,false)="","Y","N")</f>
        <v>#N/A</v>
      </c>
      <c r="I33" s="12" t="str">
        <f>if(vlookup(B:B,'ILC1404'!B36:F8198,5,false)="","Y","N")</f>
        <v>N</v>
      </c>
      <c r="J33" s="12"/>
      <c r="K33" s="12"/>
      <c r="L33" s="12" t="str">
        <f>if(vlookup(B:B,'ILC2303'!B36:F8475,5,false)="","Y","N")</f>
        <v>N</v>
      </c>
      <c r="M33" s="12" t="str">
        <f>if(vlookup(B:B,'ILC2307'!B36:F8991,5,false)="","Y","N")</f>
        <v>N</v>
      </c>
      <c r="N33" s="12" t="str">
        <f>if(vlookup(B:B,'ILC2313'!B36:F8630,5,false)="","Y","N")</f>
        <v>N</v>
      </c>
      <c r="O33" s="12" t="str">
        <f>if(vlookup(B:B,'ILC2412'!B36:F8475,5,false)="","Y","N")</f>
        <v>N</v>
      </c>
      <c r="P33" s="12" t="str">
        <f>if(vlookup(B:B,'ILC2413'!B36:F8973,5,false)="","Y","N")</f>
        <v>N</v>
      </c>
      <c r="Q33" s="12" t="str">
        <f>if(vlookup(B:B,'ILC3104'!B36:F8518,5,false)="","Y","N")</f>
        <v>N</v>
      </c>
      <c r="R33" s="12"/>
      <c r="S33" s="12" t="str">
        <f>if(vlookup(B:B,'ILC3312'!B36:F8475,5,false)="","Y","N")</f>
        <v>N</v>
      </c>
      <c r="T33" s="12" t="str">
        <f>if(vlookup(B:B,ILC3413Texte!I6:M8982,5,false)="","Y","N")</f>
        <v>#REF!</v>
      </c>
      <c r="U33" s="12" t="str">
        <f>if(vlookup(B:B,'ILC3413&amp;3415'!I6:L8982,5,false)="","Y","N")</f>
        <v>#REF!</v>
      </c>
      <c r="V33" s="12" t="str">
        <f>if(vlookup(F:F,'ILC3413&amp;3415'!J6:M8982,5,false)="","Y","N")</f>
        <v>#REF!</v>
      </c>
      <c r="W33" s="12" t="str">
        <f>if(vlookup(B:B,'ILC4410'!B36:F8642,5,false)="","Y","N")</f>
        <v>N</v>
      </c>
      <c r="X33" s="12" t="str">
        <f>if(vlookup(B:B,'JBV455'!B36:F8982,5,false)="","Y","N")</f>
        <v>N</v>
      </c>
      <c r="Y33" s="12" t="str">
        <f>if(vlookup(B:B,'JBV462'!B36:F8475,5,false)="","Y","N")</f>
        <v>N</v>
      </c>
      <c r="Z33" s="12" t="str">
        <f>if(vlookup(B:B,'JBV464'!$B36:F8475,5,false)="",if(vlookup(B:B,'JBV462'!$B36:F8475,5,false)="",if(vlookup(B:B,'JBV462&amp;464'!$B36:F8475,5,false)="","Y","N"),"N"),"N")</f>
        <v>N</v>
      </c>
      <c r="AA33" s="12"/>
      <c r="AB33" s="76"/>
    </row>
    <row r="34" hidden="1">
      <c r="A34" s="67" t="str">
        <f t="shared" si="2"/>
        <v>Mon</v>
      </c>
      <c r="B34" s="69">
        <v>43479.0</v>
      </c>
      <c r="C34" s="12"/>
      <c r="D34" s="12"/>
      <c r="E34" s="12"/>
      <c r="F34" s="12" t="str">
        <f>if(vlookup(B:B,'ILC1211'!$B37:F8476,5,false)="","Y","N")</f>
        <v>N</v>
      </c>
      <c r="G34" s="12"/>
      <c r="H34" s="12" t="str">
        <f>if(vlookup(F:F,'ILC1211'!$B37:G8476,5,false)="","Y","N")</f>
        <v>#N/A</v>
      </c>
      <c r="I34" s="12" t="str">
        <f>if(vlookup(B:B,'ILC1404'!B37:F8199,5,false)="","Y","N")</f>
        <v>N</v>
      </c>
      <c r="J34" s="12"/>
      <c r="K34" s="12"/>
      <c r="L34" s="12" t="str">
        <f>if(vlookup(B:B,'ILC2303'!B37:F8476,5,false)="","Y","N")</f>
        <v>N</v>
      </c>
      <c r="M34" s="12" t="str">
        <f>if(vlookup(B:B,'ILC2307'!B37:F8992,5,false)="","Y","N")</f>
        <v>N</v>
      </c>
      <c r="N34" s="12" t="str">
        <f>if(vlookup(B:B,'ILC2313'!B37:F8631,5,false)="","Y","N")</f>
        <v>N</v>
      </c>
      <c r="O34" s="12" t="str">
        <f>if(vlookup(B:B,'ILC2412'!B37:F8476,5,false)="","Y","N")</f>
        <v>N</v>
      </c>
      <c r="P34" s="12" t="str">
        <f>if(vlookup(B:B,'ILC2413'!B37:F8974,5,false)="","Y","N")</f>
        <v>N</v>
      </c>
      <c r="Q34" s="12" t="str">
        <f>if(vlookup(B:B,'ILC3104'!B37:F8519,5,false)="","Y","N")</f>
        <v>N</v>
      </c>
      <c r="R34" s="12"/>
      <c r="S34" s="12" t="str">
        <f>if(vlookup(B:B,'ILC3312'!B37:F8476,5,false)="","Y","N")</f>
        <v>N</v>
      </c>
      <c r="T34" s="12" t="str">
        <f>if(vlookup(B:B,ILC3413Texte!I6:M8983,5,false)="","Y","N")</f>
        <v>#REF!</v>
      </c>
      <c r="U34" s="12" t="str">
        <f>if(vlookup(B:B,'ILC3413&amp;3415'!I6:L8983,5,false)="","Y","N")</f>
        <v>#REF!</v>
      </c>
      <c r="V34" s="12" t="str">
        <f>if(vlookup(F:F,'ILC3413&amp;3415'!J6:M8983,5,false)="","Y","N")</f>
        <v>#REF!</v>
      </c>
      <c r="W34" s="12" t="str">
        <f>if(vlookup(B:B,'ILC4410'!B37:F8643,5,false)="","Y","N")</f>
        <v>N</v>
      </c>
      <c r="X34" s="12" t="str">
        <f>if(vlookup(B:B,'JBV455'!B37:F8983,5,false)="","Y","N")</f>
        <v>N</v>
      </c>
      <c r="Y34" s="12" t="str">
        <f>if(vlookup(B:B,'JBV462'!B37:F8476,5,false)="","Y","N")</f>
        <v>N</v>
      </c>
      <c r="Z34" s="12" t="str">
        <f>if(vlookup(B:B,'JBV464'!$B37:F8476,5,false)="",if(vlookup(B:B,'JBV462'!$B37:F8476,5,false)="",if(vlookup(B:B,'JBV462&amp;464'!$B37:F8476,5,false)="","Y","N"),"N"),"N")</f>
        <v>N</v>
      </c>
      <c r="AA34" s="12"/>
      <c r="AB34" s="76"/>
    </row>
    <row r="35" hidden="1">
      <c r="A35" s="67" t="str">
        <f t="shared" si="2"/>
        <v>Tue</v>
      </c>
      <c r="B35" s="69">
        <v>43480.0</v>
      </c>
      <c r="C35" s="12"/>
      <c r="D35" s="12"/>
      <c r="E35" s="12"/>
      <c r="F35" s="12" t="str">
        <f>if(vlookup(B:B,'ILC1211'!$B38:F8477,5,false)="","Y","N")</f>
        <v>N</v>
      </c>
      <c r="G35" s="12"/>
      <c r="H35" s="12" t="str">
        <f>if(vlookup(F:F,'ILC1211'!$B38:G8477,5,false)="","Y","N")</f>
        <v>#N/A</v>
      </c>
      <c r="I35" s="12" t="str">
        <f>if(vlookup(B:B,'ILC1404'!B38:F8200,5,false)="","Y","N")</f>
        <v>N</v>
      </c>
      <c r="J35" s="12"/>
      <c r="K35" s="12"/>
      <c r="L35" s="12" t="str">
        <f>if(vlookup(B:B,'ILC2303'!B38:F8477,5,false)="","Y","N")</f>
        <v>N</v>
      </c>
      <c r="M35" s="12" t="str">
        <f>if(vlookup(B:B,'ILC2307'!B38:F8993,5,false)="","Y","N")</f>
        <v>N</v>
      </c>
      <c r="N35" s="12" t="str">
        <f>if(vlookup(B:B,'ILC2313'!B38:F8632,5,false)="","Y","N")</f>
        <v>N</v>
      </c>
      <c r="O35" s="12" t="str">
        <f>if(vlookup(B:B,'ILC2412'!B38:F8477,5,false)="","Y","N")</f>
        <v>N</v>
      </c>
      <c r="P35" s="12" t="str">
        <f>if(vlookup(B:B,'ILC2413'!B38:F8975,5,false)="","Y","N")</f>
        <v>N</v>
      </c>
      <c r="Q35" s="12" t="str">
        <f>if(vlookup(B:B,'ILC3104'!B38:F8520,5,false)="","Y","N")</f>
        <v>N</v>
      </c>
      <c r="R35" s="12"/>
      <c r="S35" s="12" t="str">
        <f>if(vlookup(B:B,'ILC3312'!B38:F8477,5,false)="","Y","N")</f>
        <v>N</v>
      </c>
      <c r="T35" s="12" t="str">
        <f>if(vlookup(B:B,ILC3413Texte!I6:M8984,5,false)="","Y","N")</f>
        <v>#REF!</v>
      </c>
      <c r="U35" s="12" t="str">
        <f>if(vlookup(B:B,'ILC3413&amp;3415'!I6:L8984,5,false)="","Y","N")</f>
        <v>#REF!</v>
      </c>
      <c r="V35" s="12" t="str">
        <f>if(vlookup(F:F,'ILC3413&amp;3415'!J6:M8984,5,false)="","Y","N")</f>
        <v>#REF!</v>
      </c>
      <c r="W35" s="12" t="str">
        <f>if(vlookup(B:B,'ILC4410'!B38:F8644,5,false)="","Y","N")</f>
        <v>N</v>
      </c>
      <c r="X35" s="12" t="str">
        <f>if(vlookup(B:B,'JBV455'!B38:F8984,5,false)="","Y","N")</f>
        <v>N</v>
      </c>
      <c r="Y35" s="12" t="str">
        <f>if(vlookup(B:B,'JBV462'!B38:F8477,5,false)="","Y","N")</f>
        <v>N</v>
      </c>
      <c r="Z35" s="12" t="str">
        <f>if(vlookup(B:B,'JBV464'!$B38:F8477,5,false)="",if(vlookup(B:B,'JBV462'!$B38:F8477,5,false)="",if(vlookup(B:B,'JBV462&amp;464'!$B38:F8477,5,false)="","Y","N"),"N"),"N")</f>
        <v>N</v>
      </c>
      <c r="AA35" s="12"/>
      <c r="AB35" s="76"/>
    </row>
    <row r="36" hidden="1">
      <c r="A36" s="67" t="str">
        <f t="shared" si="2"/>
        <v>Wed</v>
      </c>
      <c r="B36" s="69">
        <v>43481.0</v>
      </c>
      <c r="C36" s="12"/>
      <c r="D36" s="12"/>
      <c r="E36" s="12"/>
      <c r="F36" s="12" t="str">
        <f>if(vlookup(B:B,'ILC1211'!$B39:F8478,5,false)="","Y","N")</f>
        <v>N</v>
      </c>
      <c r="G36" s="12"/>
      <c r="H36" s="12" t="str">
        <f>if(vlookup(F:F,'ILC1211'!$B39:G8478,5,false)="","Y","N")</f>
        <v>#N/A</v>
      </c>
      <c r="I36" s="12" t="str">
        <f>if(vlookup(B:B,'ILC1404'!B39:F8201,5,false)="","Y","N")</f>
        <v>N</v>
      </c>
      <c r="J36" s="12"/>
      <c r="K36" s="12"/>
      <c r="L36" s="12" t="str">
        <f>if(vlookup(B:B,'ILC2303'!B39:F8478,5,false)="","Y","N")</f>
        <v>N</v>
      </c>
      <c r="M36" s="12" t="str">
        <f>if(vlookup(B:B,'ILC2307'!B39:F8994,5,false)="","Y","N")</f>
        <v>N</v>
      </c>
      <c r="N36" s="12" t="str">
        <f>if(vlookup(B:B,'ILC2313'!B39:F8633,5,false)="","Y","N")</f>
        <v>N</v>
      </c>
      <c r="O36" s="12" t="str">
        <f>if(vlookup(B:B,'ILC2412'!B39:F8478,5,false)="","Y","N")</f>
        <v>N</v>
      </c>
      <c r="P36" s="12" t="str">
        <f>if(vlookup(B:B,'ILC2413'!B39:F8976,5,false)="","Y","N")</f>
        <v>N</v>
      </c>
      <c r="Q36" s="12" t="str">
        <f>if(vlookup(B:B,'ILC3104'!B39:F8521,5,false)="","Y","N")</f>
        <v>N</v>
      </c>
      <c r="R36" s="12"/>
      <c r="S36" s="12" t="str">
        <f>if(vlookup(B:B,'ILC3312'!B39:F8478,5,false)="","Y","N")</f>
        <v>N</v>
      </c>
      <c r="T36" s="12" t="str">
        <f>if(vlookup(B:B,ILC3413Texte!I6:M8985,5,false)="","Y","N")</f>
        <v>#REF!</v>
      </c>
      <c r="U36" s="12" t="str">
        <f>if(vlookup(B:B,'ILC3413&amp;3415'!I6:L8985,5,false)="","Y","N")</f>
        <v>#REF!</v>
      </c>
      <c r="V36" s="12" t="str">
        <f>if(vlookup(F:F,'ILC3413&amp;3415'!J6:M8985,5,false)="","Y","N")</f>
        <v>#REF!</v>
      </c>
      <c r="W36" s="12" t="str">
        <f>if(vlookup(B:B,'ILC4410'!B39:F8645,5,false)="","Y","N")</f>
        <v>N</v>
      </c>
      <c r="X36" s="12" t="str">
        <f>if(vlookup(B:B,'JBV455'!B39:F8985,5,false)="","Y","N")</f>
        <v>N</v>
      </c>
      <c r="Y36" s="12" t="str">
        <f>if(vlookup(B:B,'JBV462'!B39:F8478,5,false)="","Y","N")</f>
        <v>N</v>
      </c>
      <c r="Z36" s="12" t="str">
        <f>if(vlookup(B:B,'JBV464'!$B39:F8478,5,false)="",if(vlookup(B:B,'JBV462'!$B39:F8478,5,false)="",if(vlookup(B:B,'JBV462&amp;464'!$B39:F8478,5,false)="","Y","N"),"N"),"N")</f>
        <v>N</v>
      </c>
      <c r="AA36" s="12"/>
      <c r="AB36" s="76"/>
    </row>
    <row r="37" hidden="1">
      <c r="A37" s="67" t="str">
        <f t="shared" si="2"/>
        <v>Thu</v>
      </c>
      <c r="B37" s="69">
        <v>43482.0</v>
      </c>
      <c r="C37" s="12"/>
      <c r="D37" s="12"/>
      <c r="E37" s="12"/>
      <c r="F37" s="12" t="str">
        <f>if(vlookup(B:B,'ILC1211'!$B40:F8479,5,false)="","Y","N")</f>
        <v>N</v>
      </c>
      <c r="G37" s="12"/>
      <c r="H37" s="12" t="str">
        <f>if(vlookup(F:F,'ILC1211'!$B40:G8479,5,false)="","Y","N")</f>
        <v>#N/A</v>
      </c>
      <c r="I37" s="12" t="str">
        <f>if(vlookup(B:B,'ILC1404'!B40:F8202,5,false)="","Y","N")</f>
        <v>N</v>
      </c>
      <c r="J37" s="12"/>
      <c r="K37" s="12"/>
      <c r="L37" s="12" t="str">
        <f>if(vlookup(B:B,'ILC2303'!B40:F8479,5,false)="","Y","N")</f>
        <v>N</v>
      </c>
      <c r="M37" s="12" t="str">
        <f>if(vlookup(B:B,'ILC2307'!B40:F8995,5,false)="","Y","N")</f>
        <v>N</v>
      </c>
      <c r="N37" s="12" t="str">
        <f>if(vlookup(B:B,'ILC2313'!B40:F8634,5,false)="","Y","N")</f>
        <v>N</v>
      </c>
      <c r="O37" s="12" t="str">
        <f>if(vlookup(B:B,'ILC2412'!B40:F8479,5,false)="","Y","N")</f>
        <v>N</v>
      </c>
      <c r="P37" s="12" t="str">
        <f>if(vlookup(B:B,'ILC2413'!B40:F8977,5,false)="","Y","N")</f>
        <v>N</v>
      </c>
      <c r="Q37" s="12" t="str">
        <f>if(vlookup(B:B,'ILC3104'!B40:F8522,5,false)="","Y","N")</f>
        <v>N</v>
      </c>
      <c r="R37" s="12"/>
      <c r="S37" s="12" t="str">
        <f>if(vlookup(B:B,'ILC3312'!B40:F8479,5,false)="","Y","N")</f>
        <v>N</v>
      </c>
      <c r="T37" s="12" t="str">
        <f>if(vlookup(B:B,ILC3413Texte!I6:M8986,5,false)="","Y","N")</f>
        <v>#REF!</v>
      </c>
      <c r="U37" s="12" t="str">
        <f>if(vlookup(B:B,'ILC3413&amp;3415'!I6:L8986,5,false)="","Y","N")</f>
        <v>#REF!</v>
      </c>
      <c r="V37" s="12" t="str">
        <f>if(vlookup(F:F,'ILC3413&amp;3415'!J6:M8986,5,false)="","Y","N")</f>
        <v>#REF!</v>
      </c>
      <c r="W37" s="12" t="str">
        <f>if(vlookup(B:B,'ILC4410'!B40:F8646,5,false)="","Y","N")</f>
        <v>N</v>
      </c>
      <c r="X37" s="12" t="str">
        <f>if(vlookup(B:B,'JBV455'!B40:F8986,5,false)="","Y","N")</f>
        <v>N</v>
      </c>
      <c r="Y37" s="12" t="str">
        <f>if(vlookup(B:B,'JBV462'!B40:F8479,5,false)="","Y","N")</f>
        <v>N</v>
      </c>
      <c r="Z37" s="12" t="str">
        <f>if(vlookup(B:B,'JBV464'!$B40:F8479,5,false)="",if(vlookup(B:B,'JBV462'!$B40:F8479,5,false)="",if(vlookup(B:B,'JBV462&amp;464'!$B40:F8479,5,false)="","Y","N"),"N"),"N")</f>
        <v>N</v>
      </c>
      <c r="AA37" s="12"/>
      <c r="AB37" s="76"/>
    </row>
    <row r="38" hidden="1">
      <c r="A38" s="67" t="str">
        <f t="shared" si="2"/>
        <v>Fri</v>
      </c>
      <c r="B38" s="69">
        <v>43483.0</v>
      </c>
      <c r="C38" s="12"/>
      <c r="D38" s="12"/>
      <c r="E38" s="12"/>
      <c r="F38" s="12" t="str">
        <f>if(vlookup(B:B,'ILC1211'!$B41:F8480,5,false)="","Y","N")</f>
        <v>N</v>
      </c>
      <c r="G38" s="12"/>
      <c r="H38" s="12" t="str">
        <f>if(vlookup(F:F,'ILC1211'!$B41:G8480,5,false)="","Y","N")</f>
        <v>#N/A</v>
      </c>
      <c r="I38" s="12" t="str">
        <f>if(vlookup(B:B,'ILC1404'!B41:F8203,5,false)="","Y","N")</f>
        <v>N</v>
      </c>
      <c r="J38" s="12"/>
      <c r="K38" s="12"/>
      <c r="L38" s="12" t="str">
        <f>if(vlookup(B:B,'ILC2303'!B41:F8480,5,false)="","Y","N")</f>
        <v>N</v>
      </c>
      <c r="M38" s="12" t="str">
        <f>if(vlookup(B:B,'ILC2307'!B41:F8996,5,false)="","Y","N")</f>
        <v>N</v>
      </c>
      <c r="N38" s="12" t="str">
        <f>if(vlookup(B:B,'ILC2313'!B41:F8635,5,false)="","Y","N")</f>
        <v>N</v>
      </c>
      <c r="O38" s="12" t="str">
        <f>if(vlookup(B:B,'ILC2412'!B41:F8480,5,false)="","Y","N")</f>
        <v>N</v>
      </c>
      <c r="P38" s="12" t="str">
        <f>if(vlookup(B:B,'ILC2413'!B41:F8978,5,false)="","Y","N")</f>
        <v>N</v>
      </c>
      <c r="Q38" s="12" t="str">
        <f>if(vlookup(B:B,'ILC3104'!B41:F8523,5,false)="","Y","N")</f>
        <v>N</v>
      </c>
      <c r="R38" s="12"/>
      <c r="S38" s="12" t="str">
        <f>if(vlookup(B:B,'ILC3312'!B41:F8480,5,false)="","Y","N")</f>
        <v>N</v>
      </c>
      <c r="T38" s="12" t="str">
        <f>if(vlookup(B:B,ILC3413Texte!I6:M8987,5,false)="","Y","N")</f>
        <v>#REF!</v>
      </c>
      <c r="U38" s="12" t="str">
        <f>if(vlookup(B:B,'ILC3413&amp;3415'!I6:L8987,5,false)="","Y","N")</f>
        <v>#REF!</v>
      </c>
      <c r="V38" s="12" t="str">
        <f>if(vlookup(F:F,'ILC3413&amp;3415'!J6:M8987,5,false)="","Y","N")</f>
        <v>#REF!</v>
      </c>
      <c r="W38" s="12" t="str">
        <f>if(vlookup(B:B,'ILC4410'!B41:F8647,5,false)="","Y","N")</f>
        <v>N</v>
      </c>
      <c r="X38" s="12" t="str">
        <f>if(vlookup(B:B,'JBV455'!B41:F8987,5,false)="","Y","N")</f>
        <v>N</v>
      </c>
      <c r="Y38" s="12" t="str">
        <f>if(vlookup(B:B,'JBV462'!B41:F8480,5,false)="","Y","N")</f>
        <v>N</v>
      </c>
      <c r="Z38" s="12" t="str">
        <f>if(vlookup(B:B,'JBV464'!$B41:F8480,5,false)="",if(vlookup(B:B,'JBV462'!$B41:F8480,5,false)="",if(vlookup(B:B,'JBV462&amp;464'!$B41:F8480,5,false)="","Y","N"),"N"),"N")</f>
        <v>N</v>
      </c>
      <c r="AA38" s="12"/>
      <c r="AB38" s="76"/>
    </row>
    <row r="39" hidden="1">
      <c r="A39" s="67" t="str">
        <f t="shared" si="2"/>
        <v>Sat</v>
      </c>
      <c r="B39" s="69">
        <v>43484.0</v>
      </c>
      <c r="C39" s="12"/>
      <c r="D39" s="12"/>
      <c r="E39" s="12"/>
      <c r="F39" s="12" t="str">
        <f>if(vlookup(B:B,'ILC1211'!$B42:F8481,5,false)="","Y","N")</f>
        <v>N</v>
      </c>
      <c r="G39" s="12"/>
      <c r="H39" s="12" t="str">
        <f>if(vlookup(F:F,'ILC1211'!$B42:G8481,5,false)="","Y","N")</f>
        <v>#N/A</v>
      </c>
      <c r="I39" s="12" t="str">
        <f>if(vlookup(B:B,'ILC1404'!B42:F8204,5,false)="","Y","N")</f>
        <v>N</v>
      </c>
      <c r="J39" s="12"/>
      <c r="K39" s="12"/>
      <c r="L39" s="12" t="str">
        <f>if(vlookup(B:B,'ILC2303'!B42:F8481,5,false)="","Y","N")</f>
        <v>N</v>
      </c>
      <c r="M39" s="12" t="str">
        <f>if(vlookup(B:B,'ILC2307'!B42:F8997,5,false)="","Y","N")</f>
        <v>N</v>
      </c>
      <c r="N39" s="12" t="str">
        <f>if(vlookup(B:B,'ILC2313'!B42:F8636,5,false)="","Y","N")</f>
        <v>N</v>
      </c>
      <c r="O39" s="12" t="str">
        <f>if(vlookup(B:B,'ILC2412'!B42:F8481,5,false)="","Y","N")</f>
        <v>N</v>
      </c>
      <c r="P39" s="12" t="str">
        <f>if(vlookup(B:B,'ILC2413'!B42:F8979,5,false)="","Y","N")</f>
        <v>N</v>
      </c>
      <c r="Q39" s="12" t="str">
        <f>if(vlookup(B:B,'ILC3104'!B42:F8524,5,false)="","Y","N")</f>
        <v>N</v>
      </c>
      <c r="R39" s="12"/>
      <c r="S39" s="12" t="str">
        <f>if(vlookup(B:B,'ILC3312'!B42:F8481,5,false)="","Y","N")</f>
        <v>N</v>
      </c>
      <c r="T39" s="12" t="str">
        <f>if(vlookup(B:B,ILC3413Texte!I6:M8988,5,false)="","Y","N")</f>
        <v>#REF!</v>
      </c>
      <c r="U39" s="12" t="str">
        <f>if(vlookup(B:B,'ILC3413&amp;3415'!I6:L8988,5,false)="","Y","N")</f>
        <v>#REF!</v>
      </c>
      <c r="V39" s="12" t="str">
        <f>if(vlookup(F:F,'ILC3413&amp;3415'!J6:M8988,5,false)="","Y","N")</f>
        <v>#REF!</v>
      </c>
      <c r="W39" s="12" t="str">
        <f>if(vlookup(B:B,'ILC4410'!B42:F8648,5,false)="","Y","N")</f>
        <v>N</v>
      </c>
      <c r="X39" s="12" t="str">
        <f>if(vlookup(B:B,'JBV455'!B42:F8988,5,false)="","Y","N")</f>
        <v>N</v>
      </c>
      <c r="Y39" s="12" t="str">
        <f>if(vlookup(B:B,'JBV462'!B42:F8481,5,false)="","Y","N")</f>
        <v>N</v>
      </c>
      <c r="Z39" s="12" t="str">
        <f>if(vlookup(B:B,'JBV464'!$B42:F8481,5,false)="",if(vlookup(B:B,'JBV462'!$B42:F8481,5,false)="",if(vlookup(B:B,'JBV462&amp;464'!$B42:F8481,5,false)="","Y","N"),"N"),"N")</f>
        <v>N</v>
      </c>
      <c r="AA39" s="12"/>
      <c r="AB39" s="76"/>
    </row>
    <row r="40" hidden="1">
      <c r="A40" s="67" t="str">
        <f t="shared" si="2"/>
        <v>Sun</v>
      </c>
      <c r="B40" s="69">
        <v>43485.0</v>
      </c>
      <c r="C40" s="12"/>
      <c r="D40" s="12"/>
      <c r="E40" s="12"/>
      <c r="F40" s="12" t="str">
        <f>if(vlookup(B:B,'ILC1211'!$B43:F8482,5,false)="","Y","N")</f>
        <v>N</v>
      </c>
      <c r="G40" s="12"/>
      <c r="H40" s="12" t="str">
        <f>if(vlookup(F:F,'ILC1211'!$B43:G8482,5,false)="","Y","N")</f>
        <v>#N/A</v>
      </c>
      <c r="I40" s="12" t="str">
        <f>if(vlookup(B:B,'ILC1404'!B43:F8205,5,false)="","Y","N")</f>
        <v>N</v>
      </c>
      <c r="J40" s="12"/>
      <c r="K40" s="12"/>
      <c r="L40" s="12" t="str">
        <f>if(vlookup(B:B,'ILC2303'!B43:F8482,5,false)="","Y","N")</f>
        <v>N</v>
      </c>
      <c r="M40" s="12" t="str">
        <f>if(vlookup(B:B,'ILC2307'!B43:F8998,5,false)="","Y","N")</f>
        <v>N</v>
      </c>
      <c r="N40" s="12" t="str">
        <f>if(vlookup(B:B,'ILC2313'!B43:F8637,5,false)="","Y","N")</f>
        <v>N</v>
      </c>
      <c r="O40" s="12" t="str">
        <f>if(vlookup(B:B,'ILC2412'!B43:F8482,5,false)="","Y","N")</f>
        <v>N</v>
      </c>
      <c r="P40" s="12" t="str">
        <f>if(vlookup(B:B,'ILC2413'!B43:F8980,5,false)="","Y","N")</f>
        <v>N</v>
      </c>
      <c r="Q40" s="12" t="str">
        <f>if(vlookup(B:B,'ILC3104'!B43:F8525,5,false)="","Y","N")</f>
        <v>N</v>
      </c>
      <c r="R40" s="12"/>
      <c r="S40" s="12" t="str">
        <f>if(vlookup(B:B,'ILC3312'!B43:F8482,5,false)="","Y","N")</f>
        <v>N</v>
      </c>
      <c r="T40" s="12" t="str">
        <f>if(vlookup(B:B,ILC3413Texte!I6:M8989,5,false)="","Y","N")</f>
        <v>#REF!</v>
      </c>
      <c r="U40" s="12" t="str">
        <f>if(vlookup(B:B,'ILC3413&amp;3415'!I6:L8989,5,false)="","Y","N")</f>
        <v>#REF!</v>
      </c>
      <c r="V40" s="12" t="str">
        <f>if(vlookup(F:F,'ILC3413&amp;3415'!J6:M8989,5,false)="","Y","N")</f>
        <v>#REF!</v>
      </c>
      <c r="W40" s="12" t="str">
        <f>if(vlookup(B:B,'ILC4410'!B43:F8649,5,false)="","Y","N")</f>
        <v>N</v>
      </c>
      <c r="X40" s="12" t="str">
        <f>if(vlookup(B:B,'JBV455'!B43:F8989,5,false)="","Y","N")</f>
        <v>N</v>
      </c>
      <c r="Y40" s="12" t="str">
        <f>if(vlookup(B:B,'JBV462'!B43:F8482,5,false)="","Y","N")</f>
        <v>N</v>
      </c>
      <c r="Z40" s="12" t="str">
        <f>if(vlookup(B:B,'JBV464'!$B43:F8482,5,false)="",if(vlookup(B:B,'JBV462'!$B43:F8482,5,false)="",if(vlookup(B:B,'JBV462&amp;464'!$B43:F8482,5,false)="","Y","N"),"N"),"N")</f>
        <v>N</v>
      </c>
      <c r="AA40" s="12"/>
      <c r="AB40" s="76"/>
    </row>
    <row r="41" hidden="1">
      <c r="A41" s="67" t="str">
        <f t="shared" si="2"/>
        <v>Mon</v>
      </c>
      <c r="B41" s="69">
        <v>43486.0</v>
      </c>
      <c r="C41" s="12"/>
      <c r="D41" s="12"/>
      <c r="E41" s="12"/>
      <c r="F41" s="12" t="str">
        <f>if(vlookup(B:B,'ILC1211'!$B44:F8483,5,false)="","Y","N")</f>
        <v>N</v>
      </c>
      <c r="G41" s="12"/>
      <c r="H41" s="12" t="str">
        <f>if(vlookup(F:F,'ILC1211'!$B44:G8483,5,false)="","Y","N")</f>
        <v>#N/A</v>
      </c>
      <c r="I41" s="12" t="str">
        <f>if(vlookup(B:B,'ILC1404'!B44:F8206,5,false)="","Y","N")</f>
        <v>N</v>
      </c>
      <c r="J41" s="12"/>
      <c r="K41" s="12"/>
      <c r="L41" s="12" t="str">
        <f>if(vlookup(B:B,'ILC2303'!B44:F8483,5,false)="","Y","N")</f>
        <v>N</v>
      </c>
      <c r="M41" s="12" t="str">
        <f>if(vlookup(B:B,'ILC2307'!B44:F8999,5,false)="","Y","N")</f>
        <v>N</v>
      </c>
      <c r="N41" s="12" t="str">
        <f>if(vlookup(B:B,'ILC2313'!B44:F8638,5,false)="","Y","N")</f>
        <v>N</v>
      </c>
      <c r="O41" s="12" t="str">
        <f>if(vlookup(B:B,'ILC2412'!B44:F8483,5,false)="","Y","N")</f>
        <v>N</v>
      </c>
      <c r="P41" s="12" t="str">
        <f>if(vlookup(B:B,'ILC2413'!B44:F8981,5,false)="","Y","N")</f>
        <v>N</v>
      </c>
      <c r="Q41" s="12" t="str">
        <f>if(vlookup(B:B,'ILC3104'!B44:F8526,5,false)="","Y","N")</f>
        <v>Y</v>
      </c>
      <c r="R41" s="12"/>
      <c r="S41" s="12" t="str">
        <f>if(vlookup(B:B,'ILC3312'!B44:F8483,5,false)="","Y","N")</f>
        <v>N</v>
      </c>
      <c r="T41" s="12" t="str">
        <f>if(vlookup(B:B,ILC3413Texte!I6:M8990,5,false)="","Y","N")</f>
        <v>#REF!</v>
      </c>
      <c r="U41" s="12" t="str">
        <f>if(vlookup(B:B,'ILC3413&amp;3415'!I6:L8990,5,false)="","Y","N")</f>
        <v>#REF!</v>
      </c>
      <c r="V41" s="12" t="str">
        <f>if(vlookup(F:F,'ILC3413&amp;3415'!J6:M8990,5,false)="","Y","N")</f>
        <v>#REF!</v>
      </c>
      <c r="W41" s="12" t="str">
        <f>if(vlookup(B:B,'ILC4410'!B44:F8650,5,false)="","Y","N")</f>
        <v>N</v>
      </c>
      <c r="X41" s="12" t="str">
        <f>if(vlookup(B:B,'JBV455'!B44:F8990,5,false)="","Y","N")</f>
        <v>N</v>
      </c>
      <c r="Y41" s="12" t="str">
        <f>if(vlookup(B:B,'JBV462'!B44:F8483,5,false)="","Y","N")</f>
        <v>N</v>
      </c>
      <c r="Z41" s="12" t="str">
        <f>if(vlookup(B:B,'JBV464'!$B44:F8483,5,false)="",if(vlookup(B:B,'JBV462'!$B44:F8483,5,false)="",if(vlookup(B:B,'JBV462&amp;464'!$B44:F8483,5,false)="","Y","N"),"N"),"N")</f>
        <v>N</v>
      </c>
      <c r="AA41" s="12"/>
      <c r="AB41" s="76"/>
    </row>
    <row r="42" hidden="1">
      <c r="A42" s="67" t="str">
        <f t="shared" si="2"/>
        <v>Tue</v>
      </c>
      <c r="B42" s="69">
        <v>43487.0</v>
      </c>
      <c r="C42" s="12"/>
      <c r="D42" s="12"/>
      <c r="E42" s="12"/>
      <c r="F42" s="12" t="str">
        <f>if(vlookup(B:B,'ILC1211'!$B45:F8484,5,false)="","Y","N")</f>
        <v>N</v>
      </c>
      <c r="G42" s="12"/>
      <c r="H42" s="12" t="str">
        <f>if(vlookup(F:F,'ILC1211'!$B45:G8484,5,false)="","Y","N")</f>
        <v>#N/A</v>
      </c>
      <c r="I42" s="12" t="str">
        <f>if(vlookup(B:B,'ILC1404'!B45:F8207,5,false)="","Y","N")</f>
        <v>N</v>
      </c>
      <c r="J42" s="12"/>
      <c r="K42" s="12"/>
      <c r="L42" s="12" t="str">
        <f>if(vlookup(B:B,'ILC2303'!B45:F8484,5,false)="","Y","N")</f>
        <v>N</v>
      </c>
      <c r="M42" s="12" t="str">
        <f>if(vlookup(B:B,'ILC2307'!B45:F9000,5,false)="","Y","N")</f>
        <v>N</v>
      </c>
      <c r="N42" s="12" t="str">
        <f>if(vlookup(B:B,'ILC2313'!B45:F8639,5,false)="","Y","N")</f>
        <v>N</v>
      </c>
      <c r="O42" s="12" t="str">
        <f>if(vlookup(B:B,'ILC2412'!B45:F8484,5,false)="","Y","N")</f>
        <v>N</v>
      </c>
      <c r="P42" s="12" t="str">
        <f>if(vlookup(B:B,'ILC2413'!B45:F8982,5,false)="","Y","N")</f>
        <v>N</v>
      </c>
      <c r="Q42" s="12" t="str">
        <f>if(vlookup(B:B,'ILC3104'!B45:F8527,5,false)="","Y","N")</f>
        <v>N</v>
      </c>
      <c r="R42" s="12"/>
      <c r="S42" s="12" t="str">
        <f>if(vlookup(B:B,'ILC3312'!B45:F8484,5,false)="","Y","N")</f>
        <v>N</v>
      </c>
      <c r="T42" s="12" t="str">
        <f>if(vlookup(B:B,ILC3413Texte!I6:M8991,5,false)="","Y","N")</f>
        <v>#REF!</v>
      </c>
      <c r="U42" s="12" t="str">
        <f>if(vlookup(B:B,'ILC3413&amp;3415'!I6:L8991,5,false)="","Y","N")</f>
        <v>#REF!</v>
      </c>
      <c r="V42" s="12" t="str">
        <f>if(vlookup(F:F,'ILC3413&amp;3415'!J6:M8991,5,false)="","Y","N")</f>
        <v>#REF!</v>
      </c>
      <c r="W42" s="12" t="str">
        <f>if(vlookup(B:B,'ILC4410'!B45:F8651,5,false)="","Y","N")</f>
        <v>N</v>
      </c>
      <c r="X42" s="12" t="str">
        <f>if(vlookup(B:B,'JBV455'!B45:F8991,5,false)="","Y","N")</f>
        <v>N</v>
      </c>
      <c r="Y42" s="12" t="str">
        <f>if(vlookup(B:B,'JBV462'!B45:F8484,5,false)="","Y","N")</f>
        <v>Y</v>
      </c>
      <c r="Z42" s="12" t="str">
        <f>if(vlookup(B:B,'JBV464'!$B45:F8484,5,false)="",if(vlookup(B:B,'JBV462'!$B45:F8484,5,false)="",if(vlookup(B:B,'JBV462&amp;464'!$B45:F8484,5,false)="","Y","N"),"N"),"N")</f>
        <v>N</v>
      </c>
      <c r="AA42" s="12"/>
      <c r="AB42" s="76"/>
    </row>
    <row r="43" hidden="1">
      <c r="A43" s="67" t="str">
        <f t="shared" si="2"/>
        <v>Wed</v>
      </c>
      <c r="B43" s="69">
        <v>43488.0</v>
      </c>
      <c r="C43" s="12"/>
      <c r="D43" s="12"/>
      <c r="E43" s="12"/>
      <c r="F43" s="12" t="str">
        <f>if(vlookup(B:B,'ILC1211'!$B46:F8485,5,false)="","Y","N")</f>
        <v>N</v>
      </c>
      <c r="G43" s="12"/>
      <c r="H43" s="12" t="str">
        <f>if(vlookup(F:F,'ILC1211'!$B46:G8485,5,false)="","Y","N")</f>
        <v>#N/A</v>
      </c>
      <c r="I43" s="12" t="str">
        <f>if(vlookup(B:B,'ILC1404'!B46:F8208,5,false)="","Y","N")</f>
        <v>N</v>
      </c>
      <c r="J43" s="12"/>
      <c r="K43" s="12"/>
      <c r="L43" s="12" t="str">
        <f>if(vlookup(B:B,'ILC2303'!B46:F8485,5,false)="","Y","N")</f>
        <v>N</v>
      </c>
      <c r="M43" s="12" t="str">
        <f>if(vlookup(B:B,'ILC2307'!B46:F9001,5,false)="","Y","N")</f>
        <v>N</v>
      </c>
      <c r="N43" s="12" t="str">
        <f>if(vlookup(B:B,'ILC2313'!B46:F8640,5,false)="","Y","N")</f>
        <v>N</v>
      </c>
      <c r="O43" s="12" t="str">
        <f>if(vlookup(B:B,'ILC2412'!B46:F8485,5,false)="","Y","N")</f>
        <v>N</v>
      </c>
      <c r="P43" s="12" t="str">
        <f>if(vlookup(B:B,'ILC2413'!B46:F8983,5,false)="","Y","N")</f>
        <v>N</v>
      </c>
      <c r="Q43" s="12" t="str">
        <f>if(vlookup(B:B,'ILC3104'!B46:F8528,5,false)="","Y","N")</f>
        <v>N</v>
      </c>
      <c r="R43" s="12"/>
      <c r="S43" s="12" t="str">
        <f>if(vlookup(B:B,'ILC3312'!B46:F8485,5,false)="","Y","N")</f>
        <v>N</v>
      </c>
      <c r="T43" s="12" t="str">
        <f>if(vlookup(B:B,ILC3413Texte!I6:M8992,5,false)="","Y","N")</f>
        <v>#REF!</v>
      </c>
      <c r="U43" s="12" t="str">
        <f>if(vlookup(B:B,'ILC3413&amp;3415'!I6:L8992,5,false)="","Y","N")</f>
        <v>#REF!</v>
      </c>
      <c r="V43" s="12" t="str">
        <f>if(vlookup(F:F,'ILC3413&amp;3415'!J6:M8992,5,false)="","Y","N")</f>
        <v>#REF!</v>
      </c>
      <c r="W43" s="12" t="str">
        <f>if(vlookup(B:B,'ILC4410'!B46:F8652,5,false)="","Y","N")</f>
        <v>N</v>
      </c>
      <c r="X43" s="12" t="str">
        <f>if(vlookup(B:B,'JBV455'!B46:F8992,5,false)="","Y","N")</f>
        <v>N</v>
      </c>
      <c r="Y43" s="12" t="str">
        <f>if(vlookup(B:B,'JBV462'!B46:F8485,5,false)="","Y","N")</f>
        <v>Y</v>
      </c>
      <c r="Z43" s="12" t="str">
        <f>if(vlookup(B:B,'JBV464'!$B46:F8485,5,false)="",if(vlookup(B:B,'JBV462'!$B46:F8485,5,false)="",if(vlookup(B:B,'JBV462&amp;464'!$B46:F8485,5,false)="","Y","N"),"N"),"N")</f>
        <v>N</v>
      </c>
      <c r="AA43" s="12"/>
      <c r="AB43" s="76"/>
    </row>
    <row r="44" hidden="1">
      <c r="A44" s="67" t="str">
        <f t="shared" si="2"/>
        <v>Thu</v>
      </c>
      <c r="B44" s="69">
        <v>43489.0</v>
      </c>
      <c r="C44" s="12"/>
      <c r="D44" s="12"/>
      <c r="E44" s="12"/>
      <c r="F44" s="12" t="str">
        <f>if(vlookup(B:B,'ILC1211'!$B47:F8486,5,false)="","Y","N")</f>
        <v>N</v>
      </c>
      <c r="G44" s="12"/>
      <c r="H44" s="12" t="str">
        <f>if(vlookup(F:F,'ILC1211'!$B47:G8486,5,false)="","Y","N")</f>
        <v>#N/A</v>
      </c>
      <c r="I44" s="12" t="str">
        <f>if(vlookup(B:B,'ILC1404'!B47:F8209,5,false)="","Y","N")</f>
        <v>N</v>
      </c>
      <c r="J44" s="12"/>
      <c r="K44" s="12"/>
      <c r="L44" s="12" t="str">
        <f>if(vlookup(B:B,'ILC2303'!B47:F8486,5,false)="","Y","N")</f>
        <v>N</v>
      </c>
      <c r="M44" s="12" t="str">
        <f>if(vlookup(B:B,'ILC2307'!B47:F9002,5,false)="","Y","N")</f>
        <v>N</v>
      </c>
      <c r="N44" s="12" t="str">
        <f>if(vlookup(B:B,'ILC2313'!B47:F8641,5,false)="","Y","N")</f>
        <v>N</v>
      </c>
      <c r="O44" s="12" t="str">
        <f>if(vlookup(B:B,'ILC2412'!B47:F8486,5,false)="","Y","N")</f>
        <v>N</v>
      </c>
      <c r="P44" s="12" t="str">
        <f>if(vlookup(B:B,'ILC2413'!B47:F8984,5,false)="","Y","N")</f>
        <v>N</v>
      </c>
      <c r="Q44" s="12" t="str">
        <f>if(vlookup(B:B,'ILC3104'!B47:F8529,5,false)="","Y","N")</f>
        <v>N</v>
      </c>
      <c r="R44" s="12"/>
      <c r="S44" s="12" t="str">
        <f>if(vlookup(B:B,'ILC3312'!B47:F8486,5,false)="","Y","N")</f>
        <v>N</v>
      </c>
      <c r="T44" s="12" t="str">
        <f>if(vlookup(B:B,ILC3413Texte!I6:M8993,5,false)="","Y","N")</f>
        <v>#REF!</v>
      </c>
      <c r="U44" s="12" t="str">
        <f>if(vlookup(B:B,'ILC3413&amp;3415'!I6:L8993,5,false)="","Y","N")</f>
        <v>#REF!</v>
      </c>
      <c r="V44" s="12" t="str">
        <f>if(vlookup(F:F,'ILC3413&amp;3415'!J6:M8993,5,false)="","Y","N")</f>
        <v>#REF!</v>
      </c>
      <c r="W44" s="12" t="str">
        <f>if(vlookup(B:B,'ILC4410'!B47:F8653,5,false)="","Y","N")</f>
        <v>N</v>
      </c>
      <c r="X44" s="12" t="str">
        <f>if(vlookup(B:B,'JBV455'!B47:F8993,5,false)="","Y","N")</f>
        <v>N</v>
      </c>
      <c r="Y44" s="12" t="str">
        <f>if(vlookup(B:B,'JBV462'!B47:F8486,5,false)="","Y","N")</f>
        <v>Y</v>
      </c>
      <c r="Z44" s="12" t="str">
        <f>if(vlookup(B:B,'JBV464'!$B47:F8486,5,false)="",if(vlookup(B:B,'JBV462'!$B47:F8486,5,false)="",if(vlookup(B:B,'JBV462&amp;464'!$B47:F8486,5,false)="","Y","N"),"N"),"N")</f>
        <v>N</v>
      </c>
      <c r="AA44" s="12"/>
      <c r="AB44" s="76"/>
    </row>
    <row r="45" hidden="1">
      <c r="A45" s="67" t="str">
        <f t="shared" si="2"/>
        <v>Fri</v>
      </c>
      <c r="B45" s="69">
        <v>43490.0</v>
      </c>
      <c r="C45" s="12"/>
      <c r="D45" s="12"/>
      <c r="E45" s="12"/>
      <c r="F45" s="12" t="str">
        <f>if(vlookup(B:B,'ILC1211'!$B48:F8487,5,false)="","Y","N")</f>
        <v>N</v>
      </c>
      <c r="G45" s="12"/>
      <c r="H45" s="12" t="str">
        <f>if(vlookup(F:F,'ILC1211'!$B48:G8487,5,false)="","Y","N")</f>
        <v>#N/A</v>
      </c>
      <c r="I45" s="12" t="str">
        <f>if(vlookup(B:B,'ILC1404'!B48:F8210,5,false)="","Y","N")</f>
        <v>N</v>
      </c>
      <c r="J45" s="12"/>
      <c r="K45" s="12"/>
      <c r="L45" s="12" t="str">
        <f>if(vlookup(B:B,'ILC2303'!B48:F8487,5,false)="","Y","N")</f>
        <v>N</v>
      </c>
      <c r="M45" s="12" t="str">
        <f>if(vlookup(B:B,'ILC2307'!B48:F9003,5,false)="","Y","N")</f>
        <v>N</v>
      </c>
      <c r="N45" s="12" t="str">
        <f>if(vlookup(B:B,'ILC2313'!B48:F8642,5,false)="","Y","N")</f>
        <v>N</v>
      </c>
      <c r="O45" s="12" t="str">
        <f>if(vlookup(B:B,'ILC2412'!B48:F8487,5,false)="","Y","N")</f>
        <v>N</v>
      </c>
      <c r="P45" s="12" t="str">
        <f>if(vlookup(B:B,'ILC2413'!B48:F8985,5,false)="","Y","N")</f>
        <v>N</v>
      </c>
      <c r="Q45" s="12" t="str">
        <f>if(vlookup(B:B,'ILC3104'!B48:F8530,5,false)="","Y","N")</f>
        <v>N</v>
      </c>
      <c r="R45" s="12"/>
      <c r="S45" s="12" t="str">
        <f>if(vlookup(B:B,'ILC3312'!B48:F8487,5,false)="","Y","N")</f>
        <v>N</v>
      </c>
      <c r="T45" s="12" t="str">
        <f>if(vlookup(B:B,ILC3413Texte!I6:M8994,5,false)="","Y","N")</f>
        <v>#REF!</v>
      </c>
      <c r="U45" s="12" t="str">
        <f>if(vlookup(B:B,'ILC3413&amp;3415'!I6:L8994,5,false)="","Y","N")</f>
        <v>#REF!</v>
      </c>
      <c r="V45" s="12" t="str">
        <f>if(vlookup(F:F,'ILC3413&amp;3415'!J6:M8994,5,false)="","Y","N")</f>
        <v>#REF!</v>
      </c>
      <c r="W45" s="12" t="str">
        <f>if(vlookup(B:B,'ILC4410'!B48:F8654,5,false)="","Y","N")</f>
        <v>N</v>
      </c>
      <c r="X45" s="12" t="str">
        <f>if(vlookup(B:B,'JBV455'!B48:F8994,5,false)="","Y","N")</f>
        <v>N</v>
      </c>
      <c r="Y45" s="12" t="str">
        <f>if(vlookup(B:B,'JBV462'!B48:F8487,5,false)="","Y","N")</f>
        <v>N</v>
      </c>
      <c r="Z45" s="12" t="str">
        <f>if(vlookup(B:B,'JBV464'!$B48:F8487,5,false)="",if(vlookup(B:B,'JBV462'!$B48:F8487,5,false)="",if(vlookup(B:B,'JBV462&amp;464'!$B48:F8487,5,false)="","Y","N"),"N"),"N")</f>
        <v>N</v>
      </c>
      <c r="AA45" s="12"/>
      <c r="AB45" s="76"/>
    </row>
    <row r="46" hidden="1">
      <c r="A46" s="67" t="str">
        <f t="shared" si="2"/>
        <v>Sat</v>
      </c>
      <c r="B46" s="69">
        <v>43491.0</v>
      </c>
      <c r="C46" s="12"/>
      <c r="D46" s="12"/>
      <c r="E46" s="12"/>
      <c r="F46" s="12" t="str">
        <f>if(vlookup(B:B,'ILC1211'!$B49:F8488,5,false)="","Y","N")</f>
        <v>N</v>
      </c>
      <c r="G46" s="12"/>
      <c r="H46" s="12" t="str">
        <f>if(vlookup(F:F,'ILC1211'!$B49:G8488,5,false)="","Y","N")</f>
        <v>#N/A</v>
      </c>
      <c r="I46" s="12" t="str">
        <f>if(vlookup(B:B,'ILC1404'!B49:F8211,5,false)="","Y","N")</f>
        <v>N</v>
      </c>
      <c r="J46" s="12"/>
      <c r="K46" s="12"/>
      <c r="L46" s="12" t="str">
        <f>if(vlookup(B:B,'ILC2303'!B49:F8488,5,false)="","Y","N")</f>
        <v>N</v>
      </c>
      <c r="M46" s="12" t="str">
        <f>if(vlookup(B:B,'ILC2307'!B49:F9004,5,false)="","Y","N")</f>
        <v>N</v>
      </c>
      <c r="N46" s="12" t="str">
        <f>if(vlookup(B:B,'ILC2313'!B49:F8643,5,false)="","Y","N")</f>
        <v>N</v>
      </c>
      <c r="O46" s="12" t="str">
        <f>if(vlookup(B:B,'ILC2412'!B49:F8488,5,false)="","Y","N")</f>
        <v>N</v>
      </c>
      <c r="P46" s="12" t="str">
        <f>if(vlookup(B:B,'ILC2413'!B49:F8986,5,false)="","Y","N")</f>
        <v>N</v>
      </c>
      <c r="Q46" s="12" t="str">
        <f>if(vlookup(B:B,'ILC3104'!B49:F8531,5,false)="","Y","N")</f>
        <v>N</v>
      </c>
      <c r="R46" s="12"/>
      <c r="S46" s="12" t="str">
        <f>if(vlookup(B:B,'ILC3312'!B49:F8488,5,false)="","Y","N")</f>
        <v>N</v>
      </c>
      <c r="T46" s="12" t="str">
        <f>if(vlookup(B:B,ILC3413Texte!I6:M8995,5,false)="","Y","N")</f>
        <v>#REF!</v>
      </c>
      <c r="U46" s="12" t="str">
        <f>if(vlookup(B:B,'ILC3413&amp;3415'!I6:L8995,5,false)="","Y","N")</f>
        <v>#REF!</v>
      </c>
      <c r="V46" s="12" t="str">
        <f>if(vlookup(F:F,'ILC3413&amp;3415'!J6:M8995,5,false)="","Y","N")</f>
        <v>#REF!</v>
      </c>
      <c r="W46" s="12" t="str">
        <f>if(vlookup(B:B,'ILC4410'!B49:F8655,5,false)="","Y","N")</f>
        <v>N</v>
      </c>
      <c r="X46" s="12" t="str">
        <f>if(vlookup(B:B,'JBV455'!B49:F8995,5,false)="","Y","N")</f>
        <v>N</v>
      </c>
      <c r="Y46" s="12" t="str">
        <f>if(vlookup(B:B,'JBV462'!B49:F8488,5,false)="","Y","N")</f>
        <v>N</v>
      </c>
      <c r="Z46" s="12" t="str">
        <f>if(vlookup(B:B,'JBV464'!$B49:F8488,5,false)="",if(vlookup(B:B,'JBV462'!$B49:F8488,5,false)="",if(vlookup(B:B,'JBV462&amp;464'!$B49:F8488,5,false)="","Y","N"),"N"),"N")</f>
        <v>N</v>
      </c>
      <c r="AA46" s="12"/>
      <c r="AB46" s="76"/>
    </row>
    <row r="47" hidden="1">
      <c r="A47" s="67" t="str">
        <f t="shared" si="2"/>
        <v>Sun</v>
      </c>
      <c r="B47" s="69">
        <v>43492.0</v>
      </c>
      <c r="C47" s="12"/>
      <c r="D47" s="12"/>
      <c r="E47" s="12"/>
      <c r="F47" s="12" t="str">
        <f>if(vlookup(B:B,'ILC1211'!$B50:F8489,5,false)="","Y","N")</f>
        <v>N</v>
      </c>
      <c r="G47" s="12"/>
      <c r="H47" s="12" t="str">
        <f>if(vlookup(F:F,'ILC1211'!$B50:G8489,5,false)="","Y","N")</f>
        <v>#N/A</v>
      </c>
      <c r="I47" s="12" t="str">
        <f>if(vlookup(B:B,'ILC1404'!B50:F8212,5,false)="","Y","N")</f>
        <v>N</v>
      </c>
      <c r="J47" s="12"/>
      <c r="K47" s="12"/>
      <c r="L47" s="12" t="str">
        <f>if(vlookup(B:B,'ILC2303'!B50:F8489,5,false)="","Y","N")</f>
        <v>N</v>
      </c>
      <c r="M47" s="12" t="str">
        <f>if(vlookup(B:B,'ILC2307'!B50:F9005,5,false)="","Y","N")</f>
        <v>N</v>
      </c>
      <c r="N47" s="12" t="str">
        <f>if(vlookup(B:B,'ILC2313'!B50:F8644,5,false)="","Y","N")</f>
        <v>N</v>
      </c>
      <c r="O47" s="12" t="str">
        <f>if(vlookup(B:B,'ILC2412'!B50:F8489,5,false)="","Y","N")</f>
        <v>N</v>
      </c>
      <c r="P47" s="12" t="str">
        <f>if(vlookup(B:B,'ILC2413'!B50:F8987,5,false)="","Y","N")</f>
        <v>N</v>
      </c>
      <c r="Q47" s="12" t="str">
        <f>if(vlookup(B:B,'ILC3104'!B50:F8532,5,false)="","Y","N")</f>
        <v>N</v>
      </c>
      <c r="R47" s="12"/>
      <c r="S47" s="12" t="str">
        <f>if(vlookup(B:B,'ILC3312'!B50:F8489,5,false)="","Y","N")</f>
        <v>N</v>
      </c>
      <c r="T47" s="12" t="str">
        <f>if(vlookup(B:B,ILC3413Texte!I6:M8996,5,false)="","Y","N")</f>
        <v>#REF!</v>
      </c>
      <c r="U47" s="12" t="str">
        <f>if(vlookup(B:B,'ILC3413&amp;3415'!I6:L8996,5,false)="","Y","N")</f>
        <v>#REF!</v>
      </c>
      <c r="V47" s="12" t="str">
        <f>if(vlookup(F:F,'ILC3413&amp;3415'!J6:M8996,5,false)="","Y","N")</f>
        <v>#REF!</v>
      </c>
      <c r="W47" s="12" t="str">
        <f>if(vlookup(B:B,'ILC4410'!B50:F8656,5,false)="","Y","N")</f>
        <v>N</v>
      </c>
      <c r="X47" s="12" t="str">
        <f>if(vlookup(B:B,'JBV455'!B50:F8996,5,false)="","Y","N")</f>
        <v>N</v>
      </c>
      <c r="Y47" s="12" t="str">
        <f>if(vlookup(B:B,'JBV462'!B50:F8489,5,false)="","Y","N")</f>
        <v>N</v>
      </c>
      <c r="Z47" s="12" t="str">
        <f>if(vlookup(B:B,'JBV464'!$B50:F8489,5,false)="",if(vlookup(B:B,'JBV462'!$B50:F8489,5,false)="",if(vlookup(B:B,'JBV462&amp;464'!$B50:F8489,5,false)="","Y","N"),"N"),"N")</f>
        <v>N</v>
      </c>
      <c r="AA47" s="12"/>
      <c r="AB47" s="76"/>
    </row>
    <row r="48" hidden="1">
      <c r="A48" s="67" t="str">
        <f t="shared" si="2"/>
        <v>Mon</v>
      </c>
      <c r="B48" s="69">
        <v>43493.0</v>
      </c>
      <c r="C48" s="12"/>
      <c r="D48" s="12"/>
      <c r="E48" s="12"/>
      <c r="F48" s="12" t="str">
        <f>if(vlookup(B:B,'ILC1211'!$B51:F8490,5,false)="","Y","N")</f>
        <v>N</v>
      </c>
      <c r="G48" s="12"/>
      <c r="H48" s="12" t="str">
        <f>if(vlookup(F:F,'ILC1211'!$B51:G8490,5,false)="","Y","N")</f>
        <v>#N/A</v>
      </c>
      <c r="I48" s="12" t="str">
        <f>if(vlookup(B:B,'ILC1404'!B51:F8213,5,false)="","Y","N")</f>
        <v>N</v>
      </c>
      <c r="J48" s="12"/>
      <c r="K48" s="12"/>
      <c r="L48" s="12" t="str">
        <f>if(vlookup(B:B,'ILC2303'!B51:F8490,5,false)="","Y","N")</f>
        <v>N</v>
      </c>
      <c r="M48" s="12" t="str">
        <f>if(vlookup(B:B,'ILC2307'!B51:F9006,5,false)="","Y","N")</f>
        <v>N</v>
      </c>
      <c r="N48" s="12" t="str">
        <f>if(vlookup(B:B,'ILC2313'!B51:F8645,5,false)="","Y","N")</f>
        <v>N</v>
      </c>
      <c r="O48" s="12" t="str">
        <f>if(vlookup(B:B,'ILC2412'!B51:F8490,5,false)="","Y","N")</f>
        <v>N</v>
      </c>
      <c r="P48" s="12" t="str">
        <f>if(vlookup(B:B,'ILC2413'!B51:F8988,5,false)="","Y","N")</f>
        <v>N</v>
      </c>
      <c r="Q48" s="12" t="str">
        <f>if(vlookup(B:B,'ILC3104'!B51:F8533,5,false)="","Y","N")</f>
        <v>N</v>
      </c>
      <c r="R48" s="12"/>
      <c r="S48" s="12" t="str">
        <f>if(vlookup(B:B,'ILC3312'!B51:F8490,5,false)="","Y","N")</f>
        <v>N</v>
      </c>
      <c r="T48" s="12" t="str">
        <f>if(vlookup(B:B,ILC3413Texte!I6:M8997,5,false)="","Y","N")</f>
        <v>#REF!</v>
      </c>
      <c r="U48" s="12" t="str">
        <f>if(vlookup(B:B,'ILC3413&amp;3415'!I6:L8997,5,false)="","Y","N")</f>
        <v>#REF!</v>
      </c>
      <c r="V48" s="12" t="str">
        <f>if(vlookup(F:F,'ILC3413&amp;3415'!J6:M8997,5,false)="","Y","N")</f>
        <v>#REF!</v>
      </c>
      <c r="W48" s="12" t="str">
        <f>if(vlookup(B:B,'ILC4410'!B51:F8657,5,false)="","Y","N")</f>
        <v>N</v>
      </c>
      <c r="X48" s="12" t="str">
        <f>if(vlookup(B:B,'JBV455'!B51:F8997,5,false)="","Y","N")</f>
        <v>N</v>
      </c>
      <c r="Y48" s="12" t="str">
        <f>if(vlookup(B:B,'JBV462'!B51:F8490,5,false)="","Y","N")</f>
        <v>N</v>
      </c>
      <c r="Z48" s="12" t="str">
        <f>if(vlookup(B:B,'JBV464'!$B51:F8490,5,false)="",if(vlookup(B:B,'JBV462'!$B51:F8490,5,false)="",if(vlookup(B:B,'JBV462&amp;464'!$B51:F8490,5,false)="","Y","N"),"N"),"N")</f>
        <v>N</v>
      </c>
      <c r="AA48" s="12"/>
      <c r="AB48" s="76"/>
    </row>
    <row r="49" hidden="1">
      <c r="A49" s="67" t="str">
        <f t="shared" si="2"/>
        <v>Tue</v>
      </c>
      <c r="B49" s="69">
        <v>43494.0</v>
      </c>
      <c r="C49" s="12"/>
      <c r="D49" s="12"/>
      <c r="E49" s="12"/>
      <c r="F49" s="12" t="str">
        <f>if(vlookup(B:B,'ILC1211'!$B52:F8491,5,false)="","Y","N")</f>
        <v>N</v>
      </c>
      <c r="G49" s="12"/>
      <c r="H49" s="12" t="str">
        <f>if(vlookup(F:F,'ILC1211'!$B52:G8491,5,false)="","Y","N")</f>
        <v>#N/A</v>
      </c>
      <c r="I49" s="12" t="str">
        <f>if(vlookup(B:B,'ILC1404'!B52:F8214,5,false)="","Y","N")</f>
        <v>N</v>
      </c>
      <c r="J49" s="12"/>
      <c r="K49" s="12"/>
      <c r="L49" s="12" t="str">
        <f>if(vlookup(B:B,'ILC2303'!B52:F8491,5,false)="","Y","N")</f>
        <v>N</v>
      </c>
      <c r="M49" s="12" t="str">
        <f>if(vlookup(B:B,'ILC2307'!B52:F9007,5,false)="","Y","N")</f>
        <v>N</v>
      </c>
      <c r="N49" s="12" t="str">
        <f>if(vlookup(B:B,'ILC2313'!B52:F8646,5,false)="","Y","N")</f>
        <v>N</v>
      </c>
      <c r="O49" s="12" t="str">
        <f>if(vlookup(B:B,'ILC2412'!B52:F8491,5,false)="","Y","N")</f>
        <v>N</v>
      </c>
      <c r="P49" s="12" t="str">
        <f>if(vlookup(B:B,'ILC2413'!B52:F8989,5,false)="","Y","N")</f>
        <v>N</v>
      </c>
      <c r="Q49" s="12" t="str">
        <f>if(vlookup(B:B,'ILC3104'!B52:F8534,5,false)="","Y","N")</f>
        <v>N</v>
      </c>
      <c r="R49" s="12"/>
      <c r="S49" s="12" t="str">
        <f>if(vlookup(B:B,'ILC3312'!B52:F8491,5,false)="","Y","N")</f>
        <v>N</v>
      </c>
      <c r="T49" s="12" t="str">
        <f>if(vlookup(B:B,ILC3413Texte!I6:M8998,5,false)="","Y","N")</f>
        <v>#REF!</v>
      </c>
      <c r="U49" s="12" t="str">
        <f>if(vlookup(B:B,'ILC3413&amp;3415'!I6:L8998,5,false)="","Y","N")</f>
        <v>#REF!</v>
      </c>
      <c r="V49" s="12" t="str">
        <f>if(vlookup(F:F,'ILC3413&amp;3415'!J6:M8998,5,false)="","Y","N")</f>
        <v>#REF!</v>
      </c>
      <c r="W49" s="12" t="str">
        <f>if(vlookup(B:B,'ILC4410'!B52:F8658,5,false)="","Y","N")</f>
        <v>N</v>
      </c>
      <c r="X49" s="12" t="str">
        <f>if(vlookup(B:B,'JBV455'!B52:F8998,5,false)="","Y","N")</f>
        <v>N</v>
      </c>
      <c r="Y49" s="12" t="str">
        <f>if(vlookup(B:B,'JBV462'!B52:F8491,5,false)="","Y","N")</f>
        <v>N</v>
      </c>
      <c r="Z49" s="12" t="str">
        <f>if(vlookup(B:B,'JBV464'!$B52:F8491,5,false)="",if(vlookup(B:B,'JBV462'!$B52:F8491,5,false)="",if(vlookup(B:B,'JBV462&amp;464'!$B52:F8491,5,false)="","Y","N"),"N"),"N")</f>
        <v>N</v>
      </c>
      <c r="AA49" s="12"/>
      <c r="AB49" s="76"/>
    </row>
    <row r="50" hidden="1">
      <c r="A50" s="67" t="str">
        <f t="shared" si="2"/>
        <v>Wed</v>
      </c>
      <c r="B50" s="69">
        <v>43495.0</v>
      </c>
      <c r="C50" s="12"/>
      <c r="D50" s="12"/>
      <c r="E50" s="12"/>
      <c r="F50" s="12" t="str">
        <f>if(vlookup(B:B,'ILC1211'!$B53:F8492,5,false)="","Y","N")</f>
        <v>N</v>
      </c>
      <c r="G50" s="12"/>
      <c r="H50" s="12" t="str">
        <f>if(vlookup(F:F,'ILC1211'!$B53:G8492,5,false)="","Y","N")</f>
        <v>#N/A</v>
      </c>
      <c r="I50" s="12" t="str">
        <f>if(vlookup(B:B,'ILC1404'!B53:F8215,5,false)="","Y","N")</f>
        <v>Y</v>
      </c>
      <c r="J50" s="12"/>
      <c r="K50" s="12"/>
      <c r="L50" s="12" t="str">
        <f>if(vlookup(B:B,'ILC2303'!B53:F8492,5,false)="","Y","N")</f>
        <v>N</v>
      </c>
      <c r="M50" s="12" t="str">
        <f>if(vlookup(B:B,'ILC2307'!B53:F9008,5,false)="","Y","N")</f>
        <v>N</v>
      </c>
      <c r="N50" s="12" t="str">
        <f>if(vlookup(B:B,'ILC2313'!B53:F8647,5,false)="","Y","N")</f>
        <v>N</v>
      </c>
      <c r="O50" s="12" t="str">
        <f>if(vlookup(B:B,'ILC2412'!B53:F8492,5,false)="","Y","N")</f>
        <v>N</v>
      </c>
      <c r="P50" s="12" t="str">
        <f>if(vlookup(B:B,'ILC2413'!B53:F8990,5,false)="","Y","N")</f>
        <v>N</v>
      </c>
      <c r="Q50" s="12" t="str">
        <f>if(vlookup(B:B,'ILC3104'!B53:F8535,5,false)="","Y","N")</f>
        <v>N</v>
      </c>
      <c r="R50" s="12"/>
      <c r="S50" s="12" t="str">
        <f>if(vlookup(B:B,'ILC3312'!B53:F8492,5,false)="","Y","N")</f>
        <v>N</v>
      </c>
      <c r="T50" s="12" t="str">
        <f>if(vlookup(B:B,ILC3413Texte!I6:M8999,5,false)="","Y","N")</f>
        <v>#REF!</v>
      </c>
      <c r="U50" s="12" t="str">
        <f>if(vlookup(B:B,'ILC3413&amp;3415'!I6:L8999,5,false)="","Y","N")</f>
        <v>#REF!</v>
      </c>
      <c r="V50" s="12" t="str">
        <f>if(vlookup(F:F,'ILC3413&amp;3415'!J6:M8999,5,false)="","Y","N")</f>
        <v>#REF!</v>
      </c>
      <c r="W50" s="12" t="str">
        <f>if(vlookup(B:B,'ILC4410'!B53:F8659,5,false)="","Y","N")</f>
        <v>N</v>
      </c>
      <c r="X50" s="12" t="str">
        <f>if(vlookup(B:B,'JBV455'!B53:F8999,5,false)="","Y","N")</f>
        <v>N</v>
      </c>
      <c r="Y50" s="12" t="str">
        <f>if(vlookup(B:B,'JBV462'!B53:F8492,5,false)="","Y","N")</f>
        <v>N</v>
      </c>
      <c r="Z50" s="12" t="str">
        <f>if(vlookup(B:B,'JBV464'!$B53:F8492,5,false)="",if(vlookup(B:B,'JBV462'!$B53:F8492,5,false)="",if(vlookup(B:B,'JBV462&amp;464'!$B53:F8492,5,false)="","Y","N"),"N"),"N")</f>
        <v>N</v>
      </c>
      <c r="AA50" s="12"/>
      <c r="AB50" s="76"/>
    </row>
    <row r="51" hidden="1">
      <c r="A51" s="67" t="str">
        <f t="shared" si="2"/>
        <v>Thu</v>
      </c>
      <c r="B51" s="69">
        <v>43496.0</v>
      </c>
      <c r="C51" s="12"/>
      <c r="D51" s="12"/>
      <c r="E51" s="12"/>
      <c r="F51" s="12" t="str">
        <f>if(vlookup(B:B,'ILC1211'!$B54:F8493,5,false)="","Y","N")</f>
        <v>N</v>
      </c>
      <c r="G51" s="12"/>
      <c r="H51" s="12" t="str">
        <f>if(vlookup(F:F,'ILC1211'!$B54:G8493,5,false)="","Y","N")</f>
        <v>#N/A</v>
      </c>
      <c r="I51" s="12" t="str">
        <f>if(vlookup(B:B,'ILC1404'!B54:F8216,5,false)="","Y","N")</f>
        <v>N</v>
      </c>
      <c r="J51" s="12"/>
      <c r="K51" s="12"/>
      <c r="L51" s="12" t="str">
        <f>if(vlookup(B:B,'ILC2303'!B54:F8493,5,false)="","Y","N")</f>
        <v>N</v>
      </c>
      <c r="M51" s="12" t="str">
        <f>if(vlookup(B:B,'ILC2307'!B54:F9009,5,false)="","Y","N")</f>
        <v>N</v>
      </c>
      <c r="N51" s="12" t="str">
        <f>if(vlookup(B:B,'ILC2313'!B54:F8648,5,false)="","Y","N")</f>
        <v>Y</v>
      </c>
      <c r="O51" s="12" t="str">
        <f>if(vlookup(B:B,'ILC2412'!B54:F8493,5,false)="","Y","N")</f>
        <v>N</v>
      </c>
      <c r="P51" s="12" t="str">
        <f>if(vlookup(B:B,'ILC2413'!B54:F8991,5,false)="","Y","N")</f>
        <v>N</v>
      </c>
      <c r="Q51" s="12" t="str">
        <f>if(vlookup(B:B,'ILC3104'!B54:F8536,5,false)="","Y","N")</f>
        <v>N</v>
      </c>
      <c r="R51" s="12"/>
      <c r="S51" s="12" t="str">
        <f>if(vlookup(B:B,'ILC3312'!B54:F8493,5,false)="","Y","N")</f>
        <v>N</v>
      </c>
      <c r="T51" s="12" t="str">
        <f t="shared" ref="T51:T54" si="10">if(vlookup(B:B,ILC3413Texte!I6:M9000,5,false)="","Y","N")</f>
        <v>#REF!</v>
      </c>
      <c r="U51" s="12" t="str">
        <f t="shared" ref="U51:U54" si="11">if(vlookup(B:B,'ILC3413&amp;3415'!I6:L9000,5,false)="","Y","N")</f>
        <v>#REF!</v>
      </c>
      <c r="V51" s="12" t="str">
        <f t="shared" ref="V51:V54" si="12">if(vlookup(F:F,'ILC3413&amp;3415'!J6:M9000,5,false)="","Y","N")</f>
        <v>#REF!</v>
      </c>
      <c r="W51" s="12" t="str">
        <f>if(vlookup(B:B,'ILC4410'!B54:F8660,5,false)="","Y","N")</f>
        <v>N</v>
      </c>
      <c r="X51" s="12" t="str">
        <f>if(vlookup(B:B,'JBV455'!B54:F9000,5,false)="","Y","N")</f>
        <v>N</v>
      </c>
      <c r="Y51" s="12" t="str">
        <f>if(vlookup(B:B,'JBV462'!B54:F8493,5,false)="","Y","N")</f>
        <v>N</v>
      </c>
      <c r="Z51" s="12" t="str">
        <f>if(vlookup(B:B,'JBV464'!$B54:F8493,5,false)="",if(vlookup(B:B,'JBV462'!$B54:F8493,5,false)="",if(vlookup(B:B,'JBV462&amp;464'!$B54:F8493,5,false)="","Y","N"),"N"),"N")</f>
        <v>N</v>
      </c>
      <c r="AA51" s="12"/>
      <c r="AB51" s="76"/>
    </row>
    <row r="52" hidden="1">
      <c r="A52" s="67" t="str">
        <f t="shared" si="2"/>
        <v>Fri</v>
      </c>
      <c r="B52" s="69">
        <v>43497.0</v>
      </c>
      <c r="C52" s="12"/>
      <c r="D52" s="12"/>
      <c r="E52" s="12"/>
      <c r="F52" s="12" t="str">
        <f>if(vlookup(B:B,'ILC1211'!$B55:F8494,5,false)="","Y","N")</f>
        <v>N</v>
      </c>
      <c r="G52" s="12"/>
      <c r="H52" s="12" t="str">
        <f>if(vlookup(F:F,'ILC1211'!$B55:G8494,5,false)="","Y","N")</f>
        <v>#N/A</v>
      </c>
      <c r="I52" s="12" t="str">
        <f>if(vlookup(B:B,'ILC1404'!B55:F8217,5,false)="","Y","N")</f>
        <v>N</v>
      </c>
      <c r="J52" s="12"/>
      <c r="K52" s="12"/>
      <c r="L52" s="12" t="str">
        <f>if(vlookup(B:B,'ILC2303'!B55:F8494,5,false)="","Y","N")</f>
        <v>N</v>
      </c>
      <c r="M52" s="12" t="str">
        <f>if(vlookup(B:B,'ILC2307'!B55:F9010,5,false)="","Y","N")</f>
        <v>N</v>
      </c>
      <c r="N52" s="12" t="str">
        <f>if(vlookup(B:B,'ILC2313'!B55:F8649,5,false)="","Y","N")</f>
        <v>N</v>
      </c>
      <c r="O52" s="12" t="str">
        <f>if(vlookup(B:B,'ILC2412'!B55:F8494,5,false)="","Y","N")</f>
        <v>N</v>
      </c>
      <c r="P52" s="12" t="str">
        <f>if(vlookup(B:B,'ILC2413'!B55:F8992,5,false)="","Y","N")</f>
        <v>N</v>
      </c>
      <c r="Q52" s="12" t="str">
        <f>if(vlookup(B:B,'ILC3104'!B55:F8537,5,false)="","Y","N")</f>
        <v>N</v>
      </c>
      <c r="R52" s="12"/>
      <c r="S52" s="12" t="str">
        <f>if(vlookup(B:B,'ILC3312'!B55:F8494,5,false)="","Y","N")</f>
        <v>N</v>
      </c>
      <c r="T52" s="12" t="str">
        <f t="shared" si="10"/>
        <v>#REF!</v>
      </c>
      <c r="U52" s="12" t="str">
        <f t="shared" si="11"/>
        <v>#REF!</v>
      </c>
      <c r="V52" s="12" t="str">
        <f t="shared" si="12"/>
        <v>#REF!</v>
      </c>
      <c r="W52" s="12" t="str">
        <f>if(vlookup(B:B,'ILC4410'!B55:F8661,5,false)="","Y","N")</f>
        <v>N</v>
      </c>
      <c r="X52" s="12" t="str">
        <f>if(vlookup(B:B,'JBV455'!B55:F9001,5,false)="","Y","N")</f>
        <v>N</v>
      </c>
      <c r="Y52" s="12" t="str">
        <f>if(vlookup(B:B,'JBV462'!B55:F8494,5,false)="","Y","N")</f>
        <v>N</v>
      </c>
      <c r="Z52" s="12" t="str">
        <f>if(vlookup(B:B,'JBV464'!$B55:F8494,5,false)="",if(vlookup(B:B,'JBV462'!$B55:F8494,5,false)="",if(vlookup(B:B,'JBV462&amp;464'!$B55:F8494,5,false)="","Y","N"),"N"),"N")</f>
        <v>N</v>
      </c>
      <c r="AA52" s="12"/>
      <c r="AB52" s="76"/>
    </row>
    <row r="53" hidden="1">
      <c r="A53" s="67" t="str">
        <f t="shared" si="2"/>
        <v>Sat</v>
      </c>
      <c r="B53" s="69">
        <v>43498.0</v>
      </c>
      <c r="C53" s="12"/>
      <c r="D53" s="12"/>
      <c r="E53" s="12"/>
      <c r="F53" s="12" t="str">
        <f>if(vlookup(B:B,'ILC1211'!$B56:F8495,5,false)="","Y","N")</f>
        <v>N</v>
      </c>
      <c r="G53" s="12"/>
      <c r="H53" s="12" t="str">
        <f>if(vlookup(F:F,'ILC1211'!$B56:G8495,5,false)="","Y","N")</f>
        <v>#N/A</v>
      </c>
      <c r="I53" s="12" t="str">
        <f>if(vlookup(B:B,'ILC1404'!B56:F8218,5,false)="","Y","N")</f>
        <v>N</v>
      </c>
      <c r="J53" s="12"/>
      <c r="K53" s="12"/>
      <c r="L53" s="12" t="str">
        <f>if(vlookup(B:B,'ILC2303'!B56:F8495,5,false)="","Y","N")</f>
        <v>N</v>
      </c>
      <c r="M53" s="12" t="str">
        <f>if(vlookup(B:B,'ILC2307'!B56:F9011,5,false)="","Y","N")</f>
        <v>N</v>
      </c>
      <c r="N53" s="12" t="str">
        <f>if(vlookup(B:B,'ILC2313'!B56:F8650,5,false)="","Y","N")</f>
        <v>N</v>
      </c>
      <c r="O53" s="12" t="str">
        <f>if(vlookup(B:B,'ILC2412'!B56:F8495,5,false)="","Y","N")</f>
        <v>N</v>
      </c>
      <c r="P53" s="12" t="str">
        <f>if(vlookup(B:B,'ILC2413'!B56:F8993,5,false)="","Y","N")</f>
        <v>N</v>
      </c>
      <c r="Q53" s="12" t="str">
        <f>if(vlookup(B:B,'ILC3104'!B56:F8538,5,false)="","Y","N")</f>
        <v>N</v>
      </c>
      <c r="R53" s="12"/>
      <c r="S53" s="12" t="str">
        <f>if(vlookup(B:B,'ILC3312'!B56:F8495,5,false)="","Y","N")</f>
        <v>N</v>
      </c>
      <c r="T53" s="12" t="str">
        <f t="shared" si="10"/>
        <v>#REF!</v>
      </c>
      <c r="U53" s="12" t="str">
        <f t="shared" si="11"/>
        <v>#REF!</v>
      </c>
      <c r="V53" s="12" t="str">
        <f t="shared" si="12"/>
        <v>#REF!</v>
      </c>
      <c r="W53" s="12" t="str">
        <f>if(vlookup(B:B,'ILC4410'!B56:F8662,5,false)="","Y","N")</f>
        <v>N</v>
      </c>
      <c r="X53" s="12" t="str">
        <f>if(vlookup(B:B,'JBV455'!B56:F9002,5,false)="","Y","N")</f>
        <v>N</v>
      </c>
      <c r="Y53" s="12" t="str">
        <f>if(vlookup(B:B,'JBV462'!B56:F8495,5,false)="","Y","N")</f>
        <v>N</v>
      </c>
      <c r="Z53" s="12" t="str">
        <f>if(vlookup(B:B,'JBV464'!$B56:F8495,5,false)="",if(vlookup(B:B,'JBV462'!$B56:F8495,5,false)="",if(vlookup(B:B,'JBV462&amp;464'!$B56:F8495,5,false)="","Y","N"),"N"),"N")</f>
        <v>N</v>
      </c>
      <c r="AA53" s="12"/>
      <c r="AB53" s="76"/>
    </row>
    <row r="54" hidden="1">
      <c r="A54" s="67" t="str">
        <f t="shared" si="2"/>
        <v>Sun</v>
      </c>
      <c r="B54" s="69">
        <v>43499.0</v>
      </c>
      <c r="C54" s="12"/>
      <c r="D54" s="12"/>
      <c r="E54" s="12"/>
      <c r="F54" s="12" t="str">
        <f>if(vlookup(B:B,'ILC1211'!$B57:F8496,5,false)="","Y","N")</f>
        <v>N</v>
      </c>
      <c r="G54" s="12"/>
      <c r="H54" s="12" t="str">
        <f>if(vlookup(F:F,'ILC1211'!$B57:G8496,5,false)="","Y","N")</f>
        <v>#N/A</v>
      </c>
      <c r="I54" s="12" t="str">
        <f>if(vlookup(B:B,'ILC1404'!B57:F8219,5,false)="","Y","N")</f>
        <v>N</v>
      </c>
      <c r="J54" s="12"/>
      <c r="K54" s="12"/>
      <c r="L54" s="12" t="str">
        <f>if(vlookup(B:B,'ILC2303'!B57:F8496,5,false)="","Y","N")</f>
        <v>N</v>
      </c>
      <c r="M54" s="12" t="str">
        <f>if(vlookup(B:B,'ILC2307'!B57:F9012,5,false)="","Y","N")</f>
        <v>N</v>
      </c>
      <c r="N54" s="12" t="str">
        <f>if(vlookup(B:B,'ILC2313'!B57:F8651,5,false)="","Y","N")</f>
        <v>Y</v>
      </c>
      <c r="O54" s="12" t="str">
        <f>if(vlookup(B:B,'ILC2412'!B57:F8496,5,false)="","Y","N")</f>
        <v>N</v>
      </c>
      <c r="P54" s="12" t="str">
        <f>if(vlookup(B:B,'ILC2413'!B57:F8994,5,false)="","Y","N")</f>
        <v>N</v>
      </c>
      <c r="Q54" s="12" t="str">
        <f>if(vlookup(B:B,'ILC3104'!B57:F8539,5,false)="","Y","N")</f>
        <v>N</v>
      </c>
      <c r="R54" s="12"/>
      <c r="S54" s="12" t="str">
        <f>if(vlookup(B:B,'ILC3312'!B57:F8496,5,false)="","Y","N")</f>
        <v>N</v>
      </c>
      <c r="T54" s="12" t="str">
        <f t="shared" si="10"/>
        <v>#REF!</v>
      </c>
      <c r="U54" s="12" t="str">
        <f t="shared" si="11"/>
        <v>#REF!</v>
      </c>
      <c r="V54" s="12" t="str">
        <f t="shared" si="12"/>
        <v>#REF!</v>
      </c>
      <c r="W54" s="12" t="str">
        <f>if(vlookup(B:B,'ILC4410'!B57:F8663,5,false)="","Y","N")</f>
        <v>N</v>
      </c>
      <c r="X54" s="12" t="str">
        <f>if(vlookup(B:B,'JBV455'!B57:F9003,5,false)="","Y","N")</f>
        <v>N</v>
      </c>
      <c r="Y54" s="12" t="str">
        <f>if(vlookup(B:B,'JBV462'!B57:F8496,5,false)="","Y","N")</f>
        <v>N</v>
      </c>
      <c r="Z54" s="12" t="str">
        <f>if(vlookup(B:B,'JBV464'!$B57:F8496,5,false)="",if(vlookup(B:B,'JBV462'!$B57:F8496,5,false)="",if(vlookup(B:B,'JBV462&amp;464'!$B57:F8496,5,false)="","Y","N"),"N"),"N")</f>
        <v>N</v>
      </c>
      <c r="AA54" s="12"/>
      <c r="AB54" s="76"/>
    </row>
    <row r="55" hidden="1">
      <c r="A55" s="67" t="str">
        <f t="shared" si="2"/>
        <v>Mon</v>
      </c>
      <c r="B55" s="69">
        <v>43500.0</v>
      </c>
      <c r="C55" s="12"/>
      <c r="D55" s="12"/>
      <c r="E55" s="12"/>
      <c r="F55" s="12" t="str">
        <f>if(vlookup(B:B,'ILC1211'!$B58:F8497,5,false)="","Y","N")</f>
        <v>N</v>
      </c>
      <c r="G55" s="12"/>
      <c r="H55" s="12" t="str">
        <f>if(vlookup(F:F,'ILC1211'!$B58:G8497,5,false)="","Y","N")</f>
        <v>#N/A</v>
      </c>
      <c r="I55" s="12" t="str">
        <f>if(vlookup(B:B,'ILC1404'!B58:F8220,5,false)="","Y","N")</f>
        <v>N</v>
      </c>
      <c r="J55" s="12"/>
      <c r="K55" s="12" t="str">
        <f>if(vlookup(B:B,'ILC2206'!B6:H370,5,false)="","Y","N")</f>
        <v>N</v>
      </c>
      <c r="L55" s="12" t="str">
        <f>if(vlookup(B:B,'ILC2303'!B58:F8497,5,false)="","Y","N")</f>
        <v>N</v>
      </c>
      <c r="M55" s="12" t="str">
        <f>if(vlookup(B:B,'ILC2307'!B58:F9013,5,false)="","Y","N")</f>
        <v>N</v>
      </c>
      <c r="N55" s="12" t="str">
        <f>if(vlookup(B:B,'ILC2313'!B58:F8652,5,false)="","Y","N")</f>
        <v>N</v>
      </c>
      <c r="O55" s="12" t="str">
        <f>if(vlookup(B:B,'ILC2412'!B58:F8497,5,false)="","Y","N")</f>
        <v>N</v>
      </c>
      <c r="P55" s="12" t="str">
        <f>if(vlookup(B:B,'ILC2413'!B58:F8995,5,false)="","Y","N")</f>
        <v>N</v>
      </c>
      <c r="Q55" s="12" t="str">
        <f>if(vlookup(B:B,'ILC3104'!B58:F8540,5,false)="","Y","N")</f>
        <v>N</v>
      </c>
      <c r="R55" s="12"/>
      <c r="S55" s="12" t="str">
        <f>if(vlookup(B:B,'ILC3312'!B58:F8497,5,false)="","Y","N")</f>
        <v>N</v>
      </c>
      <c r="T55" s="12" t="str">
        <f>if(vlookup(B:B,'ILC3413'!B27:F8422,5,false)="","Y","N")</f>
        <v>N</v>
      </c>
      <c r="U55" s="12" t="str">
        <f>if(vlookup(B:B,'ILC3415'!B55:F8447,5,false)="","Y","N")</f>
        <v>N</v>
      </c>
      <c r="V55" s="12" t="str">
        <f>if(vlookup(F:F,'ILC3415'!C55:G8447,5,false)="","Y","N")</f>
        <v>#N/A</v>
      </c>
      <c r="W55" s="12" t="str">
        <f>if(vlookup(B:B,'ILC4410'!B58:F8664,5,false)="","Y","N")</f>
        <v>N</v>
      </c>
      <c r="X55" s="12" t="str">
        <f>if(vlookup(B:B,'JBV455'!B58:F9004,5,false)="","Y","N")</f>
        <v>N</v>
      </c>
      <c r="Y55" s="12" t="str">
        <f>if(vlookup(B:B,'JBV462'!B58:F8497,5,false)="","Y","N")</f>
        <v>N</v>
      </c>
      <c r="Z55" s="12" t="str">
        <f>if(vlookup(B:B,'JBV464'!B58:F8497,5,false)="","Y","N")</f>
        <v>N</v>
      </c>
      <c r="AA55" s="12"/>
      <c r="AB55" s="76"/>
    </row>
    <row r="56" hidden="1">
      <c r="A56" s="67" t="str">
        <f t="shared" si="2"/>
        <v>Tue</v>
      </c>
      <c r="B56" s="69">
        <v>43501.0</v>
      </c>
      <c r="C56" s="12"/>
      <c r="D56" s="12"/>
      <c r="E56" s="12"/>
      <c r="F56" s="12" t="str">
        <f>if(vlookup(B:B,'ILC1211'!$B59:F8498,5,false)="","Y","N")</f>
        <v>N</v>
      </c>
      <c r="G56" s="12"/>
      <c r="H56" s="12" t="str">
        <f>if(vlookup(F:F,'ILC1211'!$B59:G8498,5,false)="","Y","N")</f>
        <v>#N/A</v>
      </c>
      <c r="I56" s="12" t="str">
        <f>if(vlookup(B:B,'ILC1404'!B59:F8221,5,false)="","Y","N")</f>
        <v>N</v>
      </c>
      <c r="J56" s="12"/>
      <c r="K56" s="12" t="str">
        <f>if(vlookup(B:B,'ILC2206'!B7:H370,5,false)="","Y","N")</f>
        <v>N</v>
      </c>
      <c r="L56" s="12" t="str">
        <f>if(vlookup(B:B,'ILC2303'!B59:F8498,5,false)="","Y","N")</f>
        <v>N</v>
      </c>
      <c r="M56" s="12" t="str">
        <f>if(vlookup(B:B,'ILC2307'!B59:F9014,5,false)="","Y","N")</f>
        <v>N</v>
      </c>
      <c r="N56" s="12" t="str">
        <f>if(vlookup(B:B,'ILC2313'!B59:F8653,5,false)="","Y","N")</f>
        <v>N</v>
      </c>
      <c r="O56" s="12" t="str">
        <f>if(vlookup(B:B,'ILC2412'!B59:F8498,5,false)="","Y","N")</f>
        <v>N</v>
      </c>
      <c r="P56" s="12" t="str">
        <f>if(vlookup(B:B,'ILC2413'!B59:F8996,5,false)="","Y","N")</f>
        <v>N</v>
      </c>
      <c r="Q56" s="12" t="str">
        <f>if(vlookup(B:B,'ILC3104'!B59:F8541,5,false)="","Y","N")</f>
        <v>N</v>
      </c>
      <c r="R56" s="12"/>
      <c r="S56" s="12" t="str">
        <f>if(vlookup(B:B,'ILC3312'!B59:F8498,5,false)="","Y","N")</f>
        <v>N</v>
      </c>
      <c r="T56" s="12" t="str">
        <f>if(vlookup(B:B,'ILC3413'!B28:F8423,5,false)="","Y","N")</f>
        <v>N</v>
      </c>
      <c r="U56" s="12" t="str">
        <f>if(vlookup(B:B,'ILC3415'!B56:F8448,5,false)="","Y","N")</f>
        <v>N</v>
      </c>
      <c r="V56" s="12" t="str">
        <f>if(vlookup(F:F,'ILC3415'!C56:G8448,5,false)="","Y","N")</f>
        <v>#N/A</v>
      </c>
      <c r="W56" s="12" t="str">
        <f>if(vlookup(B:B,'ILC4410'!B59:F8665,5,false)="","Y","N")</f>
        <v>N</v>
      </c>
      <c r="X56" s="12" t="str">
        <f>if(vlookup(B:B,'JBV455'!B59:F9005,5,false)="","Y","N")</f>
        <v>N</v>
      </c>
      <c r="Y56" s="12" t="str">
        <f>if(vlookup(B:B,'JBV462'!B59:F8498,5,false)="","Y","N")</f>
        <v>N</v>
      </c>
      <c r="Z56" s="12" t="str">
        <f>if(vlookup(B:B,'JBV464'!B59:F8498,5,false)="","Y","N")</f>
        <v>N</v>
      </c>
      <c r="AA56" s="12"/>
      <c r="AB56" s="76"/>
    </row>
    <row r="57" hidden="1">
      <c r="A57" s="67" t="str">
        <f t="shared" si="2"/>
        <v>Wed</v>
      </c>
      <c r="B57" s="69">
        <v>43502.0</v>
      </c>
      <c r="C57" s="12"/>
      <c r="D57" s="12"/>
      <c r="E57" s="12"/>
      <c r="F57" s="12" t="str">
        <f>if(vlookup(B:B,'ILC1211'!$B60:F8499,5,false)="","Y","N")</f>
        <v>N</v>
      </c>
      <c r="G57" s="12"/>
      <c r="H57" s="12" t="str">
        <f>if(vlookup(F:F,'ILC1211'!$B60:G8499,5,false)="","Y","N")</f>
        <v>#N/A</v>
      </c>
      <c r="I57" s="12" t="str">
        <f>if(vlookup(B:B,'ILC1404'!B60:F8222,5,false)="","Y","N")</f>
        <v>N</v>
      </c>
      <c r="J57" s="12"/>
      <c r="K57" s="12" t="str">
        <f>if(vlookup(B:B,'ILC2206'!B8:H370,5,false)="","Y","N")</f>
        <v>N</v>
      </c>
      <c r="L57" s="12" t="str">
        <f>if(vlookup(B:B,'ILC2303'!B60:F8499,5,false)="","Y","N")</f>
        <v>N</v>
      </c>
      <c r="M57" s="12" t="str">
        <f>if(vlookup(B:B,'ILC2307'!B60:F9015,5,false)="","Y","N")</f>
        <v>N</v>
      </c>
      <c r="N57" s="12" t="str">
        <f>if(vlookup(B:B,'ILC2313'!B60:F8654,5,false)="","Y","N")</f>
        <v>N</v>
      </c>
      <c r="O57" s="12" t="str">
        <f>if(vlookup(B:B,'ILC2412'!B60:F8499,5,false)="","Y","N")</f>
        <v>N</v>
      </c>
      <c r="P57" s="12" t="str">
        <f>if(vlookup(B:B,'ILC2413'!B60:F8997,5,false)="","Y","N")</f>
        <v>N</v>
      </c>
      <c r="Q57" s="12" t="str">
        <f>if(vlookup(B:B,'ILC3104'!B60:F8542,5,false)="","Y","N")</f>
        <v>N</v>
      </c>
      <c r="R57" s="12"/>
      <c r="S57" s="12" t="str">
        <f>if(vlookup(B:B,'ILC3312'!B60:F8499,5,false)="","Y","N")</f>
        <v>N</v>
      </c>
      <c r="T57" s="12" t="str">
        <f>if(vlookup(B:B,'ILC3413'!B29:F8424,5,false)="","Y","N")</f>
        <v>N</v>
      </c>
      <c r="U57" s="12" t="str">
        <f>if(vlookup(B:B,'ILC3415'!B57:F8449,5,false)="","Y","N")</f>
        <v>N</v>
      </c>
      <c r="V57" s="12" t="str">
        <f>if(vlookup(F:F,'ILC3415'!C57:G8449,5,false)="","Y","N")</f>
        <v>#N/A</v>
      </c>
      <c r="W57" s="12" t="str">
        <f>if(vlookup(B:B,'ILC4410'!B60:F8666,5,false)="","Y","N")</f>
        <v>N</v>
      </c>
      <c r="X57" s="12" t="str">
        <f>if(vlookup(B:B,'JBV455'!B60:F9006,5,false)="","Y","N")</f>
        <v>N</v>
      </c>
      <c r="Y57" s="12" t="str">
        <f>if(vlookup(B:B,'JBV462'!B60:F8499,5,false)="","Y","N")</f>
        <v>N</v>
      </c>
      <c r="Z57" s="12" t="str">
        <f>if(vlookup(B:B,'JBV464'!B60:F8499,5,false)="","Y","N")</f>
        <v>N</v>
      </c>
      <c r="AA57" s="12"/>
      <c r="AB57" s="76"/>
    </row>
    <row r="58" hidden="1">
      <c r="A58" s="67" t="str">
        <f t="shared" si="2"/>
        <v>Thu</v>
      </c>
      <c r="B58" s="69">
        <v>43503.0</v>
      </c>
      <c r="C58" s="12"/>
      <c r="D58" s="12"/>
      <c r="E58" s="12"/>
      <c r="F58" s="12" t="str">
        <f>if(vlookup(B:B,'ILC1211'!$B61:F8500,5,false)="","Y","N")</f>
        <v>N</v>
      </c>
      <c r="G58" s="12"/>
      <c r="H58" s="12" t="str">
        <f>if(vlookup(F:F,'ILC1211'!$B61:G8500,5,false)="","Y","N")</f>
        <v>#N/A</v>
      </c>
      <c r="I58" s="12" t="str">
        <f>if(vlookup(B:B,'ILC1404'!B61:F8223,5,false)="","Y","N")</f>
        <v>N</v>
      </c>
      <c r="J58" s="12"/>
      <c r="K58" s="12" t="str">
        <f>if(vlookup(B:B,'ILC2206'!B9:H370,5,false)="","Y","N")</f>
        <v>N</v>
      </c>
      <c r="L58" s="12" t="str">
        <f>if(vlookup(B:B,'ILC2303'!B61:F8500,5,false)="","Y","N")</f>
        <v>N</v>
      </c>
      <c r="M58" s="12" t="str">
        <f>if(vlookup(B:B,'ILC2307'!B61:F9016,5,false)="","Y","N")</f>
        <v>N</v>
      </c>
      <c r="N58" s="12" t="str">
        <f>if(vlookup(B:B,'ILC2313'!B61:F8655,5,false)="","Y","N")</f>
        <v>N</v>
      </c>
      <c r="O58" s="12" t="str">
        <f>if(vlookup(B:B,'ILC2412'!B61:F8500,5,false)="","Y","N")</f>
        <v>N</v>
      </c>
      <c r="P58" s="12" t="str">
        <f>if(vlookup(B:B,'ILC2413'!B61:F8998,5,false)="","Y","N")</f>
        <v>N</v>
      </c>
      <c r="Q58" s="12" t="str">
        <f>if(vlookup(B:B,'ILC3104'!B61:F8543,5,false)="","Y","N")</f>
        <v>N</v>
      </c>
      <c r="R58" s="12"/>
      <c r="S58" s="12" t="str">
        <f>if(vlookup(B:B,'ILC3312'!B61:F8500,5,false)="","Y","N")</f>
        <v>N</v>
      </c>
      <c r="T58" s="12" t="str">
        <f>if(vlookup(B:B,'ILC3413'!B30:F8425,5,false)="","Y","N")</f>
        <v>N</v>
      </c>
      <c r="U58" s="12" t="str">
        <f>if(vlookup(B:B,'ILC3415'!B58:F8450,5,false)="","Y","N")</f>
        <v>N</v>
      </c>
      <c r="V58" s="12" t="str">
        <f>if(vlookup(F:F,'ILC3415'!C58:G8450,5,false)="","Y","N")</f>
        <v>#N/A</v>
      </c>
      <c r="W58" s="12" t="str">
        <f>if(vlookup(B:B,'ILC4410'!B61:F8667,5,false)="","Y","N")</f>
        <v>N</v>
      </c>
      <c r="X58" s="12" t="str">
        <f>if(vlookup(B:B,'JBV455'!B61:F9007,5,false)="","Y","N")</f>
        <v>N</v>
      </c>
      <c r="Y58" s="12" t="str">
        <f>if(vlookup(B:B,'JBV462'!B61:F8500,5,false)="","Y","N")</f>
        <v>N</v>
      </c>
      <c r="Z58" s="12" t="str">
        <f>if(vlookup(B:B,'JBV464'!B61:F8500,5,false)="","Y","N")</f>
        <v>N</v>
      </c>
      <c r="AA58" s="12"/>
      <c r="AB58" s="76"/>
    </row>
    <row r="59" hidden="1">
      <c r="A59" s="67" t="str">
        <f t="shared" si="2"/>
        <v>Fri</v>
      </c>
      <c r="B59" s="69">
        <v>43504.0</v>
      </c>
      <c r="C59" s="12"/>
      <c r="D59" s="12"/>
      <c r="E59" s="12"/>
      <c r="F59" s="12" t="str">
        <f>if(vlookup(B:B,'ILC1211'!$B62:F8501,5,false)="","Y","N")</f>
        <v>N</v>
      </c>
      <c r="G59" s="12"/>
      <c r="H59" s="12" t="str">
        <f>if(vlookup(F:F,'ILC1211'!$B62:G8501,5,false)="","Y","N")</f>
        <v>#N/A</v>
      </c>
      <c r="I59" s="12" t="str">
        <f>if(vlookup(B:B,'ILC1404'!B62:F8224,5,false)="","Y","N")</f>
        <v>N</v>
      </c>
      <c r="J59" s="12"/>
      <c r="K59" s="12" t="str">
        <f>if(vlookup(B:B,'ILC2206'!B10:H370,5,false)="","Y","N")</f>
        <v>N</v>
      </c>
      <c r="L59" s="12" t="str">
        <f>if(vlookup(B:B,'ILC2303'!B62:F8501,5,false)="","Y","N")</f>
        <v>N</v>
      </c>
      <c r="M59" s="12" t="str">
        <f>if(vlookup(B:B,'ILC2307'!B62:F9017,5,false)="","Y","N")</f>
        <v>N</v>
      </c>
      <c r="N59" s="12" t="str">
        <f>if(vlookup(B:B,'ILC2313'!B62:F8656,5,false)="","Y","N")</f>
        <v>N</v>
      </c>
      <c r="O59" s="12" t="str">
        <f>if(vlookup(B:B,'ILC2412'!B62:F8501,5,false)="","Y","N")</f>
        <v>N</v>
      </c>
      <c r="P59" s="12" t="str">
        <f>if(vlookup(B:B,'ILC2413'!B62:F8999,5,false)="","Y","N")</f>
        <v>N</v>
      </c>
      <c r="Q59" s="12" t="str">
        <f>if(vlookup(B:B,'ILC3104'!B62:F8544,5,false)="","Y","N")</f>
        <v>N</v>
      </c>
      <c r="R59" s="12"/>
      <c r="S59" s="12" t="str">
        <f>if(vlookup(B:B,'ILC3312'!B62:F8501,5,false)="","Y","N")</f>
        <v>N</v>
      </c>
      <c r="T59" s="12" t="str">
        <f>if(vlookup(B:B,'ILC3413'!B31:F8426,5,false)="","Y","N")</f>
        <v>N</v>
      </c>
      <c r="U59" s="12" t="str">
        <f>if(vlookup(B:B,'ILC3415'!B59:F8451,5,false)="","Y","N")</f>
        <v>N</v>
      </c>
      <c r="V59" s="12" t="str">
        <f>if(vlookup(F:F,'ILC3415'!C59:G8451,5,false)="","Y","N")</f>
        <v>#N/A</v>
      </c>
      <c r="W59" s="12" t="str">
        <f>if(vlookup(B:B,'ILC4410'!B62:F8668,5,false)="","Y","N")</f>
        <v>N</v>
      </c>
      <c r="X59" s="12" t="str">
        <f>if(vlookup(B:B,'JBV455'!B62:F9008,5,false)="","Y","N")</f>
        <v>N</v>
      </c>
      <c r="Y59" s="12" t="str">
        <f>if(vlookup(B:B,'JBV462'!B62:F8501,5,false)="","Y","N")</f>
        <v>N</v>
      </c>
      <c r="Z59" s="12" t="str">
        <f>if(vlookup(B:B,'JBV464'!B62:F8501,5,false)="","Y","N")</f>
        <v>N</v>
      </c>
      <c r="AA59" s="12"/>
      <c r="AB59" s="76"/>
    </row>
    <row r="60" hidden="1">
      <c r="A60" s="67" t="str">
        <f t="shared" si="2"/>
        <v>Sat</v>
      </c>
      <c r="B60" s="69">
        <v>43505.0</v>
      </c>
      <c r="C60" s="12"/>
      <c r="D60" s="12"/>
      <c r="E60" s="12"/>
      <c r="F60" s="12" t="str">
        <f>if(vlookup(B:B,'ILC1211'!$B63:F8502,5,false)="","Y","N")</f>
        <v>N</v>
      </c>
      <c r="G60" s="12"/>
      <c r="H60" s="12" t="str">
        <f>if(vlookup(F:F,'ILC1211'!$B63:G8502,5,false)="","Y","N")</f>
        <v>#N/A</v>
      </c>
      <c r="I60" s="12" t="str">
        <f>if(vlookup(B:B,'ILC1404'!B63:F8225,5,false)="","Y","N")</f>
        <v>N</v>
      </c>
      <c r="J60" s="12"/>
      <c r="K60" s="12" t="str">
        <f>if(vlookup(B:B,'ILC2206'!B11:H370,5,false)="","Y","N")</f>
        <v>N</v>
      </c>
      <c r="L60" s="12" t="str">
        <f>if(vlookup(B:B,'ILC2303'!B63:F8502,5,false)="","Y","N")</f>
        <v>N</v>
      </c>
      <c r="M60" s="12" t="str">
        <f>if(vlookup(B:B,'ILC2307'!B63:F9018,5,false)="","Y","N")</f>
        <v>N</v>
      </c>
      <c r="N60" s="12" t="str">
        <f>if(vlookup(B:B,'ILC2313'!B63:F8657,5,false)="","Y","N")</f>
        <v>N</v>
      </c>
      <c r="O60" s="12" t="str">
        <f>if(vlookup(B:B,'ILC2412'!B63:F8502,5,false)="","Y","N")</f>
        <v>N</v>
      </c>
      <c r="P60" s="12" t="str">
        <f>if(vlookup(B:B,'ILC2413'!B63:F9000,5,false)="","Y","N")</f>
        <v>N</v>
      </c>
      <c r="Q60" s="12" t="str">
        <f>if(vlookup(B:B,'ILC3104'!B63:F8545,5,false)="","Y","N")</f>
        <v>N</v>
      </c>
      <c r="R60" s="12"/>
      <c r="S60" s="12" t="str">
        <f>if(vlookup(B:B,'ILC3312'!B63:F8502,5,false)="","Y","N")</f>
        <v>N</v>
      </c>
      <c r="T60" s="12" t="str">
        <f>if(vlookup(B:B,'ILC3413'!B32:F8427,5,false)="","Y","N")</f>
        <v>N</v>
      </c>
      <c r="U60" s="12" t="str">
        <f>if(vlookup(B:B,'ILC3415'!B60:F8452,5,false)="","Y","N")</f>
        <v>N</v>
      </c>
      <c r="V60" s="12" t="str">
        <f>if(vlookup(F:F,'ILC3415'!C60:G8452,5,false)="","Y","N")</f>
        <v>#N/A</v>
      </c>
      <c r="W60" s="12" t="str">
        <f>if(vlookup(B:B,'ILC4410'!B63:F8669,5,false)="","Y","N")</f>
        <v>N</v>
      </c>
      <c r="X60" s="12" t="str">
        <f>if(vlookup(B:B,'JBV455'!B63:F9009,5,false)="","Y","N")</f>
        <v>N</v>
      </c>
      <c r="Y60" s="12" t="str">
        <f>if(vlookup(B:B,'JBV462'!B63:F8502,5,false)="","Y","N")</f>
        <v>N</v>
      </c>
      <c r="Z60" s="12" t="str">
        <f>if(vlookup(B:B,'JBV464'!B63:F8502,5,false)="","Y","N")</f>
        <v>N</v>
      </c>
      <c r="AA60" s="12"/>
      <c r="AB60" s="76"/>
    </row>
    <row r="61" hidden="1">
      <c r="A61" s="67" t="str">
        <f t="shared" si="2"/>
        <v>Sun</v>
      </c>
      <c r="B61" s="69">
        <v>43506.0</v>
      </c>
      <c r="C61" s="12"/>
      <c r="D61" s="12"/>
      <c r="E61" s="12"/>
      <c r="F61" s="12" t="str">
        <f>if(vlookup(B:B,'ILC1211'!$B64:F8503,5,false)="","Y","N")</f>
        <v>N</v>
      </c>
      <c r="G61" s="12"/>
      <c r="H61" s="12" t="str">
        <f>if(vlookup(F:F,'ILC1211'!$B64:G8503,5,false)="","Y","N")</f>
        <v>#N/A</v>
      </c>
      <c r="I61" s="12" t="str">
        <f>if(vlookup(B:B,'ILC1404'!B64:F8226,5,false)="","Y","N")</f>
        <v>N</v>
      </c>
      <c r="J61" s="12"/>
      <c r="K61" s="12" t="str">
        <f>if(vlookup(B:B,'ILC2206'!B12:H370,5,false)="","Y","N")</f>
        <v>N</v>
      </c>
      <c r="L61" s="12" t="str">
        <f>if(vlookup(B:B,'ILC2303'!B64:F8503,5,false)="","Y","N")</f>
        <v>N</v>
      </c>
      <c r="M61" s="12" t="str">
        <f>if(vlookup(B:B,'ILC2307'!B64:F9019,5,false)="","Y","N")</f>
        <v>N</v>
      </c>
      <c r="N61" s="12" t="str">
        <f>if(vlookup(B:B,'ILC2313'!B64:F8658,5,false)="","Y","N")</f>
        <v>N</v>
      </c>
      <c r="O61" s="12" t="str">
        <f>if(vlookup(B:B,'ILC2412'!B64:F8503,5,false)="","Y","N")</f>
        <v>N</v>
      </c>
      <c r="P61" s="12" t="str">
        <f>if(vlookup(B:B,'ILC2413'!B64:F9001,5,false)="","Y","N")</f>
        <v>N</v>
      </c>
      <c r="Q61" s="12" t="str">
        <f>if(vlookup(B:B,'ILC3104'!B64:F8546,5,false)="","Y","N")</f>
        <v>N</v>
      </c>
      <c r="R61" s="12"/>
      <c r="S61" s="12" t="str">
        <f>if(vlookup(B:B,'ILC3312'!B64:F8503,5,false)="","Y","N")</f>
        <v>N</v>
      </c>
      <c r="T61" s="12" t="str">
        <f>if(vlookup(B:B,'ILC3413'!B33:F8428,5,false)="","Y","N")</f>
        <v>N</v>
      </c>
      <c r="U61" s="12" t="str">
        <f>if(vlookup(B:B,'ILC3415'!B61:F8453,5,false)="","Y","N")</f>
        <v>N</v>
      </c>
      <c r="V61" s="12" t="str">
        <f>if(vlookup(F:F,'ILC3415'!C61:G8453,5,false)="","Y","N")</f>
        <v>#N/A</v>
      </c>
      <c r="W61" s="12" t="str">
        <f>if(vlookup(B:B,'ILC4410'!B64:F8670,5,false)="","Y","N")</f>
        <v>N</v>
      </c>
      <c r="X61" s="12" t="str">
        <f>if(vlookup(B:B,'JBV455'!B64:F9010,5,false)="","Y","N")</f>
        <v>N</v>
      </c>
      <c r="Y61" s="12" t="str">
        <f>if(vlookup(B:B,'JBV462'!B64:F8503,5,false)="","Y","N")</f>
        <v>N</v>
      </c>
      <c r="Z61" s="12" t="str">
        <f>if(vlookup(B:B,'JBV464'!B64:F8503,5,false)="","Y","N")</f>
        <v>N</v>
      </c>
      <c r="AA61" s="12"/>
      <c r="AB61" s="76"/>
    </row>
    <row r="62" hidden="1">
      <c r="A62" s="67" t="str">
        <f t="shared" si="2"/>
        <v>Mon</v>
      </c>
      <c r="B62" s="69">
        <v>43507.0</v>
      </c>
      <c r="C62" s="12"/>
      <c r="D62" s="12"/>
      <c r="E62" s="12"/>
      <c r="F62" s="12" t="str">
        <f>if(vlookup(B:B,'ILC1211'!$B65:F8504,5,false)="","Y","N")</f>
        <v>N</v>
      </c>
      <c r="G62" s="12"/>
      <c r="H62" s="12" t="str">
        <f>if(vlookup(F:F,'ILC1211'!$B65:G8504,5,false)="","Y","N")</f>
        <v>#N/A</v>
      </c>
      <c r="I62" s="12" t="str">
        <f>if(vlookup(B:B,'ILC1404'!B65:F8227,5,false)="","Y","N")</f>
        <v>N</v>
      </c>
      <c r="J62" s="12"/>
      <c r="K62" s="12" t="str">
        <f>if(vlookup(B:B,'ILC2206'!B13:H370,5,false)="","Y","N")</f>
        <v>N</v>
      </c>
      <c r="L62" s="12" t="str">
        <f>if(vlookup(B:B,'ILC2303'!B65:F8504,5,false)="","Y","N")</f>
        <v>N</v>
      </c>
      <c r="M62" s="12" t="str">
        <f>if(vlookup(B:B,'ILC2307'!B65:F9020,5,false)="","Y","N")</f>
        <v>N</v>
      </c>
      <c r="N62" s="12" t="str">
        <f>if(vlookup(B:B,'ILC2313'!B65:F8659,5,false)="","Y","N")</f>
        <v>N</v>
      </c>
      <c r="O62" s="12" t="str">
        <f>if(vlookup(B:B,'ILC2412'!B65:F8504,5,false)="","Y","N")</f>
        <v>N</v>
      </c>
      <c r="P62" s="12" t="str">
        <f>if(vlookup(B:B,'ILC2413'!B65:F9002,5,false)="","Y","N")</f>
        <v>N</v>
      </c>
      <c r="Q62" s="12" t="str">
        <f>if(vlookup(B:B,'ILC3104'!B65:F8547,5,false)="","Y","N")</f>
        <v>N</v>
      </c>
      <c r="R62" s="12"/>
      <c r="S62" s="12" t="str">
        <f>if(vlookup(B:B,'ILC3312'!B65:F8504,5,false)="","Y","N")</f>
        <v>N</v>
      </c>
      <c r="T62" s="12" t="str">
        <f>if(vlookup(B:B,'ILC3413'!B34:F8429,5,false)="","Y","N")</f>
        <v>N</v>
      </c>
      <c r="U62" s="12" t="str">
        <f>if(vlookup(B:B,'ILC3415'!B62:F8454,5,false)="","Y","N")</f>
        <v>N</v>
      </c>
      <c r="V62" s="12" t="str">
        <f>if(vlookup(F:F,'ILC3415'!C62:G8454,5,false)="","Y","N")</f>
        <v>#N/A</v>
      </c>
      <c r="W62" s="12" t="str">
        <f>if(vlookup(B:B,'ILC4410'!B65:F8671,5,false)="","Y","N")</f>
        <v>N</v>
      </c>
      <c r="X62" s="12" t="str">
        <f>if(vlookup(B:B,'JBV455'!B65:F9011,5,false)="","Y","N")</f>
        <v>N</v>
      </c>
      <c r="Y62" s="12" t="str">
        <f>if(vlookup(B:B,'JBV462'!B65:F8504,5,false)="","Y","N")</f>
        <v>Y</v>
      </c>
      <c r="Z62" s="12" t="str">
        <f>if(vlookup(B:B,'JBV464'!B65:F8504,5,false)="","Y","N")</f>
        <v>N</v>
      </c>
      <c r="AA62" s="12"/>
      <c r="AB62" s="76"/>
    </row>
    <row r="63" hidden="1">
      <c r="A63" s="67" t="str">
        <f t="shared" si="2"/>
        <v>Tue</v>
      </c>
      <c r="B63" s="69">
        <v>43508.0</v>
      </c>
      <c r="C63" s="12"/>
      <c r="D63" s="12"/>
      <c r="E63" s="12"/>
      <c r="F63" s="12" t="str">
        <f>if(vlookup(B:B,'ILC1211'!$B66:F8505,5,false)="","Y","N")</f>
        <v>N</v>
      </c>
      <c r="G63" s="12"/>
      <c r="H63" s="12" t="str">
        <f>if(vlookup(F:F,'ILC1211'!$B66:G8505,5,false)="","Y","N")</f>
        <v>#N/A</v>
      </c>
      <c r="I63" s="12" t="str">
        <f>if(vlookup(B:B,'ILC1404'!B66:F8228,5,false)="","Y","N")</f>
        <v>N</v>
      </c>
      <c r="J63" s="12"/>
      <c r="K63" s="12" t="str">
        <f>if(vlookup(B:B,'ILC2206'!B14:H370,5,false)="","Y","N")</f>
        <v>N</v>
      </c>
      <c r="L63" s="12" t="str">
        <f>if(vlookup(B:B,'ILC2303'!B66:F8505,5,false)="","Y","N")</f>
        <v>N</v>
      </c>
      <c r="M63" s="12" t="str">
        <f>if(vlookup(B:B,'ILC2307'!B66:F9021,5,false)="","Y","N")</f>
        <v>N</v>
      </c>
      <c r="N63" s="12" t="str">
        <f>if(vlookup(B:B,'ILC2313'!B66:F8660,5,false)="","Y","N")</f>
        <v>N</v>
      </c>
      <c r="O63" s="12" t="str">
        <f>if(vlookup(B:B,'ILC2412'!B66:F8505,5,false)="","Y","N")</f>
        <v>N</v>
      </c>
      <c r="P63" s="12" t="str">
        <f>if(vlookup(B:B,'ILC2413'!B66:F9003,5,false)="","Y","N")</f>
        <v>N</v>
      </c>
      <c r="Q63" s="12" t="str">
        <f>if(vlookup(B:B,'ILC3104'!B66:F8548,5,false)="","Y","N")</f>
        <v>N</v>
      </c>
      <c r="R63" s="12"/>
      <c r="S63" s="12" t="str">
        <f>if(vlookup(B:B,'ILC3312'!B66:F8505,5,false)="","Y","N")</f>
        <v>N</v>
      </c>
      <c r="T63" s="12" t="str">
        <f>if(vlookup(B:B,'ILC3413'!B35:F8430,5,false)="","Y","N")</f>
        <v>N</v>
      </c>
      <c r="U63" s="12" t="str">
        <f>if(vlookup(B:B,'ILC3415'!B63:F8455,5,false)="","Y","N")</f>
        <v>N</v>
      </c>
      <c r="V63" s="12" t="str">
        <f>if(vlookup(F:F,'ILC3415'!C63:G8455,5,false)="","Y","N")</f>
        <v>#N/A</v>
      </c>
      <c r="W63" s="12" t="str">
        <f>if(vlookup(B:B,'ILC4410'!B66:F8672,5,false)="","Y","N")</f>
        <v>N</v>
      </c>
      <c r="X63" s="12" t="str">
        <f>if(vlookup(B:B,'JBV455'!B66:F9012,5,false)="","Y","N")</f>
        <v>N</v>
      </c>
      <c r="Y63" s="12" t="str">
        <f>if(vlookup(B:B,'JBV462'!B66:F8505,5,false)="","Y","N")</f>
        <v>N</v>
      </c>
      <c r="Z63" s="12" t="str">
        <f>if(vlookup(B:B,'JBV464'!B66:F8505,5,false)="","Y","N")</f>
        <v>N</v>
      </c>
      <c r="AA63" s="12"/>
      <c r="AB63" s="76"/>
    </row>
    <row r="64" hidden="1">
      <c r="A64" s="67" t="str">
        <f t="shared" si="2"/>
        <v>Wed</v>
      </c>
      <c r="B64" s="69">
        <v>43509.0</v>
      </c>
      <c r="C64" s="12"/>
      <c r="D64" s="12"/>
      <c r="E64" s="12"/>
      <c r="F64" s="12" t="str">
        <f>if(vlookup(B:B,'ILC1211'!$B67:F8506,5,false)="","Y","N")</f>
        <v>N</v>
      </c>
      <c r="G64" s="12"/>
      <c r="H64" s="12" t="str">
        <f>if(vlookup(F:F,'ILC1211'!$B67:G8506,5,false)="","Y","N")</f>
        <v>#N/A</v>
      </c>
      <c r="I64" s="12" t="str">
        <f>if(vlookup(B:B,'ILC1404'!B67:F8229,5,false)="","Y","N")</f>
        <v>N</v>
      </c>
      <c r="J64" s="12"/>
      <c r="K64" s="12" t="str">
        <f>if(vlookup(B:B,'ILC2206'!B15:H370,5,false)="","Y","N")</f>
        <v>N</v>
      </c>
      <c r="L64" s="12" t="str">
        <f>if(vlookup(B:B,'ILC2303'!B67:F8506,5,false)="","Y","N")</f>
        <v>N</v>
      </c>
      <c r="M64" s="12" t="str">
        <f>if(vlookup(B:B,'ILC2307'!B67:F9022,5,false)="","Y","N")</f>
        <v>N</v>
      </c>
      <c r="N64" s="12" t="str">
        <f>if(vlookup(B:B,'ILC2313'!B67:F8661,5,false)="","Y","N")</f>
        <v>N</v>
      </c>
      <c r="O64" s="12" t="str">
        <f>if(vlookup(B:B,'ILC2412'!B67:F8506,5,false)="","Y","N")</f>
        <v>N</v>
      </c>
      <c r="P64" s="12" t="str">
        <f>if(vlookup(B:B,'ILC2413'!B67:F9004,5,false)="","Y","N")</f>
        <v>N</v>
      </c>
      <c r="Q64" s="12" t="str">
        <f>if(vlookup(B:B,'ILC3104'!B67:F8549,5,false)="","Y","N")</f>
        <v>N</v>
      </c>
      <c r="R64" s="12"/>
      <c r="S64" s="12" t="str">
        <f>if(vlookup(B:B,'ILC3312'!B67:F8506,5,false)="","Y","N")</f>
        <v>N</v>
      </c>
      <c r="T64" s="12" t="str">
        <f>if(vlookup(B:B,'ILC3413'!B36:F8431,5,false)="","Y","N")</f>
        <v>N</v>
      </c>
      <c r="U64" s="12" t="str">
        <f>if(vlookup(B:B,'ILC3415'!B64:F8456,5,false)="","Y","N")</f>
        <v>N</v>
      </c>
      <c r="V64" s="12" t="str">
        <f>if(vlookup(F:F,'ILC3415'!C64:G8456,5,false)="","Y","N")</f>
        <v>#N/A</v>
      </c>
      <c r="W64" s="12" t="str">
        <f>if(vlookup(B:B,'ILC4410'!B67:F8673,5,false)="","Y","N")</f>
        <v>N</v>
      </c>
      <c r="X64" s="12" t="str">
        <f>if(vlookup(B:B,'JBV455'!B67:F9013,5,false)="","Y","N")</f>
        <v>N</v>
      </c>
      <c r="Y64" s="12" t="str">
        <f>if(vlookup(B:B,'JBV462'!B67:F8506,5,false)="","Y","N")</f>
        <v>N</v>
      </c>
      <c r="Z64" s="12" t="str">
        <f>if(vlookup(B:B,'JBV464'!B67:F8506,5,false)="","Y","N")</f>
        <v>N</v>
      </c>
      <c r="AA64" s="12"/>
      <c r="AB64" s="76"/>
    </row>
    <row r="65" hidden="1">
      <c r="A65" s="67" t="str">
        <f t="shared" si="2"/>
        <v>Thu</v>
      </c>
      <c r="B65" s="69">
        <v>43510.0</v>
      </c>
      <c r="C65" s="12"/>
      <c r="D65" s="12"/>
      <c r="E65" s="12"/>
      <c r="F65" s="12" t="str">
        <f>if(vlookup(B:B,'ILC1211'!$B68:F8507,5,false)="","Y","N")</f>
        <v>N</v>
      </c>
      <c r="G65" s="12"/>
      <c r="H65" s="12" t="str">
        <f>if(vlookup(F:F,'ILC1211'!$B68:G8507,5,false)="","Y","N")</f>
        <v>#N/A</v>
      </c>
      <c r="I65" s="12" t="str">
        <f>if(vlookup(B:B,'ILC1404'!B68:F8230,5,false)="","Y","N")</f>
        <v>N</v>
      </c>
      <c r="J65" s="12"/>
      <c r="K65" s="12" t="str">
        <f>if(vlookup(B:B,'ILC2206'!B16:H370,5,false)="","Y","N")</f>
        <v>N</v>
      </c>
      <c r="L65" s="12" t="str">
        <f>if(vlookup(B:B,'ILC2303'!B68:F8507,5,false)="","Y","N")</f>
        <v>N</v>
      </c>
      <c r="M65" s="12" t="str">
        <f>if(vlookup(B:B,'ILC2307'!B68:F9023,5,false)="","Y","N")</f>
        <v>N</v>
      </c>
      <c r="N65" s="12" t="str">
        <f>if(vlookup(B:B,'ILC2313'!B68:F8662,5,false)="","Y","N")</f>
        <v>N</v>
      </c>
      <c r="O65" s="12" t="str">
        <f>if(vlookup(B:B,'ILC2412'!B68:F8507,5,false)="","Y","N")</f>
        <v>N</v>
      </c>
      <c r="P65" s="12" t="str">
        <f>if(vlookup(B:B,'ILC2413'!B68:F9005,5,false)="","Y","N")</f>
        <v>N</v>
      </c>
      <c r="Q65" s="12" t="str">
        <f>if(vlookup(B:B,'ILC3104'!B68:F8550,5,false)="","Y","N")</f>
        <v>N</v>
      </c>
      <c r="R65" s="12"/>
      <c r="S65" s="12" t="str">
        <f>if(vlookup(B:B,'ILC3312'!B68:F8507,5,false)="","Y","N")</f>
        <v>N</v>
      </c>
      <c r="T65" s="12" t="str">
        <f>if(vlookup(B:B,'ILC3413'!B37:F8432,5,false)="","Y","N")</f>
        <v>N</v>
      </c>
      <c r="U65" s="12" t="str">
        <f>if(vlookup(B:B,'ILC3415'!B65:F8457,5,false)="","Y","N")</f>
        <v>N</v>
      </c>
      <c r="V65" s="12" t="str">
        <f>if(vlookup(F:F,'ILC3415'!C65:G8457,5,false)="","Y","N")</f>
        <v>#N/A</v>
      </c>
      <c r="W65" s="12" t="str">
        <f>if(vlookup(B:B,'ILC4410'!B68:F8674,5,false)="","Y","N")</f>
        <v>N</v>
      </c>
      <c r="X65" s="12" t="str">
        <f>if(vlookup(B:B,'JBV455'!B68:F9014,5,false)="","Y","N")</f>
        <v>N</v>
      </c>
      <c r="Y65" s="12" t="str">
        <f>if(vlookup(B:B,'JBV462'!B68:F8507,5,false)="","Y","N")</f>
        <v>N</v>
      </c>
      <c r="Z65" s="12" t="str">
        <f>if(vlookup(B:B,'JBV464'!B68:F8507,5,false)="","Y","N")</f>
        <v>N</v>
      </c>
      <c r="AA65" s="12"/>
      <c r="AB65" s="76"/>
    </row>
    <row r="66" hidden="1">
      <c r="A66" s="67" t="str">
        <f t="shared" si="2"/>
        <v>Fri</v>
      </c>
      <c r="B66" s="69">
        <v>43511.0</v>
      </c>
      <c r="C66" s="12"/>
      <c r="D66" s="12"/>
      <c r="E66" s="12"/>
      <c r="F66" s="12" t="str">
        <f>if(vlookup(B:B,'ILC1211'!$B69:F8508,5,false)="","Y","N")</f>
        <v>N</v>
      </c>
      <c r="G66" s="12"/>
      <c r="H66" s="12" t="str">
        <f>if(vlookup(F:F,'ILC1211'!$B69:G8508,5,false)="","Y","N")</f>
        <v>#N/A</v>
      </c>
      <c r="I66" s="12" t="str">
        <f>if(vlookup(B:B,'ILC1404'!B69:F8231,5,false)="","Y","N")</f>
        <v>N</v>
      </c>
      <c r="J66" s="12"/>
      <c r="K66" s="12" t="str">
        <f>if(vlookup(B:B,'ILC2206'!B17:H370,5,false)="","Y","N")</f>
        <v>N</v>
      </c>
      <c r="L66" s="12" t="str">
        <f>if(vlookup(B:B,'ILC2303'!B69:F8508,5,false)="","Y","N")</f>
        <v>N</v>
      </c>
      <c r="M66" s="12" t="str">
        <f>if(vlookup(B:B,'ILC2307'!B69:F9024,5,false)="","Y","N")</f>
        <v>N</v>
      </c>
      <c r="N66" s="12" t="str">
        <f>if(vlookup(B:B,'ILC2313'!B69:F8663,5,false)="","Y","N")</f>
        <v>N</v>
      </c>
      <c r="O66" s="12" t="str">
        <f>if(vlookup(B:B,'ILC2412'!B69:F8508,5,false)="","Y","N")</f>
        <v>N</v>
      </c>
      <c r="P66" s="12" t="str">
        <f>if(vlookup(B:B,'ILC2413'!B69:F9006,5,false)="","Y","N")</f>
        <v>N</v>
      </c>
      <c r="Q66" s="12" t="str">
        <f>if(vlookup(B:B,'ILC3104'!B69:F8551,5,false)="","Y","N")</f>
        <v>N</v>
      </c>
      <c r="R66" s="12"/>
      <c r="S66" s="12" t="str">
        <f>if(vlookup(B:B,'ILC3312'!B69:F8508,5,false)="","Y","N")</f>
        <v>N</v>
      </c>
      <c r="T66" s="12" t="str">
        <f>if(vlookup(B:B,'ILC3413'!B38:F8433,5,false)="","Y","N")</f>
        <v>N</v>
      </c>
      <c r="U66" s="12" t="str">
        <f>if(vlookup(B:B,'ILC3415'!B66:F8458,5,false)="","Y","N")</f>
        <v>N</v>
      </c>
      <c r="V66" s="12" t="str">
        <f>if(vlookup(F:F,'ILC3415'!C66:G8458,5,false)="","Y","N")</f>
        <v>#N/A</v>
      </c>
      <c r="W66" s="12" t="str">
        <f>if(vlookup(B:B,'ILC4410'!B69:F8675,5,false)="","Y","N")</f>
        <v>N</v>
      </c>
      <c r="X66" s="12" t="str">
        <f>if(vlookup(B:B,'JBV455'!B69:F9015,5,false)="","Y","N")</f>
        <v>N</v>
      </c>
      <c r="Y66" s="12" t="str">
        <f>if(vlookup(B:B,'JBV462'!B69:F8508,5,false)="","Y","N")</f>
        <v>N</v>
      </c>
      <c r="Z66" s="12" t="str">
        <f>if(vlookup(B:B,'JBV464'!B69:F8508,5,false)="","Y","N")</f>
        <v>N</v>
      </c>
      <c r="AA66" s="12"/>
      <c r="AB66" s="76"/>
    </row>
    <row r="67" hidden="1">
      <c r="A67" s="67" t="str">
        <f t="shared" si="2"/>
        <v>Sat</v>
      </c>
      <c r="B67" s="69">
        <v>43512.0</v>
      </c>
      <c r="C67" s="12"/>
      <c r="D67" s="12"/>
      <c r="E67" s="12"/>
      <c r="F67" s="12" t="str">
        <f>if(vlookup(B:B,'ILC1211'!$B70:F8509,5,false)="","Y","N")</f>
        <v>N</v>
      </c>
      <c r="G67" s="12"/>
      <c r="H67" s="12" t="str">
        <f>if(vlookup(F:F,'ILC1211'!$B70:G8509,5,false)="","Y","N")</f>
        <v>#N/A</v>
      </c>
      <c r="I67" s="12" t="str">
        <f>if(vlookup(B:B,'ILC1404'!B70:F8232,5,false)="","Y","N")</f>
        <v>N</v>
      </c>
      <c r="J67" s="12"/>
      <c r="K67" s="12" t="str">
        <f>if(vlookup(B:B,'ILC2206'!B18:H370,5,false)="","Y","N")</f>
        <v>N</v>
      </c>
      <c r="L67" s="12" t="str">
        <f>if(vlookup(B:B,'ILC2303'!B70:F8509,5,false)="","Y","N")</f>
        <v>N</v>
      </c>
      <c r="M67" s="12" t="str">
        <f>if(vlookup(B:B,'ILC2307'!B70:F9025,5,false)="","Y","N")</f>
        <v>N</v>
      </c>
      <c r="N67" s="12" t="str">
        <f>if(vlookup(B:B,'ILC2313'!B70:F8664,5,false)="","Y","N")</f>
        <v>N</v>
      </c>
      <c r="O67" s="12" t="str">
        <f>if(vlookup(B:B,'ILC2412'!B70:F8509,5,false)="","Y","N")</f>
        <v>N</v>
      </c>
      <c r="P67" s="12" t="str">
        <f>if(vlookup(B:B,'ILC2413'!B70:F9007,5,false)="","Y","N")</f>
        <v>N</v>
      </c>
      <c r="Q67" s="12" t="str">
        <f>if(vlookup(B:B,'ILC3104'!B70:F8552,5,false)="","Y","N")</f>
        <v>N</v>
      </c>
      <c r="R67" s="12"/>
      <c r="S67" s="12" t="str">
        <f>if(vlookup(B:B,'ILC3312'!B70:F8509,5,false)="","Y","N")</f>
        <v>N</v>
      </c>
      <c r="T67" s="12" t="str">
        <f>if(vlookup(B:B,'ILC3413'!B39:F8434,5,false)="","Y","N")</f>
        <v>N</v>
      </c>
      <c r="U67" s="12" t="str">
        <f>if(vlookup(B:B,'ILC3415'!B67:F8459,5,false)="","Y","N")</f>
        <v>N</v>
      </c>
      <c r="V67" s="12" t="str">
        <f>if(vlookup(F:F,'ILC3415'!C67:G8459,5,false)="","Y","N")</f>
        <v>#N/A</v>
      </c>
      <c r="W67" s="12" t="str">
        <f>if(vlookup(B:B,'ILC4410'!B70:F8676,5,false)="","Y","N")</f>
        <v>N</v>
      </c>
      <c r="X67" s="12" t="str">
        <f>if(vlookup(B:B,'JBV455'!B70:F9016,5,false)="","Y","N")</f>
        <v>N</v>
      </c>
      <c r="Y67" s="12" t="str">
        <f>if(vlookup(B:B,'JBV462'!B70:F8509,5,false)="","Y","N")</f>
        <v>N</v>
      </c>
      <c r="Z67" s="12" t="str">
        <f>if(vlookup(B:B,'JBV464'!B70:F8509,5,false)="","Y","N")</f>
        <v>N</v>
      </c>
      <c r="AA67" s="12"/>
      <c r="AB67" s="76"/>
    </row>
    <row r="68" hidden="1">
      <c r="A68" s="67" t="str">
        <f t="shared" si="2"/>
        <v>Sun</v>
      </c>
      <c r="B68" s="69">
        <v>43513.0</v>
      </c>
      <c r="C68" s="12"/>
      <c r="D68" s="12"/>
      <c r="E68" s="12"/>
      <c r="F68" s="12" t="str">
        <f>if(vlookup(B:B,'ILC1211'!$B71:F8510,5,false)="","Y","N")</f>
        <v>N</v>
      </c>
      <c r="G68" s="12"/>
      <c r="H68" s="12" t="str">
        <f>if(vlookup(F:F,'ILC1211'!$B71:G8510,5,false)="","Y","N")</f>
        <v>#N/A</v>
      </c>
      <c r="I68" s="12" t="str">
        <f>if(vlookup(B:B,'ILC1404'!B71:F8233,5,false)="","Y","N")</f>
        <v>N</v>
      </c>
      <c r="J68" s="12"/>
      <c r="K68" s="12" t="str">
        <f>if(vlookup(B:B,'ILC2206'!B19:H370,5,false)="","Y","N")</f>
        <v>N</v>
      </c>
      <c r="L68" s="12" t="str">
        <f>if(vlookup(B:B,'ILC2303'!B71:F8510,5,false)="","Y","N")</f>
        <v>N</v>
      </c>
      <c r="M68" s="12" t="str">
        <f>if(vlookup(B:B,'ILC2307'!B71:F9026,5,false)="","Y","N")</f>
        <v>N</v>
      </c>
      <c r="N68" s="12" t="str">
        <f>if(vlookup(B:B,'ILC2313'!B71:F8665,5,false)="","Y","N")</f>
        <v>N</v>
      </c>
      <c r="O68" s="12" t="str">
        <f>if(vlookup(B:B,'ILC2412'!B71:F8510,5,false)="","Y","N")</f>
        <v>N</v>
      </c>
      <c r="P68" s="12" t="str">
        <f>if(vlookup(B:B,'ILC2413'!B71:F9008,5,false)="","Y","N")</f>
        <v>N</v>
      </c>
      <c r="Q68" s="12" t="str">
        <f>if(vlookup(B:B,'ILC3104'!B71:F8553,5,false)="","Y","N")</f>
        <v>N</v>
      </c>
      <c r="R68" s="12"/>
      <c r="S68" s="12" t="str">
        <f>if(vlookup(B:B,'ILC3312'!B71:F8510,5,false)="","Y","N")</f>
        <v>N</v>
      </c>
      <c r="T68" s="12" t="str">
        <f>if(vlookup(B:B,'ILC3413'!B40:F8435,5,false)="","Y","N")</f>
        <v>N</v>
      </c>
      <c r="U68" s="12" t="str">
        <f>if(vlookup(B:B,'ILC3415'!B68:F8460,5,false)="","Y","N")</f>
        <v>N</v>
      </c>
      <c r="V68" s="12" t="str">
        <f>if(vlookup(F:F,'ILC3415'!C68:G8460,5,false)="","Y","N")</f>
        <v>#N/A</v>
      </c>
      <c r="W68" s="12" t="str">
        <f>if(vlookup(B:B,'ILC4410'!B71:F8677,5,false)="","Y","N")</f>
        <v>N</v>
      </c>
      <c r="X68" s="12" t="str">
        <f>if(vlookup(B:B,'JBV455'!B71:F9017,5,false)="","Y","N")</f>
        <v>N</v>
      </c>
      <c r="Y68" s="12" t="str">
        <f>if(vlookup(B:B,'JBV462'!B71:F8510,5,false)="","Y","N")</f>
        <v>N</v>
      </c>
      <c r="Z68" s="12" t="str">
        <f>if(vlookup(B:B,'JBV464'!B71:F8510,5,false)="","Y","N")</f>
        <v>N</v>
      </c>
      <c r="AA68" s="12"/>
      <c r="AB68" s="76"/>
    </row>
    <row r="69" hidden="1">
      <c r="A69" s="67" t="str">
        <f t="shared" si="2"/>
        <v>Mon</v>
      </c>
      <c r="B69" s="69">
        <v>43514.0</v>
      </c>
      <c r="C69" s="12"/>
      <c r="D69" s="12"/>
      <c r="E69" s="12"/>
      <c r="F69" s="12" t="str">
        <f>if(vlookup(B:B,'ILC1211'!$B72:F8511,5,false)="","Y","N")</f>
        <v>N</v>
      </c>
      <c r="G69" s="12"/>
      <c r="H69" s="12" t="str">
        <f>if(vlookup(F:F,'ILC1211'!$B72:G8511,5,false)="","Y","N")</f>
        <v>#N/A</v>
      </c>
      <c r="I69" s="12" t="str">
        <f>if(vlookup(B:B,'ILC1404'!B72:F8234,5,false)="","Y","N")</f>
        <v>N</v>
      </c>
      <c r="J69" s="12" t="str">
        <f>if(vlookup(B:B,'ILC2203'!B72:F8234,5,false)="","Y","N")</f>
        <v>#N/A</v>
      </c>
      <c r="K69" s="12" t="str">
        <f>if(vlookup(B:B,'ILC2206'!B20:H370,5,false)="","Y","N")</f>
        <v>N</v>
      </c>
      <c r="L69" s="12" t="str">
        <f>if(vlookup(B:B,'ILC2303'!B72:F8511,5,false)="","Y","N")</f>
        <v>N</v>
      </c>
      <c r="M69" s="12" t="str">
        <f>if(vlookup(B:B,'ILC2307'!B72:F9027,5,false)="","Y","N")</f>
        <v>N</v>
      </c>
      <c r="N69" s="12" t="str">
        <f>if(vlookup(B:B,'ILC2313'!B72:F8666,5,false)="","Y","N")</f>
        <v>N</v>
      </c>
      <c r="O69" s="12" t="str">
        <f>if(vlookup(B:B,'ILC2412'!B72:F8511,5,false)="","Y","N")</f>
        <v>N</v>
      </c>
      <c r="P69" s="12" t="str">
        <f>if(vlookup(B:B,'ILC2413'!B72:F9009,5,false)="","Y","N")</f>
        <v>N</v>
      </c>
      <c r="Q69" s="12" t="str">
        <f>if(vlookup(B:B,'ILC3104'!B72:F8554,5,false)="","Y","N")</f>
        <v>N</v>
      </c>
      <c r="R69" s="12"/>
      <c r="S69" s="12" t="str">
        <f>if(vlookup(B:B,'ILC3312'!B72:F8511,5,false)="","Y","N")</f>
        <v>N</v>
      </c>
      <c r="T69" s="12" t="str">
        <f>if(vlookup(B:B,'ILC3413'!B41:F8436,5,false)="","Y","N")</f>
        <v>N</v>
      </c>
      <c r="U69" s="12" t="str">
        <f>if(vlookup(B:B,'ILC3415'!B69:F8461,5,false)="","Y","N")</f>
        <v>N</v>
      </c>
      <c r="V69" s="12" t="str">
        <f>if(vlookup(F:F,'ILC3415'!C69:G8461,5,false)="","Y","N")</f>
        <v>#N/A</v>
      </c>
      <c r="W69" s="12" t="str">
        <f>if(vlookup(B:B,'ILC4410'!B72:F8678,5,false)="","Y","N")</f>
        <v>N</v>
      </c>
      <c r="X69" s="12" t="str">
        <f>if(vlookup(B:B,'JBV455'!B72:F9018,5,false)="","Y","N")</f>
        <v>N</v>
      </c>
      <c r="Y69" s="12" t="str">
        <f>if(vlookup(B:B,'JBV462'!B72:F8511,5,false)="","Y","N")</f>
        <v>N</v>
      </c>
      <c r="Z69" s="12" t="str">
        <f>if(vlookup(B:B,'JBV464'!B72:F8511,5,false)="","Y","N")</f>
        <v>N</v>
      </c>
      <c r="AA69" s="12"/>
      <c r="AB69" s="76"/>
    </row>
    <row r="70" hidden="1">
      <c r="A70" s="67" t="str">
        <f t="shared" si="2"/>
        <v>Tue</v>
      </c>
      <c r="B70" s="69">
        <v>43515.0</v>
      </c>
      <c r="C70" s="12"/>
      <c r="D70" s="12"/>
      <c r="E70" s="12"/>
      <c r="F70" s="12" t="str">
        <f>if(vlookup(B:B,'ILC1211'!$B73:F8512,5,false)="","Y","N")</f>
        <v>N</v>
      </c>
      <c r="G70" s="12"/>
      <c r="H70" s="12" t="str">
        <f>if(vlookup(F:F,'ILC1211'!$B73:G8512,5,false)="","Y","N")</f>
        <v>#N/A</v>
      </c>
      <c r="I70" s="12" t="str">
        <f>if(vlookup(B:B,'ILC1404'!B73:F8235,5,false)="","Y","N")</f>
        <v>N</v>
      </c>
      <c r="J70" s="12"/>
      <c r="K70" s="12" t="str">
        <f>if(vlookup(B:B,'ILC2206'!B21:H370,5,false)="","Y","N")</f>
        <v>N</v>
      </c>
      <c r="L70" s="12" t="str">
        <f>if(vlookup(B:B,'ILC2303'!B73:F8512,5,false)="","Y","N")</f>
        <v>N</v>
      </c>
      <c r="M70" s="12" t="str">
        <f>if(vlookup(B:B,'ILC2307'!B73:F9028,5,false)="","Y","N")</f>
        <v>N</v>
      </c>
      <c r="N70" s="12" t="str">
        <f>if(vlookup(B:B,'ILC2313'!B73:F8667,5,false)="","Y","N")</f>
        <v>N</v>
      </c>
      <c r="O70" s="12" t="str">
        <f>if(vlookup(B:B,'ILC2412'!B73:F8512,5,false)="","Y","N")</f>
        <v>N</v>
      </c>
      <c r="P70" s="12" t="str">
        <f>if(vlookup(B:B,'ILC2413'!B73:F9010,5,false)="","Y","N")</f>
        <v>Y</v>
      </c>
      <c r="Q70" s="12" t="str">
        <f>if(vlookup(B:B,'ILC3104'!B73:F8555,5,false)="","Y","N")</f>
        <v>N</v>
      </c>
      <c r="R70" s="12"/>
      <c r="S70" s="12" t="str">
        <f>if(vlookup(B:B,'ILC3312'!B73:F8512,5,false)="","Y","N")</f>
        <v>N</v>
      </c>
      <c r="T70" s="12" t="str">
        <f>if(vlookup(B:B,'ILC3413'!B42:F8437,5,false)="","Y","N")</f>
        <v>N</v>
      </c>
      <c r="U70" s="12" t="str">
        <f>if(vlookup(B:B,'ILC3415'!B70:F8462,5,false)="","Y","N")</f>
        <v>N</v>
      </c>
      <c r="V70" s="12" t="str">
        <f>if(vlookup(F:F,'ILC3415'!C70:G8462,5,false)="","Y","N")</f>
        <v>#N/A</v>
      </c>
      <c r="W70" s="12" t="str">
        <f>if(vlookup(B:B,'ILC4410'!B73:F8679,5,false)="","Y","N")</f>
        <v>N</v>
      </c>
      <c r="X70" s="12" t="str">
        <f>if(vlookup(B:B,'JBV455'!B73:F9019,5,false)="","Y","N")</f>
        <v>N</v>
      </c>
      <c r="Y70" s="12" t="str">
        <f>if(vlookup(B:B,'JBV462'!B73:F8512,5,false)="","Y","N")</f>
        <v>N</v>
      </c>
      <c r="Z70" s="12" t="str">
        <f>if(vlookup(B:B,'JBV464'!B73:F8512,5,false)="","Y","N")</f>
        <v>N</v>
      </c>
      <c r="AA70" s="12"/>
      <c r="AB70" s="76"/>
    </row>
    <row r="71" hidden="1">
      <c r="A71" s="67" t="str">
        <f t="shared" si="2"/>
        <v>Wed</v>
      </c>
      <c r="B71" s="69">
        <v>43516.0</v>
      </c>
      <c r="C71" s="12"/>
      <c r="D71" s="12"/>
      <c r="E71" s="12"/>
      <c r="F71" s="12" t="str">
        <f>if(vlookup(B:B,'ILC1211'!$B74:F8513,5,false)="","Y","N")</f>
        <v>N</v>
      </c>
      <c r="G71" s="12"/>
      <c r="H71" s="12" t="str">
        <f>if(vlookup(F:F,'ILC1211'!$B74:G8513,5,false)="","Y","N")</f>
        <v>#N/A</v>
      </c>
      <c r="I71" s="12" t="str">
        <f>if(vlookup(B:B,'ILC1404'!B74:F8236,5,false)="","Y","N")</f>
        <v>N</v>
      </c>
      <c r="J71" s="12" t="str">
        <f>if(vlookup(B:B,'ILC2203'!B37:F8236,5,false)="","Y","N")</f>
        <v>Y</v>
      </c>
      <c r="K71" s="12" t="str">
        <f>if(vlookup(B:B,'ILC2206'!B22:H370,5,false)="","Y","N")</f>
        <v>N</v>
      </c>
      <c r="L71" s="12" t="str">
        <f>if(vlookup(B:B,'ILC2303'!B74:F8513,5,false)="","Y","N")</f>
        <v>N</v>
      </c>
      <c r="M71" s="12" t="str">
        <f>if(vlookup(B:B,'ILC2307'!B74:F9029,5,false)="","Y","N")</f>
        <v>Y</v>
      </c>
      <c r="N71" s="12" t="str">
        <f>if(vlookup(B:B,'ILC2313'!B74:F8668,5,false)="","Y","N")</f>
        <v>N</v>
      </c>
      <c r="O71" s="12" t="str">
        <f>if(vlookup(B:B,'ILC2412'!B74:F8513,5,false)="","Y","N")</f>
        <v>N</v>
      </c>
      <c r="P71" s="12" t="str">
        <f>if(vlookup(B:B,'ILC2413'!B74:F9011,5,false)="","Y","N")</f>
        <v>N</v>
      </c>
      <c r="Q71" s="12" t="str">
        <f>if(vlookup(B:B,'ILC3104'!B74:F8556,5,false)="","Y","N")</f>
        <v>N</v>
      </c>
      <c r="R71" s="12"/>
      <c r="S71" s="12" t="str">
        <f>if(vlookup(B:B,'ILC3312'!B74:F8513,5,false)="","Y","N")</f>
        <v>N</v>
      </c>
      <c r="T71" s="12" t="str">
        <f>if(vlookup(B:B,'ILC3413'!B43:F8438,5,false)="","Y","N")</f>
        <v>N</v>
      </c>
      <c r="U71" s="12" t="str">
        <f>if(vlookup(B:B,'ILC3415'!B71:F8463,5,false)="","Y","N")</f>
        <v>N</v>
      </c>
      <c r="V71" s="12" t="str">
        <f>if(vlookup(B:B,'ILC4406'!B6:F8432,5,false)="","Y","N")</f>
        <v>Y</v>
      </c>
      <c r="W71" s="12" t="str">
        <f>if(vlookup(B:B,'ILC4410'!B74:F8680,5,false)="","Y","N")</f>
        <v>N</v>
      </c>
      <c r="X71" s="12" t="str">
        <f>if(vlookup(B:B,'JBV455'!B74:F9020,5,false)="","Y","N")</f>
        <v>N</v>
      </c>
      <c r="Y71" s="12" t="str">
        <f>if(vlookup(B:B,'JBV462'!B74:F8513,5,false)="","Y","N")</f>
        <v>N</v>
      </c>
      <c r="Z71" s="12" t="str">
        <f>if(vlookup(B:B,'JBV464'!B74:F8513,5,false)="","Y","N")</f>
        <v>N</v>
      </c>
      <c r="AA71" s="12" t="str">
        <f>if(vlookup(B:B,'VDI208'!B6:F8513,5,false)="","Y","N")</f>
        <v>Y</v>
      </c>
      <c r="AB71" s="76" t="str">
        <f>if(vlookup(B:B,'STO2206'!B6:F8513,5,false)="","Y","N")</f>
        <v>Y</v>
      </c>
    </row>
    <row r="72" hidden="1">
      <c r="A72" s="67" t="str">
        <f t="shared" si="2"/>
        <v>Thu</v>
      </c>
      <c r="B72" s="69">
        <v>43517.0</v>
      </c>
      <c r="C72" s="12"/>
      <c r="D72" s="12"/>
      <c r="E72" s="12"/>
      <c r="F72" s="12" t="str">
        <f>if(vlookup(B:B,'ILC1211'!$B75:F8514,5,false)="","Y","N")</f>
        <v>N</v>
      </c>
      <c r="G72" s="12"/>
      <c r="H72" s="12" t="str">
        <f>if(vlookup(F:F,'ILC1211'!$B75:G8514,5,false)="","Y","N")</f>
        <v>#N/A</v>
      </c>
      <c r="I72" s="12" t="str">
        <f>if(vlookup(B:B,'ILC1404'!B75:F8237,5,false)="","Y","N")</f>
        <v>N</v>
      </c>
      <c r="J72" s="12" t="str">
        <f>if(vlookup(B:B,'ILC2203'!B38:F8237,5,false)="","Y","N")</f>
        <v>Y</v>
      </c>
      <c r="K72" s="12" t="str">
        <f>if(vlookup(B:B,'ILC2206'!B23:H370,5,false)="","Y","N")</f>
        <v>N</v>
      </c>
      <c r="L72" s="12" t="str">
        <f>if(vlookup(B:B,'ILC2303'!B75:F8514,5,false)="","Y","N")</f>
        <v>N</v>
      </c>
      <c r="M72" s="12" t="str">
        <f>if(vlookup(B:B,'ILC2307'!B75:F9030,5,false)="","Y","N")</f>
        <v>Y</v>
      </c>
      <c r="N72" s="12" t="str">
        <f>if(vlookup(B:B,'ILC2313'!B75:F8669,5,false)="","Y","N")</f>
        <v>N</v>
      </c>
      <c r="O72" s="12" t="str">
        <f>if(vlookup(B:B,'ILC2412'!B75:F8514,5,false)="","Y","N")</f>
        <v>N</v>
      </c>
      <c r="P72" s="12" t="str">
        <f>if(vlookup(B:B,'ILC2413'!B75:F9012,5,false)="","Y","N")</f>
        <v>N</v>
      </c>
      <c r="Q72" s="12" t="str">
        <f>if(vlookup(B:B,'ILC3104'!B75:F8557,5,false)="","Y","N")</f>
        <v>N</v>
      </c>
      <c r="R72" s="12"/>
      <c r="S72" s="12" t="str">
        <f>if(vlookup(B:B,'ILC3312'!B75:F8514,5,false)="","Y","N")</f>
        <v>N</v>
      </c>
      <c r="T72" s="12" t="str">
        <f>if(vlookup(B:B,'ILC3413'!B44:F8439,5,false)="","Y","N")</f>
        <v>N</v>
      </c>
      <c r="U72" s="12" t="str">
        <f>if(vlookup(B:B,'ILC3415'!B72:F8464,5,false)="","Y","N")</f>
        <v>N</v>
      </c>
      <c r="V72" s="12" t="str">
        <f>if(vlookup(B:B,'ILC4406'!B7:F8433,5,false)="","Y","N")</f>
        <v>Y</v>
      </c>
      <c r="W72" s="12" t="str">
        <f>if(vlookup(B:B,'ILC4410'!B75:F8681,5,false)="","Y","N")</f>
        <v>N</v>
      </c>
      <c r="X72" s="12" t="str">
        <f>if(vlookup(B:B,'JBV455'!B75:F9021,5,false)="","Y","N")</f>
        <v>N</v>
      </c>
      <c r="Y72" s="12" t="str">
        <f>if(vlookup(B:B,'JBV462'!B75:F8514,5,false)="","Y","N")</f>
        <v>N</v>
      </c>
      <c r="Z72" s="12" t="str">
        <f>if(vlookup(B:B,'JBV464'!B75:F8514,5,false)="","Y","N")</f>
        <v>N</v>
      </c>
      <c r="AA72" s="12" t="str">
        <f>if(vlookup(B:B,'VDI208'!B7:F8514,5,false)="","Y","N")</f>
        <v>Y</v>
      </c>
      <c r="AB72" s="76" t="str">
        <f>if(vlookup(B:B,'STO2206'!B7:F8514,5,false)="","Y","N")</f>
        <v>Y</v>
      </c>
    </row>
    <row r="73" hidden="1">
      <c r="A73" s="67" t="str">
        <f t="shared" si="2"/>
        <v>Fri</v>
      </c>
      <c r="B73" s="69">
        <v>43518.0</v>
      </c>
      <c r="C73" s="12"/>
      <c r="D73" s="12"/>
      <c r="E73" s="12"/>
      <c r="F73" s="12" t="str">
        <f>if(vlookup(B:B,'ILC1211'!$B76:F8515,5,false)="","Y","N")</f>
        <v>N</v>
      </c>
      <c r="G73" s="12"/>
      <c r="H73" s="12" t="str">
        <f>if(vlookup(F:F,'ILC1211'!$B76:G8515,5,false)="","Y","N")</f>
        <v>#N/A</v>
      </c>
      <c r="I73" s="12" t="str">
        <f>if(vlookup(B:B,'ILC1404'!B76:F8238,5,false)="","Y","N")</f>
        <v>Y</v>
      </c>
      <c r="J73" s="12" t="str">
        <f>if(vlookup(B:B,'ILC2203'!B39:F8238,5,false)="","Y","N")</f>
        <v>Y</v>
      </c>
      <c r="K73" s="12" t="str">
        <f>if(vlookup(B:B,'ILC2206'!B24:H370,5,false)="","Y","N")</f>
        <v>N</v>
      </c>
      <c r="L73" s="12" t="str">
        <f>if(vlookup(B:B,'ILC2303'!B76:F8515,5,false)="","Y","N")</f>
        <v>N</v>
      </c>
      <c r="M73" s="12" t="str">
        <f>if(vlookup(B:B,'ILC2307'!B76:F9031,5,false)="","Y","N")</f>
        <v>Y</v>
      </c>
      <c r="N73" s="12" t="str">
        <f>if(vlookup(B:B,'ILC2313'!B76:F8670,5,false)="","Y","N")</f>
        <v>Y</v>
      </c>
      <c r="O73" s="12" t="str">
        <f>if(vlookup(B:B,'ILC2412'!B76:F8515,5,false)="","Y","N")</f>
        <v>N</v>
      </c>
      <c r="P73" s="12" t="str">
        <f>if(vlookup(B:B,'ILC2413'!B76:F9013,5,false)="","Y","N")</f>
        <v>Y</v>
      </c>
      <c r="Q73" s="12" t="str">
        <f>if(vlookup(B:B,'ILC3104'!B76:F8558,5,false)="","Y","N")</f>
        <v>N</v>
      </c>
      <c r="R73" s="12"/>
      <c r="S73" s="12" t="str">
        <f>if(vlookup(B:B,'ILC3312'!B76:F8515,5,false)="","Y","N")</f>
        <v>N</v>
      </c>
      <c r="T73" s="12" t="str">
        <f>if(vlookup(B:B,'ILC3413'!B45:F8440,5,false)="","Y","N")</f>
        <v>N</v>
      </c>
      <c r="U73" s="12" t="str">
        <f>if(vlookup(B:B,'ILC3415'!B73:F8465,5,false)="","Y","N")</f>
        <v>N</v>
      </c>
      <c r="V73" s="12" t="str">
        <f>if(vlookup(B:B,'ILC4406'!B8:F8434,5,false)="","Y","N")</f>
        <v>Y</v>
      </c>
      <c r="W73" s="12" t="str">
        <f>if(vlookup(B:B,'ILC4410'!B76:F8682,5,false)="","Y","N")</f>
        <v>N</v>
      </c>
      <c r="X73" s="12" t="str">
        <f>if(vlookup(B:B,'JBV455'!B76:F9022,5,false)="","Y","N")</f>
        <v>N</v>
      </c>
      <c r="Y73" s="12" t="str">
        <f>if(vlookup(B:B,'JBV462'!B76:F8515,5,false)="","Y","N")</f>
        <v>N</v>
      </c>
      <c r="Z73" s="12" t="str">
        <f>if(vlookup(B:B,'JBV464'!B76:F8515,5,false)="","Y","N")</f>
        <v>N</v>
      </c>
      <c r="AA73" s="12" t="str">
        <f>if(vlookup(B:B,'VDI208'!B8:F8515,5,false)="","Y","N")</f>
        <v>Y</v>
      </c>
      <c r="AB73" s="76" t="str">
        <f>if(vlookup(B:B,'STO2206'!B8:F8515,5,false)="","Y","N")</f>
        <v>Y</v>
      </c>
    </row>
    <row r="74" hidden="1">
      <c r="A74" s="67" t="str">
        <f t="shared" si="2"/>
        <v>Sat</v>
      </c>
      <c r="B74" s="69">
        <v>43519.0</v>
      </c>
      <c r="C74" s="12"/>
      <c r="D74" s="12"/>
      <c r="E74" s="12"/>
      <c r="F74" s="12" t="str">
        <f>if(vlookup(B:B,'ILC1211'!$B77:F8516,5,false)="","Y","N")</f>
        <v>N</v>
      </c>
      <c r="G74" s="12"/>
      <c r="H74" s="12" t="str">
        <f>if(vlookup(F:F,'ILC1211'!$B77:G8516,5,false)="","Y","N")</f>
        <v>#N/A</v>
      </c>
      <c r="I74" s="12" t="str">
        <f>if(vlookup(B:B,'ILC1404'!B77:F8239,5,false)="","Y","N")</f>
        <v>N</v>
      </c>
      <c r="J74" s="12" t="str">
        <f>if(vlookup(B:B,'ILC2203'!B40:F8239,5,false)="","Y","N")</f>
        <v>Y</v>
      </c>
      <c r="K74" s="12" t="str">
        <f>if(vlookup(B:B,'ILC2206'!B25:H370,5,false)="","Y","N")</f>
        <v>N</v>
      </c>
      <c r="L74" s="12" t="str">
        <f>if(vlookup(B:B,'ILC2303'!B77:F8516,5,false)="","Y","N")</f>
        <v>N</v>
      </c>
      <c r="M74" s="12" t="str">
        <f>if(vlookup(B:B,'ILC2307'!B77:F9032,5,false)="","Y","N")</f>
        <v>N</v>
      </c>
      <c r="N74" s="12" t="str">
        <f>if(vlookup(B:B,'ILC2313'!B77:F8671,5,false)="","Y","N")</f>
        <v>N</v>
      </c>
      <c r="O74" s="12" t="str">
        <f>if(vlookup(B:B,'ILC2412'!B77:F8516,5,false)="","Y","N")</f>
        <v>N</v>
      </c>
      <c r="P74" s="12" t="str">
        <f>if(vlookup(B:B,'ILC2413'!B77:F9014,5,false)="","Y","N")</f>
        <v>Y</v>
      </c>
      <c r="Q74" s="12" t="str">
        <f>if(vlookup(B:B,'ILC3104'!B77:F8559,5,false)="","Y","N")</f>
        <v>N</v>
      </c>
      <c r="R74" s="12"/>
      <c r="S74" s="12" t="str">
        <f>if(vlookup(B:B,'ILC3312'!B77:F8516,5,false)="","Y","N")</f>
        <v>N</v>
      </c>
      <c r="T74" s="12" t="str">
        <f>if(vlookup(B:B,'ILC3413'!B46:F8441,5,false)="","Y","N")</f>
        <v>N</v>
      </c>
      <c r="U74" s="12" t="str">
        <f>if(vlookup(B:B,'ILC3415'!B74:F8466,5,false)="","Y","N")</f>
        <v>N</v>
      </c>
      <c r="V74" s="12" t="str">
        <f>if(vlookup(B:B,'ILC4406'!B9:F8435,5,false)="","Y","N")</f>
        <v>Y</v>
      </c>
      <c r="W74" s="12" t="str">
        <f>if(vlookup(B:B,'ILC4410'!B77:F8683,5,false)="","Y","N")</f>
        <v>N</v>
      </c>
      <c r="X74" s="12" t="str">
        <f>if(vlookup(B:B,'JBV455'!B77:F9023,5,false)="","Y","N")</f>
        <v>N</v>
      </c>
      <c r="Y74" s="12" t="str">
        <f>if(vlookup(B:B,'JBV462'!B77:F8516,5,false)="","Y","N")</f>
        <v>N</v>
      </c>
      <c r="Z74" s="12" t="str">
        <f>if(vlookup(B:B,'JBV464'!B77:F8516,5,false)="","Y","N")</f>
        <v>N</v>
      </c>
      <c r="AA74" s="12" t="str">
        <f>if(vlookup(B:B,'VDI208'!B9:F8516,5,false)="","Y","N")</f>
        <v>Y</v>
      </c>
      <c r="AB74" s="76" t="str">
        <f>if(vlookup(B:B,'STO2206'!B9:F8516,5,false)="","Y","N")</f>
        <v>Y</v>
      </c>
    </row>
    <row r="75" hidden="1">
      <c r="A75" s="67" t="str">
        <f t="shared" si="2"/>
        <v>Sun</v>
      </c>
      <c r="B75" s="69">
        <v>43520.0</v>
      </c>
      <c r="C75" s="12"/>
      <c r="D75" s="12"/>
      <c r="E75" s="12"/>
      <c r="F75" s="12" t="str">
        <f>if(vlookup(B:B,'ILC1211'!$B78:F8517,5,false)="","Y","N")</f>
        <v>N</v>
      </c>
      <c r="G75" s="12"/>
      <c r="H75" s="12" t="str">
        <f>if(vlookup(F:F,'ILC1211'!$B78:G8517,5,false)="","Y","N")</f>
        <v>#N/A</v>
      </c>
      <c r="I75" s="12" t="str">
        <f>if(vlookup(B:B,'ILC1404'!B78:F8240,5,false)="","Y","N")</f>
        <v>N</v>
      </c>
      <c r="J75" s="12" t="str">
        <f>if(vlookup(B:B,'ILC2203'!B41:F8240,5,false)="","Y","N")</f>
        <v>Y</v>
      </c>
      <c r="K75" s="12" t="str">
        <f>if(vlookup(B:B,'ILC2206'!B26:H370,5,false)="","Y","N")</f>
        <v>N</v>
      </c>
      <c r="L75" s="12" t="str">
        <f>if(vlookup(B:B,'ILC2303'!B78:F8517,5,false)="","Y","N")</f>
        <v>N</v>
      </c>
      <c r="M75" s="12" t="str">
        <f>if(vlookup(B:B,'ILC2307'!B78:F9033,5,false)="","Y","N")</f>
        <v>N</v>
      </c>
      <c r="N75" s="12" t="str">
        <f>if(vlookup(B:B,'ILC2313'!B78:F8672,5,false)="","Y","N")</f>
        <v>N</v>
      </c>
      <c r="O75" s="12" t="str">
        <f>if(vlookup(B:B,'ILC2412'!B78:F8517,5,false)="","Y","N")</f>
        <v>N</v>
      </c>
      <c r="P75" s="12" t="str">
        <f>if(vlookup(B:B,'ILC2413'!B78:F9015,5,false)="","Y","N")</f>
        <v>N</v>
      </c>
      <c r="Q75" s="12" t="str">
        <f>if(vlookup(B:B,'ILC3104'!B78:F8560,5,false)="","Y","N")</f>
        <v>N</v>
      </c>
      <c r="R75" s="12"/>
      <c r="S75" s="12" t="str">
        <f>if(vlookup(B:B,'ILC3312'!B78:F8517,5,false)="","Y","N")</f>
        <v>N</v>
      </c>
      <c r="T75" s="12" t="str">
        <f>if(vlookup(B:B,'ILC3413'!B47:F8442,5,false)="","Y","N")</f>
        <v>N</v>
      </c>
      <c r="U75" s="12" t="str">
        <f>if(vlookup(B:B,'ILC3415'!B75:F8467,5,false)="","Y","N")</f>
        <v>N</v>
      </c>
      <c r="V75" s="12" t="str">
        <f>if(vlookup(B:B,'ILC4406'!B10:F8436,5,false)="","Y","N")</f>
        <v>Y</v>
      </c>
      <c r="W75" s="12" t="str">
        <f>if(vlookup(B:B,'ILC4410'!B78:F8684,5,false)="","Y","N")</f>
        <v>N</v>
      </c>
      <c r="X75" s="12" t="str">
        <f>if(vlookup(B:B,'JBV455'!B78:F9024,5,false)="","Y","N")</f>
        <v>N</v>
      </c>
      <c r="Y75" s="12" t="str">
        <f>if(vlookup(B:B,'JBV462'!B78:F8517,5,false)="","Y","N")</f>
        <v>N</v>
      </c>
      <c r="Z75" s="12" t="str">
        <f>if(vlookup(B:B,'JBV464'!B78:F8517,5,false)="","Y","N")</f>
        <v>N</v>
      </c>
      <c r="AA75" s="12" t="str">
        <f>if(vlookup(B:B,'VDI208'!B10:F8517,5,false)="","Y","N")</f>
        <v>Y</v>
      </c>
      <c r="AB75" s="76" t="str">
        <f>if(vlookup(B:B,'STO2206'!B10:F8517,5,false)="","Y","N")</f>
        <v>Y</v>
      </c>
    </row>
    <row r="76" hidden="1">
      <c r="A76" s="67" t="str">
        <f t="shared" si="2"/>
        <v>Mon</v>
      </c>
      <c r="B76" s="69">
        <v>43521.0</v>
      </c>
      <c r="C76" s="12"/>
      <c r="D76" s="12"/>
      <c r="E76" s="12"/>
      <c r="F76" s="12" t="str">
        <f>if(vlookup(B:B,'ILC1211'!$B79:F8518,5,false)="","Y","N")</f>
        <v>N</v>
      </c>
      <c r="G76" s="12"/>
      <c r="H76" s="12" t="str">
        <f>if(vlookup(F:F,'ILC1211'!$B79:G8518,5,false)="","Y","N")</f>
        <v>#N/A</v>
      </c>
      <c r="I76" s="12" t="str">
        <f>if(vlookup(B:B,'ILC1404'!B79:F8241,5,false)="","Y","N")</f>
        <v>N</v>
      </c>
      <c r="J76" s="12" t="str">
        <f>if(vlookup(B:B,'ILC2203'!B42:F8241,5,false)="","Y","N")</f>
        <v>Y</v>
      </c>
      <c r="K76" s="12" t="str">
        <f>if(vlookup(B:B,'ILC2206'!B27:H370,5,false)="","Y","N")</f>
        <v>N</v>
      </c>
      <c r="L76" s="12" t="str">
        <f>if(vlookup(B:B,'ILC2303'!B79:F8518,5,false)="","Y","N")</f>
        <v>N</v>
      </c>
      <c r="M76" s="12" t="str">
        <f>if(vlookup(B:B,'ILC2307'!B79:F9034,5,false)="","Y","N")</f>
        <v>N</v>
      </c>
      <c r="N76" s="12" t="str">
        <f>if(vlookup(B:B,'ILC2313'!B79:F8673,5,false)="","Y","N")</f>
        <v>N</v>
      </c>
      <c r="O76" s="12" t="str">
        <f>if(vlookup(B:B,'ILC2412'!B79:F8518,5,false)="","Y","N")</f>
        <v>Y</v>
      </c>
      <c r="P76" s="12" t="str">
        <f>if(vlookup(B:B,'ILC2413'!B79:F9016,5,false)="","Y","N")</f>
        <v>N</v>
      </c>
      <c r="Q76" s="12" t="str">
        <f>if(vlookup(B:B,'ILC3104'!B79:F8561,5,false)="","Y","N")</f>
        <v>N</v>
      </c>
      <c r="R76" s="12"/>
      <c r="S76" s="12" t="str">
        <f>if(vlookup(B:B,'ILC3312'!B79:F8518,5,false)="","Y","N")</f>
        <v>N</v>
      </c>
      <c r="T76" s="12" t="str">
        <f>if(vlookup(B:B,'ILC3413'!B48:F8443,5,false)="","Y","N")</f>
        <v>N</v>
      </c>
      <c r="U76" s="12" t="str">
        <f>if(vlookup(B:B,'ILC3415'!B76:F8468,5,false)="","Y","N")</f>
        <v>N</v>
      </c>
      <c r="V76" s="12" t="str">
        <f>if(vlookup(B:B,'ILC4406'!B11:F8437,5,false)="","Y","N")</f>
        <v>Y</v>
      </c>
      <c r="W76" s="12" t="str">
        <f>if(vlookup(B:B,'ILC4410'!B79:F8685,5,false)="","Y","N")</f>
        <v>N</v>
      </c>
      <c r="X76" s="12" t="str">
        <f>if(vlookup(B:B,'JBV455'!B79:F9025,5,false)="","Y","N")</f>
        <v>N</v>
      </c>
      <c r="Y76" s="12" t="str">
        <f>if(vlookup(B:B,'JBV462'!B79:F8518,5,false)="","Y","N")</f>
        <v>N</v>
      </c>
      <c r="Z76" s="12" t="str">
        <f>if(vlookup(B:B,'JBV464'!B79:F8518,5,false)="","Y","N")</f>
        <v>N</v>
      </c>
      <c r="AA76" s="12" t="str">
        <f>if(vlookup(B:B,'VDI208'!B11:F8518,5,false)="","Y","N")</f>
        <v>Y</v>
      </c>
      <c r="AB76" s="76" t="str">
        <f>if(vlookup(B:B,'STO2206'!B11:F8518,5,false)="","Y","N")</f>
        <v>Y</v>
      </c>
    </row>
    <row r="77" hidden="1">
      <c r="A77" s="67" t="str">
        <f t="shared" si="2"/>
        <v>Tue</v>
      </c>
      <c r="B77" s="69">
        <v>43522.0</v>
      </c>
      <c r="C77" s="12"/>
      <c r="D77" s="12"/>
      <c r="E77" s="12"/>
      <c r="F77" s="12" t="str">
        <f>if(vlookup(B:B,'ILC1211'!$B80:F8519,5,false)="","Y","N")</f>
        <v>N</v>
      </c>
      <c r="G77" s="12"/>
      <c r="H77" s="12" t="str">
        <f>if(vlookup(B:B,'ILC1314'!$B6:G819,5,false)="","Y","N")</f>
        <v>Y</v>
      </c>
      <c r="I77" s="12" t="str">
        <f>if(vlookup(B:B,'ILC1404'!B80:F8242,5,false)="","Y","N")</f>
        <v>N</v>
      </c>
      <c r="J77" s="12" t="str">
        <f>if(vlookup(B:B,'ILC2203'!B43:F8242,5,false)="","Y","N")</f>
        <v>Y</v>
      </c>
      <c r="K77" s="12" t="str">
        <f>if(vlookup(B:B,'ILC2206'!B28:H370,5,false)="","Y","N")</f>
        <v>N</v>
      </c>
      <c r="L77" s="12" t="str">
        <f>if(vlookup(B:B,'ILC2303'!B80:F8519,5,false)="","Y","N")</f>
        <v>N</v>
      </c>
      <c r="M77" s="12" t="str">
        <f>if(vlookup(B:B,'ILC2307'!B80:F9035,5,false)="","Y","N")</f>
        <v>Y</v>
      </c>
      <c r="N77" s="12" t="str">
        <f>if(vlookup(B:B,'ILC2313'!B80:F8674,5,false)="","Y","N")</f>
        <v>Y</v>
      </c>
      <c r="O77" s="12" t="str">
        <f>if(vlookup(B:B,'ILC2412'!B80:F8519,5,false)="","Y","N")</f>
        <v>Y</v>
      </c>
      <c r="P77" s="12" t="str">
        <f>if(vlookup(B:B,'ILC2413'!B80:F9017,5,false)="","Y","N")</f>
        <v>N</v>
      </c>
      <c r="Q77" s="12" t="str">
        <f>if(vlookup(B:B,'ILC3104'!B80:F8562,5,false)="","Y","N")</f>
        <v>N</v>
      </c>
      <c r="R77" s="12"/>
      <c r="S77" s="12" t="str">
        <f>if(vlookup(B:B,'ILC3312'!B80:F8519,5,false)="","Y","N")</f>
        <v>N</v>
      </c>
      <c r="T77" s="12" t="str">
        <f>if(vlookup(B:B,'ILC3413'!B49:F8444,5,false)="","Y","N")</f>
        <v>N</v>
      </c>
      <c r="U77" s="12" t="str">
        <f>if(vlookup(B:B,'ILC3415'!B77:F8469,5,false)="","Y","N")</f>
        <v>N</v>
      </c>
      <c r="V77" s="12" t="str">
        <f>if(vlookup(B:B,'ILC4406'!B12:F8438,5,false)="","Y","N")</f>
        <v>Y</v>
      </c>
      <c r="W77" s="12" t="str">
        <f>if(vlookup(B:B,'ILC4410'!B80:F8686,5,false)="","Y","N")</f>
        <v>N</v>
      </c>
      <c r="X77" s="12" t="str">
        <f>if(vlookup(B:B,'JBV455'!B80:F9026,5,false)="","Y","N")</f>
        <v>N</v>
      </c>
      <c r="Y77" s="12" t="str">
        <f>if(vlookup(B:B,'JBV462'!B80:F8519,5,false)="","Y","N")</f>
        <v>N</v>
      </c>
      <c r="Z77" s="12" t="str">
        <f>if(vlookup(B:B,'JBV464'!B80:F8519,5,false)="","Y","N")</f>
        <v>N</v>
      </c>
      <c r="AA77" s="12" t="str">
        <f>if(vlookup(B:B,'VDI208'!B12:F8519,5,false)="","Y","N")</f>
        <v>Y</v>
      </c>
      <c r="AB77" s="76" t="str">
        <f>if(vlookup(B:B,'STO2206'!B12:F8519,5,false)="","Y","N")</f>
        <v>Y</v>
      </c>
    </row>
    <row r="78" hidden="1">
      <c r="A78" s="67" t="str">
        <f t="shared" si="2"/>
        <v>Wed</v>
      </c>
      <c r="B78" s="69">
        <v>43523.0</v>
      </c>
      <c r="C78" s="12"/>
      <c r="D78" s="12"/>
      <c r="E78" s="12"/>
      <c r="F78" s="12" t="str">
        <f>if(vlookup(B:B,'ILC1211'!$B81:F8520,5,false)="","Y","N")</f>
        <v>N</v>
      </c>
      <c r="G78" s="12"/>
      <c r="H78" s="12" t="str">
        <f>if(vlookup(B:B,'ILC1314'!$B7:G820,5,false)="","Y","N")</f>
        <v>Y</v>
      </c>
      <c r="I78" s="12" t="str">
        <f>if(vlookup(B:B,'ILC1404'!B81:F8243,5,false)="","Y","N")</f>
        <v>N</v>
      </c>
      <c r="J78" s="12" t="str">
        <f>if(vlookup(B:B,'ILC2203'!B44:F8243,5,false)="","Y","N")</f>
        <v>Y</v>
      </c>
      <c r="K78" s="12" t="str">
        <f>if(vlookup(B:B,'ILC2206'!B29:H370,5,false)="","Y","N")</f>
        <v>N</v>
      </c>
      <c r="L78" s="12" t="str">
        <f>if(vlookup(B:B,'ILC2303'!B81:F8520,5,false)="","Y","N")</f>
        <v>N</v>
      </c>
      <c r="M78" s="12" t="str">
        <f>if(vlookup(B:B,'ILC2307'!B81:F9036,5,false)="","Y","N")</f>
        <v>Y</v>
      </c>
      <c r="N78" s="12" t="str">
        <f>if(vlookup(B:B,'ILC2313'!B81:F8675,5,false)="","Y","N")</f>
        <v>N</v>
      </c>
      <c r="O78" s="12" t="str">
        <f>if(vlookup(B:B,'ILC2412'!B81:F8520,5,false)="","Y","N")</f>
        <v>Y</v>
      </c>
      <c r="P78" s="12" t="str">
        <f>if(vlookup(B:B,'ILC2413'!B81:F9018,5,false)="","Y","N")</f>
        <v>N</v>
      </c>
      <c r="Q78" s="12" t="str">
        <f>if(vlookup(B:B,'ILC3104'!B81:F8563,5,false)="","Y","N")</f>
        <v>N</v>
      </c>
      <c r="R78" s="12"/>
      <c r="S78" s="12" t="str">
        <f>if(vlookup(B:B,'ILC3312'!B81:F8520,5,false)="","Y","N")</f>
        <v>N</v>
      </c>
      <c r="T78" s="12" t="str">
        <f>if(vlookup(B:B,'ILC3413'!B50:F8445,5,false)="","Y","N")</f>
        <v>N</v>
      </c>
      <c r="U78" s="12" t="str">
        <f>if(vlookup(B:B,'ILC3415'!B78:F8470,5,false)="","Y","N")</f>
        <v>N</v>
      </c>
      <c r="V78" s="12" t="str">
        <f>if(vlookup(B:B,'ILC4406'!B13:F8439,5,false)="","Y","N")</f>
        <v>Y</v>
      </c>
      <c r="W78" s="12" t="str">
        <f>if(vlookup(B:B,'ILC4410'!B81:F8687,5,false)="","Y","N")</f>
        <v>N</v>
      </c>
      <c r="X78" s="12" t="str">
        <f>if(vlookup(B:B,'JBV455'!B81:F9027,5,false)="","Y","N")</f>
        <v>N</v>
      </c>
      <c r="Y78" s="12" t="str">
        <f>if(vlookup(B:B,'JBV462'!B81:F8520,5,false)="","Y","N")</f>
        <v>Y</v>
      </c>
      <c r="Z78" s="12" t="str">
        <f>if(vlookup(B:B,'JBV464'!B81:F8520,5,false)="","Y","N")</f>
        <v>N</v>
      </c>
      <c r="AA78" s="12" t="str">
        <f>if(vlookup(B:B,'VDI208'!B13:F8520,5,false)="","Y","N")</f>
        <v>Y</v>
      </c>
      <c r="AB78" s="76" t="str">
        <f>if(vlookup(B:B,'STO2206'!B13:F8520,5,false)="","Y","N")</f>
        <v>Y</v>
      </c>
    </row>
    <row r="79" hidden="1">
      <c r="A79" s="67" t="str">
        <f t="shared" si="2"/>
        <v>Thu</v>
      </c>
      <c r="B79" s="69">
        <v>43524.0</v>
      </c>
      <c r="C79" s="12"/>
      <c r="D79" s="12"/>
      <c r="E79" s="12"/>
      <c r="F79" s="12" t="str">
        <f>if(vlookup(B:B,'ILC1211'!$B82:F8521,5,false)="","Y","N")</f>
        <v>N</v>
      </c>
      <c r="G79" s="12"/>
      <c r="H79" s="12" t="str">
        <f>if(vlookup(B:B,'ILC1314'!$B8:G821,5,false)="","Y","N")</f>
        <v>Y</v>
      </c>
      <c r="I79" s="12" t="str">
        <f>if(vlookup(B:B,'ILC1404'!B82:F8244,5,false)="","Y","N")</f>
        <v>N</v>
      </c>
      <c r="J79" s="12" t="str">
        <f>if(vlookup(B:B,'ILC2203'!B45:F8244,5,false)="","Y","N")</f>
        <v>Y</v>
      </c>
      <c r="K79" s="12" t="str">
        <f>if(vlookup(B:B,'ILC2206'!B30:H370,5,false)="","Y","N")</f>
        <v>N</v>
      </c>
      <c r="L79" s="12" t="str">
        <f>if(vlookup(B:B,'ILC2303'!B82:F8521,5,false)="","Y","N")</f>
        <v>N</v>
      </c>
      <c r="M79" s="12" t="str">
        <f>if(vlookup(B:B,'ILC2307'!B82:F9037,5,false)="","Y","N")</f>
        <v>Y</v>
      </c>
      <c r="N79" s="12" t="str">
        <f>if(vlookup(B:B,'ILC2313'!B82:F8676,5,false)="","Y","N")</f>
        <v>N</v>
      </c>
      <c r="O79" s="12" t="str">
        <f>if(vlookup(B:B,'ILC2412'!B82:F8521,5,false)="","Y","N")</f>
        <v>N</v>
      </c>
      <c r="P79" s="12" t="str">
        <f>if(vlookup(B:B,'ILC2413'!B82:F9019,5,false)="","Y","N")</f>
        <v>N</v>
      </c>
      <c r="Q79" s="12" t="str">
        <f>if(vlookup(B:B,'ILC3104'!B82:F8564,5,false)="","Y","N")</f>
        <v>N</v>
      </c>
      <c r="R79" s="12"/>
      <c r="S79" s="12" t="str">
        <f>if(vlookup(B:B,'ILC3312'!B82:F8521,5,false)="","Y","N")</f>
        <v>N</v>
      </c>
      <c r="T79" s="12" t="str">
        <f>if(vlookup(B:B,'ILC3413'!B51:F8446,5,false)="","Y","N")</f>
        <v>N</v>
      </c>
      <c r="U79" s="12" t="str">
        <f>if(vlookup(B:B,'ILC3415'!B79:F8471,5,false)="","Y","N")</f>
        <v>N</v>
      </c>
      <c r="V79" s="12" t="str">
        <f>if(vlookup(B:B,'ILC4406'!B14:F8440,5,false)="","Y","N")</f>
        <v>Y</v>
      </c>
      <c r="W79" s="12" t="str">
        <f>if(vlookup(B:B,'ILC4410'!B82:F8688,5,false)="","Y","N")</f>
        <v>N</v>
      </c>
      <c r="X79" s="12" t="str">
        <f>if(vlookup(B:B,'JBV455'!B82:F9028,5,false)="","Y","N")</f>
        <v>N</v>
      </c>
      <c r="Y79" s="12" t="str">
        <f>if(vlookup(B:B,'JBV462'!B82:F8521,5,false)="","Y","N")</f>
        <v>N</v>
      </c>
      <c r="Z79" s="12" t="str">
        <f>if(vlookup(B:B,'JBV464'!B82:F8521,5,false)="","Y","N")</f>
        <v>N</v>
      </c>
      <c r="AA79" s="12" t="str">
        <f>if(vlookup(B:B,'VDI208'!B14:F8521,5,false)="","Y","N")</f>
        <v>N</v>
      </c>
      <c r="AB79" s="76" t="str">
        <f>if(vlookup(B:B,'STO2206'!B14:F8521,5,false)="","Y","N")</f>
        <v>Y</v>
      </c>
    </row>
    <row r="80" hidden="1">
      <c r="A80" s="67" t="str">
        <f t="shared" si="2"/>
        <v>Fri</v>
      </c>
      <c r="B80" s="69">
        <v>43525.0</v>
      </c>
      <c r="C80" s="12"/>
      <c r="D80" s="12"/>
      <c r="E80" s="12"/>
      <c r="F80" s="12" t="str">
        <f>if(vlookup(B:B,'ILC1211'!$B83:F8522,5,false)="","Y","N")</f>
        <v>N</v>
      </c>
      <c r="G80" s="12"/>
      <c r="H80" s="12" t="str">
        <f>if(vlookup(B:B,'ILC1314'!$B9:G822,5,false)="","Y","N")</f>
        <v>N</v>
      </c>
      <c r="I80" s="12" t="str">
        <f>if(vlookup(B:B,'ILC1404'!B83:F8245,5,false)="","Y","N")</f>
        <v>N</v>
      </c>
      <c r="J80" s="12" t="str">
        <f>if(vlookup(B:B,'ILC2203'!B46:F8245,5,false)="","Y","N")</f>
        <v>Y</v>
      </c>
      <c r="K80" s="12" t="str">
        <f>if(vlookup(B:B,'ILC2206'!B31:H370,5,false)="","Y","N")</f>
        <v>N</v>
      </c>
      <c r="L80" s="12" t="str">
        <f>if(vlookup(B:B,'ILC2303'!B83:F8522,5,false)="","Y","N")</f>
        <v>N</v>
      </c>
      <c r="M80" s="12" t="str">
        <f>if(vlookup(B:B,'ILC2307'!B83:F9038,5,false)="","Y","N")</f>
        <v>N</v>
      </c>
      <c r="N80" s="12" t="str">
        <f>if(vlookup(B:B,'ILC2313'!B83:F8677,5,false)="","Y","N")</f>
        <v>N</v>
      </c>
      <c r="O80" s="12" t="str">
        <f>if(vlookup(B:B,'ILC2412'!B83:F8522,5,false)="","Y","N")</f>
        <v>N</v>
      </c>
      <c r="P80" s="12" t="str">
        <f>if(vlookup(B:B,'ILC2413'!B83:F9020,5,false)="","Y","N")</f>
        <v>N</v>
      </c>
      <c r="Q80" s="12" t="str">
        <f>if(vlookup(B:B,'ILC3104'!B83:F8565,5,false)="","Y","N")</f>
        <v>N</v>
      </c>
      <c r="R80" s="12"/>
      <c r="S80" s="12" t="str">
        <f>if(vlookup(B:B,'ILC3312'!B83:F8522,5,false)="","Y","N")</f>
        <v>N</v>
      </c>
      <c r="T80" s="12" t="str">
        <f>if(vlookup(B:B,'ILC3413'!B52:F8447,5,false)="","Y","N")</f>
        <v>N</v>
      </c>
      <c r="U80" s="12" t="str">
        <f>if(vlookup(B:B,'ILC3415'!B80:F8472,5,false)="","Y","N")</f>
        <v>N</v>
      </c>
      <c r="V80" s="12" t="str">
        <f>if(vlookup(B:B,'ILC4406'!B15:F8441,5,false)="","Y","N")</f>
        <v>N</v>
      </c>
      <c r="W80" s="12" t="str">
        <f>if(vlookup(B:B,'ILC4410'!B83:F8689,5,false)="","Y","N")</f>
        <v>N</v>
      </c>
      <c r="X80" s="12" t="str">
        <f>if(vlookup(B:B,'JBV455'!B83:F9029,5,false)="","Y","N")</f>
        <v>N</v>
      </c>
      <c r="Y80" s="12" t="str">
        <f>if(vlookup(B:B,'JBV462'!B83:F8522,5,false)="","Y","N")</f>
        <v>N</v>
      </c>
      <c r="Z80" s="12" t="str">
        <f>if(vlookup(B:B,'JBV464'!B83:F8522,5,false)="","Y","N")</f>
        <v>N</v>
      </c>
      <c r="AA80" s="12" t="str">
        <f>if(vlookup(B:B,'VDI208'!B15:F8522,5,false)="","Y","N")</f>
        <v>N</v>
      </c>
      <c r="AB80" s="76" t="str">
        <f>if(vlookup(B:B,'STO2206'!B15:F8522,5,false)="","Y","N")</f>
        <v>Y</v>
      </c>
    </row>
    <row r="81" hidden="1">
      <c r="A81" s="67" t="str">
        <f t="shared" si="2"/>
        <v>Sat</v>
      </c>
      <c r="B81" s="69">
        <v>43526.0</v>
      </c>
      <c r="C81" s="12"/>
      <c r="D81" s="12"/>
      <c r="E81" s="12"/>
      <c r="F81" s="12" t="str">
        <f>if(vlookup(B:B,'ILC1211'!$B84:F8523,5,false)="","Y","N")</f>
        <v>N</v>
      </c>
      <c r="G81" s="12"/>
      <c r="H81" s="12" t="str">
        <f>if(vlookup(B:B,'ILC1314'!$B10:G823,5,false)="","Y","N")</f>
        <v>N</v>
      </c>
      <c r="I81" s="12" t="str">
        <f>if(vlookup(B:B,'ILC1404'!B84:F8246,5,false)="","Y","N")</f>
        <v>N</v>
      </c>
      <c r="J81" s="12" t="str">
        <f>if(vlookup(B:B,'ILC2203'!B47:F8246,5,false)="","Y","N")</f>
        <v>N</v>
      </c>
      <c r="K81" s="12" t="str">
        <f>if(vlookup(B:B,'ILC2206'!B32:H370,5,false)="","Y","N")</f>
        <v>N</v>
      </c>
      <c r="L81" s="12" t="str">
        <f>if(vlookup(B:B,'ILC2303'!B84:F8523,5,false)="","Y","N")</f>
        <v>N</v>
      </c>
      <c r="M81" s="12" t="str">
        <f>if(vlookup(B:B,'ILC2307'!B84:F9039,5,false)="","Y","N")</f>
        <v>N</v>
      </c>
      <c r="N81" s="12" t="str">
        <f>if(vlookup(B:B,'ILC2313'!B84:F8678,5,false)="","Y","N")</f>
        <v>N</v>
      </c>
      <c r="O81" s="12" t="str">
        <f>if(vlookup(B:B,'ILC2412'!B84:F8523,5,false)="","Y","N")</f>
        <v>N</v>
      </c>
      <c r="P81" s="12" t="str">
        <f>if(vlookup(B:B,'ILC2413'!B84:F9021,5,false)="","Y","N")</f>
        <v>N</v>
      </c>
      <c r="Q81" s="12" t="str">
        <f>if(vlookup(B:B,'ILC3104'!B84:F8566,5,false)="","Y","N")</f>
        <v>N</v>
      </c>
      <c r="R81" s="12"/>
      <c r="S81" s="12" t="str">
        <f>if(vlookup(B:B,'ILC3312'!B84:F8523,5,false)="","Y","N")</f>
        <v>N</v>
      </c>
      <c r="T81" s="12" t="str">
        <f>if(vlookup(B:B,'ILC3413'!B53:F8448,5,false)="","Y","N")</f>
        <v>N</v>
      </c>
      <c r="U81" s="12" t="str">
        <f>if(vlookup(B:B,'ILC3415'!B81:F8473,5,false)="","Y","N")</f>
        <v>N</v>
      </c>
      <c r="V81" s="12" t="str">
        <f>if(vlookup(B:B,'ILC4406'!B16:F8442,5,false)="","Y","N")</f>
        <v>N</v>
      </c>
      <c r="W81" s="12" t="str">
        <f>if(vlookup(B:B,'ILC4410'!B84:F8690,5,false)="","Y","N")</f>
        <v>N</v>
      </c>
      <c r="X81" s="12" t="str">
        <f>if(vlookup(B:B,'JBV455'!B84:F9030,5,false)="","Y","N")</f>
        <v>N</v>
      </c>
      <c r="Y81" s="12" t="str">
        <f>if(vlookup(B:B,'JBV462'!B84:F8523,5,false)="","Y","N")</f>
        <v>N</v>
      </c>
      <c r="Z81" s="12" t="str">
        <f>if(vlookup(B:B,'JBV464'!B84:F8523,5,false)="","Y","N")</f>
        <v>N</v>
      </c>
      <c r="AA81" s="12" t="str">
        <f>if(vlookup(B:B,'VDI208'!B16:F8523,5,false)="","Y","N")</f>
        <v>N</v>
      </c>
      <c r="AB81" s="76" t="str">
        <f>if(vlookup(B:B,'STO2206'!B16:F8523,5,false)="","Y","N")</f>
        <v>Y</v>
      </c>
    </row>
    <row r="82" hidden="1">
      <c r="A82" s="67" t="str">
        <f t="shared" si="2"/>
        <v>Sun</v>
      </c>
      <c r="B82" s="69">
        <v>43527.0</v>
      </c>
      <c r="C82" s="12"/>
      <c r="D82" s="12"/>
      <c r="E82" s="12"/>
      <c r="F82" s="12" t="str">
        <f>if(vlookup(B:B,'ILC1211'!$B85:F8524,5,false)="","Y","N")</f>
        <v>N</v>
      </c>
      <c r="G82" s="12"/>
      <c r="H82" s="12" t="str">
        <f>if(vlookup(B:B,'ILC1314'!$B11:G824,5,false)="","Y","N")</f>
        <v>N</v>
      </c>
      <c r="I82" s="12" t="str">
        <f>if(vlookup(B:B,'ILC1404'!B85:F8247,5,false)="","Y","N")</f>
        <v>N</v>
      </c>
      <c r="J82" s="12" t="str">
        <f>if(vlookup(B:B,'ILC2203'!B48:F8247,5,false)="","Y","N")</f>
        <v>N</v>
      </c>
      <c r="K82" s="12" t="str">
        <f>if(vlookup(B:B,'ILC2206'!B33:H370,5,false)="","Y","N")</f>
        <v>N</v>
      </c>
      <c r="L82" s="12" t="str">
        <f>if(vlookup(B:B,'ILC2303'!B85:F8524,5,false)="","Y","N")</f>
        <v>N</v>
      </c>
      <c r="M82" s="12" t="str">
        <f>if(vlookup(B:B,'ILC2307'!B85:F9040,5,false)="","Y","N")</f>
        <v>N</v>
      </c>
      <c r="N82" s="12" t="str">
        <f>if(vlookup(B:B,'ILC2313'!B85:F8679,5,false)="","Y","N")</f>
        <v>N</v>
      </c>
      <c r="O82" s="12" t="str">
        <f>if(vlookup(B:B,'ILC2412'!B85:F8524,5,false)="","Y","N")</f>
        <v>N</v>
      </c>
      <c r="P82" s="12" t="str">
        <f>if(vlookup(B:B,'ILC2413'!B85:F9022,5,false)="","Y","N")</f>
        <v>N</v>
      </c>
      <c r="Q82" s="12" t="str">
        <f>if(vlookup(B:B,'ILC3104'!B85:F8567,5,false)="","Y","N")</f>
        <v>N</v>
      </c>
      <c r="R82" s="12"/>
      <c r="S82" s="12" t="str">
        <f>if(vlookup(B:B,'ILC3312'!B85:F8524,5,false)="","Y","N")</f>
        <v>N</v>
      </c>
      <c r="T82" s="12" t="str">
        <f>if(vlookup(B:B,'ILC3413'!B54:F8449,5,false)="","Y","N")</f>
        <v>N</v>
      </c>
      <c r="U82" s="12" t="str">
        <f>if(vlookup(B:B,'ILC3415'!B82:F8474,5,false)="","Y","N")</f>
        <v>N</v>
      </c>
      <c r="V82" s="12" t="str">
        <f>if(vlookup(B:B,'ILC4406'!B17:F8443,5,false)="","Y","N")</f>
        <v>N</v>
      </c>
      <c r="W82" s="12" t="str">
        <f>if(vlookup(B:B,'ILC4410'!B85:F8691,5,false)="","Y","N")</f>
        <v>N</v>
      </c>
      <c r="X82" s="12" t="str">
        <f>if(vlookup(B:B,'JBV455'!B85:F9031,5,false)="","Y","N")</f>
        <v>N</v>
      </c>
      <c r="Y82" s="12" t="str">
        <f>if(vlookup(B:B,'JBV462'!B85:F8524,5,false)="","Y","N")</f>
        <v>N</v>
      </c>
      <c r="Z82" s="12" t="str">
        <f>if(vlookup(B:B,'JBV464'!B85:F8524,5,false)="","Y","N")</f>
        <v>N</v>
      </c>
      <c r="AA82" s="12" t="str">
        <f>if(vlookup(B:B,'VDI208'!B17:F8524,5,false)="","Y","N")</f>
        <v>N</v>
      </c>
      <c r="AB82" s="76" t="str">
        <f>if(vlookup(B:B,'STO2206'!B17:F8524,5,false)="","Y","N")</f>
        <v>Y</v>
      </c>
    </row>
    <row r="83" hidden="1">
      <c r="A83" s="67" t="str">
        <f t="shared" si="2"/>
        <v>Mon</v>
      </c>
      <c r="B83" s="69">
        <v>43528.0</v>
      </c>
      <c r="C83" s="12"/>
      <c r="D83" s="12"/>
      <c r="E83" s="12"/>
      <c r="F83" s="12" t="str">
        <f>if(vlookup(B:B,'ILC1211'!$B86:F8525,5,false)="","Y","N")</f>
        <v>N</v>
      </c>
      <c r="G83" s="12"/>
      <c r="H83" s="12" t="str">
        <f>if(vlookup(B:B,'ILC1314'!$B12:G825,5,false)="","Y","N")</f>
        <v>Y</v>
      </c>
      <c r="I83" s="12" t="str">
        <f>if(vlookup(B:B,'ILC1404'!B86:F8248,5,false)="","Y","N")</f>
        <v>N</v>
      </c>
      <c r="J83" s="12" t="str">
        <f>if(vlookup(B:B,'ILC2203'!B49:F8248,5,false)="","Y","N")</f>
        <v>N</v>
      </c>
      <c r="K83" s="12" t="str">
        <f>if(vlookup(B:B,'ILC2206'!B34:H370,5,false)="","Y","N")</f>
        <v>N</v>
      </c>
      <c r="L83" s="12" t="str">
        <f>if(vlookup(B:B,'ILC2303'!B86:F8525,5,false)="","Y","N")</f>
        <v>N</v>
      </c>
      <c r="M83" s="12" t="str">
        <f>if(vlookup(B:B,'ILC2307'!B86:F9041,5,false)="","Y","N")</f>
        <v>N</v>
      </c>
      <c r="N83" s="12" t="str">
        <f>if(vlookup(B:B,'ILC2313'!B86:F8680,5,false)="","Y","N")</f>
        <v>N</v>
      </c>
      <c r="O83" s="12" t="str">
        <f>if(vlookup(B:B,'ILC2412'!B86:F8525,5,false)="","Y","N")</f>
        <v>N</v>
      </c>
      <c r="P83" s="12" t="str">
        <f>if(vlookup(B:B,'ILC2413'!B86:F9023,5,false)="","Y","N")</f>
        <v>N</v>
      </c>
      <c r="Q83" s="12" t="str">
        <f>if(vlookup(B:B,'ILC3104'!B86:F8568,5,false)="","Y","N")</f>
        <v>N</v>
      </c>
      <c r="R83" s="12"/>
      <c r="S83" s="12" t="str">
        <f>if(vlookup(B:B,'ILC3312'!B86:F8525,5,false)="","Y","N")</f>
        <v>N</v>
      </c>
      <c r="T83" s="12" t="str">
        <f>if(vlookup(B:B,'ILC3413'!B55:F8450,5,false)="","Y","N")</f>
        <v>N</v>
      </c>
      <c r="U83" s="12" t="str">
        <f>if(vlookup(B:B,'ILC3415'!B83:F8475,5,false)="","Y","N")</f>
        <v>N</v>
      </c>
      <c r="V83" s="12" t="str">
        <f>if(vlookup(B:B,'ILC4406'!B18:F8444,5,false)="","Y","N")</f>
        <v>N</v>
      </c>
      <c r="W83" s="12" t="str">
        <f>if(vlookup(B:B,'ILC4410'!B86:F8692,5,false)="","Y","N")</f>
        <v>N</v>
      </c>
      <c r="X83" s="12" t="str">
        <f>if(vlookup(B:B,'JBV455'!B86:F9032,5,false)="","Y","N")</f>
        <v>N</v>
      </c>
      <c r="Y83" s="12" t="str">
        <f>if(vlookup(B:B,'JBV462'!B86:F8525,5,false)="","Y","N")</f>
        <v>N</v>
      </c>
      <c r="Z83" s="12" t="str">
        <f>if(vlookup(B:B,'JBV464'!B86:F8525,5,false)="","Y","N")</f>
        <v>N</v>
      </c>
      <c r="AA83" s="12" t="str">
        <f>if(vlookup(B:B,'VDI208'!B18:F8525,5,false)="","Y","N")</f>
        <v>N</v>
      </c>
      <c r="AB83" s="76" t="str">
        <f>if(vlookup(B:B,'STO2206'!B18:F8525,5,false)="","Y","N")</f>
        <v>Y</v>
      </c>
    </row>
    <row r="84" hidden="1">
      <c r="A84" s="67" t="str">
        <f t="shared" si="2"/>
        <v>Tue</v>
      </c>
      <c r="B84" s="69">
        <v>43529.0</v>
      </c>
      <c r="C84" s="12"/>
      <c r="D84" s="12"/>
      <c r="E84" s="12"/>
      <c r="F84" s="12" t="str">
        <f>if(vlookup(B:B,'ILC1211'!$B87:F8526,5,false)="","Y","N")</f>
        <v>N</v>
      </c>
      <c r="G84" s="12"/>
      <c r="H84" s="12" t="str">
        <f>if(vlookup(B:B,'ILC1314'!$B13:G826,5,false)="","Y","N")</f>
        <v>N</v>
      </c>
      <c r="I84" s="12" t="str">
        <f>if(vlookup(B:B,'ILC1404'!B87:F8249,5,false)="","Y","N")</f>
        <v>N</v>
      </c>
      <c r="J84" s="12" t="str">
        <f>if(vlookup(B:B,'ILC2203'!B50:F8249,5,false)="","Y","N")</f>
        <v>N</v>
      </c>
      <c r="K84" s="12" t="str">
        <f>if(vlookup(B:B,'ILC2206'!B35:H370,5,false)="","Y","N")</f>
        <v>N</v>
      </c>
      <c r="L84" s="12" t="str">
        <f>if(vlookup(B:B,'ILC2303'!B87:F8526,5,false)="","Y","N")</f>
        <v>N</v>
      </c>
      <c r="M84" s="12" t="str">
        <f>if(vlookup(B:B,'ILC2307'!B87:F9042,5,false)="","Y","N")</f>
        <v>N</v>
      </c>
      <c r="N84" s="12" t="str">
        <f>if(vlookup(B:B,'ILC2313'!B87:F8681,5,false)="","Y","N")</f>
        <v>N</v>
      </c>
      <c r="O84" s="12" t="str">
        <f>if(vlookup(B:B,'ILC2412'!B87:F8526,5,false)="","Y","N")</f>
        <v>N</v>
      </c>
      <c r="P84" s="12" t="str">
        <f>if(vlookup(B:B,'ILC2413'!B87:F9024,5,false)="","Y","N")</f>
        <v>N</v>
      </c>
      <c r="Q84" s="12" t="str">
        <f>if(vlookup(B:B,'ILC3104'!B87:F8569,5,false)="","Y","N")</f>
        <v>N</v>
      </c>
      <c r="R84" s="12"/>
      <c r="S84" s="12" t="str">
        <f>if(vlookup(B:B,'ILC3312'!B87:F8526,5,false)="","Y","N")</f>
        <v>N</v>
      </c>
      <c r="T84" s="12" t="str">
        <f>if(vlookup(B:B,'ILC3413'!B56:F8451,5,false)="","Y","N")</f>
        <v>N</v>
      </c>
      <c r="U84" s="12" t="str">
        <f>if(vlookup(B:B,'ILC3415'!B84:F8476,5,false)="","Y","N")</f>
        <v>N</v>
      </c>
      <c r="V84" s="12" t="str">
        <f>if(vlookup(B:B,'ILC4406'!B19:F8445,5,false)="","Y","N")</f>
        <v>N</v>
      </c>
      <c r="W84" s="12" t="str">
        <f>if(vlookup(B:B,'ILC4410'!B87:F8693,5,false)="","Y","N")</f>
        <v>N</v>
      </c>
      <c r="X84" s="12" t="str">
        <f>if(vlookup(B:B,'JBV455'!B87:F9033,5,false)="","Y","N")</f>
        <v>N</v>
      </c>
      <c r="Y84" s="12" t="str">
        <f>if(vlookup(B:B,'JBV462'!B87:F8526,5,false)="","Y","N")</f>
        <v>N</v>
      </c>
      <c r="Z84" s="12" t="str">
        <f>if(vlookup(B:B,'JBV464'!B87:F8526,5,false)="","Y","N")</f>
        <v>N</v>
      </c>
      <c r="AA84" s="12" t="str">
        <f>if(vlookup(B:B,'VDI208'!B19:F8526,5,false)="","Y","N")</f>
        <v>N</v>
      </c>
      <c r="AB84" s="76" t="str">
        <f>if(vlookup(B:B,'STO2206'!B19:F8526,5,false)="","Y","N")</f>
        <v>Y</v>
      </c>
    </row>
    <row r="85" hidden="1">
      <c r="A85" s="67" t="str">
        <f t="shared" si="2"/>
        <v>Wed</v>
      </c>
      <c r="B85" s="69">
        <v>43530.0</v>
      </c>
      <c r="C85" s="12"/>
      <c r="D85" s="12"/>
      <c r="E85" s="12"/>
      <c r="F85" s="12" t="str">
        <f>if(vlookup(B:B,'ILC1211'!$B88:F8527,5,false)="","Y","N")</f>
        <v>N</v>
      </c>
      <c r="G85" s="12"/>
      <c r="H85" s="12" t="str">
        <f>if(vlookup(B:B,'ILC1314'!$B14:G827,5,false)="","Y","N")</f>
        <v>N</v>
      </c>
      <c r="I85" s="12" t="str">
        <f>if(vlookup(B:B,'ILC1404'!B88:F8250,5,false)="","Y","N")</f>
        <v>N</v>
      </c>
      <c r="J85" s="12" t="str">
        <f>if(vlookup(B:B,'ILC2203'!B51:F8250,5,false)="","Y","N")</f>
        <v>Y</v>
      </c>
      <c r="K85" s="12" t="str">
        <f>if(vlookup(B:B,'ILC2206'!B36:H370,5,false)="","Y","N")</f>
        <v>N</v>
      </c>
      <c r="L85" s="12" t="str">
        <f>if(vlookup(B:B,'ILC2303'!B88:F8527,5,false)="","Y","N")</f>
        <v>N</v>
      </c>
      <c r="M85" s="12" t="str">
        <f>if(vlookup(B:B,'ILC2307'!B88:F9043,5,false)="","Y","N")</f>
        <v>N</v>
      </c>
      <c r="N85" s="12" t="str">
        <f>if(vlookup(B:B,'ILC2313'!B88:F8682,5,false)="","Y","N")</f>
        <v>N</v>
      </c>
      <c r="O85" s="12" t="str">
        <f>if(vlookup(B:B,'ILC2412'!B88:F8527,5,false)="","Y","N")</f>
        <v>N</v>
      </c>
      <c r="P85" s="12" t="str">
        <f>if(vlookup(B:B,'ILC2413'!B88:F9025,5,false)="","Y","N")</f>
        <v>N</v>
      </c>
      <c r="Q85" s="12" t="str">
        <f>if(vlookup(B:B,'ILC3104'!B88:F8570,5,false)="","Y","N")</f>
        <v>N</v>
      </c>
      <c r="R85" s="12" t="str">
        <f>if(vlookup(B:B,'ILC3310'!B5:F8509,5,false)="","Y","N")</f>
        <v>#N/A</v>
      </c>
      <c r="S85" s="12" t="str">
        <f>if(vlookup(B:B,'ILC3312'!B88:F8527,5,false)="","Y","N")</f>
        <v>N</v>
      </c>
      <c r="T85" s="12" t="str">
        <f>if(vlookup(B:B,'ILC3413'!B57:F8452,5,false)="","Y","N")</f>
        <v>N</v>
      </c>
      <c r="U85" s="12" t="str">
        <f>if(vlookup(B:B,'ILC3415'!B85:F8477,5,false)="","Y","N")</f>
        <v>N</v>
      </c>
      <c r="V85" s="12" t="str">
        <f>if(vlookup(B:B,'ILC4406'!B20:F8446,5,false)="","Y","N")</f>
        <v>N</v>
      </c>
      <c r="W85" s="12" t="str">
        <f>if(vlookup(B:B,'ILC4410'!B88:F8694,5,false)="","Y","N")</f>
        <v>N</v>
      </c>
      <c r="X85" s="12" t="str">
        <f>if(vlookup(B:B,'JBV455'!B88:F9034,5,false)="","Y","N")</f>
        <v>N</v>
      </c>
      <c r="Y85" s="12" t="str">
        <f>if(vlookup(B:B,'JBV462'!B88:F8527,5,false)="","Y","N")</f>
        <v>N</v>
      </c>
      <c r="Z85" s="12" t="str">
        <f>if(vlookup(B:B,'JBV464'!B88:F8527,5,false)="","Y","N")</f>
        <v>N</v>
      </c>
      <c r="AA85" s="12" t="str">
        <f>if(vlookup(B:B,'VDI208'!B20:F8527,5,false)="","Y","N")</f>
        <v>N</v>
      </c>
      <c r="AB85" s="76" t="str">
        <f>if(vlookup(B:B,'STO2206'!B20:F8527,5,false)="","Y","N")</f>
        <v>Y</v>
      </c>
    </row>
    <row r="86" hidden="1">
      <c r="A86" s="67" t="str">
        <f t="shared" si="2"/>
        <v>Thu</v>
      </c>
      <c r="B86" s="69">
        <v>43531.0</v>
      </c>
      <c r="C86" s="12"/>
      <c r="D86" s="12"/>
      <c r="E86" s="12"/>
      <c r="F86" s="12" t="str">
        <f>if(vlookup(B:B,'ILC1211'!$B89:F8528,5,false)="","Y","N")</f>
        <v>N</v>
      </c>
      <c r="G86" s="12"/>
      <c r="H86" s="12" t="str">
        <f>if(vlookup(B:B,'ILC1314'!$B15:G828,5,false)="","Y","N")</f>
        <v>N</v>
      </c>
      <c r="I86" s="12" t="str">
        <f>if(vlookup(B:B,'ILC1404'!B89:F8251,5,false)="","Y","N")</f>
        <v>N</v>
      </c>
      <c r="J86" s="12" t="str">
        <f>if(vlookup(B:B,'ILC2203'!B52:F8251,5,false)="","Y","N")</f>
        <v>N</v>
      </c>
      <c r="K86" s="12" t="str">
        <f>if(vlookup(B:B,'ILC2206'!B37:H370,5,false)="","Y","N")</f>
        <v>N</v>
      </c>
      <c r="L86" s="12" t="str">
        <f>if(vlookup(B:B,'ILC2303'!B89:F8528,5,false)="","Y","N")</f>
        <v>N</v>
      </c>
      <c r="M86" s="12" t="str">
        <f>if(vlookup(B:B,'ILC2307'!B89:F9044,5,false)="","Y","N")</f>
        <v>N</v>
      </c>
      <c r="N86" s="12" t="str">
        <f>if(vlookup(B:B,'ILC2313'!B89:F8683,5,false)="","Y","N")</f>
        <v>N</v>
      </c>
      <c r="O86" s="12" t="str">
        <f>if(vlookup(B:B,'ILC2412'!B89:F8528,5,false)="","Y","N")</f>
        <v>N</v>
      </c>
      <c r="P86" s="12" t="str">
        <f>if(vlookup(B:B,'ILC2413'!B89:F9026,5,false)="","Y","N")</f>
        <v>N</v>
      </c>
      <c r="Q86" s="12" t="str">
        <f>if(vlookup(B:B,'ILC3104'!B89:F8571,5,false)="","Y","N")</f>
        <v>N</v>
      </c>
      <c r="R86" s="12" t="str">
        <f>if(vlookup(B:B,'ILC3310'!B6:F8510,5,false)="","Y","N")</f>
        <v>#N/A</v>
      </c>
      <c r="S86" s="12" t="str">
        <f>if(vlookup(B:B,'ILC3312'!B89:F8528,5,false)="","Y","N")</f>
        <v>N</v>
      </c>
      <c r="T86" s="12" t="str">
        <f>if(vlookup(B:B,'ILC3413'!B58:F8453,5,false)="","Y","N")</f>
        <v>N</v>
      </c>
      <c r="U86" s="12" t="str">
        <f>if(vlookup(B:B,'ILC3415'!B86:F8478,5,false)="","Y","N")</f>
        <v>N</v>
      </c>
      <c r="V86" s="12" t="str">
        <f>if(vlookup(B:B,'ILC4406'!B21:F8447,5,false)="","Y","N")</f>
        <v>Y</v>
      </c>
      <c r="W86" s="12" t="str">
        <f>if(vlookup(B:B,'ILC4410'!B89:F8695,5,false)="","Y","N")</f>
        <v>N</v>
      </c>
      <c r="X86" s="12" t="str">
        <f>if(vlookup(B:B,'JBV455'!B89:F9035,5,false)="","Y","N")</f>
        <v>N</v>
      </c>
      <c r="Y86" s="12" t="str">
        <f>if(vlookup(B:B,'JBV462'!B89:F8528,5,false)="","Y","N")</f>
        <v>N</v>
      </c>
      <c r="Z86" s="12" t="str">
        <f>if(vlookup(B:B,'JBV464'!B89:F8528,5,false)="","Y","N")</f>
        <v>N</v>
      </c>
      <c r="AA86" s="12" t="str">
        <f>if(vlookup(B:B,'VDI208'!B21:F8528,5,false)="","Y","N")</f>
        <v>N</v>
      </c>
      <c r="AB86" s="76" t="str">
        <f>if(vlookup(B:B,'STO2206'!B21:F8528,5,false)="","Y","N")</f>
        <v>Y</v>
      </c>
    </row>
    <row r="87" hidden="1">
      <c r="A87" s="67" t="str">
        <f t="shared" si="2"/>
        <v>Fri</v>
      </c>
      <c r="B87" s="69">
        <v>43532.0</v>
      </c>
      <c r="C87" s="12"/>
      <c r="D87" s="12"/>
      <c r="E87" s="12"/>
      <c r="F87" s="12" t="str">
        <f>if(vlookup(B:B,'ILC1211'!$B90:F8529,5,false)="","Y","N")</f>
        <v>N</v>
      </c>
      <c r="G87" s="12"/>
      <c r="H87" s="12" t="str">
        <f>if(vlookup(B:B,'ILC1314'!$B16:G829,5,false)="","Y","N")</f>
        <v>N</v>
      </c>
      <c r="I87" s="12" t="str">
        <f>if(vlookup(B:B,'ILC1404'!B90:F8252,5,false)="","Y","N")</f>
        <v>N</v>
      </c>
      <c r="J87" s="12" t="str">
        <f>if(vlookup(B:B,'ILC2203'!B53:F8252,5,false)="","Y","N")</f>
        <v>N</v>
      </c>
      <c r="K87" s="12" t="str">
        <f>if(vlookup(B:B,'ILC2206'!B38:H370,5,false)="","Y","N")</f>
        <v>N</v>
      </c>
      <c r="L87" s="12" t="str">
        <f>if(vlookup(B:B,'ILC2303'!B90:F8529,5,false)="","Y","N")</f>
        <v>N</v>
      </c>
      <c r="M87" s="12" t="str">
        <f>if(vlookup(B:B,'ILC2307'!B90:F9045,5,false)="","Y","N")</f>
        <v>N</v>
      </c>
      <c r="N87" s="12" t="str">
        <f>if(vlookup(B:B,'ILC2313'!B90:F8684,5,false)="","Y","N")</f>
        <v>N</v>
      </c>
      <c r="O87" s="12" t="str">
        <f>if(vlookup(B:B,'ILC2412'!B90:F8529,5,false)="","Y","N")</f>
        <v>N</v>
      </c>
      <c r="P87" s="12" t="str">
        <f>if(vlookup(B:B,'ILC2413'!B90:F9027,5,false)="","Y","N")</f>
        <v>N</v>
      </c>
      <c r="Q87" s="12" t="str">
        <f>if(vlookup(B:B,'ILC3104'!B90:F8572,5,false)="","Y","N")</f>
        <v>N</v>
      </c>
      <c r="R87" s="12" t="str">
        <f>if(vlookup(B:B,'ILC3310'!B6:F8511,5,false)="","Y","N")</f>
        <v>#N/A</v>
      </c>
      <c r="S87" s="12" t="str">
        <f>if(vlookup(B:B,'ILC3312'!B90:F8529,5,false)="","Y","N")</f>
        <v>N</v>
      </c>
      <c r="T87" s="12" t="str">
        <f>if(vlookup(B:B,'ILC3413'!B59:F8454,5,false)="","Y","N")</f>
        <v>N</v>
      </c>
      <c r="U87" s="12" t="str">
        <f>if(vlookup(B:B,'ILC3415'!B87:F8479,5,false)="","Y","N")</f>
        <v>N</v>
      </c>
      <c r="V87" s="12" t="str">
        <f>if(vlookup(B:B,'ILC4406'!B22:F8448,5,false)="","Y","N")</f>
        <v>Y</v>
      </c>
      <c r="W87" s="12" t="str">
        <f>if(vlookup(B:B,'ILC4410'!B90:F8696,5,false)="","Y","N")</f>
        <v>N</v>
      </c>
      <c r="X87" s="12" t="str">
        <f>if(vlookup(B:B,'JBV455'!B90:F9036,5,false)="","Y","N")</f>
        <v>N</v>
      </c>
      <c r="Y87" s="12" t="str">
        <f>if(vlookup(B:B,'JBV462'!B90:F8529,5,false)="","Y","N")</f>
        <v>N</v>
      </c>
      <c r="Z87" s="12" t="str">
        <f>if(vlookup(B:B,'JBV464'!B90:F8529,5,false)="","Y","N")</f>
        <v>N</v>
      </c>
      <c r="AA87" s="12" t="str">
        <f>if(vlookup(B:B,'VDI208'!B22:F8529,5,false)="","Y","N")</f>
        <v>N</v>
      </c>
      <c r="AB87" s="76" t="str">
        <f>if(vlookup(B:B,'STO2206'!B22:F8529,5,false)="","Y","N")</f>
        <v>Y</v>
      </c>
    </row>
    <row r="88" hidden="1">
      <c r="A88" s="67" t="str">
        <f t="shared" si="2"/>
        <v>Sat</v>
      </c>
      <c r="B88" s="69">
        <v>43533.0</v>
      </c>
      <c r="C88" s="12"/>
      <c r="D88" s="12"/>
      <c r="E88" s="12"/>
      <c r="F88" s="12" t="str">
        <f>if(vlookup(B:B,'ILC1211'!$B91:F8530,5,false)="","Y","N")</f>
        <v>N</v>
      </c>
      <c r="G88" s="12"/>
      <c r="H88" s="12" t="str">
        <f>if(vlookup(B:B,'ILC1314'!$B17:G830,5,false)="","Y","N")</f>
        <v>N</v>
      </c>
      <c r="I88" s="12" t="str">
        <f>if(vlookup(B:B,'ILC1404'!B91:F8253,5,false)="","Y","N")</f>
        <v>N</v>
      </c>
      <c r="J88" s="12" t="str">
        <f>if(vlookup(B:B,'ILC2203'!B54:F8253,5,false)="","Y","N")</f>
        <v>N</v>
      </c>
      <c r="K88" s="12" t="str">
        <f>if(vlookup(B:B,'ILC2206'!B39:H370,5,false)="","Y","N")</f>
        <v>N</v>
      </c>
      <c r="L88" s="12" t="str">
        <f>if(vlookup(B:B,'ILC2303'!B91:F8530,5,false)="","Y","N")</f>
        <v>N</v>
      </c>
      <c r="M88" s="12" t="str">
        <f>if(vlookup(B:B,'ILC2307'!B91:F9046,5,false)="","Y","N")</f>
        <v>N</v>
      </c>
      <c r="N88" s="12" t="str">
        <f>if(vlookup(B:B,'ILC2313'!B91:F8685,5,false)="","Y","N")</f>
        <v>N</v>
      </c>
      <c r="O88" s="12" t="str">
        <f>if(vlookup(B:B,'ILC2412'!B91:F8530,5,false)="","Y","N")</f>
        <v>N</v>
      </c>
      <c r="P88" s="12" t="str">
        <f>if(vlookup(B:B,'ILC2413'!B91:F9028,5,false)="","Y","N")</f>
        <v>N</v>
      </c>
      <c r="Q88" s="12" t="str">
        <f>if(vlookup(B:B,'ILC3104'!B91:F8573,5,false)="","Y","N")</f>
        <v>N</v>
      </c>
      <c r="R88" s="12" t="str">
        <f>if(vlookup(B:B,'ILC3310'!B6:F8512,5,false)="","Y","N")</f>
        <v>#N/A</v>
      </c>
      <c r="S88" s="12" t="str">
        <f>if(vlookup(B:B,'ILC3312'!B91:F8530,5,false)="","Y","N")</f>
        <v>N</v>
      </c>
      <c r="T88" s="12" t="str">
        <f>if(vlookup(B:B,'ILC3413'!B60:F8455,5,false)="","Y","N")</f>
        <v>N</v>
      </c>
      <c r="U88" s="12" t="str">
        <f>if(vlookup(B:B,'ILC3415'!B88:F8480,5,false)="","Y","N")</f>
        <v>N</v>
      </c>
      <c r="V88" s="12" t="str">
        <f>if(vlookup(B:B,'ILC4406'!B23:F8449,5,false)="","Y","N")</f>
        <v>Y</v>
      </c>
      <c r="W88" s="12" t="str">
        <f>if(vlookup(B:B,'ILC4410'!B91:F8697,5,false)="","Y","N")</f>
        <v>N</v>
      </c>
      <c r="X88" s="12" t="str">
        <f>if(vlookup(B:B,'JBV455'!B91:F9037,5,false)="","Y","N")</f>
        <v>N</v>
      </c>
      <c r="Y88" s="12" t="str">
        <f>if(vlookup(B:B,'JBV462'!B91:F8530,5,false)="","Y","N")</f>
        <v>N</v>
      </c>
      <c r="Z88" s="12" t="str">
        <f>if(vlookup(B:B,'JBV464'!B91:F8530,5,false)="","Y","N")</f>
        <v>N</v>
      </c>
      <c r="AA88" s="12" t="str">
        <f>if(vlookup(B:B,'VDI208'!B23:F8530,5,false)="","Y","N")</f>
        <v>N</v>
      </c>
      <c r="AB88" s="76" t="str">
        <f>if(vlookup(B:B,'STO2206'!B23:F8530,5,false)="","Y","N")</f>
        <v>Y</v>
      </c>
    </row>
    <row r="89" hidden="1">
      <c r="A89" s="67" t="str">
        <f t="shared" si="2"/>
        <v>Sun</v>
      </c>
      <c r="B89" s="69">
        <v>43534.0</v>
      </c>
      <c r="C89" s="12"/>
      <c r="D89" s="12"/>
      <c r="E89" s="12"/>
      <c r="F89" s="12" t="str">
        <f>if(vlookup(B:B,'ILC1211'!$B92:F8531,5,false)="","Y","N")</f>
        <v>N</v>
      </c>
      <c r="G89" s="12"/>
      <c r="H89" s="12" t="str">
        <f>if(vlookup(B:B,'ILC1314'!$B18:G831,5,false)="","Y","N")</f>
        <v>N</v>
      </c>
      <c r="I89" s="12" t="str">
        <f>if(vlookup(B:B,'ILC1404'!B92:F8254,5,false)="","Y","N")</f>
        <v>N</v>
      </c>
      <c r="J89" s="12" t="str">
        <f>if(vlookup(B:B,'ILC2203'!B55:F8254,5,false)="","Y","N")</f>
        <v>N</v>
      </c>
      <c r="K89" s="12" t="str">
        <f>if(vlookup(B:B,'ILC2206'!B40:H370,5,false)="","Y","N")</f>
        <v>N</v>
      </c>
      <c r="L89" s="12" t="str">
        <f>if(vlookup(B:B,'ILC2303'!B92:F8531,5,false)="","Y","N")</f>
        <v>N</v>
      </c>
      <c r="M89" s="12" t="str">
        <f>if(vlookup(B:B,'ILC2307'!B92:F9047,5,false)="","Y","N")</f>
        <v>N</v>
      </c>
      <c r="N89" s="12" t="str">
        <f>if(vlookup(B:B,'ILC2313'!B92:F8686,5,false)="","Y","N")</f>
        <v>N</v>
      </c>
      <c r="O89" s="12" t="str">
        <f>if(vlookup(B:B,'ILC2412'!B92:F8531,5,false)="","Y","N")</f>
        <v>N</v>
      </c>
      <c r="P89" s="12" t="str">
        <f>if(vlookup(B:B,'ILC2413'!B92:F9029,5,false)="","Y","N")</f>
        <v>N</v>
      </c>
      <c r="Q89" s="12" t="str">
        <f>if(vlookup(B:B,'ILC3104'!B92:F8574,5,false)="","Y","N")</f>
        <v>N</v>
      </c>
      <c r="R89" s="12" t="str">
        <f>if(vlookup(B:B,'ILC3310'!B6:F8513,5,false)="","Y","N")</f>
        <v>#N/A</v>
      </c>
      <c r="S89" s="12" t="str">
        <f>if(vlookup(B:B,'ILC3312'!B92:F8531,5,false)="","Y","N")</f>
        <v>N</v>
      </c>
      <c r="T89" s="12" t="str">
        <f>if(vlookup(B:B,'ILC3413'!B61:F8456,5,false)="","Y","N")</f>
        <v>N</v>
      </c>
      <c r="U89" s="12" t="str">
        <f>if(vlookup(B:B,'ILC3415'!B89:F8481,5,false)="","Y","N")</f>
        <v>N</v>
      </c>
      <c r="V89" s="12" t="str">
        <f>if(vlookup(B:B,'ILC4406'!B24:F8450,5,false)="","Y","N")</f>
        <v>Y</v>
      </c>
      <c r="W89" s="12" t="str">
        <f>if(vlookup(B:B,'ILC4410'!B92:F8698,5,false)="","Y","N")</f>
        <v>N</v>
      </c>
      <c r="X89" s="12" t="str">
        <f>if(vlookup(B:B,'JBV455'!B92:F9038,5,false)="","Y","N")</f>
        <v>N</v>
      </c>
      <c r="Y89" s="12" t="str">
        <f>if(vlookup(B:B,'JBV462'!B92:F8531,5,false)="","Y","N")</f>
        <v>N</v>
      </c>
      <c r="Z89" s="12" t="str">
        <f>if(vlookup(B:B,'JBV464'!B92:F8531,5,false)="","Y","N")</f>
        <v>N</v>
      </c>
      <c r="AA89" s="12" t="str">
        <f>if(vlookup(B:B,'VDI208'!B24:F8531,5,false)="","Y","N")</f>
        <v>N</v>
      </c>
      <c r="AB89" s="76" t="str">
        <f>if(vlookup(B:B,'STO2206'!B24:F8531,5,false)="","Y","N")</f>
        <v>Y</v>
      </c>
    </row>
    <row r="90" hidden="1">
      <c r="A90" s="67" t="str">
        <f t="shared" si="2"/>
        <v>Mon</v>
      </c>
      <c r="B90" s="69">
        <v>43535.0</v>
      </c>
      <c r="C90" s="12"/>
      <c r="D90" s="12"/>
      <c r="E90" s="12"/>
      <c r="F90" s="12" t="str">
        <f>if(vlookup(B:B,'ILC1211'!$B93:F8532,5,false)="","Y","N")</f>
        <v>N</v>
      </c>
      <c r="G90" s="12"/>
      <c r="H90" s="12" t="str">
        <f>if(vlookup(B:B,'ILC1314'!$B19:G832,5,false)="","Y","N")</f>
        <v>N</v>
      </c>
      <c r="I90" s="12" t="str">
        <f>if(vlookup(B:B,'ILC1404'!B93:F8255,5,false)="","Y","N")</f>
        <v>N</v>
      </c>
      <c r="J90" s="12" t="str">
        <f>if(vlookup(B:B,'ILC2203'!B56:F8255,5,false)="","Y","N")</f>
        <v>Y</v>
      </c>
      <c r="K90" s="12" t="str">
        <f>if(vlookup(B:B,'ILC2206'!B41:H370,5,false)="","Y","N")</f>
        <v>N</v>
      </c>
      <c r="L90" s="12" t="str">
        <f>if(vlookup(B:B,'ILC2303'!B93:F8532,5,false)="","Y","N")</f>
        <v>N</v>
      </c>
      <c r="M90" s="12" t="str">
        <f>if(vlookup(B:B,'ILC2307'!B93:F9048,5,false)="","Y","N")</f>
        <v>N</v>
      </c>
      <c r="N90" s="12" t="str">
        <f>if(vlookup(B:B,'ILC2313'!B93:F8687,5,false)="","Y","N")</f>
        <v>N</v>
      </c>
      <c r="O90" s="12" t="str">
        <f>if(vlookup(B:B,'ILC2412'!B93:F8532,5,false)="","Y","N")</f>
        <v>N</v>
      </c>
      <c r="P90" s="12" t="str">
        <f>if(vlookup(B:B,'ILC2413'!B93:F9030,5,false)="","Y","N")</f>
        <v>N</v>
      </c>
      <c r="Q90" s="12" t="str">
        <f>if(vlookup(B:B,'ILC3104'!B93:F8575,5,false)="","Y","N")</f>
        <v>N</v>
      </c>
      <c r="R90" s="12" t="str">
        <f>if(vlookup(B:B,'ILC3310'!B6:F8514,5,false)="","Y","N")</f>
        <v>#N/A</v>
      </c>
      <c r="S90" s="12" t="str">
        <f>if(vlookup(B:B,'ILC3312'!B93:F8532,5,false)="","Y","N")</f>
        <v>Y</v>
      </c>
      <c r="T90" s="12" t="str">
        <f>if(vlookup(B:B,'ILC3413'!B62:F8457,5,false)="","Y","N")</f>
        <v>N</v>
      </c>
      <c r="U90" s="12" t="str">
        <f>if(vlookup(B:B,'ILC3415'!B90:F8482,5,false)="","Y","N")</f>
        <v>N</v>
      </c>
      <c r="V90" s="12" t="str">
        <f>if(vlookup(B:B,'ILC4406'!B25:F8451,5,false)="","Y","N")</f>
        <v>Y</v>
      </c>
      <c r="W90" s="12" t="str">
        <f>if(vlookup(B:B,'ILC4410'!B93:F8699,5,false)="","Y","N")</f>
        <v>N</v>
      </c>
      <c r="X90" s="12" t="str">
        <f>if(vlookup(B:B,'JBV455'!B93:F9039,5,false)="","Y","N")</f>
        <v>N</v>
      </c>
      <c r="Y90" s="12" t="str">
        <f>if(vlookup(B:B,'JBV462'!B93:F8532,5,false)="","Y","N")</f>
        <v>N</v>
      </c>
      <c r="Z90" s="12" t="str">
        <f>if(vlookup(B:B,'JBV464'!B93:F8532,5,false)="","Y","N")</f>
        <v>N</v>
      </c>
      <c r="AA90" s="12" t="str">
        <f>if(vlookup(B:B,'VDI208'!B25:F8532,5,false)="","Y","N")</f>
        <v>N</v>
      </c>
      <c r="AB90" s="76" t="str">
        <f>if(vlookup(B:B,'STO2206'!B25:F8532,5,false)="","Y","N")</f>
        <v>Y</v>
      </c>
    </row>
    <row r="91" hidden="1">
      <c r="A91" s="67" t="str">
        <f t="shared" si="2"/>
        <v>Tue</v>
      </c>
      <c r="B91" s="69">
        <v>43536.0</v>
      </c>
      <c r="C91" s="12"/>
      <c r="D91" s="12"/>
      <c r="E91" s="12"/>
      <c r="F91" s="12" t="str">
        <f>if(vlookup(B:B,'ILC1211'!$B94:F8533,5,false)="","Y","N")</f>
        <v>N</v>
      </c>
      <c r="G91" s="12"/>
      <c r="H91" s="12" t="str">
        <f>if(vlookup(B:B,'ILC1314'!$B20:G833,5,false)="","Y","N")</f>
        <v>N</v>
      </c>
      <c r="I91" s="12" t="str">
        <f>if(vlookup(B:B,'ILC1404'!B94:F8256,5,false)="","Y","N")</f>
        <v>N</v>
      </c>
      <c r="J91" s="12" t="str">
        <f>if(vlookup(B:B,'ILC2203'!B57:F8256,5,false)="","Y","N")</f>
        <v>Y</v>
      </c>
      <c r="K91" s="12" t="str">
        <f>if(vlookup(B:B,'ILC2206'!B42:H370,5,false)="","Y","N")</f>
        <v>N</v>
      </c>
      <c r="L91" s="12" t="str">
        <f>if(vlookup(B:B,'ILC2303'!B94:F8533,5,false)="","Y","N")</f>
        <v>N</v>
      </c>
      <c r="M91" s="12" t="str">
        <f>if(vlookup(B:B,'ILC2307'!B94:F9049,5,false)="","Y","N")</f>
        <v>N</v>
      </c>
      <c r="N91" s="12" t="str">
        <f>if(vlookup(B:B,'ILC2313'!B94:F8688,5,false)="","Y","N")</f>
        <v>N</v>
      </c>
      <c r="O91" s="12" t="str">
        <f>if(vlookup(B:B,'ILC2412'!B94:F8533,5,false)="","Y","N")</f>
        <v>N</v>
      </c>
      <c r="P91" s="12" t="str">
        <f>if(vlookup(B:B,'ILC2413'!B94:F9031,5,false)="","Y","N")</f>
        <v>N</v>
      </c>
      <c r="Q91" s="12" t="str">
        <f>if(vlookup(B:B,'ILC3104'!B94:F8576,5,false)="","Y","N")</f>
        <v>N</v>
      </c>
      <c r="R91" s="12" t="str">
        <f>if(vlookup(B:B,'ILC3310'!B6:F8515,5,false)="","Y","N")</f>
        <v>#N/A</v>
      </c>
      <c r="S91" s="12" t="str">
        <f>if(vlookup(B:B,'ILC3312'!B94:F8533,5,false)="","Y","N")</f>
        <v>N</v>
      </c>
      <c r="T91" s="12" t="str">
        <f>if(vlookup(B:B,'ILC3413'!B63:F8458,5,false)="","Y","N")</f>
        <v>N</v>
      </c>
      <c r="U91" s="12" t="str">
        <f>if(vlookup(B:B,'ILC3415'!B91:F8483,5,false)="","Y","N")</f>
        <v>N</v>
      </c>
      <c r="V91" s="12" t="str">
        <f>if(vlookup(B:B,'ILC4406'!B26:F8452,5,false)="","Y","N")</f>
        <v>Y</v>
      </c>
      <c r="W91" s="12" t="str">
        <f>if(vlookup(B:B,'ILC4410'!B94:F8700,5,false)="","Y","N")</f>
        <v>N</v>
      </c>
      <c r="X91" s="12" t="str">
        <f>if(vlookup(B:B,'JBV455'!B94:F9040,5,false)="","Y","N")</f>
        <v>N</v>
      </c>
      <c r="Y91" s="12" t="str">
        <f>if(vlookup(B:B,'JBV462'!B94:F8533,5,false)="","Y","N")</f>
        <v>N</v>
      </c>
      <c r="Z91" s="12" t="str">
        <f>if(vlookup(B:B,'JBV464'!B94:F8533,5,false)="","Y","N")</f>
        <v>N</v>
      </c>
      <c r="AA91" s="12" t="str">
        <f>if(vlookup(B:B,'VDI208'!B26:F8533,5,false)="","Y","N")</f>
        <v>Y</v>
      </c>
      <c r="AB91" s="76" t="str">
        <f>if(vlookup(B:B,'STO2206'!B26:F8533,5,false)="","Y","N")</f>
        <v>Y</v>
      </c>
    </row>
    <row r="92" hidden="1">
      <c r="A92" s="67" t="str">
        <f t="shared" si="2"/>
        <v>Wed</v>
      </c>
      <c r="B92" s="69">
        <v>43537.0</v>
      </c>
      <c r="C92" s="12"/>
      <c r="D92" s="12"/>
      <c r="E92" s="12"/>
      <c r="F92" s="12" t="str">
        <f>if(vlookup(B:B,'ILC1211'!$B95:F8534,5,false)="","Y","N")</f>
        <v>N</v>
      </c>
      <c r="G92" s="12"/>
      <c r="H92" s="12" t="str">
        <f>if(vlookup(B:B,'ILC1314'!$B21:G834,5,false)="","Y","N")</f>
        <v>N</v>
      </c>
      <c r="I92" s="12" t="str">
        <f>if(vlookup(B:B,'ILC1404'!B95:F8257,5,false)="","Y","N")</f>
        <v>N</v>
      </c>
      <c r="J92" s="12" t="str">
        <f>if(vlookup(B:B,'ILC2203'!B58:F8257,5,false)="","Y","N")</f>
        <v>N</v>
      </c>
      <c r="K92" s="12" t="str">
        <f>if(vlookup(B:B,'ILC2206'!B43:H370,5,false)="","Y","N")</f>
        <v>N</v>
      </c>
      <c r="L92" s="12" t="str">
        <f>if(vlookup(B:B,'ILC2303'!B95:F8534,5,false)="","Y","N")</f>
        <v>N</v>
      </c>
      <c r="M92" s="12" t="str">
        <f>if(vlookup(B:B,'ILC2307'!B95:F9050,5,false)="","Y","N")</f>
        <v>N</v>
      </c>
      <c r="N92" s="12" t="str">
        <f>if(vlookup(B:B,'ILC2313'!B95:F8689,5,false)="","Y","N")</f>
        <v>N</v>
      </c>
      <c r="O92" s="12" t="str">
        <f>if(vlookup(B:B,'ILC2412'!B95:F8534,5,false)="","Y","N")</f>
        <v>N</v>
      </c>
      <c r="P92" s="12" t="str">
        <f>if(vlookup(B:B,'ILC2413'!B95:F9032,5,false)="","Y","N")</f>
        <v>N</v>
      </c>
      <c r="Q92" s="12" t="str">
        <f>if(vlookup(B:B,'ILC3104'!B95:F8577,5,false)="","Y","N")</f>
        <v>N</v>
      </c>
      <c r="R92" s="12" t="str">
        <f>if(vlookup(B:B,'ILC3310'!B6:F8516,5,false)="","Y","N")</f>
        <v>#N/A</v>
      </c>
      <c r="S92" s="12" t="str">
        <f>if(vlookup(B:B,'ILC3312'!B95:F8534,5,false)="","Y","N")</f>
        <v>N</v>
      </c>
      <c r="T92" s="12" t="str">
        <f>if(vlookup(B:B,'ILC3413'!B64:F8459,5,false)="","Y","N")</f>
        <v>N</v>
      </c>
      <c r="U92" s="12" t="str">
        <f>if(vlookup(B:B,'ILC3415'!B92:F8484,5,false)="","Y","N")</f>
        <v>N</v>
      </c>
      <c r="V92" s="12" t="str">
        <f>if(vlookup(B:B,'ILC4406'!B27:F8453,5,false)="","Y","N")</f>
        <v>N</v>
      </c>
      <c r="W92" s="12" t="str">
        <f>if(vlookup(B:B,'ILC4410'!B95:F8701,5,false)="","Y","N")</f>
        <v>N</v>
      </c>
      <c r="X92" s="12" t="str">
        <f>if(vlookup(B:B,'JBV455'!B95:F9041,5,false)="","Y","N")</f>
        <v>N</v>
      </c>
      <c r="Y92" s="12" t="str">
        <f>if(vlookup(B:B,'JBV462'!B95:F8534,5,false)="","Y","N")</f>
        <v>N</v>
      </c>
      <c r="Z92" s="12" t="str">
        <f>if(vlookup(B:B,'JBV464'!B95:F8534,5,false)="","Y","N")</f>
        <v>N</v>
      </c>
      <c r="AA92" s="12" t="str">
        <f>if(vlookup(B:B,'VDI208'!B27:F8534,5,false)="","Y","N")</f>
        <v>Y</v>
      </c>
      <c r="AB92" s="76" t="str">
        <f>if(vlookup(B:B,'STO2206'!B27:F8534,5,false)="","Y","N")</f>
        <v>Y</v>
      </c>
    </row>
    <row r="93" hidden="1">
      <c r="A93" s="67" t="str">
        <f t="shared" si="2"/>
        <v>Thu</v>
      </c>
      <c r="B93" s="69">
        <v>43538.0</v>
      </c>
      <c r="C93" s="12"/>
      <c r="D93" s="12"/>
      <c r="E93" s="12"/>
      <c r="F93" s="12" t="str">
        <f>if(vlookup(B:B,'ILC1211'!$B96:F8535,5,false)="","Y","N")</f>
        <v>N</v>
      </c>
      <c r="G93" s="12"/>
      <c r="H93" s="12" t="str">
        <f>if(vlookup(B:B,'ILC1314'!$B22:G835,5,false)="","Y","N")</f>
        <v>N</v>
      </c>
      <c r="I93" s="12" t="str">
        <f>if(vlookup(B:B,'ILC1404'!B96:F8258,5,false)="","Y","N")</f>
        <v>N</v>
      </c>
      <c r="J93" s="12" t="str">
        <f>if(vlookup(B:B,'ILC2203'!B59:F8258,5,false)="","Y","N")</f>
        <v>Y</v>
      </c>
      <c r="K93" s="12" t="str">
        <f>if(vlookup(B:B,'ILC2206'!B44:H370,5,false)="","Y","N")</f>
        <v>N</v>
      </c>
      <c r="L93" s="12" t="str">
        <f>if(vlookup(B:B,'ILC2303'!B96:F8535,5,false)="","Y","N")</f>
        <v>N</v>
      </c>
      <c r="M93" s="12" t="str">
        <f>if(vlookup(B:B,'ILC2307'!B96:F9051,5,false)="","Y","N")</f>
        <v>Y</v>
      </c>
      <c r="N93" s="12" t="str">
        <f>if(vlookup(B:B,'ILC2313'!B96:F8690,5,false)="","Y","N")</f>
        <v>N</v>
      </c>
      <c r="O93" s="12" t="str">
        <f>if(vlookup(B:B,'ILC2412'!B96:F8535,5,false)="","Y","N")</f>
        <v>N</v>
      </c>
      <c r="P93" s="12" t="str">
        <f>if(vlookup(B:B,'ILC2413'!B96:F9033,5,false)="","Y","N")</f>
        <v>N</v>
      </c>
      <c r="Q93" s="12" t="str">
        <f>if(vlookup(B:B,'ILC3104'!B96:F8578,5,false)="","Y","N")</f>
        <v>N</v>
      </c>
      <c r="R93" s="12" t="str">
        <f>if(vlookup(B:B,'ILC3310'!B6:F8517,5,false)="","Y","N")</f>
        <v>#N/A</v>
      </c>
      <c r="S93" s="12" t="str">
        <f>if(vlookup(B:B,'ILC3312'!B96:F8535,5,false)="","Y","N")</f>
        <v>N</v>
      </c>
      <c r="T93" s="12" t="str">
        <f>if(vlookup(B:B,'ILC3413'!B65:F8460,5,false)="","Y","N")</f>
        <v>N</v>
      </c>
      <c r="U93" s="12" t="str">
        <f>if(vlookup(B:B,'ILC3415'!B93:F8485,5,false)="","Y","N")</f>
        <v>N</v>
      </c>
      <c r="V93" s="12" t="str">
        <f>if(vlookup(B:B,'ILC4406'!B28:F8454,5,false)="","Y","N")</f>
        <v>N</v>
      </c>
      <c r="W93" s="12" t="str">
        <f>if(vlookup(B:B,'ILC4410'!B96:F8702,5,false)="","Y","N")</f>
        <v>N</v>
      </c>
      <c r="X93" s="12" t="str">
        <f>if(vlookup(B:B,'JBV455'!B96:F9042,5,false)="","Y","N")</f>
        <v>N</v>
      </c>
      <c r="Y93" s="12" t="str">
        <f>if(vlookup(B:B,'JBV462'!B96:F8535,5,false)="","Y","N")</f>
        <v>N</v>
      </c>
      <c r="Z93" s="12" t="str">
        <f>if(vlookup(B:B,'JBV464'!B96:F8535,5,false)="","Y","N")</f>
        <v>N</v>
      </c>
      <c r="AA93" s="12" t="str">
        <f>if(vlookup(B:B,'VDI208'!B28:F8535,5,false)="","Y","N")</f>
        <v>N</v>
      </c>
      <c r="AB93" s="76" t="str">
        <f>if(vlookup(B:B,'STO2206'!B28:F8535,5,false)="","Y","N")</f>
        <v>Y</v>
      </c>
    </row>
    <row r="94" hidden="1">
      <c r="A94" s="67" t="str">
        <f t="shared" si="2"/>
        <v>Fri</v>
      </c>
      <c r="B94" s="69">
        <v>43539.0</v>
      </c>
      <c r="C94" s="12"/>
      <c r="D94" s="12"/>
      <c r="E94" s="12"/>
      <c r="F94" s="12" t="str">
        <f>if(vlookup(B:B,'ILC1211'!$B97:F8536,5,false)="","Y","N")</f>
        <v>N</v>
      </c>
      <c r="G94" s="12"/>
      <c r="H94" s="12" t="str">
        <f>if(vlookup(B:B,'ILC1314'!$B23:G836,5,false)="","Y","N")</f>
        <v>N</v>
      </c>
      <c r="I94" s="12" t="str">
        <f>if(vlookup(B:B,'ILC1404'!B97:F8259,5,false)="","Y","N")</f>
        <v>N</v>
      </c>
      <c r="J94" s="12" t="str">
        <f>if(vlookup(B:B,'ILC2203'!B60:F8259,5,false)="","Y","N")</f>
        <v>Y</v>
      </c>
      <c r="K94" s="12" t="str">
        <f>if(vlookup(B:B,'ILC2206'!B45:H370,5,false)="","Y","N")</f>
        <v>N</v>
      </c>
      <c r="L94" s="12" t="str">
        <f>if(vlookup(B:B,'ILC2303'!B97:F8536,5,false)="","Y","N")</f>
        <v>N</v>
      </c>
      <c r="M94" s="12" t="str">
        <f>if(vlookup(B:B,'ILC2307'!B97:F9052,5,false)="","Y","N")</f>
        <v>Y</v>
      </c>
      <c r="N94" s="12" t="str">
        <f>if(vlookup(B:B,'ILC2313'!B97:F8691,5,false)="","Y","N")</f>
        <v>N</v>
      </c>
      <c r="O94" s="12" t="str">
        <f>if(vlookup(B:B,'ILC2412'!B97:F8536,5,false)="","Y","N")</f>
        <v>N</v>
      </c>
      <c r="P94" s="12" t="str">
        <f>if(vlookup(B:B,'ILC2413'!B97:F9034,5,false)="","Y","N")</f>
        <v>N</v>
      </c>
      <c r="Q94" s="12" t="str">
        <f>if(vlookup(B:B,'ILC3104'!B97:F8579,5,false)="","Y","N")</f>
        <v>N</v>
      </c>
      <c r="R94" s="12" t="str">
        <f>if(vlookup(B:B,'ILC3310'!B6:F8518,5,false)="","Y","N")</f>
        <v>#N/A</v>
      </c>
      <c r="S94" s="12" t="str">
        <f>if(vlookup(B:B,'ILC3312'!B97:F8536,5,false)="","Y","N")</f>
        <v>N</v>
      </c>
      <c r="T94" s="12" t="str">
        <f>if(vlookup(B:B,'ILC3413'!B66:F8461,5,false)="","Y","N")</f>
        <v>N</v>
      </c>
      <c r="U94" s="12" t="str">
        <f>if(vlookup(B:B,'ILC3415'!B94:F8486,5,false)="","Y","N")</f>
        <v>N</v>
      </c>
      <c r="V94" s="12" t="str">
        <f>if(vlookup(B:B,'ILC4406'!B29:F8455,5,false)="","Y","N")</f>
        <v>N</v>
      </c>
      <c r="W94" s="12" t="str">
        <f>if(vlookup(B:B,'ILC4410'!B97:F8703,5,false)="","Y","N")</f>
        <v>N</v>
      </c>
      <c r="X94" s="12" t="str">
        <f>if(vlookup(B:B,'JBV455'!B97:F9043,5,false)="","Y","N")</f>
        <v>N</v>
      </c>
      <c r="Y94" s="12" t="str">
        <f>if(vlookup(B:B,'JBV462'!B97:F8536,5,false)="","Y","N")</f>
        <v>N</v>
      </c>
      <c r="Z94" s="12" t="str">
        <f>if(vlookup(B:B,'JBV464'!B97:F8536,5,false)="","Y","N")</f>
        <v>N</v>
      </c>
      <c r="AA94" s="12" t="str">
        <f>if(vlookup(B:B,'VDI208'!B29:F8536,5,false)="","Y","N")</f>
        <v>N</v>
      </c>
      <c r="AB94" s="76" t="str">
        <f>if(vlookup(B:B,'STO2206'!B29:F8536,5,false)="","Y","N")</f>
        <v>Y</v>
      </c>
    </row>
    <row r="95" hidden="1">
      <c r="A95" s="67" t="str">
        <f t="shared" si="2"/>
        <v>Sat</v>
      </c>
      <c r="B95" s="69">
        <v>43540.0</v>
      </c>
      <c r="C95" s="12"/>
      <c r="D95" s="12"/>
      <c r="E95" s="12"/>
      <c r="F95" s="12" t="str">
        <f>if(vlookup(B:B,'ILC1211'!$B98:F8537,5,false)="","Y","N")</f>
        <v>N</v>
      </c>
      <c r="G95" s="12"/>
      <c r="H95" s="12" t="str">
        <f>if(vlookup(B:B,'ILC1314'!$B24:G837,5,false)="","Y","N")</f>
        <v>N</v>
      </c>
      <c r="I95" s="12" t="str">
        <f>if(vlookup(B:B,'ILC1404'!B98:F8260,5,false)="","Y","N")</f>
        <v>N</v>
      </c>
      <c r="J95" s="12" t="str">
        <f>if(vlookup(B:B,'ILC2203'!B61:F8260,5,false)="","Y","N")</f>
        <v>N</v>
      </c>
      <c r="K95" s="12" t="str">
        <f>if(vlookup(B:B,'ILC2206'!B46:H370,5,false)="","Y","N")</f>
        <v>N</v>
      </c>
      <c r="L95" s="12" t="str">
        <f>if(vlookup(B:B,'ILC2303'!B98:F8537,5,false)="","Y","N")</f>
        <v>N</v>
      </c>
      <c r="M95" s="12" t="str">
        <f>if(vlookup(B:B,'ILC2307'!B98:F9053,5,false)="","Y","N")</f>
        <v>N</v>
      </c>
      <c r="N95" s="12" t="str">
        <f>if(vlookup(B:B,'ILC2313'!B98:F8692,5,false)="","Y","N")</f>
        <v>N</v>
      </c>
      <c r="O95" s="12" t="str">
        <f>if(vlookup(B:B,'ILC2412'!B98:F8537,5,false)="","Y","N")</f>
        <v>N</v>
      </c>
      <c r="P95" s="12" t="str">
        <f>if(vlookup(B:B,'ILC2413'!B98:F9035,5,false)="","Y","N")</f>
        <v>N</v>
      </c>
      <c r="Q95" s="12" t="str">
        <f>if(vlookup(B:B,'ILC3104'!B98:F8580,5,false)="","Y","N")</f>
        <v>N</v>
      </c>
      <c r="R95" s="12" t="str">
        <f>if(vlookup(B:B,'ILC3310'!B6:F8519,5,false)="","Y","N")</f>
        <v>#N/A</v>
      </c>
      <c r="S95" s="12" t="str">
        <f>if(vlookup(B:B,'ILC3312'!B98:F8537,5,false)="","Y","N")</f>
        <v>N</v>
      </c>
      <c r="T95" s="12" t="str">
        <f>if(vlookup(B:B,'ILC3413'!B67:F8462,5,false)="","Y","N")</f>
        <v>N</v>
      </c>
      <c r="U95" s="12" t="str">
        <f>if(vlookup(B:B,'ILC3415'!B95:F8487,5,false)="","Y","N")</f>
        <v>N</v>
      </c>
      <c r="V95" s="12" t="str">
        <f>if(vlookup(B:B,'ILC4406'!B30:F8456,5,false)="","Y","N")</f>
        <v>N</v>
      </c>
      <c r="W95" s="12" t="str">
        <f>if(vlookup(B:B,'ILC4410'!B98:F8704,5,false)="","Y","N")</f>
        <v>N</v>
      </c>
      <c r="X95" s="12" t="str">
        <f>if(vlookup(B:B,'JBV455'!B98:F9044,5,false)="","Y","N")</f>
        <v>N</v>
      </c>
      <c r="Y95" s="12" t="str">
        <f>if(vlookup(B:B,'JBV462'!B98:F8537,5,false)="","Y","N")</f>
        <v>N</v>
      </c>
      <c r="Z95" s="12" t="str">
        <f>if(vlookup(B:B,'JBV464'!B98:F8537,5,false)="","Y","N")</f>
        <v>N</v>
      </c>
      <c r="AA95" s="12" t="str">
        <f>if(vlookup(B:B,'VDI208'!B30:F8537,5,false)="","Y","N")</f>
        <v>N</v>
      </c>
      <c r="AB95" s="76" t="str">
        <f>if(vlookup(B:B,'STO2206'!B30:F8537,5,false)="","Y","N")</f>
        <v>Y</v>
      </c>
    </row>
    <row r="96" hidden="1">
      <c r="A96" s="67" t="str">
        <f t="shared" si="2"/>
        <v>Sun</v>
      </c>
      <c r="B96" s="69">
        <v>43541.0</v>
      </c>
      <c r="C96" s="12"/>
      <c r="D96" s="12"/>
      <c r="E96" s="12"/>
      <c r="F96" s="12" t="str">
        <f>if(vlookup(B:B,'ILC1211'!$B99:F8538,5,false)="","Y","N")</f>
        <v>N</v>
      </c>
      <c r="G96" s="12"/>
      <c r="H96" s="12" t="str">
        <f>if(vlookup(B:B,'ILC1314'!$B25:G838,5,false)="","Y","N")</f>
        <v>N</v>
      </c>
      <c r="I96" s="12" t="str">
        <f>if(vlookup(B:B,'ILC1404'!B99:F8261,5,false)="","Y","N")</f>
        <v>N</v>
      </c>
      <c r="J96" s="12" t="str">
        <f>if(vlookup(B:B,'ILC2203'!B62:F8261,5,false)="","Y","N")</f>
        <v>N</v>
      </c>
      <c r="K96" s="12" t="str">
        <f>if(vlookup(B:B,'ILC2206'!B47:H370,5,false)="","Y","N")</f>
        <v>N</v>
      </c>
      <c r="L96" s="12" t="str">
        <f>if(vlookup(B:B,'ILC2303'!B99:F8538,5,false)="","Y","N")</f>
        <v>N</v>
      </c>
      <c r="M96" s="12" t="str">
        <f>if(vlookup(B:B,'ILC2307'!B99:F9054,5,false)="","Y","N")</f>
        <v>N</v>
      </c>
      <c r="N96" s="12" t="str">
        <f>if(vlookup(B:B,'ILC2313'!B99:F8693,5,false)="","Y","N")</f>
        <v>N</v>
      </c>
      <c r="O96" s="12" t="str">
        <f>if(vlookup(B:B,'ILC2412'!B99:F8538,5,false)="","Y","N")</f>
        <v>N</v>
      </c>
      <c r="P96" s="12" t="str">
        <f>if(vlookup(B:B,'ILC2413'!B99:F9036,5,false)="","Y","N")</f>
        <v>N</v>
      </c>
      <c r="Q96" s="12" t="str">
        <f>if(vlookup(B:B,'ILC3104'!B99:F8581,5,false)="","Y","N")</f>
        <v>N</v>
      </c>
      <c r="R96" s="12" t="str">
        <f>if(vlookup(B:B,'ILC3310'!B6:F8520,5,false)="","Y","N")</f>
        <v>#N/A</v>
      </c>
      <c r="S96" s="12" t="str">
        <f>if(vlookup(B:B,'ILC3312'!B99:F8538,5,false)="","Y","N")</f>
        <v>N</v>
      </c>
      <c r="T96" s="12" t="str">
        <f>if(vlookup(B:B,'ILC3413'!B68:F8463,5,false)="","Y","N")</f>
        <v>N</v>
      </c>
      <c r="U96" s="12" t="str">
        <f>if(vlookup(B:B,'ILC3415'!B96:F8488,5,false)="","Y","N")</f>
        <v>N</v>
      </c>
      <c r="V96" s="12" t="str">
        <f>if(vlookup(B:B,'ILC4406'!B31:F8457,5,false)="","Y","N")</f>
        <v>N</v>
      </c>
      <c r="W96" s="12" t="str">
        <f>if(vlookup(B:B,'ILC4410'!B99:F8705,5,false)="","Y","N")</f>
        <v>N</v>
      </c>
      <c r="X96" s="12" t="str">
        <f>if(vlookup(B:B,'JBV455'!B99:F9045,5,false)="","Y","N")</f>
        <v>N</v>
      </c>
      <c r="Y96" s="12" t="str">
        <f>if(vlookup(B:B,'JBV462'!B99:F8538,5,false)="","Y","N")</f>
        <v>N</v>
      </c>
      <c r="Z96" s="12" t="str">
        <f>if(vlookup(B:B,'JBV464'!B99:F8538,5,false)="","Y","N")</f>
        <v>N</v>
      </c>
      <c r="AA96" s="12" t="str">
        <f>if(vlookup(B:B,'VDI208'!B31:F8538,5,false)="","Y","N")</f>
        <v>N</v>
      </c>
      <c r="AB96" s="76" t="str">
        <f>if(vlookup(B:B,'STO2206'!B31:F8538,5,false)="","Y","N")</f>
        <v>Y</v>
      </c>
    </row>
    <row r="97" hidden="1">
      <c r="A97" s="67" t="str">
        <f t="shared" si="2"/>
        <v>Mon</v>
      </c>
      <c r="B97" s="69">
        <v>43542.0</v>
      </c>
      <c r="C97" s="12"/>
      <c r="D97" s="12"/>
      <c r="E97" s="12"/>
      <c r="F97" s="12" t="str">
        <f>if(vlookup(B:B,'ILC1211'!$B100:F8539,5,false)="","Y","N")</f>
        <v>N</v>
      </c>
      <c r="G97" s="12"/>
      <c r="H97" s="12" t="str">
        <f>if(vlookup(B:B,'ILC1314'!$B26:G839,5,false)="","Y","N")</f>
        <v>N</v>
      </c>
      <c r="I97" s="12" t="str">
        <f>if(vlookup(B:B,'ILC1404'!B100:F8262,5,false)="","Y","N")</f>
        <v>N</v>
      </c>
      <c r="J97" s="12" t="str">
        <f>if(vlookup(B:B,'ILC2203'!B63:F8262,5,false)="","Y","N")</f>
        <v>N</v>
      </c>
      <c r="K97" s="12" t="str">
        <f>if(vlookup(B:B,'ILC2206'!B48:H370,5,false)="","Y","N")</f>
        <v>N</v>
      </c>
      <c r="L97" s="12" t="str">
        <f>if(vlookup(B:B,'ILC2303'!B100:F8539,5,false)="","Y","N")</f>
        <v>N</v>
      </c>
      <c r="M97" s="12" t="str">
        <f>if(vlookup(B:B,'ILC2307'!B100:F9055,5,false)="","Y","N")</f>
        <v>N</v>
      </c>
      <c r="N97" s="12" t="str">
        <f>if(vlookup(B:B,'ILC2313'!B100:F8694,5,false)="","Y","N")</f>
        <v>N</v>
      </c>
      <c r="O97" s="12" t="str">
        <f>if(vlookup(B:B,'ILC2412'!B100:F8539,5,false)="","Y","N")</f>
        <v>N</v>
      </c>
      <c r="P97" s="12" t="str">
        <f>if(vlookup(B:B,'ILC2413'!B100:F9037,5,false)="","Y","N")</f>
        <v>N</v>
      </c>
      <c r="Q97" s="12" t="str">
        <f>if(vlookup(B:B,'ILC3104'!B100:F8582,5,false)="","Y","N")</f>
        <v>N</v>
      </c>
      <c r="R97" s="12" t="str">
        <f>if(vlookup(B:B,'ILC3310'!B6:F8521,5,false)="","Y","N")</f>
        <v>#N/A</v>
      </c>
      <c r="S97" s="12" t="str">
        <f>if(vlookup(B:B,'ILC3312'!B100:F8539,5,false)="","Y","N")</f>
        <v>N</v>
      </c>
      <c r="T97" s="12" t="str">
        <f>if(vlookup(B:B,'ILC3413'!B69:F8464,5,false)="","Y","N")</f>
        <v>N</v>
      </c>
      <c r="U97" s="12" t="str">
        <f>if(vlookup(B:B,'ILC3415'!B97:F8489,5,false)="","Y","N")</f>
        <v>N</v>
      </c>
      <c r="V97" s="12" t="str">
        <f>if(vlookup(B:B,'ILC4406'!B32:F8458,5,false)="","Y","N")</f>
        <v>Y</v>
      </c>
      <c r="W97" s="12" t="str">
        <f>if(vlookup(B:B,'ILC4410'!B100:F8706,5,false)="","Y","N")</f>
        <v>N</v>
      </c>
      <c r="X97" s="12" t="str">
        <f>if(vlookup(B:B,'JBV455'!B100:F9046,5,false)="","Y","N")</f>
        <v>N</v>
      </c>
      <c r="Y97" s="12" t="str">
        <f>if(vlookup(B:B,'JBV462'!B100:F8539,5,false)="","Y","N")</f>
        <v>N</v>
      </c>
      <c r="Z97" s="12" t="str">
        <f>if(vlookup(B:B,'JBV464'!B100:F8539,5,false)="","Y","N")</f>
        <v>N</v>
      </c>
      <c r="AA97" s="12" t="str">
        <f>if(vlookup(B:B,'VDI208'!B32:F8539,5,false)="","Y","N")</f>
        <v>N</v>
      </c>
      <c r="AB97" s="76" t="str">
        <f>if(vlookup(B:B,'STO2206'!B32:F8539,5,false)="","Y","N")</f>
        <v>Y</v>
      </c>
    </row>
    <row r="98" hidden="1">
      <c r="A98" s="67" t="str">
        <f t="shared" si="2"/>
        <v>Tue</v>
      </c>
      <c r="B98" s="69">
        <v>43543.0</v>
      </c>
      <c r="C98" s="12"/>
      <c r="D98" s="12"/>
      <c r="E98" s="12"/>
      <c r="F98" s="12" t="str">
        <f>if(vlookup(B:B,'ILC1211'!$B101:F8540,5,false)="","Y","N")</f>
        <v>N</v>
      </c>
      <c r="G98" s="12"/>
      <c r="H98" s="12" t="str">
        <f>if(vlookup(B:B,'ILC1314'!$B27:G840,5,false)="","Y","N")</f>
        <v>N</v>
      </c>
      <c r="I98" s="12" t="str">
        <f>if(vlookup(B:B,'ILC1404'!B101:F8263,5,false)="","Y","N")</f>
        <v>N</v>
      </c>
      <c r="J98" s="12" t="str">
        <f>if(vlookup(B:B,'ILC2203'!B64:F8263,5,false)="","Y","N")</f>
        <v>Y</v>
      </c>
      <c r="K98" s="12" t="str">
        <f>if(vlookup(B:B,'ILC2206'!B49:H370,5,false)="","Y","N")</f>
        <v>N</v>
      </c>
      <c r="L98" s="12" t="str">
        <f>if(vlookup(B:B,'ILC2303'!B101:F8540,5,false)="","Y","N")</f>
        <v>N</v>
      </c>
      <c r="M98" s="12" t="str">
        <f>if(vlookup(B:B,'ILC2307'!B101:F9056,5,false)="","Y","N")</f>
        <v>N</v>
      </c>
      <c r="N98" s="12" t="str">
        <f>if(vlookup(B:B,'ILC2313'!B101:F8695,5,false)="","Y","N")</f>
        <v>N</v>
      </c>
      <c r="O98" s="12" t="str">
        <f>if(vlookup(B:B,'ILC2412'!B101:F8540,5,false)="","Y","N")</f>
        <v>N</v>
      </c>
      <c r="P98" s="12" t="str">
        <f>if(vlookup(B:B,'ILC2413'!B101:F9038,5,false)="","Y","N")</f>
        <v>N</v>
      </c>
      <c r="Q98" s="12" t="str">
        <f>if(vlookup(B:B,'ILC3104'!B101:F8583,5,false)="","Y","N")</f>
        <v>N</v>
      </c>
      <c r="R98" s="12" t="str">
        <f>if(vlookup(B:B,'ILC3310'!B6:F8522,5,false)="","Y","N")</f>
        <v>#N/A</v>
      </c>
      <c r="S98" s="12" t="str">
        <f>if(vlookup(B:B,'ILC3312'!B101:F8540,5,false)="","Y","N")</f>
        <v>N</v>
      </c>
      <c r="T98" s="12" t="str">
        <f>if(vlookup(B:B,'ILC3413'!B70:F8465,5,false)="","Y","N")</f>
        <v>N</v>
      </c>
      <c r="U98" s="12" t="str">
        <f>if(vlookup(B:B,'ILC3415'!B98:F8490,5,false)="","Y","N")</f>
        <v>N</v>
      </c>
      <c r="V98" s="12" t="str">
        <f>if(vlookup(B:B,'ILC4406'!B33:F8459,5,false)="","Y","N")</f>
        <v>Y</v>
      </c>
      <c r="W98" s="12" t="str">
        <f>if(vlookup(B:B,'ILC4410'!B101:F8707,5,false)="","Y","N")</f>
        <v>N</v>
      </c>
      <c r="X98" s="12" t="str">
        <f>if(vlookup(B:B,'JBV455'!B101:F9047,5,false)="","Y","N")</f>
        <v>N</v>
      </c>
      <c r="Y98" s="12" t="str">
        <f>if(vlookup(B:B,'JBV462'!B101:F8540,5,false)="","Y","N")</f>
        <v>N</v>
      </c>
      <c r="Z98" s="12" t="str">
        <f>if(vlookup(B:B,'JBV464'!B101:F8540,5,false)="","Y","N")</f>
        <v>N</v>
      </c>
      <c r="AA98" s="12" t="str">
        <f>if(vlookup(B:B,'VDI208'!B33:F8540,5,false)="","Y","N")</f>
        <v>N</v>
      </c>
      <c r="AB98" s="76" t="str">
        <f>if(vlookup(B:B,'STO2206'!B33:F8540,5,false)="","Y","N")</f>
        <v>Y</v>
      </c>
    </row>
    <row r="99" hidden="1">
      <c r="A99" s="67" t="str">
        <f t="shared" si="2"/>
        <v>Wed</v>
      </c>
      <c r="B99" s="69">
        <v>43544.0</v>
      </c>
      <c r="C99" s="12"/>
      <c r="D99" s="12"/>
      <c r="E99" s="12"/>
      <c r="F99" s="12" t="str">
        <f>if(vlookup(B:B,'ILC1211'!$B102:F8541,5,false)="","Y","N")</f>
        <v>N</v>
      </c>
      <c r="G99" s="12"/>
      <c r="H99" s="12" t="str">
        <f>if(vlookup(B:B,'ILC1314'!$B28:G841,5,false)="","Y","N")</f>
        <v>N</v>
      </c>
      <c r="I99" s="12" t="str">
        <f>if(vlookup(B:B,'ILC1404'!B102:F8264,5,false)="","Y","N")</f>
        <v>N</v>
      </c>
      <c r="J99" s="12" t="str">
        <f>if(vlookup(B:B,'ILC2203'!B65:F8264,5,false)="","Y","N")</f>
        <v>N</v>
      </c>
      <c r="K99" s="12" t="str">
        <f>if(vlookup(B:B,'ILC2206'!B50:H370,5,false)="","Y","N")</f>
        <v>N</v>
      </c>
      <c r="L99" s="12" t="str">
        <f>if(vlookup(B:B,'ILC2303'!B102:F8541,5,false)="","Y","N")</f>
        <v>N</v>
      </c>
      <c r="M99" s="12" t="str">
        <f>if(vlookup(B:B,'ILC2307'!B102:F9057,5,false)="","Y","N")</f>
        <v>N</v>
      </c>
      <c r="N99" s="12" t="str">
        <f>if(vlookup(B:B,'ILC2313'!B102:F8696,5,false)="","Y","N")</f>
        <v>N</v>
      </c>
      <c r="O99" s="12" t="str">
        <f>if(vlookup(B:B,'ILC2412'!B102:F8541,5,false)="","Y","N")</f>
        <v>N</v>
      </c>
      <c r="P99" s="12" t="str">
        <f>if(vlookup(B:B,'ILC2413'!B102:F9039,5,false)="","Y","N")</f>
        <v>N</v>
      </c>
      <c r="Q99" s="12" t="str">
        <f>if(vlookup(B:B,'ILC3104'!B102:F8584,5,false)="","Y","N")</f>
        <v>N</v>
      </c>
      <c r="R99" s="12" t="str">
        <f>if(vlookup(B:B,'ILC3310'!B6:F8523,5,false)="","Y","N")</f>
        <v>#N/A</v>
      </c>
      <c r="S99" s="12" t="str">
        <f>if(vlookup(B:B,'ILC3312'!B102:F8541,5,false)="","Y","N")</f>
        <v>N</v>
      </c>
      <c r="T99" s="12" t="str">
        <f>if(vlookup(B:B,'ILC3413'!B71:F8466,5,false)="","Y","N")</f>
        <v>N</v>
      </c>
      <c r="U99" s="12" t="str">
        <f>if(vlookup(B:B,'ILC3415'!B99:F8491,5,false)="","Y","N")</f>
        <v>N</v>
      </c>
      <c r="V99" s="12" t="str">
        <f>if(vlookup(B:B,'ILC4406'!B34:F8460,5,false)="","Y","N")</f>
        <v>Y</v>
      </c>
      <c r="W99" s="12" t="str">
        <f>if(vlookup(B:B,'ILC4410'!B102:F8708,5,false)="","Y","N")</f>
        <v>N</v>
      </c>
      <c r="X99" s="12" t="str">
        <f>if(vlookup(B:B,'JBV455'!B102:F9048,5,false)="","Y","N")</f>
        <v>N</v>
      </c>
      <c r="Y99" s="12" t="str">
        <f>if(vlookup(B:B,'JBV462'!B102:F8541,5,false)="","Y","N")</f>
        <v>N</v>
      </c>
      <c r="Z99" s="12" t="str">
        <f>if(vlookup(B:B,'JBV464'!B102:F8541,5,false)="","Y","N")</f>
        <v>N</v>
      </c>
      <c r="AA99" s="12" t="str">
        <f>if(vlookup(B:B,'VDI208'!B34:F8541,5,false)="","Y","N")</f>
        <v>N</v>
      </c>
      <c r="AB99" s="76" t="str">
        <f>if(vlookup(B:B,'STO2206'!B34:F8541,5,false)="","Y","N")</f>
        <v>Y</v>
      </c>
    </row>
    <row r="100" hidden="1">
      <c r="A100" s="67" t="str">
        <f t="shared" si="2"/>
        <v>Thu</v>
      </c>
      <c r="B100" s="69">
        <v>43545.0</v>
      </c>
      <c r="C100" s="12"/>
      <c r="D100" s="12"/>
      <c r="E100" s="12"/>
      <c r="F100" s="12" t="str">
        <f>if(vlookup(B:B,'ILC1211'!$B103:F8542,5,false)="","Y","N")</f>
        <v>N</v>
      </c>
      <c r="G100" s="12"/>
      <c r="H100" s="12" t="str">
        <f>if(vlookup(B:B,'ILC1314'!$B29:G842,5,false)="","Y","N")</f>
        <v>N</v>
      </c>
      <c r="I100" s="12" t="str">
        <f>if(vlookup(B:B,'ILC1404'!B103:F8265,5,false)="","Y","N")</f>
        <v>N</v>
      </c>
      <c r="J100" s="12" t="str">
        <f>if(vlookup(B:B,'ILC2203'!B66:F8265,5,false)="","Y","N")</f>
        <v>N</v>
      </c>
      <c r="K100" s="12" t="str">
        <f>if(vlookup(B:B,'ILC2206'!B51:H370,5,false)="","Y","N")</f>
        <v>N</v>
      </c>
      <c r="L100" s="12" t="str">
        <f>if(vlookup(B:B,'ILC2303'!B103:F8542,5,false)="","Y","N")</f>
        <v>N</v>
      </c>
      <c r="M100" s="12" t="str">
        <f>if(vlookup(B:B,'ILC2307'!B103:F9058,5,false)="","Y","N")</f>
        <v>N</v>
      </c>
      <c r="N100" s="12" t="str">
        <f>if(vlookup(B:B,'ILC2313'!B103:F8697,5,false)="","Y","N")</f>
        <v>N</v>
      </c>
      <c r="O100" s="12" t="str">
        <f>if(vlookup(B:B,'ILC2412'!B103:F8542,5,false)="","Y","N")</f>
        <v>N</v>
      </c>
      <c r="P100" s="12" t="str">
        <f>if(vlookup(B:B,'ILC2413'!B103:F9040,5,false)="","Y","N")</f>
        <v>N</v>
      </c>
      <c r="Q100" s="12" t="str">
        <f>if(vlookup(B:B,'ILC3104'!B103:F8585,5,false)="","Y","N")</f>
        <v>N</v>
      </c>
      <c r="R100" s="12" t="str">
        <f>if(vlookup(B:B,'ILC3310'!B6:F8524,5,false)="","Y","N")</f>
        <v>#N/A</v>
      </c>
      <c r="S100" s="12" t="str">
        <f>if(vlookup(B:B,'ILC3312'!B103:F8542,5,false)="","Y","N")</f>
        <v>N</v>
      </c>
      <c r="T100" s="12" t="str">
        <f>if(vlookup(B:B,'ILC3413'!B72:F8467,5,false)="","Y","N")</f>
        <v>N</v>
      </c>
      <c r="U100" s="12" t="str">
        <f>if(vlookup(B:B,'ILC3415'!B100:F8492,5,false)="","Y","N")</f>
        <v>N</v>
      </c>
      <c r="V100" s="12" t="str">
        <f>if(vlookup(B:B,'ILC4406'!B35:F8461,5,false)="","Y","N")</f>
        <v>Y</v>
      </c>
      <c r="W100" s="12" t="str">
        <f>if(vlookup(B:B,'ILC4410'!B103:F8709,5,false)="","Y","N")</f>
        <v>N</v>
      </c>
      <c r="X100" s="12" t="str">
        <f>if(vlookup(B:B,'JBV455'!B103:F9049,5,false)="","Y","N")</f>
        <v>N</v>
      </c>
      <c r="Y100" s="12" t="str">
        <f>if(vlookup(B:B,'JBV462'!B103:F8542,5,false)="","Y","N")</f>
        <v>N</v>
      </c>
      <c r="Z100" s="12" t="str">
        <f>if(vlookup(B:B,'JBV464'!B103:F8542,5,false)="","Y","N")</f>
        <v>N</v>
      </c>
      <c r="AA100" s="12" t="str">
        <f>if(vlookup(B:B,'VDI208'!B35:F8542,5,false)="","Y","N")</f>
        <v>N</v>
      </c>
      <c r="AB100" s="76" t="str">
        <f>if(vlookup(B:B,'STO2206'!B35:F8542,5,false)="","Y","N")</f>
        <v>Y</v>
      </c>
    </row>
    <row r="101" hidden="1">
      <c r="A101" s="67" t="str">
        <f t="shared" si="2"/>
        <v>Fri</v>
      </c>
      <c r="B101" s="69">
        <v>43546.0</v>
      </c>
      <c r="C101" s="12"/>
      <c r="D101" s="12"/>
      <c r="E101" s="12"/>
      <c r="F101" s="12" t="str">
        <f>if(vlookup(B:B,'ILC1211'!$B104:F8543,5,false)="","Y","N")</f>
        <v>N</v>
      </c>
      <c r="G101" s="12"/>
      <c r="H101" s="12" t="str">
        <f>if(vlookup(B:B,'ILC1314'!$B30:G843,5,false)="","Y","N")</f>
        <v>N</v>
      </c>
      <c r="I101" s="12" t="str">
        <f>if(vlookup(B:B,'ILC1404'!B104:F8266,5,false)="","Y","N")</f>
        <v>N</v>
      </c>
      <c r="J101" s="12" t="str">
        <f>if(vlookup(B:B,'ILC2203'!B67:F8266,5,false)="","Y","N")</f>
        <v>N</v>
      </c>
      <c r="K101" s="12" t="str">
        <f>if(vlookup(B:B,'ILC2206'!B52:H370,5,false)="","Y","N")</f>
        <v>N</v>
      </c>
      <c r="L101" s="12" t="str">
        <f>if(vlookup(B:B,'ILC2303'!B104:F8543,5,false)="","Y","N")</f>
        <v>N</v>
      </c>
      <c r="M101" s="12" t="str">
        <f>if(vlookup(B:B,'ILC2307'!B104:F9059,5,false)="","Y","N")</f>
        <v>N</v>
      </c>
      <c r="N101" s="12" t="str">
        <f>if(vlookup(B:B,'ILC2313'!B104:F8698,5,false)="","Y","N")</f>
        <v>N</v>
      </c>
      <c r="O101" s="12" t="str">
        <f>if(vlookup(B:B,'ILC2412'!B104:F8543,5,false)="","Y","N")</f>
        <v>N</v>
      </c>
      <c r="P101" s="12" t="str">
        <f>if(vlookup(B:B,'ILC2413'!B104:F9041,5,false)="","Y","N")</f>
        <v>Y</v>
      </c>
      <c r="Q101" s="12" t="str">
        <f>if(vlookup(B:B,'ILC3104'!B104:F8586,5,false)="","Y","N")</f>
        <v>N</v>
      </c>
      <c r="R101" s="12" t="str">
        <f>if(vlookup(B:B,'ILC3310'!B6:F8525,5,false)="","Y","N")</f>
        <v>#N/A</v>
      </c>
      <c r="S101" s="12" t="str">
        <f>if(vlookup(B:B,'ILC3312'!B104:F8543,5,false)="","Y","N")</f>
        <v>N</v>
      </c>
      <c r="T101" s="12" t="str">
        <f>if(vlookup(B:B,'ILC3413'!B73:F8468,5,false)="","Y","N")</f>
        <v>N</v>
      </c>
      <c r="U101" s="12" t="str">
        <f>if(vlookup(B:B,'ILC3415'!B101:F8493,5,false)="","Y","N")</f>
        <v>N</v>
      </c>
      <c r="V101" s="12" t="str">
        <f>if(vlookup(B:B,'ILC4406'!B36:F8462,5,false)="","Y","N")</f>
        <v>Y</v>
      </c>
      <c r="W101" s="12" t="str">
        <f>if(vlookup(B:B,'ILC4410'!B104:F8710,5,false)="","Y","N")</f>
        <v>N</v>
      </c>
      <c r="X101" s="12" t="str">
        <f>if(vlookup(B:B,'JBV455'!B104:F9050,5,false)="","Y","N")</f>
        <v>N</v>
      </c>
      <c r="Y101" s="12" t="str">
        <f>if(vlookup(B:B,'JBV462'!B104:F8543,5,false)="","Y","N")</f>
        <v>N</v>
      </c>
      <c r="Z101" s="12" t="str">
        <f>if(vlookup(B:B,'JBV464'!B104:F8543,5,false)="","Y","N")</f>
        <v>Y</v>
      </c>
      <c r="AA101" s="12" t="str">
        <f>if(vlookup(B:B,'VDI208'!B36:F8543,5,false)="","Y","N")</f>
        <v>N</v>
      </c>
      <c r="AB101" s="76" t="str">
        <f>if(vlookup(B:B,'STO2206'!B36:F8543,5,false)="","Y","N")</f>
        <v>Y</v>
      </c>
    </row>
    <row r="102" hidden="1">
      <c r="A102" s="67" t="str">
        <f t="shared" si="2"/>
        <v>Sat</v>
      </c>
      <c r="B102" s="69">
        <v>43547.0</v>
      </c>
      <c r="C102" s="12"/>
      <c r="D102" s="12"/>
      <c r="E102" s="12"/>
      <c r="F102" s="12" t="str">
        <f>if(vlookup(B:B,'ILC1211'!$B105:F8544,5,false)="","Y","N")</f>
        <v>N</v>
      </c>
      <c r="G102" s="12"/>
      <c r="H102" s="12" t="str">
        <f>if(vlookup(B:B,'ILC1314'!$B31:G844,5,false)="","Y","N")</f>
        <v>N</v>
      </c>
      <c r="I102" s="12" t="str">
        <f>if(vlookup(B:B,'ILC1404'!B105:F8267,5,false)="","Y","N")</f>
        <v>N</v>
      </c>
      <c r="J102" s="12" t="str">
        <f>if(vlookup(B:B,'ILC2203'!B68:F8267,5,false)="","Y","N")</f>
        <v>N</v>
      </c>
      <c r="K102" s="12" t="str">
        <f>if(vlookup(B:B,'ILC2206'!B53:H370,5,false)="","Y","N")</f>
        <v>N</v>
      </c>
      <c r="L102" s="12" t="str">
        <f>if(vlookup(B:B,'ILC2303'!B105:F8544,5,false)="","Y","N")</f>
        <v>N</v>
      </c>
      <c r="M102" s="12" t="str">
        <f>if(vlookup(B:B,'ILC2307'!B105:F9060,5,false)="","Y","N")</f>
        <v>N</v>
      </c>
      <c r="N102" s="12" t="str">
        <f>if(vlookup(B:B,'ILC2313'!B105:F8699,5,false)="","Y","N")</f>
        <v>N</v>
      </c>
      <c r="O102" s="12" t="str">
        <f>if(vlookup(B:B,'ILC2412'!B105:F8544,5,false)="","Y","N")</f>
        <v>N</v>
      </c>
      <c r="P102" s="12" t="str">
        <f>if(vlookup(B:B,'ILC2413'!B105:F9042,5,false)="","Y","N")</f>
        <v>N</v>
      </c>
      <c r="Q102" s="12" t="str">
        <f>if(vlookup(B:B,'ILC3104'!B105:F8587,5,false)="","Y","N")</f>
        <v>N</v>
      </c>
      <c r="R102" s="12" t="str">
        <f>if(vlookup(B:B,'ILC3310'!B6:F8526,5,false)="","Y","N")</f>
        <v>#N/A</v>
      </c>
      <c r="S102" s="12" t="str">
        <f>if(vlookup(B:B,'ILC3312'!B105:F8544,5,false)="","Y","N")</f>
        <v>N</v>
      </c>
      <c r="T102" s="12" t="str">
        <f>if(vlookup(B:B,'ILC3413'!B74:F8469,5,false)="","Y","N")</f>
        <v>N</v>
      </c>
      <c r="U102" s="12" t="str">
        <f>if(vlookup(B:B,'ILC3415'!B102:F8494,5,false)="","Y","N")</f>
        <v>N</v>
      </c>
      <c r="V102" s="12" t="str">
        <f>if(vlookup(B:B,'ILC4406'!B37:F8463,5,false)="","Y","N")</f>
        <v>N</v>
      </c>
      <c r="W102" s="12" t="str">
        <f>if(vlookup(B:B,'ILC4410'!B105:F8711,5,false)="","Y","N")</f>
        <v>N</v>
      </c>
      <c r="X102" s="12" t="str">
        <f>if(vlookup(B:B,'JBV455'!B105:F9051,5,false)="","Y","N")</f>
        <v>N</v>
      </c>
      <c r="Y102" s="12" t="str">
        <f>if(vlookup(B:B,'JBV462'!B105:F8544,5,false)="","Y","N")</f>
        <v>N</v>
      </c>
      <c r="Z102" s="12" t="str">
        <f>if(vlookup(B:B,'JBV464'!B105:F8544,5,false)="","Y","N")</f>
        <v>N</v>
      </c>
      <c r="AA102" s="12" t="str">
        <f>if(vlookup(B:B,'VDI208'!B37:F8544,5,false)="","Y","N")</f>
        <v>N</v>
      </c>
      <c r="AB102" s="76" t="str">
        <f>if(vlookup(B:B,'STO2206'!B37:F8544,5,false)="","Y","N")</f>
        <v>Y</v>
      </c>
    </row>
    <row r="103" hidden="1">
      <c r="A103" s="67" t="str">
        <f t="shared" si="2"/>
        <v>Sun</v>
      </c>
      <c r="B103" s="69">
        <v>43548.0</v>
      </c>
      <c r="C103" s="12"/>
      <c r="D103" s="12"/>
      <c r="E103" s="12"/>
      <c r="F103" s="12" t="str">
        <f>if(vlookup(B:B,'ILC1211'!$B106:F8545,5,false)="","Y","N")</f>
        <v>N</v>
      </c>
      <c r="G103" s="12"/>
      <c r="H103" s="12" t="str">
        <f>if(vlookup(B:B,'ILC1314'!$B32:G845,5,false)="","Y","N")</f>
        <v>N</v>
      </c>
      <c r="I103" s="12" t="str">
        <f>if(vlookup(B:B,'ILC1404'!B106:F8268,5,false)="","Y","N")</f>
        <v>N</v>
      </c>
      <c r="J103" s="12" t="str">
        <f>if(vlookup(B:B,'ILC2203'!B69:F8268,5,false)="","Y","N")</f>
        <v>N</v>
      </c>
      <c r="K103" s="12" t="str">
        <f>if(vlookup(B:B,'ILC2206'!B54:H370,5,false)="","Y","N")</f>
        <v>N</v>
      </c>
      <c r="L103" s="12" t="str">
        <f>if(vlookup(B:B,'ILC2303'!B106:F8545,5,false)="","Y","N")</f>
        <v>N</v>
      </c>
      <c r="M103" s="12" t="str">
        <f>if(vlookup(B:B,'ILC2307'!B106:F9061,5,false)="","Y","N")</f>
        <v>N</v>
      </c>
      <c r="N103" s="12" t="str">
        <f>if(vlookup(B:B,'ILC2313'!B106:F8700,5,false)="","Y","N")</f>
        <v>N</v>
      </c>
      <c r="O103" s="12" t="str">
        <f>if(vlookup(B:B,'ILC2412'!B106:F8545,5,false)="","Y","N")</f>
        <v>N</v>
      </c>
      <c r="P103" s="12" t="str">
        <f>if(vlookup(B:B,'ILC2413'!B106:F9043,5,false)="","Y","N")</f>
        <v>N</v>
      </c>
      <c r="Q103" s="12" t="str">
        <f>if(vlookup(B:B,'ILC3104'!B106:F8588,5,false)="","Y","N")</f>
        <v>N</v>
      </c>
      <c r="R103" s="12" t="str">
        <f>if(vlookup(B:B,'ILC3310'!B6:F8527,5,false)="","Y","N")</f>
        <v>#N/A</v>
      </c>
      <c r="S103" s="12" t="str">
        <f>if(vlookup(B:B,'ILC3312'!B106:F8545,5,false)="","Y","N")</f>
        <v>N</v>
      </c>
      <c r="T103" s="12" t="str">
        <f>if(vlookup(B:B,'ILC3413'!B75:F8470,5,false)="","Y","N")</f>
        <v>N</v>
      </c>
      <c r="U103" s="12" t="str">
        <f>if(vlookup(B:B,'ILC3415'!B103:F8495,5,false)="","Y","N")</f>
        <v>N</v>
      </c>
      <c r="V103" s="12" t="str">
        <f>if(vlookup(B:B,'ILC4406'!B38:F8464,5,false)="","Y","N")</f>
        <v>N</v>
      </c>
      <c r="W103" s="12" t="str">
        <f>if(vlookup(B:B,'ILC4410'!B106:F8712,5,false)="","Y","N")</f>
        <v>N</v>
      </c>
      <c r="X103" s="12" t="str">
        <f>if(vlookup(B:B,'JBV455'!B106:F9052,5,false)="","Y","N")</f>
        <v>Y</v>
      </c>
      <c r="Y103" s="12" t="str">
        <f>if(vlookup(B:B,'JBV462'!B106:F8545,5,false)="","Y","N")</f>
        <v>N</v>
      </c>
      <c r="Z103" s="12" t="str">
        <f>if(vlookup(B:B,'JBV464'!B106:F8545,5,false)="","Y","N")</f>
        <v>N</v>
      </c>
      <c r="AA103" s="12" t="str">
        <f>if(vlookup(B:B,'VDI208'!B38:F8545,5,false)="","Y","N")</f>
        <v>N</v>
      </c>
      <c r="AB103" s="76" t="str">
        <f>if(vlookup(B:B,'STO2206'!B38:F8545,5,false)="","Y","N")</f>
        <v>Y</v>
      </c>
    </row>
    <row r="104" hidden="1">
      <c r="A104" s="67" t="str">
        <f t="shared" si="2"/>
        <v>Mon</v>
      </c>
      <c r="B104" s="69">
        <v>43549.0</v>
      </c>
      <c r="C104" s="12"/>
      <c r="D104" s="12"/>
      <c r="E104" s="12"/>
      <c r="F104" s="12" t="str">
        <f>if(vlookup(B:B,'ILC1211'!$B107:F8546,5,false)="","Y","N")</f>
        <v>N</v>
      </c>
      <c r="G104" s="12"/>
      <c r="H104" s="12" t="str">
        <f>if(vlookup(B:B,'ILC1314'!$B33:G846,5,false)="","Y","N")</f>
        <v>N</v>
      </c>
      <c r="I104" s="12" t="str">
        <f>if(vlookup(B:B,'ILC1404'!B107:F8269,5,false)="","Y","N")</f>
        <v>N</v>
      </c>
      <c r="J104" s="12" t="str">
        <f>if(vlookup(B:B,'ILC2203'!B70:F8269,5,false)="","Y","N")</f>
        <v>N</v>
      </c>
      <c r="K104" s="12" t="str">
        <f>if(vlookup(B:B,'ILC2206'!B55:H370,5,false)="","Y","N")</f>
        <v>Y</v>
      </c>
      <c r="L104" s="12" t="str">
        <f>if(vlookup(B:B,'ILC2303'!B107:F8546,5,false)="","Y","N")</f>
        <v>N</v>
      </c>
      <c r="M104" s="12" t="str">
        <f>if(vlookup(B:B,'ILC2307'!B107:F9062,5,false)="","Y","N")</f>
        <v>N</v>
      </c>
      <c r="N104" s="12" t="str">
        <f>if(vlookup(B:B,'ILC2313'!B107:F8701,5,false)="","Y","N")</f>
        <v>N</v>
      </c>
      <c r="O104" s="12" t="str">
        <f>if(vlookup(B:B,'ILC2412'!B107:F8546,5,false)="","Y","N")</f>
        <v>N</v>
      </c>
      <c r="P104" s="12" t="str">
        <f>if(vlookup(B:B,'ILC2413'!B107:F9044,5,false)="","Y","N")</f>
        <v>N</v>
      </c>
      <c r="Q104" s="12" t="str">
        <f>if(vlookup(B:B,'ILC3104'!B107:F8589,5,false)="","Y","N")</f>
        <v>N</v>
      </c>
      <c r="R104" s="12" t="str">
        <f>if(vlookup(B:B,'ILC3310'!B6:F8528,5,false)="","Y","N")</f>
        <v>#N/A</v>
      </c>
      <c r="S104" s="12" t="str">
        <f>if(vlookup(B:B,'ILC3312'!B107:F8546,5,false)="","Y","N")</f>
        <v>N</v>
      </c>
      <c r="T104" s="12" t="str">
        <f>if(vlookup(B:B,'ILC3413'!B76:F8471,5,false)="","Y","N")</f>
        <v>N</v>
      </c>
      <c r="U104" s="12" t="str">
        <f>if(vlookup(B:B,'ILC3415'!B104:F8496,5,false)="","Y","N")</f>
        <v>N</v>
      </c>
      <c r="V104" s="12" t="str">
        <f>if(vlookup(B:B,'ILC4406'!B39:F8465,5,false)="","Y","N")</f>
        <v>N</v>
      </c>
      <c r="W104" s="12" t="str">
        <f>if(vlookup(B:B,'ILC4410'!B107:F8713,5,false)="","Y","N")</f>
        <v>N</v>
      </c>
      <c r="X104" s="12" t="str">
        <f>if(vlookup(B:B,'JBV455'!B107:F9053,5,false)="","Y","N")</f>
        <v>N</v>
      </c>
      <c r="Y104" s="12" t="str">
        <f>if(vlookup(B:B,'JBV462'!B107:F8546,5,false)="","Y","N")</f>
        <v>N</v>
      </c>
      <c r="Z104" s="12" t="str">
        <f>if(vlookup(B:B,'JBV464'!B107:F8546,5,false)="","Y","N")</f>
        <v>N</v>
      </c>
      <c r="AA104" s="12" t="str">
        <f>if(vlookup(B:B,'VDI208'!B39:F8546,5,false)="","Y","N")</f>
        <v>N</v>
      </c>
      <c r="AB104" s="76" t="str">
        <f>if(vlookup(B:B,'STO2206'!B39:F8546,5,false)="","Y","N")</f>
        <v>Y</v>
      </c>
    </row>
    <row r="105" hidden="1">
      <c r="A105" s="67" t="str">
        <f t="shared" si="2"/>
        <v>Tue</v>
      </c>
      <c r="B105" s="69">
        <v>43550.0</v>
      </c>
      <c r="C105" s="12"/>
      <c r="D105" s="12"/>
      <c r="E105" s="12"/>
      <c r="F105" s="12" t="str">
        <f>if(vlookup(B:B,'ILC1211'!$B108:F8547,5,false)="","Y","N")</f>
        <v>Y</v>
      </c>
      <c r="G105" s="12"/>
      <c r="H105" s="12" t="str">
        <f>if(vlookup(B:B,'ILC1314'!$B34:G847,5,false)="","Y","N")</f>
        <v>N</v>
      </c>
      <c r="I105" s="12" t="str">
        <f>if(vlookup(B:B,'ILC1404'!B108:F8270,5,false)="","Y","N")</f>
        <v>Y</v>
      </c>
      <c r="J105" s="12" t="str">
        <f>if(vlookup(B:B,'ILC2203'!B71:F8270,5,false)="","Y","N")</f>
        <v>N</v>
      </c>
      <c r="K105" s="12" t="str">
        <f>if(vlookup(B:B,'ILC2206'!B56:H370,5,false)="","Y","N")</f>
        <v>Y</v>
      </c>
      <c r="L105" s="12" t="str">
        <f>if(vlookup(B:B,'ILC2303'!B108:F8547,5,false)="","Y","N")</f>
        <v>N</v>
      </c>
      <c r="M105" s="12" t="str">
        <f>if(vlookup(B:B,'ILC2307'!B108:F9063,5,false)="","Y","N")</f>
        <v>N</v>
      </c>
      <c r="N105" s="12" t="str">
        <f>if(vlookup(B:B,'ILC2313'!B108:F8702,5,false)="","Y","N")</f>
        <v>N</v>
      </c>
      <c r="O105" s="12" t="str">
        <f>if(vlookup(B:B,'ILC2412'!B108:F8547,5,false)="","Y","N")</f>
        <v>N</v>
      </c>
      <c r="P105" s="12" t="str">
        <f>if(vlookup(B:B,'ILC2413'!B108:F9045,5,false)="","Y","N")</f>
        <v>N</v>
      </c>
      <c r="Q105" s="12" t="str">
        <f>if(vlookup(B:B,'ILC3104'!B108:F8590,5,false)="","Y","N")</f>
        <v>Y</v>
      </c>
      <c r="R105" s="12" t="str">
        <f>if(vlookup(B:B,'ILC3310'!B6:F8529,5,false)="","Y","N")</f>
        <v>#N/A</v>
      </c>
      <c r="S105" s="12" t="str">
        <f>if(vlookup(B:B,'ILC3312'!B108:F8547,5,false)="","Y","N")</f>
        <v>N</v>
      </c>
      <c r="T105" s="12" t="str">
        <f>if(vlookup(B:B,'ILC3413'!B77:F8472,5,false)="","Y","N")</f>
        <v>N</v>
      </c>
      <c r="U105" s="12" t="str">
        <f>if(vlookup(B:B,'ILC3415'!B105:F8497,5,false)="","Y","N")</f>
        <v>N</v>
      </c>
      <c r="V105" s="12" t="str">
        <f>if(vlookup(B:B,'ILC4406'!B40:F8466,5,false)="","Y","N")</f>
        <v>N</v>
      </c>
      <c r="W105" s="12" t="str">
        <f>if(vlookup(B:B,'ILC4410'!B108:F8714,5,false)="","Y","N")</f>
        <v>N</v>
      </c>
      <c r="X105" s="12" t="str">
        <f>if(vlookup(B:B,'JBV455'!B108:F9054,5,false)="","Y","N")</f>
        <v>N</v>
      </c>
      <c r="Y105" s="12" t="str">
        <f>if(vlookup(B:B,'JBV462'!B108:F8547,5,false)="","Y","N")</f>
        <v>N</v>
      </c>
      <c r="Z105" s="12" t="str">
        <f>if(vlookup(B:B,'JBV464'!B108:F8547,5,false)="","Y","N")</f>
        <v>N</v>
      </c>
      <c r="AA105" s="12" t="str">
        <f>if(vlookup(B:B,'VDI208'!B40:F8547,5,false)="","Y","N")</f>
        <v>N</v>
      </c>
      <c r="AB105" s="76" t="str">
        <f>if(vlookup(B:B,'STO2206'!B40:F8547,5,false)="","Y","N")</f>
        <v>Y</v>
      </c>
    </row>
    <row r="106" hidden="1">
      <c r="A106" s="67" t="str">
        <f t="shared" si="2"/>
        <v>Wed</v>
      </c>
      <c r="B106" s="69">
        <v>43551.0</v>
      </c>
      <c r="C106" s="12"/>
      <c r="D106" s="12"/>
      <c r="E106" s="12"/>
      <c r="F106" s="12" t="str">
        <f>if(vlookup(B:B,'ILC1211'!$B109:F8548,5,false)="","Y","N")</f>
        <v>N</v>
      </c>
      <c r="G106" s="12"/>
      <c r="H106" s="12" t="str">
        <f>if(vlookup(B:B,'ILC1314'!$B35:G848,5,false)="","Y","N")</f>
        <v>N</v>
      </c>
      <c r="I106" s="12" t="str">
        <f>if(vlookup(B:B,'ILC1404'!B109:F8271,5,false)="","Y","N")</f>
        <v>N</v>
      </c>
      <c r="J106" s="12" t="str">
        <f>if(vlookup(B:B,'ILC2203'!B72:F8271,5,false)="","Y","N")</f>
        <v>N</v>
      </c>
      <c r="K106" s="12" t="str">
        <f>if(vlookup(B:B,'ILC2206'!B57:H370,5,false)="","Y","N")</f>
        <v>N</v>
      </c>
      <c r="L106" s="12" t="str">
        <f>if(vlookup(B:B,'ILC2303'!B109:F8548,5,false)="","Y","N")</f>
        <v>N</v>
      </c>
      <c r="M106" s="12" t="str">
        <f>if(vlookup(B:B,'ILC2307'!B109:F9064,5,false)="","Y","N")</f>
        <v>Y</v>
      </c>
      <c r="N106" s="12" t="str">
        <f>if(vlookup(B:B,'ILC2313'!B109:F8703,5,false)="","Y","N")</f>
        <v>N</v>
      </c>
      <c r="O106" s="12" t="str">
        <f>if(vlookup(B:B,'ILC2412'!B109:F8548,5,false)="","Y","N")</f>
        <v>N</v>
      </c>
      <c r="P106" s="12" t="str">
        <f>if(vlookup(B:B,'ILC2413'!B109:F9046,5,false)="","Y","N")</f>
        <v>N</v>
      </c>
      <c r="Q106" s="12" t="str">
        <f>if(vlookup(B:B,'ILC3104'!B109:F8591,5,false)="","Y","N")</f>
        <v>N</v>
      </c>
      <c r="R106" s="12" t="str">
        <f>if(vlookup(B:B,'ILC3310'!B6:F8530,5,false)="","Y","N")</f>
        <v>#N/A</v>
      </c>
      <c r="S106" s="12" t="str">
        <f>if(vlookup(B:B,'ILC3312'!B109:F8548,5,false)="","Y","N")</f>
        <v>N</v>
      </c>
      <c r="T106" s="12" t="str">
        <f>if(vlookup(B:B,'ILC3413'!B78:F8473,5,false)="","Y","N")</f>
        <v>N</v>
      </c>
      <c r="U106" s="12" t="str">
        <f>if(vlookup(B:B,'ILC3415'!B106:F8498,5,false)="","Y","N")</f>
        <v>N</v>
      </c>
      <c r="V106" s="12" t="str">
        <f>if(vlookup(B:B,'ILC4406'!B41:F8467,5,false)="","Y","N")</f>
        <v>N</v>
      </c>
      <c r="W106" s="12" t="str">
        <f>if(vlookup(B:B,'ILC4410'!B109:F8715,5,false)="","Y","N")</f>
        <v>N</v>
      </c>
      <c r="X106" s="12" t="str">
        <f>if(vlookup(B:B,'JBV455'!B109:F9055,5,false)="","Y","N")</f>
        <v>N</v>
      </c>
      <c r="Y106" s="12" t="str">
        <f>if(vlookup(B:B,'JBV462'!B109:F8548,5,false)="","Y","N")</f>
        <v>N</v>
      </c>
      <c r="Z106" s="12" t="str">
        <f>if(vlookup(B:B,'JBV464'!B109:F8548,5,false)="","Y","N")</f>
        <v>N</v>
      </c>
      <c r="AA106" s="12" t="str">
        <f>if(vlookup(B:B,'VDI208'!B41:F8548,5,false)="","Y","N")</f>
        <v>N</v>
      </c>
      <c r="AB106" s="76" t="str">
        <f>if(vlookup(B:B,'STO2206'!B41:F8548,5,false)="","Y","N")</f>
        <v>Y</v>
      </c>
    </row>
    <row r="107" hidden="1">
      <c r="A107" s="67" t="str">
        <f t="shared" si="2"/>
        <v>Thu</v>
      </c>
      <c r="B107" s="69">
        <v>43552.0</v>
      </c>
      <c r="C107" s="12"/>
      <c r="D107" s="12"/>
      <c r="E107" s="12"/>
      <c r="F107" s="12" t="str">
        <f>if(vlookup(B:B,'ILC1211'!$B110:F8549,5,false)="","Y","N")</f>
        <v>N</v>
      </c>
      <c r="G107" s="12"/>
      <c r="H107" s="12" t="str">
        <f>if(vlookup(B:B,'ILC1314'!$B36:G849,5,false)="","Y","N")</f>
        <v>N</v>
      </c>
      <c r="I107" s="12" t="str">
        <f>if(vlookup(B:B,'ILC1404'!B110:F8272,5,false)="","Y","N")</f>
        <v>Y</v>
      </c>
      <c r="J107" s="12" t="str">
        <f>if(vlookup(B:B,'ILC2203'!B73:F8272,5,false)="","Y","N")</f>
        <v>N</v>
      </c>
      <c r="K107" s="12" t="str">
        <f>if(vlookup(B:B,'ILC2206'!B58:H370,5,false)="","Y","N")</f>
        <v>N</v>
      </c>
      <c r="L107" s="12" t="str">
        <f>if(vlookup(B:B,'ILC2303'!B110:F8549,5,false)="","Y","N")</f>
        <v>N</v>
      </c>
      <c r="M107" s="12" t="str">
        <f>if(vlookup(B:B,'ILC2307'!B110:F9065,5,false)="","Y","N")</f>
        <v>Y</v>
      </c>
      <c r="N107" s="12" t="str">
        <f>if(vlookup(B:B,'ILC2313'!B110:F8704,5,false)="","Y","N")</f>
        <v>N</v>
      </c>
      <c r="O107" s="12" t="str">
        <f>if(vlookup(B:B,'ILC2412'!B110:F8549,5,false)="","Y","N")</f>
        <v>N</v>
      </c>
      <c r="P107" s="12" t="str">
        <f>if(vlookup(B:B,'ILC2413'!B110:F9047,5,false)="","Y","N")</f>
        <v>Y</v>
      </c>
      <c r="Q107" s="12" t="str">
        <f>if(vlookup(B:B,'ILC3104'!B110:F8592,5,false)="","Y","N")</f>
        <v>N</v>
      </c>
      <c r="R107" s="12" t="str">
        <f>if(vlookup(B:B,'ILC3310'!B6:F8531,5,false)="","Y","N")</f>
        <v>#N/A</v>
      </c>
      <c r="S107" s="12" t="str">
        <f>if(vlookup(B:B,'ILC3312'!B110:F8549,5,false)="","Y","N")</f>
        <v>N</v>
      </c>
      <c r="T107" s="12" t="str">
        <f>if(vlookup(B:B,'ILC3413'!B79:F8474,5,false)="","Y","N")</f>
        <v>N</v>
      </c>
      <c r="U107" s="12" t="str">
        <f>if(vlookup(B:B,'ILC3415'!B107:F8499,5,false)="","Y","N")</f>
        <v>N</v>
      </c>
      <c r="V107" s="12" t="str">
        <f>if(vlookup(B:B,'ILC4406'!B42:F8468,5,false)="","Y","N")</f>
        <v>N</v>
      </c>
      <c r="W107" s="12" t="str">
        <f>if(vlookup(B:B,'ILC4410'!B110:F8716,5,false)="","Y","N")</f>
        <v>N</v>
      </c>
      <c r="X107" s="12" t="str">
        <f>if(vlookup(B:B,'JBV455'!B110:F9056,5,false)="","Y","N")</f>
        <v>N</v>
      </c>
      <c r="Y107" s="12" t="str">
        <f>if(vlookup(B:B,'JBV462'!B110:F8549,5,false)="","Y","N")</f>
        <v>N</v>
      </c>
      <c r="Z107" s="12" t="str">
        <f>if(vlookup(B:B,'JBV464'!B110:F8549,5,false)="","Y","N")</f>
        <v>N</v>
      </c>
      <c r="AA107" s="12" t="str">
        <f>if(vlookup(B:B,'VDI208'!B42:F8549,5,false)="","Y","N")</f>
        <v>N</v>
      </c>
      <c r="AB107" s="76" t="str">
        <f>if(vlookup(B:B,'STO2206'!B42:F8549,5,false)="","Y","N")</f>
        <v>Y</v>
      </c>
    </row>
    <row r="108" hidden="1">
      <c r="A108" s="67" t="str">
        <f t="shared" si="2"/>
        <v>Fri</v>
      </c>
      <c r="B108" s="69">
        <v>43553.0</v>
      </c>
      <c r="C108" s="12"/>
      <c r="D108" s="12"/>
      <c r="E108" s="12"/>
      <c r="F108" s="12" t="str">
        <f>if(vlookup(B:B,'ILC1211'!$B111:F8550,5,false)="","Y","N")</f>
        <v>N</v>
      </c>
      <c r="G108" s="12"/>
      <c r="H108" s="12" t="str">
        <f>if(vlookup(B:B,'ILC1314'!$B37:G850,5,false)="","Y","N")</f>
        <v>N</v>
      </c>
      <c r="I108" s="12" t="str">
        <f>if(vlookup(B:B,'ILC1404'!B111:F8273,5,false)="","Y","N")</f>
        <v>Y</v>
      </c>
      <c r="J108" s="12" t="str">
        <f>if(vlookup(B:B,'ILC2203'!B74:F8273,5,false)="","Y","N")</f>
        <v>Y</v>
      </c>
      <c r="K108" s="12" t="str">
        <f>if(vlookup(B:B,'ILC2206'!B59:H370,5,false)="","Y","N")</f>
        <v>N</v>
      </c>
      <c r="L108" s="12" t="str">
        <f>if(vlookup(B:B,'ILC2303'!B111:F8550,5,false)="","Y","N")</f>
        <v>N</v>
      </c>
      <c r="M108" s="12" t="str">
        <f>if(vlookup(B:B,'ILC2307'!B111:F9066,5,false)="","Y","N")</f>
        <v>Y</v>
      </c>
      <c r="N108" s="12" t="str">
        <f>if(vlookup(B:B,'ILC2313'!B111:F8705,5,false)="","Y","N")</f>
        <v>Y</v>
      </c>
      <c r="O108" s="12" t="str">
        <f>if(vlookup(B:B,'ILC2412'!B111:F8550,5,false)="","Y","N")</f>
        <v>N</v>
      </c>
      <c r="P108" s="12" t="str">
        <f>if(vlookup(B:B,'ILC2413'!B111:F9048,5,false)="","Y","N")</f>
        <v>N</v>
      </c>
      <c r="Q108" s="12" t="str">
        <f>if(vlookup(B:B,'ILC3104'!B111:F8593,5,false)="","Y","N")</f>
        <v>N</v>
      </c>
      <c r="R108" s="12" t="str">
        <f>if(vlookup(B:B,'ILC3310'!B6:F8532,5,false)="","Y","N")</f>
        <v>#N/A</v>
      </c>
      <c r="S108" s="12" t="str">
        <f>if(vlookup(B:B,'ILC3312'!B111:F8550,5,false)="","Y","N")</f>
        <v>N</v>
      </c>
      <c r="T108" s="12" t="str">
        <f>if(vlookup(B:B,'ILC3413'!B80:F8475,5,false)="","Y","N")</f>
        <v>N</v>
      </c>
      <c r="U108" s="12" t="str">
        <f>if(vlookup(B:B,'ILC3415'!B108:F8500,5,false)="","Y","N")</f>
        <v>N</v>
      </c>
      <c r="V108" s="12" t="str">
        <f>if(vlookup(B:B,'ILC4406'!B43:F8469,5,false)="","Y","N")</f>
        <v>Y</v>
      </c>
      <c r="W108" s="12" t="str">
        <f>if(vlookup(B:B,'ILC4410'!B111:F8717,5,false)="","Y","N")</f>
        <v>N</v>
      </c>
      <c r="X108" s="12" t="str">
        <f>if(vlookup(B:B,'JBV455'!B111:F9057,5,false)="","Y","N")</f>
        <v>N</v>
      </c>
      <c r="Y108" s="12" t="str">
        <f>if(vlookup(B:B,'JBV462'!B111:F8550,5,false)="","Y","N")</f>
        <v>N</v>
      </c>
      <c r="Z108" s="12" t="str">
        <f>if(vlookup(B:B,'JBV464'!B111:F8550,5,false)="","Y","N")</f>
        <v>N</v>
      </c>
      <c r="AA108" s="12" t="str">
        <f>if(vlookup(B:B,'VDI208'!B43:F8550,5,false)="","Y","N")</f>
        <v>N</v>
      </c>
      <c r="AB108" s="76" t="str">
        <f>if(vlookup(B:B,'STO2206'!B43:F8550,5,false)="","Y","N")</f>
        <v>Y</v>
      </c>
    </row>
    <row r="109" hidden="1">
      <c r="A109" s="67" t="str">
        <f t="shared" si="2"/>
        <v>Sat</v>
      </c>
      <c r="B109" s="69">
        <v>43554.0</v>
      </c>
      <c r="C109" s="12"/>
      <c r="D109" s="12"/>
      <c r="E109" s="12"/>
      <c r="F109" s="12" t="str">
        <f>if(vlookup(B:B,'ILC1211'!$B112:F8551,5,false)="","Y","N")</f>
        <v>N</v>
      </c>
      <c r="G109" s="12"/>
      <c r="H109" s="12" t="str">
        <f>if(vlookup(B:B,'ILC1314'!$B38:G851,5,false)="","Y","N")</f>
        <v>N</v>
      </c>
      <c r="I109" s="12" t="str">
        <f>if(vlookup(B:B,'ILC1404'!B112:F8274,5,false)="","Y","N")</f>
        <v>N</v>
      </c>
      <c r="J109" s="12" t="str">
        <f>if(vlookup(B:B,'ILC2203'!B75:F8274,5,false)="","Y","N")</f>
        <v>N</v>
      </c>
      <c r="K109" s="12" t="str">
        <f>if(vlookup(B:B,'ILC2206'!B60:H370,5,false)="","Y","N")</f>
        <v>N</v>
      </c>
      <c r="L109" s="12" t="str">
        <f>if(vlookup(B:B,'ILC2303'!B112:F8551,5,false)="","Y","N")</f>
        <v>N</v>
      </c>
      <c r="M109" s="12" t="str">
        <f>if(vlookup(B:B,'ILC2307'!B112:F9067,5,false)="","Y","N")</f>
        <v>N</v>
      </c>
      <c r="N109" s="12" t="str">
        <f>if(vlookup(B:B,'ILC2313'!B112:F8706,5,false)="","Y","N")</f>
        <v>N</v>
      </c>
      <c r="O109" s="12" t="str">
        <f>if(vlookup(B:B,'ILC2412'!B112:F8551,5,false)="","Y","N")</f>
        <v>N</v>
      </c>
      <c r="P109" s="12" t="str">
        <f>if(vlookup(B:B,'ILC2413'!B112:F9049,5,false)="","Y","N")</f>
        <v>N</v>
      </c>
      <c r="Q109" s="12" t="str">
        <f>if(vlookup(B:B,'ILC3104'!B112:F8594,5,false)="","Y","N")</f>
        <v>N</v>
      </c>
      <c r="R109" s="12" t="str">
        <f>if(vlookup(B:B,'ILC3310'!B6:F8533,5,false)="","Y","N")</f>
        <v>#N/A</v>
      </c>
      <c r="S109" s="12" t="str">
        <f>if(vlookup(B:B,'ILC3312'!B112:F8551,5,false)="","Y","N")</f>
        <v>N</v>
      </c>
      <c r="T109" s="12" t="str">
        <f>if(vlookup(B:B,'ILC3413'!B81:F8476,5,false)="","Y","N")</f>
        <v>N</v>
      </c>
      <c r="U109" s="12" t="str">
        <f>if(vlookup(B:B,'ILC3415'!B109:F8501,5,false)="","Y","N")</f>
        <v>N</v>
      </c>
      <c r="V109" s="12" t="str">
        <f>if(vlookup(B:B,'ILC4406'!B44:F8470,5,false)="","Y","N")</f>
        <v>N</v>
      </c>
      <c r="W109" s="12" t="str">
        <f>if(vlookup(B:B,'ILC4410'!B112:F8718,5,false)="","Y","N")</f>
        <v>N</v>
      </c>
      <c r="X109" s="12" t="str">
        <f>if(vlookup(B:B,'JBV455'!B112:F9058,5,false)="","Y","N")</f>
        <v>N</v>
      </c>
      <c r="Y109" s="12" t="str">
        <f>if(vlookup(B:B,'JBV462'!B112:F8551,5,false)="","Y","N")</f>
        <v>N</v>
      </c>
      <c r="Z109" s="12" t="str">
        <f>if(vlookup(B:B,'JBV464'!B112:F8551,5,false)="","Y","N")</f>
        <v>N</v>
      </c>
      <c r="AA109" s="12" t="str">
        <f>if(vlookup(B:B,'VDI208'!B44:F8551,5,false)="","Y","N")</f>
        <v>N</v>
      </c>
      <c r="AB109" s="76" t="str">
        <f>if(vlookup(B:B,'STO2206'!B44:F8551,5,false)="","Y","N")</f>
        <v>Y</v>
      </c>
    </row>
    <row r="110" hidden="1">
      <c r="A110" s="67" t="str">
        <f t="shared" si="2"/>
        <v>Sun</v>
      </c>
      <c r="B110" s="69">
        <v>43555.0</v>
      </c>
      <c r="C110" s="12"/>
      <c r="D110" s="12"/>
      <c r="E110" s="12"/>
      <c r="F110" s="12" t="str">
        <f>if(vlookup(B:B,'ILC1211'!$B113:F8552,5,false)="","Y","N")</f>
        <v>N</v>
      </c>
      <c r="G110" s="12"/>
      <c r="H110" s="12" t="str">
        <f>if(vlookup(B:B,'ILC1314'!$B39:G852,5,false)="","Y","N")</f>
        <v>N</v>
      </c>
      <c r="I110" s="12" t="str">
        <f>if(vlookup(B:B,'ILC1404'!B113:F8275,5,false)="","Y","N")</f>
        <v>N</v>
      </c>
      <c r="J110" s="12" t="str">
        <f>if(vlookup(B:B,'ILC2203'!B76:F8275,5,false)="","Y","N")</f>
        <v>N</v>
      </c>
      <c r="K110" s="12" t="str">
        <f>if(vlookup(B:B,'ILC2206'!B61:H370,5,false)="","Y","N")</f>
        <v>N</v>
      </c>
      <c r="L110" s="12" t="str">
        <f>if(vlookup(B:B,'ILC2303'!B113:F8552,5,false)="","Y","N")</f>
        <v>N</v>
      </c>
      <c r="M110" s="12" t="str">
        <f>if(vlookup(B:B,'ILC2307'!B113:F9068,5,false)="","Y","N")</f>
        <v>N</v>
      </c>
      <c r="N110" s="12" t="str">
        <f>if(vlookup(B:B,'ILC2313'!B113:F8707,5,false)="","Y","N")</f>
        <v>N</v>
      </c>
      <c r="O110" s="12" t="str">
        <f>if(vlookup(B:B,'ILC2412'!B113:F8552,5,false)="","Y","N")</f>
        <v>N</v>
      </c>
      <c r="P110" s="12" t="str">
        <f>if(vlookup(B:B,'ILC2413'!B113:F9050,5,false)="","Y","N")</f>
        <v>N</v>
      </c>
      <c r="Q110" s="12" t="str">
        <f>if(vlookup(B:B,'ILC3104'!B113:F8595,5,false)="","Y","N")</f>
        <v>Y</v>
      </c>
      <c r="R110" s="12" t="str">
        <f>if(vlookup(B:B,'ILC3310'!B6:F8534,5,false)="","Y","N")</f>
        <v>#N/A</v>
      </c>
      <c r="S110" s="12" t="str">
        <f>if(vlookup(B:B,'ILC3312'!B113:F8552,5,false)="","Y","N")</f>
        <v>N</v>
      </c>
      <c r="T110" s="12" t="str">
        <f>if(vlookup(B:B,'ILC3413'!B82:F8477,5,false)="","Y","N")</f>
        <v>N</v>
      </c>
      <c r="U110" s="12" t="str">
        <f>if(vlookup(B:B,'ILC3415'!B110:F8502,5,false)="","Y","N")</f>
        <v>N</v>
      </c>
      <c r="V110" s="12" t="str">
        <f>if(vlookup(B:B,'ILC4406'!B45:F8471,5,false)="","Y","N")</f>
        <v>N</v>
      </c>
      <c r="W110" s="12" t="str">
        <f>if(vlookup(B:B,'ILC4410'!B113:F8719,5,false)="","Y","N")</f>
        <v>N</v>
      </c>
      <c r="X110" s="12" t="str">
        <f>if(vlookup(B:B,'JBV455'!B113:F9059,5,false)="","Y","N")</f>
        <v>Y</v>
      </c>
      <c r="Y110" s="12" t="str">
        <f>if(vlookup(B:B,'JBV462'!B113:F8552,5,false)="","Y","N")</f>
        <v>N</v>
      </c>
      <c r="Z110" s="12" t="str">
        <f>if(vlookup(B:B,'JBV464'!B113:F8552,5,false)="","Y","N")</f>
        <v>Y</v>
      </c>
      <c r="AA110" s="12" t="str">
        <f>if(vlookup(B:B,'VDI208'!B45:F8552,5,false)="","Y","N")</f>
        <v>N</v>
      </c>
      <c r="AB110" s="76" t="str">
        <f>if(vlookup(B:B,'STO2206'!B45:F8552,5,false)="","Y","N")</f>
        <v>Y</v>
      </c>
    </row>
    <row r="111" hidden="1">
      <c r="A111" s="67" t="str">
        <f t="shared" si="2"/>
        <v>Mon</v>
      </c>
      <c r="B111" s="69">
        <v>43556.0</v>
      </c>
      <c r="C111" s="12"/>
      <c r="D111" s="12"/>
      <c r="E111" s="12"/>
      <c r="F111" s="12" t="str">
        <f>if(vlookup(B:B,'ILC1211'!$B114:F8553,5,false)="","Y","N")</f>
        <v>Y</v>
      </c>
      <c r="G111" s="12"/>
      <c r="H111" s="12" t="str">
        <f>if(vlookup(B:B,'ILC1314'!$B40:G853,5,false)="","Y","N")</f>
        <v>N</v>
      </c>
      <c r="I111" s="12" t="str">
        <f>if(vlookup(B:B,'ILC1404'!B114:F8276,5,false)="","Y","N")</f>
        <v>Y</v>
      </c>
      <c r="J111" s="12" t="str">
        <f>if(vlookup(B:B,'ILC2203'!B77:F8276,5,false)="","Y","N")</f>
        <v>Y</v>
      </c>
      <c r="K111" s="12" t="str">
        <f>if(vlookup(B:B,'ILC2206'!B62:H370,5,false)="","Y","N")</f>
        <v>N</v>
      </c>
      <c r="L111" s="12" t="str">
        <f>if(vlookup(B:B,'ILC2303'!B114:F8553,5,false)="","Y","N")</f>
        <v>N</v>
      </c>
      <c r="M111" s="12" t="str">
        <f>if(vlookup(B:B,'ILC2307'!B114:F9069,5,false)="","Y","N")</f>
        <v>N</v>
      </c>
      <c r="N111" s="12" t="str">
        <f>if(vlookup(B:B,'ILC2313'!B114:F8708,5,false)="","Y","N")</f>
        <v>N</v>
      </c>
      <c r="O111" s="12" t="str">
        <f>if(vlookup(B:B,'ILC2412'!B114:F8553,5,false)="","Y","N")</f>
        <v>N</v>
      </c>
      <c r="P111" s="12" t="str">
        <f>if(vlookup(B:B,'ILC2413'!B114:F9051,5,false)="","Y","N")</f>
        <v>N</v>
      </c>
      <c r="Q111" s="12" t="str">
        <f>if(vlookup(B:B,'ILC3104'!B114:F8596,5,false)="","Y","N")</f>
        <v>Y</v>
      </c>
      <c r="R111" s="12" t="str">
        <f>if(vlookup(B:B,'ILC3310'!B6:F8535,5,false)="","Y","N")</f>
        <v>#N/A</v>
      </c>
      <c r="S111" s="12" t="str">
        <f>if(vlookup(B:B,'ILC3312'!B114:F8553,5,false)="","Y","N")</f>
        <v>Y</v>
      </c>
      <c r="T111" s="12" t="str">
        <f>if(vlookup(B:B,'ILC3413'!B83:F8478,5,false)="","Y","N")</f>
        <v>N</v>
      </c>
      <c r="U111" s="12" t="str">
        <f>if(vlookup(B:B,'ILC3415'!B111:F8503,5,false)="","Y","N")</f>
        <v>N</v>
      </c>
      <c r="V111" s="12" t="str">
        <f>if(vlookup(B:B,'ILC4406'!B46:F8472,5,false)="","Y","N")</f>
        <v>Y</v>
      </c>
      <c r="W111" s="12" t="str">
        <f>if(vlookup(B:B,'ILC4410'!B114:F8720,5,false)="","Y","N")</f>
        <v>N</v>
      </c>
      <c r="X111" s="12" t="str">
        <f>if(vlookup(B:B,'JBV455'!B114:F9060,5,false)="","Y","N")</f>
        <v>Y</v>
      </c>
      <c r="Y111" s="12" t="str">
        <f>if(vlookup(B:B,'JBV462'!B114:F8553,5,false)="","Y","N")</f>
        <v>Y</v>
      </c>
      <c r="Z111" s="12" t="str">
        <f>if(vlookup(B:B,'JBV464'!B114:F8553,5,false)="","Y","N")</f>
        <v>N</v>
      </c>
      <c r="AA111" s="12" t="str">
        <f>if(vlookup(B:B,'VDI208'!B46:F8553,5,false)="","Y","N")</f>
        <v>Y</v>
      </c>
      <c r="AB111" s="76" t="str">
        <f>if(vlookup(B:B,'STO2206'!B46:F8553,5,false)="","Y","N")</f>
        <v>Y</v>
      </c>
    </row>
    <row r="112" hidden="1">
      <c r="A112" s="67" t="str">
        <f t="shared" si="2"/>
        <v>Tue</v>
      </c>
      <c r="B112" s="69">
        <v>43557.0</v>
      </c>
      <c r="C112" s="12"/>
      <c r="D112" s="12"/>
      <c r="E112" s="12"/>
      <c r="F112" s="12" t="str">
        <f>if(vlookup(B:B,'ILC1211'!$B115:F8554,5,false)="","Y","N")</f>
        <v>N</v>
      </c>
      <c r="G112" s="12"/>
      <c r="H112" s="12" t="str">
        <f>if(vlookup(B:B,'ILC1314'!$B41:G854,5,false)="","Y","N")</f>
        <v>N</v>
      </c>
      <c r="I112" s="12" t="str">
        <f>if(vlookup(B:B,'ILC1404'!B115:F8277,5,false)="","Y","N")</f>
        <v>N</v>
      </c>
      <c r="J112" s="12" t="str">
        <f>if(vlookup(B:B,'ILC2203'!B78:F8277,5,false)="","Y","N")</f>
        <v>Y</v>
      </c>
      <c r="K112" s="12" t="str">
        <f>if(vlookup(B:B,'ILC2206'!B63:H370,5,false)="","Y","N")</f>
        <v>N</v>
      </c>
      <c r="L112" s="12" t="str">
        <f>if(vlookup(B:B,'ILC2303'!B115:F8554,5,false)="","Y","N")</f>
        <v>N</v>
      </c>
      <c r="M112" s="12" t="str">
        <f>if(vlookup(B:B,'ILC2307'!B115:F9070,5,false)="","Y","N")</f>
        <v>N</v>
      </c>
      <c r="N112" s="12" t="str">
        <f>if(vlookup(B:B,'ILC2313'!B115:F8709,5,false)="","Y","N")</f>
        <v>N</v>
      </c>
      <c r="O112" s="12" t="str">
        <f>if(vlookup(B:B,'ILC2412'!B115:F8554,5,false)="","Y","N")</f>
        <v>N</v>
      </c>
      <c r="P112" s="12" t="str">
        <f>if(vlookup(B:B,'ILC2413'!B115:F9052,5,false)="","Y","N")</f>
        <v>N</v>
      </c>
      <c r="Q112" s="12" t="str">
        <f>if(vlookup(B:B,'ILC3104'!B115:F8597,5,false)="","Y","N")</f>
        <v>Y</v>
      </c>
      <c r="R112" s="12" t="str">
        <f>if(vlookup(B:B,'ILC3310'!B6:F8536,5,false)="","Y","N")</f>
        <v>#N/A</v>
      </c>
      <c r="S112" s="12" t="str">
        <f>if(vlookup(B:B,'ILC3312'!B115:F8554,5,false)="","Y","N")</f>
        <v>Y</v>
      </c>
      <c r="T112" s="12" t="str">
        <f>if(vlookup(B:B,'ILC3413'!B84:F8479,5,false)="","Y","N")</f>
        <v>N</v>
      </c>
      <c r="U112" s="12" t="str">
        <f>if(vlookup(B:B,'ILC3415'!B112:F8504,5,false)="","Y","N")</f>
        <v>N</v>
      </c>
      <c r="V112" s="12" t="str">
        <f>if(vlookup(B:B,'ILC4406'!B47:F8473,5,false)="","Y","N")</f>
        <v>Y</v>
      </c>
      <c r="W112" s="12" t="str">
        <f>if(vlookup(B:B,'ILC4410'!B115:F8721,5,false)="","Y","N")</f>
        <v>Y</v>
      </c>
      <c r="X112" s="12" t="str">
        <f>if(vlookup(B:B,'JBV455'!B115:F9061,5,false)="","Y","N")</f>
        <v>Y</v>
      </c>
      <c r="Y112" s="12" t="str">
        <f>if(vlookup(B:B,'JBV462'!B115:F8554,5,false)="","Y","N")</f>
        <v>N</v>
      </c>
      <c r="Z112" s="12" t="str">
        <f>if(vlookup(B:B,'JBV464'!B115:F8554,5,false)="","Y","N")</f>
        <v>N</v>
      </c>
      <c r="AA112" s="12" t="str">
        <f>if(vlookup(B:B,'VDI208'!B47:F8554,5,false)="","Y","N")</f>
        <v>N</v>
      </c>
      <c r="AB112" s="76" t="str">
        <f>if(vlookup(B:B,'STO2206'!B47:F8554,5,false)="","Y","N")</f>
        <v>Y</v>
      </c>
    </row>
    <row r="113" hidden="1">
      <c r="A113" s="67" t="str">
        <f t="shared" si="2"/>
        <v>Wed</v>
      </c>
      <c r="B113" s="69">
        <v>43558.0</v>
      </c>
      <c r="C113" s="12"/>
      <c r="D113" s="12"/>
      <c r="E113" s="12"/>
      <c r="F113" s="12" t="str">
        <f>if(vlookup(B:B,'ILC1211'!$B116:F8555,5,false)="","Y","N")</f>
        <v>N</v>
      </c>
      <c r="G113" s="12"/>
      <c r="H113" s="12" t="str">
        <f>if(vlookup(B:B,'ILC1314'!$B42:G855,5,false)="","Y","N")</f>
        <v>N</v>
      </c>
      <c r="I113" s="12" t="str">
        <f>if(vlookup(B:B,'ILC1404'!B116:F8278,5,false)="","Y","N")</f>
        <v>N</v>
      </c>
      <c r="J113" s="12" t="str">
        <f>if(vlookup(B:B,'ILC2203'!B79:F8278,5,false)="","Y","N")</f>
        <v>Y</v>
      </c>
      <c r="K113" s="12" t="str">
        <f>if(vlookup(B:B,'ILC2206'!B64:H370,5,false)="","Y","N")</f>
        <v>Y</v>
      </c>
      <c r="L113" s="12" t="str">
        <f>if(vlookup(B:B,'ILC2303'!B116:F8555,5,false)="","Y","N")</f>
        <v>N</v>
      </c>
      <c r="M113" s="12" t="str">
        <f>if(vlookup(B:B,'ILC2307'!B116:F9071,5,false)="","Y","N")</f>
        <v>N</v>
      </c>
      <c r="N113" s="12" t="str">
        <f>if(vlookup(B:B,'ILC2313'!B116:F8710,5,false)="","Y","N")</f>
        <v>N</v>
      </c>
      <c r="O113" s="12" t="str">
        <f>if(vlookup(B:B,'ILC2412'!B116:F8555,5,false)="","Y","N")</f>
        <v>N</v>
      </c>
      <c r="P113" s="12" t="str">
        <f>if(vlookup(B:B,'ILC2413'!B116:F9053,5,false)="","Y","N")</f>
        <v>N</v>
      </c>
      <c r="Q113" s="12" t="str">
        <f>if(vlookup(B:B,'ILC3104'!B116:F8598,5,false)="","Y","N")</f>
        <v>Y</v>
      </c>
      <c r="R113" s="12" t="str">
        <f>if(vlookup(B:B,'ILC3310'!B6:F8537,5,false)="","Y","N")</f>
        <v>#N/A</v>
      </c>
      <c r="S113" s="12" t="str">
        <f>if(vlookup(B:B,'ILC3312'!B116:F8555,5,false)="","Y","N")</f>
        <v>N</v>
      </c>
      <c r="T113" s="12" t="str">
        <f>if(vlookup(B:B,'ILC3413'!B85:F8480,5,false)="","Y","N")</f>
        <v>N</v>
      </c>
      <c r="U113" s="12" t="str">
        <f>if(vlookup(B:B,'ILC3415'!B113:F8505,5,false)="","Y","N")</f>
        <v>N</v>
      </c>
      <c r="V113" s="12" t="str">
        <f>if(vlookup(B:B,'ILC4406'!B48:F8474,5,false)="","Y","N")</f>
        <v>Y</v>
      </c>
      <c r="W113" s="12" t="str">
        <f>if(vlookup(B:B,'ILC4410'!B116:F8722,5,false)="","Y","N")</f>
        <v>Y</v>
      </c>
      <c r="X113" s="12" t="str">
        <f>if(vlookup(B:B,'JBV455'!B116:F9062,5,false)="","Y","N")</f>
        <v>N</v>
      </c>
      <c r="Y113" s="12" t="str">
        <f>if(vlookup(B:B,'JBV462'!B116:F8555,5,false)="","Y","N")</f>
        <v>N</v>
      </c>
      <c r="Z113" s="12" t="str">
        <f>if(vlookup(B:B,'JBV464'!B116:F8555,5,false)="","Y","N")</f>
        <v>N</v>
      </c>
      <c r="AA113" s="12" t="str">
        <f>if(vlookup(B:B,'VDI208'!B48:F8555,5,false)="","Y","N")</f>
        <v>N</v>
      </c>
      <c r="AB113" s="76" t="str">
        <f>if(vlookup(B:B,'STO2206'!B48:F8555,5,false)="","Y","N")</f>
        <v>Y</v>
      </c>
    </row>
    <row r="114" hidden="1">
      <c r="A114" s="67" t="str">
        <f t="shared" si="2"/>
        <v>Thu</v>
      </c>
      <c r="B114" s="69">
        <v>43559.0</v>
      </c>
      <c r="C114" s="12"/>
      <c r="D114" s="12"/>
      <c r="E114" s="12"/>
      <c r="F114" s="12" t="str">
        <f>if(vlookup(B:B,'ILC1211'!$B117:F8556,5,false)="","Y","N")</f>
        <v>N</v>
      </c>
      <c r="G114" s="12"/>
      <c r="H114" s="12" t="str">
        <f>if(vlookup(B:B,'ILC1314'!$B43:G856,5,false)="","Y","N")</f>
        <v>N</v>
      </c>
      <c r="I114" s="12" t="str">
        <f>if(vlookup(B:B,'ILC1404'!B117:F8279,5,false)="","Y","N")</f>
        <v>Y</v>
      </c>
      <c r="J114" s="12" t="str">
        <f>if(vlookup(B:B,'ILC2203'!B80:F8279,5,false)="","Y","N")</f>
        <v>Y</v>
      </c>
      <c r="K114" s="12" t="str">
        <f>if(vlookup(B:B,'ILC2206'!B65:H370,5,false)="","Y","N")</f>
        <v>Y</v>
      </c>
      <c r="L114" s="12" t="str">
        <f>if(vlookup(B:B,'ILC2303'!B117:F8556,5,false)="","Y","N")</f>
        <v>N</v>
      </c>
      <c r="M114" s="12" t="str">
        <f>if(vlookup(B:B,'ILC2307'!B117:F9072,5,false)="","Y","N")</f>
        <v>N</v>
      </c>
      <c r="N114" s="12" t="str">
        <f>if(vlookup(B:B,'ILC2313'!B117:F8711,5,false)="","Y","N")</f>
        <v>N</v>
      </c>
      <c r="O114" s="12" t="str">
        <f>if(vlookup(B:B,'ILC2412'!B117:F8556,5,false)="","Y","N")</f>
        <v>N</v>
      </c>
      <c r="P114" s="12" t="str">
        <f>if(vlookup(B:B,'ILC2413'!B117:F9054,5,false)="","Y","N")</f>
        <v>N</v>
      </c>
      <c r="Q114" s="12" t="str">
        <f>if(vlookup(B:B,'ILC3104'!B117:F8599,5,false)="","Y","N")</f>
        <v>Y</v>
      </c>
      <c r="R114" s="12" t="str">
        <f>if(vlookup(B:B,'ILC3310'!B6:F8538,5,false)="","Y","N")</f>
        <v>#N/A</v>
      </c>
      <c r="S114" s="12" t="str">
        <f>if(vlookup(B:B,'ILC3312'!B117:F8556,5,false)="","Y","N")</f>
        <v>N</v>
      </c>
      <c r="T114" s="12" t="str">
        <f>if(vlookup(B:B,'ILC3413'!B86:F8481,5,false)="","Y","N")</f>
        <v>N</v>
      </c>
      <c r="U114" s="12" t="str">
        <f>if(vlookup(B:B,'ILC3415'!B114:F8506,5,false)="","Y","N")</f>
        <v>N</v>
      </c>
      <c r="V114" s="12" t="str">
        <f>if(vlookup(B:B,'ILC4406'!B49:F8475,5,false)="","Y","N")</f>
        <v>N</v>
      </c>
      <c r="W114" s="12" t="str">
        <f>if(vlookup(B:B,'ILC4410'!B117:F8723,5,false)="","Y","N")</f>
        <v>N</v>
      </c>
      <c r="X114" s="12" t="str">
        <f>if(vlookup(B:B,'JBV455'!B117:F9063,5,false)="","Y","N")</f>
        <v>N</v>
      </c>
      <c r="Y114" s="12" t="str">
        <f>if(vlookup(B:B,'JBV462'!B117:F8556,5,false)="","Y","N")</f>
        <v>N</v>
      </c>
      <c r="Z114" s="12" t="str">
        <f>if(vlookup(B:B,'JBV464'!B117:F8556,5,false)="","Y","N")</f>
        <v>N</v>
      </c>
      <c r="AA114" s="12" t="str">
        <f>if(vlookup(B:B,'VDI208'!B49:F8556,5,false)="","Y","N")</f>
        <v>N</v>
      </c>
      <c r="AB114" s="76" t="str">
        <f>if(vlookup(B:B,'STO2206'!B49:F8556,5,false)="","Y","N")</f>
        <v>Y</v>
      </c>
    </row>
    <row r="115" hidden="1">
      <c r="A115" s="67" t="str">
        <f t="shared" si="2"/>
        <v>Fri</v>
      </c>
      <c r="B115" s="69">
        <v>43560.0</v>
      </c>
      <c r="C115" s="12"/>
      <c r="D115" s="12"/>
      <c r="E115" s="12"/>
      <c r="F115" s="12" t="str">
        <f>if(vlookup(B:B,'ILC1211'!$B118:F8557,5,false)="","Y","N")</f>
        <v>N</v>
      </c>
      <c r="G115" s="12"/>
      <c r="H115" s="12" t="str">
        <f>if(vlookup(B:B,'ILC1314'!$B44:G857,5,false)="","Y","N")</f>
        <v>N</v>
      </c>
      <c r="I115" s="12" t="str">
        <f>if(vlookup(B:B,'ILC1404'!B118:F8280,5,false)="","Y","N")</f>
        <v>N</v>
      </c>
      <c r="J115" s="12" t="str">
        <f>if(vlookup(B:B,'ILC2203'!B81:F8280,5,false)="","Y","N")</f>
        <v>N</v>
      </c>
      <c r="K115" s="12" t="str">
        <f>if(vlookup(B:B,'ILC2206'!B66:H370,5,false)="","Y","N")</f>
        <v>N</v>
      </c>
      <c r="L115" s="12" t="str">
        <f>if(vlookup(B:B,'ILC2303'!B118:F8557,5,false)="","Y","N")</f>
        <v>N</v>
      </c>
      <c r="M115" s="12" t="str">
        <f>if(vlookup(B:B,'ILC2307'!B118:F9073,5,false)="","Y","N")</f>
        <v>N</v>
      </c>
      <c r="N115" s="12" t="str">
        <f>if(vlookup(B:B,'ILC2313'!B118:F8712,5,false)="","Y","N")</f>
        <v>N</v>
      </c>
      <c r="O115" s="12" t="str">
        <f>if(vlookup(B:B,'ILC2412'!B118:F8557,5,false)="","Y","N")</f>
        <v>N</v>
      </c>
      <c r="P115" s="12" t="str">
        <f>if(vlookup(B:B,'ILC2413'!B118:F9055,5,false)="","Y","N")</f>
        <v>N</v>
      </c>
      <c r="Q115" s="12" t="str">
        <f>if(vlookup(B:B,'ILC3104'!B118:F8600,5,false)="","Y","N")</f>
        <v>N</v>
      </c>
      <c r="R115" s="12" t="str">
        <f>if(vlookup(B:B,'ILC3310'!B6:F8539,5,false)="","Y","N")</f>
        <v>#N/A</v>
      </c>
      <c r="S115" s="12" t="str">
        <f>if(vlookup(B:B,'ILC3312'!B118:F8557,5,false)="","Y","N")</f>
        <v>N</v>
      </c>
      <c r="T115" s="12" t="str">
        <f>if(vlookup(B:B,'ILC3413'!B87:F8482,5,false)="","Y","N")</f>
        <v>N</v>
      </c>
      <c r="U115" s="12" t="str">
        <f>if(vlookup(B:B,'ILC3415'!B115:F8507,5,false)="","Y","N")</f>
        <v>N</v>
      </c>
      <c r="V115" s="12" t="str">
        <f>if(vlookup(B:B,'ILC4406'!B50:F8476,5,false)="","Y","N")</f>
        <v>N</v>
      </c>
      <c r="W115" s="12" t="str">
        <f>if(vlookup(B:B,'ILC4410'!B118:F8724,5,false)="","Y","N")</f>
        <v>N</v>
      </c>
      <c r="X115" s="12" t="str">
        <f>if(vlookup(B:B,'JBV455'!B118:F9064,5,false)="","Y","N")</f>
        <v>N</v>
      </c>
      <c r="Y115" s="12" t="str">
        <f>if(vlookup(B:B,'JBV462'!B118:F8557,5,false)="","Y","N")</f>
        <v>N</v>
      </c>
      <c r="Z115" s="12" t="str">
        <f>if(vlookup(B:B,'JBV464'!B118:F8557,5,false)="","Y","N")</f>
        <v>N</v>
      </c>
      <c r="AA115" s="12" t="str">
        <f>if(vlookup(B:B,'VDI208'!B50:F8557,5,false)="","Y","N")</f>
        <v>N</v>
      </c>
      <c r="AB115" s="76" t="str">
        <f>if(vlookup(B:B,'STO2206'!B50:F8557,5,false)="","Y","N")</f>
        <v>Y</v>
      </c>
    </row>
    <row r="116" hidden="1">
      <c r="A116" s="67" t="str">
        <f t="shared" si="2"/>
        <v>Sat</v>
      </c>
      <c r="B116" s="69">
        <v>43561.0</v>
      </c>
      <c r="C116" s="12"/>
      <c r="D116" s="12"/>
      <c r="E116" s="12"/>
      <c r="F116" s="12" t="str">
        <f>if(vlookup(B:B,'ILC1211'!$B119:F8558,5,false)="","Y","N")</f>
        <v>N</v>
      </c>
      <c r="G116" s="12"/>
      <c r="H116" s="12" t="str">
        <f>if(vlookup(B:B,'ILC1314'!$B45:G858,5,false)="","Y","N")</f>
        <v>N</v>
      </c>
      <c r="I116" s="12" t="str">
        <f>if(vlookup(B:B,'ILC1404'!B119:F8281,5,false)="","Y","N")</f>
        <v>N</v>
      </c>
      <c r="J116" s="12" t="str">
        <f>if(vlookup(B:B,'ILC2203'!B82:F8281,5,false)="","Y","N")</f>
        <v>N</v>
      </c>
      <c r="K116" s="12" t="str">
        <f>if(vlookup(B:B,'ILC2206'!B67:H370,5,false)="","Y","N")</f>
        <v>N</v>
      </c>
      <c r="L116" s="12" t="str">
        <f>if(vlookup(B:B,'ILC2303'!B119:F8558,5,false)="","Y","N")</f>
        <v>N</v>
      </c>
      <c r="M116" s="12" t="str">
        <f>if(vlookup(B:B,'ILC2307'!B119:F9074,5,false)="","Y","N")</f>
        <v>N</v>
      </c>
      <c r="N116" s="12" t="str">
        <f>if(vlookup(B:B,'ILC2313'!B119:F8713,5,false)="","Y","N")</f>
        <v>N</v>
      </c>
      <c r="O116" s="12" t="str">
        <f>if(vlookup(B:B,'ILC2412'!B119:F8558,5,false)="","Y","N")</f>
        <v>N</v>
      </c>
      <c r="P116" s="12" t="str">
        <f>if(vlookup(B:B,'ILC2413'!B119:F9056,5,false)="","Y","N")</f>
        <v>N</v>
      </c>
      <c r="Q116" s="12" t="str">
        <f>if(vlookup(B:B,'ILC3104'!B119:F8601,5,false)="","Y","N")</f>
        <v>N</v>
      </c>
      <c r="R116" s="12" t="str">
        <f>if(vlookup(B:B,'ILC3310'!B6:F8540,5,false)="","Y","N")</f>
        <v>#N/A</v>
      </c>
      <c r="S116" s="12" t="str">
        <f>if(vlookup(B:B,'ILC3312'!B119:F8558,5,false)="","Y","N")</f>
        <v>N</v>
      </c>
      <c r="T116" s="12" t="str">
        <f>if(vlookup(B:B,'ILC3413'!B88:F8483,5,false)="","Y","N")</f>
        <v>N</v>
      </c>
      <c r="U116" s="12" t="str">
        <f>if(vlookup(B:B,'ILC3415'!B116:F8508,5,false)="","Y","N")</f>
        <v>N</v>
      </c>
      <c r="V116" s="12" t="str">
        <f>if(vlookup(B:B,'ILC4406'!B51:F8477,5,false)="","Y","N")</f>
        <v>N</v>
      </c>
      <c r="W116" s="12" t="str">
        <f>if(vlookup(B:B,'ILC4410'!B119:F8725,5,false)="","Y","N")</f>
        <v>N</v>
      </c>
      <c r="X116" s="12" t="str">
        <f>if(vlookup(B:B,'JBV455'!B119:F9065,5,false)="","Y","N")</f>
        <v>N</v>
      </c>
      <c r="Y116" s="12" t="str">
        <f>if(vlookup(B:B,'JBV462'!B119:F8558,5,false)="","Y","N")</f>
        <v>N</v>
      </c>
      <c r="Z116" s="12" t="str">
        <f>if(vlookup(B:B,'JBV464'!B119:F8558,5,false)="","Y","N")</f>
        <v>N</v>
      </c>
      <c r="AA116" s="12" t="str">
        <f>if(vlookup(B:B,'VDI208'!B51:F8558,5,false)="","Y","N")</f>
        <v>N</v>
      </c>
      <c r="AB116" s="76" t="str">
        <f>if(vlookup(B:B,'STO2206'!B51:F8558,5,false)="","Y","N")</f>
        <v>Y</v>
      </c>
    </row>
    <row r="117" hidden="1">
      <c r="A117" s="67" t="str">
        <f t="shared" si="2"/>
        <v>Sun</v>
      </c>
      <c r="B117" s="69">
        <v>43562.0</v>
      </c>
      <c r="C117" s="12"/>
      <c r="D117" s="12"/>
      <c r="E117" s="12"/>
      <c r="F117" s="12" t="str">
        <f>if(vlookup(B:B,'ILC1211'!$B120:F8559,5,false)="","Y","N")</f>
        <v>N</v>
      </c>
      <c r="G117" s="12"/>
      <c r="H117" s="12" t="str">
        <f>if(vlookup(B:B,'ILC1314'!$B46:G859,5,false)="","Y","N")</f>
        <v>N</v>
      </c>
      <c r="I117" s="12" t="str">
        <f>if(vlookup(B:B,'ILC1404'!B120:F8282,5,false)="","Y","N")</f>
        <v>Y</v>
      </c>
      <c r="J117" s="12" t="str">
        <f>if(vlookup(B:B,'ILC2203'!B83:F8282,5,false)="","Y","N")</f>
        <v>N</v>
      </c>
      <c r="K117" s="12" t="str">
        <f>if(vlookup(B:B,'ILC2206'!B68:H370,5,false)="","Y","N")</f>
        <v>Y</v>
      </c>
      <c r="L117" s="12" t="str">
        <f>if(vlookup(B:B,'ILC2303'!B120:F8559,5,false)="","Y","N")</f>
        <v>N</v>
      </c>
      <c r="M117" s="12" t="str">
        <f>if(vlookup(B:B,'ILC2307'!B120:F9075,5,false)="","Y","N")</f>
        <v>N</v>
      </c>
      <c r="N117" s="12" t="str">
        <f>if(vlookup(B:B,'ILC2313'!B120:F8714,5,false)="","Y","N")</f>
        <v>N</v>
      </c>
      <c r="O117" s="12" t="str">
        <f>if(vlookup(B:B,'ILC2412'!B120:F8559,5,false)="","Y","N")</f>
        <v>N</v>
      </c>
      <c r="P117" s="12" t="str">
        <f>if(vlookup(B:B,'ILC2413'!B120:F9057,5,false)="","Y","N")</f>
        <v>N</v>
      </c>
      <c r="Q117" s="12" t="str">
        <f>if(vlookup(B:B,'ILC3104'!B120:F8602,5,false)="","Y","N")</f>
        <v>N</v>
      </c>
      <c r="R117" s="12" t="str">
        <f>if(vlookup(B:B,'ILC3310'!B6:F8541,5,false)="","Y","N")</f>
        <v>#N/A</v>
      </c>
      <c r="S117" s="12" t="str">
        <f>if(vlookup(B:B,'ILC3312'!B120:F8559,5,false)="","Y","N")</f>
        <v>N</v>
      </c>
      <c r="T117" s="12" t="str">
        <f>if(vlookup(B:B,'ILC3413'!B89:F8484,5,false)="","Y","N")</f>
        <v>N</v>
      </c>
      <c r="U117" s="12" t="str">
        <f>if(vlookup(B:B,'ILC3415'!B117:F8509,5,false)="","Y","N")</f>
        <v>N</v>
      </c>
      <c r="V117" s="12" t="str">
        <f>if(vlookup(B:B,'ILC4406'!B52:F8478,5,false)="","Y","N")</f>
        <v>N</v>
      </c>
      <c r="W117" s="12" t="str">
        <f>if(vlookup(B:B,'ILC4410'!B120:F8726,5,false)="","Y","N")</f>
        <v>N</v>
      </c>
      <c r="X117" s="12" t="str">
        <f>if(vlookup(B:B,'JBV455'!B120:F9066,5,false)="","Y","N")</f>
        <v>N</v>
      </c>
      <c r="Y117" s="12" t="str">
        <f>if(vlookup(B:B,'JBV462'!B120:F8559,5,false)="","Y","N")</f>
        <v>N</v>
      </c>
      <c r="Z117" s="12" t="str">
        <f>if(vlookup(B:B,'JBV464'!B120:F8559,5,false)="","Y","N")</f>
        <v>N</v>
      </c>
      <c r="AA117" s="12" t="str">
        <f>if(vlookup(B:B,'VDI208'!B52:F8559,5,false)="","Y","N")</f>
        <v>N</v>
      </c>
      <c r="AB117" s="76" t="str">
        <f>if(vlookup(B:B,'STO2206'!B52:F8559,5,false)="","Y","N")</f>
        <v>Y</v>
      </c>
    </row>
    <row r="118" hidden="1">
      <c r="A118" s="67" t="str">
        <f t="shared" si="2"/>
        <v>Mon</v>
      </c>
      <c r="B118" s="69">
        <v>43563.0</v>
      </c>
      <c r="C118" s="12"/>
      <c r="D118" s="12"/>
      <c r="E118" s="12"/>
      <c r="F118" s="12" t="str">
        <f>if(vlookup(B:B,'ILC1211'!$B121:F8560,5,false)="","Y","N")</f>
        <v>N</v>
      </c>
      <c r="G118" s="12"/>
      <c r="H118" s="12" t="str">
        <f>if(vlookup(B:B,'ILC1314'!$B47:G860,5,false)="","Y","N")</f>
        <v>N</v>
      </c>
      <c r="I118" s="12" t="str">
        <f>if(vlookup(B:B,'ILC1404'!B121:F8283,5,false)="","Y","N")</f>
        <v>N</v>
      </c>
      <c r="J118" s="12" t="str">
        <f>if(vlookup(B:B,'ILC2203'!B84:F8283,5,false)="","Y","N")</f>
        <v>Y</v>
      </c>
      <c r="K118" s="12" t="str">
        <f>if(vlookup(B:B,'ILC2206'!B69:H370,5,false)="","Y","N")</f>
        <v>N</v>
      </c>
      <c r="L118" s="12" t="str">
        <f>if(vlookup(B:B,'ILC2303'!B121:F8560,5,false)="","Y","N")</f>
        <v>N</v>
      </c>
      <c r="M118" s="12" t="str">
        <f>if(vlookup(B:B,'ILC2307'!B121:F9076,5,false)="","Y","N")</f>
        <v>N</v>
      </c>
      <c r="N118" s="12" t="str">
        <f>if(vlookup(B:B,'ILC2313'!B121:F8715,5,false)="","Y","N")</f>
        <v>N</v>
      </c>
      <c r="O118" s="12" t="str">
        <f>if(vlookup(B:B,'ILC2412'!B121:F8560,5,false)="","Y","N")</f>
        <v>Y</v>
      </c>
      <c r="P118" s="12" t="str">
        <f>if(vlookup(B:B,'ILC2413'!B121:F9058,5,false)="","Y","N")</f>
        <v>N</v>
      </c>
      <c r="Q118" s="12" t="str">
        <f>if(vlookup(B:B,'ILC3104'!B121:F8603,5,false)="","Y","N")</f>
        <v>Y</v>
      </c>
      <c r="R118" s="12" t="str">
        <f>if(vlookup(B:B,'ILC3310'!B6:F8542,5,false)="","Y","N")</f>
        <v>#N/A</v>
      </c>
      <c r="S118" s="12" t="str">
        <f>if(vlookup(B:B,'ILC3312'!B121:F8560,5,false)="","Y","N")</f>
        <v>N</v>
      </c>
      <c r="T118" s="12" t="str">
        <f>if(vlookup(B:B,'ILC3413'!B90:F8485,5,false)="","Y","N")</f>
        <v>N</v>
      </c>
      <c r="U118" s="12" t="str">
        <f>if(vlookup(B:B,'ILC3415'!B118:F8510,5,false)="","Y","N")</f>
        <v>N</v>
      </c>
      <c r="V118" s="12" t="str">
        <f>if(vlookup(B:B,'ILC4406'!B53:F8479,5,false)="","Y","N")</f>
        <v>Y</v>
      </c>
      <c r="W118" s="12" t="str">
        <f>if(vlookup(B:B,'ILC4410'!B121:F8727,5,false)="","Y","N")</f>
        <v>N</v>
      </c>
      <c r="X118" s="12" t="str">
        <f>if(vlookup(B:B,'JBV455'!B121:F9067,5,false)="","Y","N")</f>
        <v>N</v>
      </c>
      <c r="Y118" s="12" t="str">
        <f>if(vlookup(B:B,'JBV462'!B121:F8560,5,false)="","Y","N")</f>
        <v>Y</v>
      </c>
      <c r="Z118" s="12" t="str">
        <f>if(vlookup(B:B,'JBV464'!B121:F8560,5,false)="","Y","N")</f>
        <v>N</v>
      </c>
      <c r="AA118" s="12" t="str">
        <f>if(vlookup(B:B,'VDI208'!B53:F8560,5,false)="","Y","N")</f>
        <v>N</v>
      </c>
      <c r="AB118" s="76" t="str">
        <f>if(vlookup(B:B,'STO2206'!B53:F8560,5,false)="","Y","N")</f>
        <v>Y</v>
      </c>
    </row>
    <row r="119" hidden="1">
      <c r="A119" s="67" t="str">
        <f t="shared" si="2"/>
        <v>Tue</v>
      </c>
      <c r="B119" s="69">
        <v>43564.0</v>
      </c>
      <c r="C119" s="12"/>
      <c r="D119" s="12"/>
      <c r="E119" s="12"/>
      <c r="F119" s="12" t="str">
        <f>if(vlookup(B:B,'ILC1211'!$B122:F8561,5,false)="","Y","N")</f>
        <v>N</v>
      </c>
      <c r="G119" s="12"/>
      <c r="H119" s="12" t="str">
        <f>if(vlookup(B:B,'ILC1314'!$B48:G861,5,false)="","Y","N")</f>
        <v>N</v>
      </c>
      <c r="I119" s="12" t="str">
        <f>if(vlookup(B:B,'ILC1404'!B122:F8284,5,false)="","Y","N")</f>
        <v>N</v>
      </c>
      <c r="J119" s="12" t="str">
        <f>if(vlookup(B:B,'ILC2203'!B85:F8284,5,false)="","Y","N")</f>
        <v>Y</v>
      </c>
      <c r="K119" s="12" t="str">
        <f>if(vlookup(B:B,'ILC2206'!B70:H370,5,false)="","Y","N")</f>
        <v>N</v>
      </c>
      <c r="L119" s="12" t="str">
        <f>if(vlookup(B:B,'ILC2303'!B122:F8561,5,false)="","Y","N")</f>
        <v>N</v>
      </c>
      <c r="M119" s="12" t="str">
        <f>if(vlookup(B:B,'ILC2307'!B122:F9077,5,false)="","Y","N")</f>
        <v>N</v>
      </c>
      <c r="N119" s="12" t="str">
        <f>if(vlookup(B:B,'ILC2313'!B122:F8716,5,false)="","Y","N")</f>
        <v>N</v>
      </c>
      <c r="O119" s="12" t="str">
        <f>if(vlookup(B:B,'ILC2412'!B122:F8561,5,false)="","Y","N")</f>
        <v>N</v>
      </c>
      <c r="P119" s="12" t="str">
        <f>if(vlookup(B:B,'ILC2413'!B122:F9059,5,false)="","Y","N")</f>
        <v>N</v>
      </c>
      <c r="Q119" s="12" t="str">
        <f>if(vlookup(B:B,'ILC3104'!B122:F8604,5,false)="","Y","N")</f>
        <v>Y</v>
      </c>
      <c r="R119" s="12" t="str">
        <f>if(vlookup(B:B,'ILC3310'!B6:F8543,5,false)="","Y","N")</f>
        <v>#N/A</v>
      </c>
      <c r="S119" s="12" t="str">
        <f>if(vlookup(B:B,'ILC3312'!B122:F8561,5,false)="","Y","N")</f>
        <v>Y</v>
      </c>
      <c r="T119" s="12" t="str">
        <f>if(vlookup(B:B,'ILC3413'!B91:F8486,5,false)="","Y","N")</f>
        <v>N</v>
      </c>
      <c r="U119" s="12" t="str">
        <f>if(vlookup(B:B,'ILC3415'!B119:F8511,5,false)="","Y","N")</f>
        <v>N</v>
      </c>
      <c r="V119" s="12" t="str">
        <f>if(vlookup(B:B,'ILC4406'!B54:F8480,5,false)="","Y","N")</f>
        <v>Y</v>
      </c>
      <c r="W119" s="12" t="str">
        <f>if(vlookup(B:B,'ILC4410'!B122:F8728,5,false)="","Y","N")</f>
        <v>N</v>
      </c>
      <c r="X119" s="12" t="str">
        <f>if(vlookup(B:B,'JBV455'!B122:F9068,5,false)="","Y","N")</f>
        <v>N</v>
      </c>
      <c r="Y119" s="12" t="str">
        <f>if(vlookup(B:B,'JBV462'!B122:F8561,5,false)="","Y","N")</f>
        <v>Y</v>
      </c>
      <c r="Z119" s="12" t="str">
        <f>if(vlookup(B:B,'JBV464'!B122:F8561,5,false)="","Y","N")</f>
        <v>N</v>
      </c>
      <c r="AA119" s="12" t="str">
        <f>if(vlookup(B:B,'VDI208'!B54:F8561,5,false)="","Y","N")</f>
        <v>Y</v>
      </c>
      <c r="AB119" s="76" t="str">
        <f>if(vlookup(B:B,'STO2206'!B54:F8561,5,false)="","Y","N")</f>
        <v>Y</v>
      </c>
    </row>
    <row r="120" hidden="1">
      <c r="A120" s="67" t="str">
        <f t="shared" si="2"/>
        <v>Wed</v>
      </c>
      <c r="B120" s="69">
        <v>43565.0</v>
      </c>
      <c r="C120" s="12"/>
      <c r="D120" s="12"/>
      <c r="E120" s="12"/>
      <c r="F120" s="12" t="str">
        <f>if(vlookup(B:B,'ILC1211'!$B123:F8562,5,false)="","Y","N")</f>
        <v>N</v>
      </c>
      <c r="G120" s="12" t="str">
        <f>if(vlookup(B:B,'ILC1213'!$B50:G8562,5,false)="","Y","N")</f>
        <v>N</v>
      </c>
      <c r="H120" s="12" t="str">
        <f>if(vlookup(B:B,'ILC1314'!$B49:G862,5,false)="","Y","N")</f>
        <v>N</v>
      </c>
      <c r="I120" s="12" t="str">
        <f>if(vlookup(B:B,'ILC1404'!B123:F8285,5,false)="","Y","N")</f>
        <v>N</v>
      </c>
      <c r="J120" s="12" t="str">
        <f>if(vlookup(B:B,'ILC2203'!B86:F8285,5,false)="","Y","N")</f>
        <v>Y</v>
      </c>
      <c r="K120" s="12" t="str">
        <f>if(vlookup(B:B,'ILC2206'!B71:H370,5,false)="","Y","N")</f>
        <v>N</v>
      </c>
      <c r="L120" s="12" t="str">
        <f>if(vlookup(B:B,'ILC2303'!B123:F8562,5,false)="","Y","N")</f>
        <v>N</v>
      </c>
      <c r="M120" s="12" t="str">
        <f>if(vlookup(B:B,'ILC2307'!B123:F9078,5,false)="","Y","N")</f>
        <v>Y</v>
      </c>
      <c r="N120" s="12" t="str">
        <f>if(vlookup(B:B,'ILC2313'!B123:F8717,5,false)="","Y","N")</f>
        <v>N</v>
      </c>
      <c r="O120" s="12" t="str">
        <f>if(vlookup(B:B,'ILC2412'!B123:F8562,5,false)="","Y","N")</f>
        <v>N</v>
      </c>
      <c r="P120" s="12" t="str">
        <f>if(vlookup(B:B,'ILC2413'!B123:F9060,5,false)="","Y","N")</f>
        <v>Y</v>
      </c>
      <c r="Q120" s="12" t="str">
        <f>if(vlookup(B:B,'ILC3104'!B123:F8605,5,false)="","Y","N")</f>
        <v>Y</v>
      </c>
      <c r="R120" s="12" t="str">
        <f>if(vlookup(B:B,'ILC3310'!B6:F8544,5,false)="","Y","N")</f>
        <v>#N/A</v>
      </c>
      <c r="S120" s="12" t="str">
        <f>if(vlookup(B:B,'ILC3312'!B123:F8562,5,false)="","Y","N")</f>
        <v>Y</v>
      </c>
      <c r="T120" s="12" t="str">
        <f>if(vlookup(B:B,'ILC3413'!B92:F8487,5,false)="","Y","N")</f>
        <v>N</v>
      </c>
      <c r="U120" s="12" t="str">
        <f>if(vlookup(B:B,'ILC3415'!B120:F8512,5,false)="","Y","N")</f>
        <v>N</v>
      </c>
      <c r="V120" s="12" t="str">
        <f>if(vlookup(B:B,'ILC4406'!B55:F8481,5,false)="","Y","N")</f>
        <v>Y</v>
      </c>
      <c r="W120" s="12" t="str">
        <f>if(vlookup(B:B,'ILC4410'!B123:F8729,5,false)="","Y","N")</f>
        <v>Y</v>
      </c>
      <c r="X120" s="12" t="str">
        <f>if(vlookup(B:B,'JBV455'!B123:F9069,5,false)="","Y","N")</f>
        <v>N</v>
      </c>
      <c r="Y120" s="12" t="str">
        <f>if(vlookup(B:B,'JBV462'!B123:F8562,5,false)="","Y","N")</f>
        <v>N</v>
      </c>
      <c r="Z120" s="12" t="str">
        <f>if(vlookup(B:B,'JBV464'!B123:F8562,5,false)="","Y","N")</f>
        <v>N</v>
      </c>
      <c r="AA120" s="12" t="str">
        <f>if(vlookup(B:B,'VDI208'!B55:F8562,5,false)="","Y","N")</f>
        <v>Y</v>
      </c>
      <c r="AB120" s="76" t="str">
        <f>if(vlookup(B:B,'STO2206'!B55:F8562,5,false)="","Y","N")</f>
        <v>Y</v>
      </c>
    </row>
    <row r="121" hidden="1">
      <c r="A121" s="67" t="str">
        <f t="shared" si="2"/>
        <v>Thu</v>
      </c>
      <c r="B121" s="69">
        <v>43566.0</v>
      </c>
      <c r="C121" s="12"/>
      <c r="D121" s="12"/>
      <c r="E121" s="12"/>
      <c r="F121" s="12" t="str">
        <f>if(vlookup(B:B,'ILC1211'!$B124:F8563,5,false)="","Y","N")</f>
        <v>N</v>
      </c>
      <c r="G121" s="12" t="str">
        <f>if(vlookup(B:B,'ILC1213'!$B51:G8563,5,false)="","Y","N")</f>
        <v>N</v>
      </c>
      <c r="H121" s="12" t="str">
        <f>if(vlookup(B:B,'ILC1314'!$B50:G863,5,false)="","Y","N")</f>
        <v>N</v>
      </c>
      <c r="I121" s="12" t="str">
        <f>if(vlookup(B:B,'ILC1404'!B124:F8286,5,false)="","Y","N")</f>
        <v>N</v>
      </c>
      <c r="J121" s="12" t="str">
        <f>if(vlookup(B:B,'ILC2203'!B87:F8286,5,false)="","Y","N")</f>
        <v>N</v>
      </c>
      <c r="K121" s="12" t="str">
        <f>if(vlookup(B:B,'ILC2206'!B72:H370,5,false)="","Y","N")</f>
        <v>N</v>
      </c>
      <c r="L121" s="12" t="str">
        <f>if(vlookup(B:B,'ILC2303'!B124:F8563,5,false)="","Y","N")</f>
        <v>N</v>
      </c>
      <c r="M121" s="12" t="str">
        <f>if(vlookup(B:B,'ILC2307'!B124:F9079,5,false)="","Y","N")</f>
        <v>Y</v>
      </c>
      <c r="N121" s="12" t="str">
        <f>if(vlookup(B:B,'ILC2313'!B124:F8718,5,false)="","Y","N")</f>
        <v>N</v>
      </c>
      <c r="O121" s="12" t="str">
        <f>if(vlookup(B:B,'ILC2412'!B124:F8563,5,false)="","Y","N")</f>
        <v>N</v>
      </c>
      <c r="P121" s="12" t="str">
        <f>if(vlookup(B:B,'ILC2413'!B124:F9061,5,false)="","Y","N")</f>
        <v>Y</v>
      </c>
      <c r="Q121" s="12" t="str">
        <f>if(vlookup(B:B,'ILC3104'!B124:F8606,5,false)="","Y","N")</f>
        <v>N</v>
      </c>
      <c r="R121" s="12" t="str">
        <f>if(vlookup(B:B,'ILC3310'!B6:F8545,5,false)="","Y","N")</f>
        <v>#N/A</v>
      </c>
      <c r="S121" s="12" t="str">
        <f>if(vlookup(B:B,'ILC3312'!B124:F8563,5,false)="","Y","N")</f>
        <v>N</v>
      </c>
      <c r="T121" s="12" t="str">
        <f>if(vlookup(B:B,'ILC3413'!B93:F8488,5,false)="","Y","N")</f>
        <v>N</v>
      </c>
      <c r="U121" s="12" t="str">
        <f>if(vlookup(B:B,'ILC3415'!B121:F8513,5,false)="","Y","N")</f>
        <v>N</v>
      </c>
      <c r="V121" s="12" t="str">
        <f>if(vlookup(B:B,'ILC4406'!B56:F8482,5,false)="","Y","N")</f>
        <v>Y</v>
      </c>
      <c r="W121" s="12" t="str">
        <f>if(vlookup(B:B,'ILC4410'!B124:F8730,5,false)="","Y","N")</f>
        <v>Y</v>
      </c>
      <c r="X121" s="12" t="str">
        <f>if(vlookup(B:B,'JBV455'!B124:F9070,5,false)="","Y","N")</f>
        <v>N</v>
      </c>
      <c r="Y121" s="12" t="str">
        <f>if(vlookup(B:B,'JBV462'!B124:F8563,5,false)="","Y","N")</f>
        <v>N</v>
      </c>
      <c r="Z121" s="12" t="str">
        <f>if(vlookup(B:B,'JBV464'!B124:F8563,5,false)="","Y","N")</f>
        <v>N</v>
      </c>
      <c r="AA121" s="12" t="str">
        <f>if(vlookup(B:B,'VDI208'!B56:F8563,5,false)="","Y","N")</f>
        <v>Y</v>
      </c>
      <c r="AB121" s="76" t="str">
        <f>if(vlookup(B:B,'STO2206'!B56:F8563,5,false)="","Y","N")</f>
        <v>Y</v>
      </c>
    </row>
    <row r="122" hidden="1">
      <c r="A122" s="67" t="str">
        <f t="shared" si="2"/>
        <v>Fri</v>
      </c>
      <c r="B122" s="69">
        <v>43567.0</v>
      </c>
      <c r="C122" s="12"/>
      <c r="D122" s="12"/>
      <c r="E122" s="12"/>
      <c r="F122" s="12" t="str">
        <f>if(vlookup(B:B,'ILC1211'!$B125:F8564,5,false)="","Y","N")</f>
        <v>N</v>
      </c>
      <c r="G122" s="12" t="str">
        <f>if(vlookup(B:B,'ILC1213'!$B52:G8564,5,false)="","Y","N")</f>
        <v>N</v>
      </c>
      <c r="H122" s="12" t="str">
        <f>if(vlookup(B:B,'ILC1314'!$B51:G864,5,false)="","Y","N")</f>
        <v>N</v>
      </c>
      <c r="I122" s="12" t="str">
        <f>if(vlookup(B:B,'ILC1404'!B125:F8287,5,false)="","Y","N")</f>
        <v>N</v>
      </c>
      <c r="J122" s="12" t="str">
        <f>if(vlookup(B:B,'ILC2203'!B88:F8287,5,false)="","Y","N")</f>
        <v>N</v>
      </c>
      <c r="K122" s="12" t="str">
        <f>if(vlookup(B:B,'ILC2206'!B73:H370,5,false)="","Y","N")</f>
        <v>N</v>
      </c>
      <c r="L122" s="12" t="str">
        <f>if(vlookup(B:B,'ILC2303'!B125:F8564,5,false)="","Y","N")</f>
        <v>N</v>
      </c>
      <c r="M122" s="12" t="str">
        <f>if(vlookup(B:B,'ILC2307'!B125:F9080,5,false)="","Y","N")</f>
        <v>Y</v>
      </c>
      <c r="N122" s="12" t="str">
        <f>if(vlookup(B:B,'ILC2313'!B125:F8719,5,false)="","Y","N")</f>
        <v>N</v>
      </c>
      <c r="O122" s="12" t="str">
        <f>if(vlookup(B:B,'ILC2412'!B125:F8564,5,false)="","Y","N")</f>
        <v>N</v>
      </c>
      <c r="P122" s="12" t="str">
        <f>if(vlookup(B:B,'ILC2413'!B125:F9062,5,false)="","Y","N")</f>
        <v>Y</v>
      </c>
      <c r="Q122" s="12" t="str">
        <f>if(vlookup(B:B,'ILC3104'!B125:F8607,5,false)="","Y","N")</f>
        <v>N</v>
      </c>
      <c r="R122" s="12" t="str">
        <f>if(vlookup(B:B,'ILC3310'!B6:F8546,5,false)="","Y","N")</f>
        <v>#N/A</v>
      </c>
      <c r="S122" s="12" t="str">
        <f>if(vlookup(B:B,'ILC3312'!B125:F8564,5,false)="","Y","N")</f>
        <v>N</v>
      </c>
      <c r="T122" s="12" t="str">
        <f>if(vlookup(B:B,'ILC3413'!B94:F8489,5,false)="","Y","N")</f>
        <v>N</v>
      </c>
      <c r="U122" s="12" t="str">
        <f>if(vlookup(B:B,'ILC3415'!B122:F8514,5,false)="","Y","N")</f>
        <v>N</v>
      </c>
      <c r="V122" s="12" t="str">
        <f>if(vlookup(B:B,'ILC4406'!B57:F8483,5,false)="","Y","N")</f>
        <v>N</v>
      </c>
      <c r="W122" s="12" t="str">
        <f>if(vlookup(B:B,'ILC4410'!B125:F8731,5,false)="","Y","N")</f>
        <v>Y</v>
      </c>
      <c r="X122" s="12" t="str">
        <f>if(vlookup(B:B,'JBV455'!B125:F9071,5,false)="","Y","N")</f>
        <v>N</v>
      </c>
      <c r="Y122" s="12" t="str">
        <f>if(vlookup(B:B,'JBV462'!B125:F8564,5,false)="","Y","N")</f>
        <v>N</v>
      </c>
      <c r="Z122" s="12" t="str">
        <f>if(vlookup(B:B,'JBV464'!B125:F8564,5,false)="","Y","N")</f>
        <v>N</v>
      </c>
      <c r="AA122" s="12" t="str">
        <f>if(vlookup(B:B,'VDI208'!B57:F8564,5,false)="","Y","N")</f>
        <v>Y</v>
      </c>
      <c r="AB122" s="76" t="str">
        <f>if(vlookup(B:B,'STO2206'!B57:F8564,5,false)="","Y","N")</f>
        <v>Y</v>
      </c>
    </row>
    <row r="123" hidden="1">
      <c r="A123" s="67" t="str">
        <f t="shared" si="2"/>
        <v>Sat</v>
      </c>
      <c r="B123" s="69">
        <v>43568.0</v>
      </c>
      <c r="C123" s="12"/>
      <c r="D123" s="12"/>
      <c r="E123" s="12"/>
      <c r="F123" s="12" t="str">
        <f>if(vlookup(B:B,'ILC1211'!$B126:F8565,5,false)="","Y","N")</f>
        <v>N</v>
      </c>
      <c r="G123" s="12" t="str">
        <f>if(vlookup(B:B,'ILC1213'!$B53:G8565,5,false)="","Y","N")</f>
        <v>N</v>
      </c>
      <c r="H123" s="12" t="str">
        <f>if(vlookup(B:B,'ILC1314'!$B52:G865,5,false)="","Y","N")</f>
        <v>N</v>
      </c>
      <c r="I123" s="12" t="str">
        <f>if(vlookup(B:B,'ILC1404'!B126:F8288,5,false)="","Y","N")</f>
        <v>N</v>
      </c>
      <c r="J123" s="12" t="str">
        <f>if(vlookup(B:B,'ILC2203'!B89:F8288,5,false)="","Y","N")</f>
        <v>N</v>
      </c>
      <c r="K123" s="12" t="str">
        <f>if(vlookup(B:B,'ILC2206'!B74:H370,5,false)="","Y","N")</f>
        <v>N</v>
      </c>
      <c r="L123" s="12" t="str">
        <f>if(vlookup(B:B,'ILC2303'!B126:F8565,5,false)="","Y","N")</f>
        <v>N</v>
      </c>
      <c r="M123" s="12" t="str">
        <f>if(vlookup(B:B,'ILC2307'!B126:F9081,5,false)="","Y","N")</f>
        <v>N</v>
      </c>
      <c r="N123" s="12" t="str">
        <f>if(vlookup(B:B,'ILC2313'!B126:F8720,5,false)="","Y","N")</f>
        <v>N</v>
      </c>
      <c r="O123" s="12" t="str">
        <f>if(vlookup(B:B,'ILC2412'!B126:F8565,5,false)="","Y","N")</f>
        <v>N</v>
      </c>
      <c r="P123" s="12" t="str">
        <f>if(vlookup(B:B,'ILC2413'!B126:F9063,5,false)="","Y","N")</f>
        <v>N</v>
      </c>
      <c r="Q123" s="12" t="str">
        <f>if(vlookup(B:B,'ILC3104'!B126:F8608,5,false)="","Y","N")</f>
        <v>N</v>
      </c>
      <c r="R123" s="12" t="str">
        <f>if(vlookup(B:B,'ILC3310'!B6:F8547,5,false)="","Y","N")</f>
        <v>#N/A</v>
      </c>
      <c r="S123" s="12" t="str">
        <f>if(vlookup(B:B,'ILC3312'!B126:F8565,5,false)="","Y","N")</f>
        <v>N</v>
      </c>
      <c r="T123" s="12" t="str">
        <f>if(vlookup(B:B,'ILC3413'!B95:F8490,5,false)="","Y","N")</f>
        <v>N</v>
      </c>
      <c r="U123" s="12" t="str">
        <f>if(vlookup(B:B,'ILC3415'!B123:F8515,5,false)="","Y","N")</f>
        <v>N</v>
      </c>
      <c r="V123" s="12" t="str">
        <f>if(vlookup(B:B,'ILC4406'!B58:F8484,5,false)="","Y","N")</f>
        <v>N</v>
      </c>
      <c r="W123" s="12" t="str">
        <f>if(vlookup(B:B,'ILC4410'!B126:F8732,5,false)="","Y","N")</f>
        <v>N</v>
      </c>
      <c r="X123" s="12" t="str">
        <f>if(vlookup(B:B,'JBV455'!B126:F9072,5,false)="","Y","N")</f>
        <v>N</v>
      </c>
      <c r="Y123" s="12" t="str">
        <f>if(vlookup(B:B,'JBV462'!B126:F8565,5,false)="","Y","N")</f>
        <v>N</v>
      </c>
      <c r="Z123" s="12" t="str">
        <f>if(vlookup(B:B,'JBV464'!B126:F8565,5,false)="","Y","N")</f>
        <v>N</v>
      </c>
      <c r="AA123" s="12" t="str">
        <f>if(vlookup(B:B,'VDI208'!B58:F8565,5,false)="","Y","N")</f>
        <v>Y</v>
      </c>
      <c r="AB123" s="76" t="str">
        <f>if(vlookup(B:B,'STO2206'!B58:F8565,5,false)="","Y","N")</f>
        <v>Y</v>
      </c>
    </row>
    <row r="124" ht="12.75" hidden="1" customHeight="1">
      <c r="A124" s="67" t="str">
        <f t="shared" si="2"/>
        <v>Sun</v>
      </c>
      <c r="B124" s="69">
        <v>43569.0</v>
      </c>
      <c r="C124" s="12"/>
      <c r="D124" s="12"/>
      <c r="E124" s="12"/>
      <c r="F124" s="12" t="str">
        <f>if(vlookup(B:B,'ILC1211'!$B127:F8566,5,false)="","Y","N")</f>
        <v>N</v>
      </c>
      <c r="G124" s="12" t="str">
        <f>if(vlookup(B:B,'ILC1213'!$B54:G8566,5,false)="","Y","N")</f>
        <v>N</v>
      </c>
      <c r="H124" s="12" t="str">
        <f>if(vlookup(B:B,'ILC1314'!$B53:G866,5,false)="","Y","N")</f>
        <v>N</v>
      </c>
      <c r="I124" s="12" t="str">
        <f>if(vlookup(B:B,'ILC1404'!B127:F8289,5,false)="","Y","N")</f>
        <v>N</v>
      </c>
      <c r="J124" s="12" t="str">
        <f>if(vlookup(B:B,'ILC2203'!B90:F8289,5,false)="","Y","N")</f>
        <v>N</v>
      </c>
      <c r="K124" s="192" t="str">
        <f>if(vlookup(B:B,'ILC2206'!B75:H370,5,false)="","Y","N")</f>
        <v>N</v>
      </c>
      <c r="L124" s="12" t="str">
        <f>if(vlookup(B:B,'ILC2303'!B127:F8566,5,false)="","Y","N")</f>
        <v>N</v>
      </c>
      <c r="M124" s="12" t="str">
        <f>if(vlookup(B:B,'ILC2307'!B127:F9082,5,false)="","Y","N")</f>
        <v>N</v>
      </c>
      <c r="N124" s="12" t="str">
        <f>if(vlookup(B:B,'ILC2313'!B127:F8721,5,false)="","Y","N")</f>
        <v>N</v>
      </c>
      <c r="O124" s="12" t="str">
        <f>if(vlookup(B:B,'ILC2412'!B127:F8566,5,false)="","Y","N")</f>
        <v>N</v>
      </c>
      <c r="P124" s="12" t="str">
        <f>if(vlookup(B:B,'ILC2413'!B127:F9064,5,false)="","Y","N")</f>
        <v>N</v>
      </c>
      <c r="Q124" s="12" t="str">
        <f>if(vlookup(B:B,'ILC3104'!B127:F8609,5,false)="","Y","N")</f>
        <v>N</v>
      </c>
      <c r="R124" s="12" t="str">
        <f>if(vlookup(B:B,'ILC3310'!B6:F8548,5,false)="","Y","N")</f>
        <v>#N/A</v>
      </c>
      <c r="S124" s="12" t="str">
        <f>if(vlookup(B:B,'ILC3312'!B127:F8566,5,false)="","Y","N")</f>
        <v>N</v>
      </c>
      <c r="T124" s="12" t="str">
        <f>if(vlookup(B:B,'ILC3413'!B96:F8491,5,false)="","Y","N")</f>
        <v>N</v>
      </c>
      <c r="U124" s="12" t="str">
        <f>if(vlookup(B:B,'ILC3415'!B124:F8516,5,false)="","Y","N")</f>
        <v>N</v>
      </c>
      <c r="V124" s="12" t="str">
        <f>if(vlookup(B:B,'ILC4406'!B59:F8485,5,false)="","Y","N")</f>
        <v>N</v>
      </c>
      <c r="W124" s="12" t="str">
        <f>if(vlookup(B:B,'ILC4410'!B127:F8733,5,false)="","Y","N")</f>
        <v>N</v>
      </c>
      <c r="X124" s="12" t="str">
        <f>if(vlookup(B:B,'JBV455'!B127:F9073,5,false)="","Y","N")</f>
        <v>N</v>
      </c>
      <c r="Y124" s="12" t="str">
        <f>if(vlookup(B:B,'JBV462'!B127:F8566,5,false)="","Y","N")</f>
        <v>N</v>
      </c>
      <c r="Z124" s="12" t="str">
        <f>if(vlookup(B:B,'JBV464'!B127:F8566,5,false)="","Y","N")</f>
        <v>N</v>
      </c>
      <c r="AA124" s="12" t="str">
        <f>if(vlookup(B:B,'VDI208'!B59:F8566,5,false)="","Y","N")</f>
        <v>Y</v>
      </c>
      <c r="AB124" s="76" t="str">
        <f>if(vlookup(B:B,'STO2206'!B59:F8566,5,false)="","Y","N")</f>
        <v>Y</v>
      </c>
    </row>
    <row r="125" hidden="1">
      <c r="A125" s="67" t="str">
        <f t="shared" si="2"/>
        <v>Mon</v>
      </c>
      <c r="B125" s="69">
        <v>43570.0</v>
      </c>
      <c r="C125" s="12"/>
      <c r="D125" s="12"/>
      <c r="E125" s="12"/>
      <c r="F125" s="12" t="str">
        <f>if(vlookup(B:B,'ILC1211'!$B128:F8567,5,false)="","Y","N")</f>
        <v>N</v>
      </c>
      <c r="G125" s="12" t="str">
        <f>if(vlookup(B:B,'ILC1213'!$B55:G8567,5,false)="","Y","N")</f>
        <v>N</v>
      </c>
      <c r="H125" s="12" t="str">
        <f>if(vlookup(B:B,'ILC1314'!$B54:G867,5,false)="","Y","N")</f>
        <v>N</v>
      </c>
      <c r="I125" s="12" t="str">
        <f>if(vlookup(B:B,'ILC1404'!B128:F8290,5,false)="","Y","N")</f>
        <v>Y</v>
      </c>
      <c r="J125" s="12" t="str">
        <f>if(vlookup(B:B,'ILC2203'!B91:F8290,5,false)="","Y","N")</f>
        <v>N</v>
      </c>
      <c r="K125" s="192" t="str">
        <f>if(vlookup(B:B,'ILC2206'!B76:H370,5,false)="","Y","N")</f>
        <v>Y</v>
      </c>
      <c r="L125" s="12" t="str">
        <f>if(vlookup(B:B,'ILC2303'!B128:F8567,5,false)="","Y","N")</f>
        <v>N</v>
      </c>
      <c r="M125" s="12" t="str">
        <f>if(vlookup(B:B,'ILC2307'!B128:F9083,5,false)="","Y","N")</f>
        <v>N</v>
      </c>
      <c r="N125" s="12" t="str">
        <f>if(vlookup(B:B,'ILC2313'!B128:F8722,5,false)="","Y","N")</f>
        <v>N</v>
      </c>
      <c r="O125" s="12" t="str">
        <f>if(vlookup(B:B,'ILC2412'!B128:F8567,5,false)="","Y","N")</f>
        <v>N</v>
      </c>
      <c r="P125" s="12" t="str">
        <f>if(vlookup(B:B,'ILC2413'!B128:F9065,5,false)="","Y","N")</f>
        <v>N</v>
      </c>
      <c r="Q125" s="12" t="str">
        <f>if(vlookup(B:B,'ILC3104'!B128:F8610,5,false)="","Y","N")</f>
        <v>N</v>
      </c>
      <c r="R125" s="12" t="str">
        <f>if(vlookup(B:B,'ILC3310'!B6:F8549,5,false)="","Y","N")</f>
        <v>#N/A</v>
      </c>
      <c r="S125" s="12" t="str">
        <f>if(vlookup(B:B,'ILC3312'!B128:F8567,5,false)="","Y","N")</f>
        <v>N</v>
      </c>
      <c r="T125" s="12" t="str">
        <f>if(vlookup(B:B,'ILC3413'!B97:F8492,5,false)="","Y","N")</f>
        <v>N</v>
      </c>
      <c r="U125" s="12" t="str">
        <f>if(vlookup(B:B,'ILC3415'!B125:F8517,5,false)="","Y","N")</f>
        <v>N</v>
      </c>
      <c r="V125" s="12" t="str">
        <f>if(vlookup(B:B,'ILC4406'!B60:F8486,5,false)="","Y","N")</f>
        <v>Y</v>
      </c>
      <c r="W125" s="12" t="str">
        <f>if(vlookup(B:B,'ILC4410'!B128:F8734,5,false)="","Y","N")</f>
        <v>N</v>
      </c>
      <c r="X125" s="12" t="str">
        <f>if(vlookup(B:B,'JBV455'!B128:F9074,5,false)="","Y","N")</f>
        <v>N</v>
      </c>
      <c r="Y125" s="12" t="str">
        <f>if(vlookup(B:B,'JBV462'!B128:F8567,5,false)="","Y","N")</f>
        <v>N</v>
      </c>
      <c r="Z125" s="12" t="str">
        <f>if(vlookup(B:B,'JBV464'!B128:F8567,5,false)="","Y","N")</f>
        <v>Y</v>
      </c>
      <c r="AA125" s="12" t="str">
        <f>if(vlookup(B:B,'VDI208'!B60:F8567,5,false)="","Y","N")</f>
        <v>N</v>
      </c>
      <c r="AB125" s="76" t="str">
        <f>if(vlookup(B:B,'STO2206'!B60:F8567,5,false)="","Y","N")</f>
        <v>Y</v>
      </c>
    </row>
    <row r="126" hidden="1">
      <c r="A126" s="67" t="str">
        <f t="shared" si="2"/>
        <v>Tue</v>
      </c>
      <c r="B126" s="69">
        <v>43571.0</v>
      </c>
      <c r="C126" s="12"/>
      <c r="D126" s="12"/>
      <c r="E126" s="12"/>
      <c r="F126" s="12" t="str">
        <f>if(vlookup(B:B,'ILC1211'!$B129:F8568,5,false)="","Y","N")</f>
        <v>N</v>
      </c>
      <c r="G126" s="12" t="str">
        <f>if(vlookup(B:B,'ILC1213'!$B56:G8568,5,false)="","Y","N")</f>
        <v>N</v>
      </c>
      <c r="H126" s="12" t="str">
        <f>if(vlookup(B:B,'ILC1314'!$B55:G868,5,false)="","Y","N")</f>
        <v>N</v>
      </c>
      <c r="I126" s="12" t="str">
        <f>if(vlookup(B:B,'ILC1404'!B129:F8291,5,false)="","Y","N")</f>
        <v>N</v>
      </c>
      <c r="J126" s="12" t="str">
        <f>if(vlookup(B:B,'ILC2203'!B92:F8291,5,false)="","Y","N")</f>
        <v>N</v>
      </c>
      <c r="K126" s="12" t="str">
        <f>if(vlookup(B:B,'ILC2206'!B77:H370,5,false)="","Y","N")</f>
        <v>N</v>
      </c>
      <c r="L126" s="12" t="str">
        <f>if(vlookup(B:B,'ILC2303'!B129:F8568,5,false)="","Y","N")</f>
        <v>N</v>
      </c>
      <c r="M126" s="12" t="str">
        <f>if(vlookup(B:B,'ILC2307'!B129:F9084,5,false)="","Y","N")</f>
        <v>N</v>
      </c>
      <c r="N126" s="12" t="str">
        <f>if(vlookup(B:B,'ILC2313'!B129:F8723,5,false)="","Y","N")</f>
        <v>N</v>
      </c>
      <c r="O126" s="12" t="str">
        <f>if(vlookup(B:B,'ILC2412'!B129:F8568,5,false)="","Y","N")</f>
        <v>N</v>
      </c>
      <c r="P126" s="12" t="str">
        <f>if(vlookup(B:B,'ILC2413'!B129:F9066,5,false)="","Y","N")</f>
        <v>N</v>
      </c>
      <c r="Q126" s="12" t="str">
        <f>if(vlookup(B:B,'ILC3104'!B129:F8611,5,false)="","Y","N")</f>
        <v>N</v>
      </c>
      <c r="R126" s="12" t="str">
        <f>if(vlookup(B:B,'ILC3310'!B6:F8550,5,false)="","Y","N")</f>
        <v>#N/A</v>
      </c>
      <c r="S126" s="12" t="str">
        <f>if(vlookup(B:B,'ILC3312'!B129:F8568,5,false)="","Y","N")</f>
        <v>Y</v>
      </c>
      <c r="T126" s="12" t="str">
        <f>if(vlookup(B:B,'ILC3413'!B98:F8493,5,false)="","Y","N")</f>
        <v>N</v>
      </c>
      <c r="U126" s="12" t="str">
        <f>if(vlookup(B:B,'ILC3415'!B126:F8518,5,false)="","Y","N")</f>
        <v>N</v>
      </c>
      <c r="V126" s="12" t="str">
        <f>if(vlookup(B:B,'ILC4406'!B61:F8487,5,false)="","Y","N")</f>
        <v>N</v>
      </c>
      <c r="W126" s="12" t="str">
        <f>if(vlookup(B:B,'ILC4410'!B129:F8735,5,false)="","Y","N")</f>
        <v>N</v>
      </c>
      <c r="X126" s="12" t="str">
        <f>if(vlookup(B:B,'JBV455'!B129:F9075,5,false)="","Y","N")</f>
        <v>N</v>
      </c>
      <c r="Y126" s="12" t="str">
        <f>if(vlookup(B:B,'JBV462'!B129:F8568,5,false)="","Y","N")</f>
        <v>N</v>
      </c>
      <c r="Z126" s="12" t="str">
        <f>if(vlookup(B:B,'JBV464'!B129:F8568,5,false)="","Y","N")</f>
        <v>Y</v>
      </c>
      <c r="AA126" s="12" t="str">
        <f>if(vlookup(B:B,'VDI208'!B61:F8568,5,false)="","Y","N")</f>
        <v>N</v>
      </c>
      <c r="AB126" s="76" t="str">
        <f>if(vlookup(B:B,'STO2206'!B61:F8568,5,false)="","Y","N")</f>
        <v>Y</v>
      </c>
    </row>
    <row r="127" hidden="1">
      <c r="A127" s="67" t="str">
        <f t="shared" si="2"/>
        <v>Wed</v>
      </c>
      <c r="B127" s="69">
        <v>43572.0</v>
      </c>
      <c r="C127" s="12"/>
      <c r="D127" s="12"/>
      <c r="E127" s="12"/>
      <c r="F127" s="12" t="str">
        <f>if(vlookup(B:B,'ILC1211'!$B130:F8569,5,false)="","Y","N")</f>
        <v>N</v>
      </c>
      <c r="G127" s="12" t="str">
        <f>if(vlookup(B:B,'ILC1213'!$B57:G8569,5,false)="","Y","N")</f>
        <v>N</v>
      </c>
      <c r="H127" s="12" t="str">
        <f>if(vlookup(B:B,'ILC1314'!$B56:G869,5,false)="","Y","N")</f>
        <v>N</v>
      </c>
      <c r="I127" s="12" t="str">
        <f>if(vlookup(B:B,'ILC1404'!B130:F8292,5,false)="","Y","N")</f>
        <v>N</v>
      </c>
      <c r="J127" s="12" t="str">
        <f>if(vlookup(B:B,'ILC2203'!B93:F8292,5,false)="","Y","N")</f>
        <v>Y</v>
      </c>
      <c r="K127" s="12" t="str">
        <f>if(vlookup(B:B,'ILC2206'!B78:H370,5,false)="","Y","N")</f>
        <v>N</v>
      </c>
      <c r="L127" s="12" t="str">
        <f>if(vlookup(B:B,'ILC2303'!B130:F8569,5,false)="","Y","N")</f>
        <v>N</v>
      </c>
      <c r="M127" s="12" t="str">
        <f>if(vlookup(B:B,'ILC2307'!B130:F9085,5,false)="","Y","N")</f>
        <v>N</v>
      </c>
      <c r="N127" s="12" t="str">
        <f>if(vlookup(B:B,'ILC2313'!B130:F8724,5,false)="","Y","N")</f>
        <v>N</v>
      </c>
      <c r="O127" s="12" t="str">
        <f>if(vlookup(B:B,'ILC2412'!B130:F8569,5,false)="","Y","N")</f>
        <v>N</v>
      </c>
      <c r="P127" s="12" t="str">
        <f>if(vlookup(B:B,'ILC2413'!B130:F9067,5,false)="","Y","N")</f>
        <v>N</v>
      </c>
      <c r="Q127" s="12" t="str">
        <f>if(vlookup(B:B,'ILC3104'!B130:F8612,5,false)="","Y","N")</f>
        <v>N</v>
      </c>
      <c r="R127" s="12" t="str">
        <f>if(vlookup(B:B,'ILC3310'!B6:F8551,5,false)="","Y","N")</f>
        <v>#N/A</v>
      </c>
      <c r="S127" s="12" t="str">
        <f>if(vlookup(B:B,'ILC3312'!B130:F8569,5,false)="","Y","N")</f>
        <v>N</v>
      </c>
      <c r="T127" s="12" t="str">
        <f>if(vlookup(B:B,'ILC3413'!B99:F8494,5,false)="","Y","N")</f>
        <v>N</v>
      </c>
      <c r="U127" s="12" t="str">
        <f>if(vlookup(B:B,'ILC3415'!B127:F8519,5,false)="","Y","N")</f>
        <v>N</v>
      </c>
      <c r="V127" s="12" t="str">
        <f>if(vlookup(B:B,'ILC4406'!B62:F8488,5,false)="","Y","N")</f>
        <v>N</v>
      </c>
      <c r="W127" s="12" t="str">
        <f>if(vlookup(B:B,'ILC4410'!B130:F8736,5,false)="","Y","N")</f>
        <v>N</v>
      </c>
      <c r="X127" s="12" t="str">
        <f>if(vlookup(B:B,'JBV455'!B130:F9076,5,false)="","Y","N")</f>
        <v>N</v>
      </c>
      <c r="Y127" s="12" t="str">
        <f>if(vlookup(B:B,'JBV462'!B130:F8569,5,false)="","Y","N")</f>
        <v>N</v>
      </c>
      <c r="Z127" s="12" t="str">
        <f>if(vlookup(B:B,'JBV464'!B130:F8569,5,false)="","Y","N")</f>
        <v>Y</v>
      </c>
      <c r="AA127" s="12" t="str">
        <f>if(vlookup(B:B,'VDI208'!B62:F8569,5,false)="","Y","N")</f>
        <v>N</v>
      </c>
      <c r="AB127" s="76" t="str">
        <f>if(vlookup(B:B,'STO2206'!B62:F8569,5,false)="","Y","N")</f>
        <v>Y</v>
      </c>
    </row>
    <row r="128" hidden="1">
      <c r="A128" s="67" t="str">
        <f t="shared" si="2"/>
        <v>Thu</v>
      </c>
      <c r="B128" s="69">
        <v>43573.0</v>
      </c>
      <c r="C128" s="12"/>
      <c r="D128" s="12"/>
      <c r="E128" s="12"/>
      <c r="F128" s="12" t="str">
        <f>if(vlookup(B:B,'ILC1211'!$B131:F8570,5,false)="","Y","N")</f>
        <v>N</v>
      </c>
      <c r="G128" s="12" t="str">
        <f>if(vlookup(B:B,'ILC1213'!$B58:G8570,5,false)="","Y","N")</f>
        <v>N</v>
      </c>
      <c r="H128" s="12" t="str">
        <f>if(vlookup(B:B,'ILC1314'!$B57:G870,5,false)="","Y","N")</f>
        <v>N</v>
      </c>
      <c r="I128" s="12" t="str">
        <f>if(vlookup(B:B,'ILC1404'!B131:F8293,5,false)="","Y","N")</f>
        <v>N</v>
      </c>
      <c r="J128" s="12" t="str">
        <f>if(vlookup(B:B,'ILC2203'!B94:F8293,5,false)="","Y","N")</f>
        <v>N</v>
      </c>
      <c r="K128" s="12" t="str">
        <f>if(vlookup(B:B,'ILC2206'!B79:H370,5,false)="","Y","N")</f>
        <v>N</v>
      </c>
      <c r="L128" s="12" t="str">
        <f>if(vlookup(B:B,'ILC2303'!B131:F8570,5,false)="","Y","N")</f>
        <v>N</v>
      </c>
      <c r="M128" s="12" t="str">
        <f>if(vlookup(B:B,'ILC2307'!B131:F9086,5,false)="","Y","N")</f>
        <v>N</v>
      </c>
      <c r="N128" s="12" t="str">
        <f>if(vlookup(B:B,'ILC2313'!B131:F8725,5,false)="","Y","N")</f>
        <v>N</v>
      </c>
      <c r="O128" s="12" t="str">
        <f>if(vlookup(B:B,'ILC2412'!B131:F8570,5,false)="","Y","N")</f>
        <v>N</v>
      </c>
      <c r="P128" s="12" t="str">
        <f>if(vlookup(B:B,'ILC2413'!B131:F9068,5,false)="","Y","N")</f>
        <v>N</v>
      </c>
      <c r="Q128" s="12" t="str">
        <f>if(vlookup(B:B,'ILC3104'!B131:F8613,5,false)="","Y","N")</f>
        <v>N</v>
      </c>
      <c r="R128" s="12" t="str">
        <f>if(vlookup(B:B,'ILC3310'!B6:F8552,5,false)="","Y","N")</f>
        <v>#N/A</v>
      </c>
      <c r="S128" s="12" t="str">
        <f>if(vlookup(B:B,'ILC3312'!B131:F8570,5,false)="","Y","N")</f>
        <v>Y</v>
      </c>
      <c r="T128" s="12" t="str">
        <f>if(vlookup(B:B,'ILC3413'!B100:F8495,5,false)="","Y","N")</f>
        <v>N</v>
      </c>
      <c r="U128" s="12" t="str">
        <f>if(vlookup(B:B,'ILC3415'!B128:F8520,5,false)="","Y","N")</f>
        <v>N</v>
      </c>
      <c r="V128" s="12" t="str">
        <f>if(vlookup(B:B,'ILC4406'!B63:F8489,5,false)="","Y","N")</f>
        <v>N</v>
      </c>
      <c r="W128" s="12" t="str">
        <f>if(vlookup(B:B,'ILC4410'!B131:F8737,5,false)="","Y","N")</f>
        <v>N</v>
      </c>
      <c r="X128" s="12" t="str">
        <f>if(vlookup(B:B,'JBV455'!B131:F9077,5,false)="","Y","N")</f>
        <v>N</v>
      </c>
      <c r="Y128" s="12" t="str">
        <f>if(vlookup(B:B,'JBV462'!B131:F8570,5,false)="","Y","N")</f>
        <v>N</v>
      </c>
      <c r="Z128" s="12" t="str">
        <f>if(vlookup(B:B,'JBV464'!B131:F8570,5,false)="","Y","N")</f>
        <v>Y</v>
      </c>
      <c r="AA128" s="12" t="str">
        <f>if(vlookup(B:B,'VDI208'!B63:F8570,5,false)="","Y","N")</f>
        <v>N</v>
      </c>
      <c r="AB128" s="76" t="str">
        <f>if(vlookup(B:B,'STO2206'!B63:F8570,5,false)="","Y","N")</f>
        <v>Y</v>
      </c>
    </row>
    <row r="129" hidden="1">
      <c r="A129" s="67" t="str">
        <f t="shared" si="2"/>
        <v>Fri</v>
      </c>
      <c r="B129" s="69">
        <v>43574.0</v>
      </c>
      <c r="C129" s="12"/>
      <c r="D129" s="12"/>
      <c r="E129" s="12"/>
      <c r="F129" s="12" t="str">
        <f>if(vlookup(B:B,'ILC1211'!$B132:F8571,5,false)="","Y","N")</f>
        <v>N</v>
      </c>
      <c r="G129" s="12" t="str">
        <f>if(vlookup(B:B,'ILC1213'!$B59:G8571,5,false)="","Y","N")</f>
        <v>N</v>
      </c>
      <c r="H129" s="12" t="str">
        <f>if(vlookup(B:B,'ILC1314'!$B58:G871,5,false)="","Y","N")</f>
        <v>N</v>
      </c>
      <c r="I129" s="12" t="str">
        <f>if(vlookup(B:B,'ILC1404'!B132:F8294,5,false)="","Y","N")</f>
        <v>N</v>
      </c>
      <c r="J129" s="12" t="str">
        <f>if(vlookup(B:B,'ILC2203'!B95:F8294,5,false)="","Y","N")</f>
        <v>N</v>
      </c>
      <c r="K129" s="12" t="str">
        <f>if(vlookup(B:B,'ILC2206'!B80:H370,5,false)="","Y","N")</f>
        <v>N</v>
      </c>
      <c r="L129" s="12" t="str">
        <f>if(vlookup(B:B,'ILC2303'!B132:F8571,5,false)="","Y","N")</f>
        <v>N</v>
      </c>
      <c r="M129" s="12" t="str">
        <f>if(vlookup(B:B,'ILC2307'!B132:F9087,5,false)="","Y","N")</f>
        <v>N</v>
      </c>
      <c r="N129" s="12" t="str">
        <f>if(vlookup(B:B,'ILC2313'!B132:F8726,5,false)="","Y","N")</f>
        <v>N</v>
      </c>
      <c r="O129" s="12" t="str">
        <f>if(vlookup(B:B,'ILC2412'!B132:F8571,5,false)="","Y","N")</f>
        <v>N</v>
      </c>
      <c r="P129" s="12" t="str">
        <f>if(vlookup(B:B,'ILC2413'!B132:F9069,5,false)="","Y","N")</f>
        <v>N</v>
      </c>
      <c r="Q129" s="12" t="str">
        <f>if(vlookup(B:B,'ILC3104'!B132:F8614,5,false)="","Y","N")</f>
        <v>N</v>
      </c>
      <c r="R129" s="12" t="str">
        <f>if(vlookup(B:B,'ILC3310'!B6:F8553,5,false)="","Y","N")</f>
        <v>#N/A</v>
      </c>
      <c r="S129" s="12" t="str">
        <f>if(vlookup(B:B,'ILC3312'!B132:F8571,5,false)="","Y","N")</f>
        <v>N</v>
      </c>
      <c r="T129" s="12" t="str">
        <f>if(vlookup(B:B,'ILC3413'!B101:F8496,5,false)="","Y","N")</f>
        <v>N</v>
      </c>
      <c r="U129" s="12" t="str">
        <f>if(vlookup(B:B,'ILC3415'!B129:F8521,5,false)="","Y","N")</f>
        <v>N</v>
      </c>
      <c r="V129" s="12" t="str">
        <f>if(vlookup(B:B,'ILC4406'!B64:F8490,5,false)="","Y","N")</f>
        <v>N</v>
      </c>
      <c r="W129" s="12" t="str">
        <f>if(vlookup(B:B,'ILC4410'!B132:F8738,5,false)="","Y","N")</f>
        <v>N</v>
      </c>
      <c r="X129" s="12" t="str">
        <f>if(vlookup(B:B,'JBV455'!B132:F9078,5,false)="","Y","N")</f>
        <v>N</v>
      </c>
      <c r="Y129" s="12" t="str">
        <f>if(vlookup(B:B,'JBV462'!B132:F8571,5,false)="","Y","N")</f>
        <v>N</v>
      </c>
      <c r="Z129" s="12" t="str">
        <f>if(vlookup(B:B,'JBV464'!B132:F8571,5,false)="","Y","N")</f>
        <v>N</v>
      </c>
      <c r="AA129" s="12" t="str">
        <f>if(vlookup(B:B,'VDI208'!B64:F8571,5,false)="","Y","N")</f>
        <v>N</v>
      </c>
      <c r="AB129" s="76" t="str">
        <f>if(vlookup(B:B,'STO2206'!B64:F8571,5,false)="","Y","N")</f>
        <v>Y</v>
      </c>
    </row>
    <row r="130" hidden="1">
      <c r="A130" s="67" t="str">
        <f t="shared" si="2"/>
        <v>Sat</v>
      </c>
      <c r="B130" s="69">
        <v>43575.0</v>
      </c>
      <c r="C130" s="12"/>
      <c r="D130" s="12"/>
      <c r="E130" s="12"/>
      <c r="F130" s="12" t="str">
        <f>if(vlookup(B:B,'ILC1211'!$B133:F8572,5,false)="","Y","N")</f>
        <v>N</v>
      </c>
      <c r="G130" s="12" t="str">
        <f>if(vlookup(B:B,'ILC1213'!$B60:G8572,5,false)="","Y","N")</f>
        <v>N</v>
      </c>
      <c r="H130" s="12" t="str">
        <f>if(vlookup(B:B,'ILC1314'!$B59:G872,5,false)="","Y","N")</f>
        <v>N</v>
      </c>
      <c r="I130" s="12" t="str">
        <f>if(vlookup(B:B,'ILC1404'!B133:F8295,5,false)="","Y","N")</f>
        <v>N</v>
      </c>
      <c r="J130" s="12" t="str">
        <f>if(vlookup(B:B,'ILC2203'!B96:F8295,5,false)="","Y","N")</f>
        <v>N</v>
      </c>
      <c r="K130" s="12" t="str">
        <f>if(vlookup(B:B,'ILC2206'!B81:H370,5,false)="","Y","N")</f>
        <v>N</v>
      </c>
      <c r="L130" s="12" t="str">
        <f>if(vlookup(B:B,'ILC2303'!B133:F8572,5,false)="","Y","N")</f>
        <v>N</v>
      </c>
      <c r="M130" s="12" t="str">
        <f>if(vlookup(B:B,'ILC2307'!B133:F9088,5,false)="","Y","N")</f>
        <v>N</v>
      </c>
      <c r="N130" s="12" t="str">
        <f>if(vlookup(B:B,'ILC2313'!B133:F8727,5,false)="","Y","N")</f>
        <v>N</v>
      </c>
      <c r="O130" s="12" t="str">
        <f>if(vlookup(B:B,'ILC2412'!B133:F8572,5,false)="","Y","N")</f>
        <v>N</v>
      </c>
      <c r="P130" s="12" t="str">
        <f>if(vlookup(B:B,'ILC2413'!B133:F9070,5,false)="","Y","N")</f>
        <v>N</v>
      </c>
      <c r="Q130" s="12" t="str">
        <f>if(vlookup(B:B,'ILC3104'!B133:F8615,5,false)="","Y","N")</f>
        <v>N</v>
      </c>
      <c r="R130" s="12" t="str">
        <f>if(vlookup(B:B,'ILC3310'!B6:F8554,5,false)="","Y","N")</f>
        <v>#N/A</v>
      </c>
      <c r="S130" s="12" t="str">
        <f>if(vlookup(B:B,'ILC3312'!B133:F8572,5,false)="","Y","N")</f>
        <v>N</v>
      </c>
      <c r="T130" s="12" t="str">
        <f>if(vlookup(B:B,'ILC3413'!B102:F8497,5,false)="","Y","N")</f>
        <v>N</v>
      </c>
      <c r="U130" s="12" t="str">
        <f>if(vlookup(B:B,'ILC3415'!B130:F8522,5,false)="","Y","N")</f>
        <v>N</v>
      </c>
      <c r="V130" s="12" t="str">
        <f>if(vlookup(B:B,'ILC4406'!B65:F8491,5,false)="","Y","N")</f>
        <v>N</v>
      </c>
      <c r="W130" s="12" t="str">
        <f>if(vlookup(B:B,'ILC4410'!B133:F8739,5,false)="","Y","N")</f>
        <v>N</v>
      </c>
      <c r="X130" s="12" t="str">
        <f>if(vlookup(B:B,'JBV455'!B133:F9079,5,false)="","Y","N")</f>
        <v>N</v>
      </c>
      <c r="Y130" s="12" t="str">
        <f>if(vlookup(B:B,'JBV462'!B133:F8572,5,false)="","Y","N")</f>
        <v>N</v>
      </c>
      <c r="Z130" s="12" t="str">
        <f>if(vlookup(B:B,'JBV464'!B133:F8572,5,false)="","Y","N")</f>
        <v>N</v>
      </c>
      <c r="AA130" s="12" t="str">
        <f>if(vlookup(B:B,'VDI208'!B65:F8572,5,false)="","Y","N")</f>
        <v>N</v>
      </c>
      <c r="AB130" s="76" t="str">
        <f>if(vlookup(B:B,'STO2206'!B65:F8572,5,false)="","Y","N")</f>
        <v>Y</v>
      </c>
    </row>
    <row r="131" hidden="1">
      <c r="A131" s="67" t="str">
        <f t="shared" si="2"/>
        <v>Sun</v>
      </c>
      <c r="B131" s="69">
        <v>43576.0</v>
      </c>
      <c r="C131" s="12"/>
      <c r="D131" s="12"/>
      <c r="E131" s="12"/>
      <c r="F131" s="12" t="str">
        <f>if(vlookup(B:B,'ILC1211'!$B134:F8573,5,false)="","Y","N")</f>
        <v>N</v>
      </c>
      <c r="G131" s="12" t="str">
        <f>if(vlookup(B:B,'ILC1213'!$B61:G8573,5,false)="","Y","N")</f>
        <v>N</v>
      </c>
      <c r="H131" s="12" t="str">
        <f>if(vlookup(B:B,'ILC1314'!$B60:G873,5,false)="","Y","N")</f>
        <v>N</v>
      </c>
      <c r="I131" s="12" t="str">
        <f>if(vlookup(B:B,'ILC1404'!B134:F8296,5,false)="","Y","N")</f>
        <v>N</v>
      </c>
      <c r="J131" s="12" t="str">
        <f>if(vlookup(B:B,'ILC2203'!B97:F8296,5,false)="","Y","N")</f>
        <v>N</v>
      </c>
      <c r="K131" s="12" t="str">
        <f>if(vlookup(B:B,'ILC2206'!B82:H370,5,false)="","Y","N")</f>
        <v>N</v>
      </c>
      <c r="L131" s="12" t="str">
        <f>if(vlookup(B:B,'ILC2303'!B134:F8573,5,false)="","Y","N")</f>
        <v>N</v>
      </c>
      <c r="M131" s="12" t="str">
        <f>if(vlookup(B:B,'ILC2307'!B134:F9089,5,false)="","Y","N")</f>
        <v>Y</v>
      </c>
      <c r="N131" s="12" t="str">
        <f>if(vlookup(B:B,'ILC2313'!B134:F8728,5,false)="","Y","N")</f>
        <v>N</v>
      </c>
      <c r="O131" s="12" t="str">
        <f>if(vlookup(B:B,'ILC2412'!B134:F8573,5,false)="","Y","N")</f>
        <v>N</v>
      </c>
      <c r="P131" s="12" t="str">
        <f>if(vlookup(B:B,'ILC2413'!B134:F9071,5,false)="","Y","N")</f>
        <v>Y</v>
      </c>
      <c r="Q131" s="12" t="str">
        <f>if(vlookup(B:B,'ILC3104'!B134:F8616,5,false)="","Y","N")</f>
        <v>N</v>
      </c>
      <c r="R131" s="12" t="str">
        <f>if(vlookup(B:B,'ILC3310'!B6:F8555,5,false)="","Y","N")</f>
        <v>#N/A</v>
      </c>
      <c r="S131" s="12" t="str">
        <f>if(vlookup(B:B,'ILC3312'!B134:F8573,5,false)="","Y","N")</f>
        <v>N</v>
      </c>
      <c r="T131" s="12" t="str">
        <f>if(vlookup(B:B,'ILC3413'!B103:F8498,5,false)="","Y","N")</f>
        <v>Y</v>
      </c>
      <c r="U131" s="12" t="str">
        <f>if(vlookup(B:B,'ILC3415'!B131:F8523,5,false)="","Y","N")</f>
        <v>N</v>
      </c>
      <c r="V131" s="12" t="str">
        <f>if(vlookup(B:B,'ILC4406'!B66:F8492,5,false)="","Y","N")</f>
        <v>N</v>
      </c>
      <c r="W131" s="12" t="str">
        <f>if(vlookup(B:B,'ILC4410'!B134:F8740,5,false)="","Y","N")</f>
        <v>N</v>
      </c>
      <c r="X131" s="12" t="str">
        <f>if(vlookup(B:B,'JBV455'!B134:F9080,5,false)="","Y","N")</f>
        <v>N</v>
      </c>
      <c r="Y131" s="12" t="str">
        <f>if(vlookup(B:B,'JBV462'!B134:F8573,5,false)="","Y","N")</f>
        <v>N</v>
      </c>
      <c r="Z131" s="12" t="str">
        <f>if(vlookup(B:B,'JBV464'!B134:F8573,5,false)="","Y","N")</f>
        <v>N</v>
      </c>
      <c r="AA131" s="12" t="str">
        <f>if(vlookup(B:B,'VDI208'!B66:F8573,5,false)="","Y","N")</f>
        <v>Y</v>
      </c>
      <c r="AB131" s="76" t="str">
        <f>if(vlookup(B:B,'STO2206'!B66:F8573,5,false)="","Y","N")</f>
        <v>Y</v>
      </c>
    </row>
    <row r="132" hidden="1">
      <c r="A132" s="67" t="str">
        <f t="shared" si="2"/>
        <v>Mon</v>
      </c>
      <c r="B132" s="69">
        <v>43577.0</v>
      </c>
      <c r="C132" s="12"/>
      <c r="D132" s="12"/>
      <c r="E132" s="12"/>
      <c r="F132" s="12" t="str">
        <f>if(vlookup(B:B,'ILC1211'!$B135:F8574,5,false)="","Y","N")</f>
        <v>Y</v>
      </c>
      <c r="G132" s="12" t="str">
        <f>if(vlookup(B:B,'ILC1213'!$B62:G8574,5,false)="","Y","N")</f>
        <v>N</v>
      </c>
      <c r="H132" s="12" t="str">
        <f>if(vlookup(B:B,'ILC1314'!$B61:G874,5,false)="","Y","N")</f>
        <v>N</v>
      </c>
      <c r="I132" s="12" t="str">
        <f>if(vlookup(B:B,'ILC1404'!B135:F8297,5,false)="","Y","N")</f>
        <v>Y</v>
      </c>
      <c r="J132" s="12" t="str">
        <f>if(vlookup(B:B,'ILC2203'!B98:F8297,5,false)="","Y","N")</f>
        <v>Y</v>
      </c>
      <c r="K132" s="12" t="str">
        <f>if(vlookup(B:B,'ILC2206'!B83:H370,5,false)="","Y","N")</f>
        <v>Y</v>
      </c>
      <c r="L132" s="12" t="str">
        <f>if(vlookup(B:B,'ILC2303'!B135:F8574,5,false)="","Y","N")</f>
        <v>N</v>
      </c>
      <c r="M132" s="12" t="str">
        <f>if(vlookup(B:B,'ILC2307'!B135:F9090,5,false)="","Y","N")</f>
        <v>Y</v>
      </c>
      <c r="N132" s="12" t="str">
        <f>if(vlookup(B:B,'ILC2313'!B135:F8729,5,false)="","Y","N")</f>
        <v>N</v>
      </c>
      <c r="O132" s="12" t="str">
        <f>if(vlookup(B:B,'ILC2412'!B135:F8574,5,false)="","Y","N")</f>
        <v>N</v>
      </c>
      <c r="P132" s="12" t="str">
        <f>if(vlookup(B:B,'ILC2413'!B135:F9072,5,false)="","Y","N")</f>
        <v>Y</v>
      </c>
      <c r="Q132" s="12" t="str">
        <f>if(vlookup(B:B,'ILC3104'!B135:F8617,5,false)="","Y","N")</f>
        <v>Y</v>
      </c>
      <c r="R132" s="12" t="str">
        <f>if(vlookup(B:B,'ILC3310'!B6:F8556,5,false)="","Y","N")</f>
        <v>#N/A</v>
      </c>
      <c r="S132" s="12" t="str">
        <f>if(vlookup(B:B,'ILC3312'!B135:F8574,5,false)="","Y","N")</f>
        <v>Y</v>
      </c>
      <c r="T132" s="12" t="str">
        <f>if(vlookup(B:B,'ILC3413'!B104:F8499,5,false)="","Y","N")</f>
        <v>Y</v>
      </c>
      <c r="U132" s="12" t="str">
        <f>if(vlookup(B:B,'ILC3415'!B132:F8524,5,false)="","Y","N")</f>
        <v>N</v>
      </c>
      <c r="V132" s="12" t="str">
        <f>if(vlookup(B:B,'ILC4406'!B67:F8493,5,false)="","Y","N")</f>
        <v>Y</v>
      </c>
      <c r="W132" s="12" t="str">
        <f>if(vlookup(B:B,'ILC4410'!B135:F8741,5,false)="","Y","N")</f>
        <v>N</v>
      </c>
      <c r="X132" s="12" t="str">
        <f>if(vlookup(B:B,'JBV455'!B135:F9081,5,false)="","Y","N")</f>
        <v>N</v>
      </c>
      <c r="Y132" s="12" t="str">
        <f>if(vlookup(B:B,'JBV462'!B135:F8574,5,false)="","Y","N")</f>
        <v>Y</v>
      </c>
      <c r="Z132" s="12" t="str">
        <f>if(vlookup(B:B,'JBV464'!B135:F8574,5,false)="","Y","N")</f>
        <v>N</v>
      </c>
      <c r="AA132" s="12" t="str">
        <f>if(vlookup(B:B,'VDI208'!B67:F8574,5,false)="","Y","N")</f>
        <v>Y</v>
      </c>
      <c r="AB132" s="76" t="str">
        <f>if(vlookup(B:B,'STO2206'!B67:F8574,5,false)="","Y","N")</f>
        <v>Y</v>
      </c>
    </row>
    <row r="133" hidden="1">
      <c r="A133" s="67" t="str">
        <f t="shared" si="2"/>
        <v>Tue</v>
      </c>
      <c r="B133" s="69">
        <v>43578.0</v>
      </c>
      <c r="C133" s="12"/>
      <c r="D133" s="12"/>
      <c r="E133" s="12"/>
      <c r="F133" s="12" t="str">
        <f>if(vlookup(B:B,'ILC1211'!$B136:F8575,5,false)="","Y","N")</f>
        <v>N</v>
      </c>
      <c r="G133" s="12" t="str">
        <f>if(vlookup(B:B,'ILC1213'!$B63:G8575,5,false)="","Y","N")</f>
        <v>N</v>
      </c>
      <c r="H133" s="12" t="str">
        <f>if(vlookup(B:B,'ILC1314'!$B62:G875,5,false)="","Y","N")</f>
        <v>N</v>
      </c>
      <c r="I133" s="12" t="str">
        <f>if(vlookup(B:B,'ILC1404'!B136:F8298,5,false)="","Y","N")</f>
        <v>Y</v>
      </c>
      <c r="J133" s="12" t="str">
        <f>if(vlookup(B:B,'ILC2203'!B99:F8298,5,false)="","Y","N")</f>
        <v>Y</v>
      </c>
      <c r="K133" s="12" t="str">
        <f>if(vlookup(B:B,'ILC2206'!B84:H370,5,false)="","Y","N")</f>
        <v>Y</v>
      </c>
      <c r="L133" s="12" t="str">
        <f>if(vlookup(B:B,'ILC2303'!B136:F8575,5,false)="","Y","N")</f>
        <v>N</v>
      </c>
      <c r="M133" s="12" t="str">
        <f>if(vlookup(B:B,'ILC2307'!B136:F9091,5,false)="","Y","N")</f>
        <v>N</v>
      </c>
      <c r="N133" s="12" t="str">
        <f>if(vlookup(B:B,'ILC2313'!B136:F8730,5,false)="","Y","N")</f>
        <v>Y</v>
      </c>
      <c r="O133" s="12" t="str">
        <f>if(vlookup(B:B,'ILC2412'!B136:F8575,5,false)="","Y","N")</f>
        <v>Y</v>
      </c>
      <c r="P133" s="12" t="str">
        <f>if(vlookup(B:B,'ILC2413'!B136:F9073,5,false)="","Y","N")</f>
        <v>Y</v>
      </c>
      <c r="Q133" s="12" t="str">
        <f>if(vlookup(B:B,'ILC3104'!B136:F8618,5,false)="","Y","N")</f>
        <v>N</v>
      </c>
      <c r="R133" s="12" t="str">
        <f>if(vlookup(B:B,'ILC3310'!B6:F8557,5,false)="","Y","N")</f>
        <v>#N/A</v>
      </c>
      <c r="S133" s="12" t="str">
        <f>if(vlookup(B:B,'ILC3312'!B136:F8575,5,false)="","Y","N")</f>
        <v>Y</v>
      </c>
      <c r="T133" s="12" t="str">
        <f>if(vlookup(B:B,'ILC3413'!B105:F8500,5,false)="","Y","N")</f>
        <v>Y</v>
      </c>
      <c r="U133" s="12" t="str">
        <f>if(vlookup(B:B,'ILC3415'!B133:F8525,5,false)="","Y","N")</f>
        <v>N</v>
      </c>
      <c r="V133" s="12" t="str">
        <f>if(vlookup(B:B,'ILC4406'!B68:F8494,5,false)="","Y","N")</f>
        <v>Y</v>
      </c>
      <c r="W133" s="12" t="str">
        <f>if(vlookup(B:B,'ILC4410'!B136:F8742,5,false)="","Y","N")</f>
        <v>Y</v>
      </c>
      <c r="X133" s="12" t="str">
        <f>if(vlookup(B:B,'JBV455'!B136:F9082,5,false)="","Y","N")</f>
        <v>N</v>
      </c>
      <c r="Y133" s="12" t="str">
        <f>if(vlookup(B:B,'JBV462'!B136:F8575,5,false)="","Y","N")</f>
        <v>Y</v>
      </c>
      <c r="Z133" s="12" t="str">
        <f>if(vlookup(B:B,'JBV464'!B136:F8575,5,false)="","Y","N")</f>
        <v>N</v>
      </c>
      <c r="AA133" s="12" t="str">
        <f>if(vlookup(B:B,'VDI208'!B68:F8575,5,false)="","Y","N")</f>
        <v>Y</v>
      </c>
      <c r="AB133" s="76" t="str">
        <f>if(vlookup(B:B,'STO2206'!B68:F8575,5,false)="","Y","N")</f>
        <v>Y</v>
      </c>
    </row>
    <row r="134" hidden="1">
      <c r="A134" s="67" t="str">
        <f t="shared" si="2"/>
        <v>Wed</v>
      </c>
      <c r="B134" s="69">
        <v>43579.0</v>
      </c>
      <c r="C134" s="12"/>
      <c r="D134" s="12"/>
      <c r="E134" s="12"/>
      <c r="F134" s="12" t="str">
        <f>if(vlookup(B:B,'ILC1211'!$B137:F8576,5,false)="","Y","N")</f>
        <v>N</v>
      </c>
      <c r="G134" s="12" t="str">
        <f>if(vlookup(B:B,'ILC1213'!$B64:G8576,5,false)="","Y","N")</f>
        <v>N</v>
      </c>
      <c r="H134" s="12" t="str">
        <f>if(vlookup(B:B,'ILC1314'!$B63:G876,5,false)="","Y","N")</f>
        <v>N</v>
      </c>
      <c r="I134" s="12" t="str">
        <f>if(vlookup(B:B,'ILC1404'!B137:F8299,5,false)="","Y","N")</f>
        <v>Y</v>
      </c>
      <c r="J134" s="12" t="str">
        <f>if(vlookup(B:B,'ILC2203'!B100:F8299,5,false)="","Y","N")</f>
        <v>N</v>
      </c>
      <c r="K134" s="12" t="str">
        <f>if(vlookup(B:B,'ILC2206'!B85:H370,5,false)="","Y","N")</f>
        <v>Y</v>
      </c>
      <c r="L134" s="12" t="str">
        <f>if(vlookup(B:B,'ILC2303'!B137:F8576,5,false)="","Y","N")</f>
        <v>N</v>
      </c>
      <c r="M134" s="12" t="str">
        <f>if(vlookup(B:B,'ILC2307'!B137:F9092,5,false)="","Y","N")</f>
        <v>N</v>
      </c>
      <c r="N134" s="12" t="str">
        <f>if(vlookup(B:B,'ILC2313'!B137:F8731,5,false)="","Y","N")</f>
        <v>Y</v>
      </c>
      <c r="O134" s="12" t="str">
        <f>if(vlookup(B:B,'ILC2412'!B137:F8576,5,false)="","Y","N")</f>
        <v>Y</v>
      </c>
      <c r="P134" s="12" t="str">
        <f>if(vlookup(B:B,'ILC2413'!B137:F9074,5,false)="","Y","N")</f>
        <v>Y</v>
      </c>
      <c r="Q134" s="12" t="str">
        <f>if(vlookup(B:B,'ILC3104'!B137:F8619,5,false)="","Y","N")</f>
        <v>Y</v>
      </c>
      <c r="R134" s="12" t="str">
        <f>if(vlookup(B:B,'ILC3310'!B6:F8558,5,false)="","Y","N")</f>
        <v>#N/A</v>
      </c>
      <c r="S134" s="12" t="str">
        <f>if(vlookup(B:B,'ILC3312'!B137:F8576,5,false)="","Y","N")</f>
        <v>Y</v>
      </c>
      <c r="T134" s="12" t="str">
        <f>if(vlookup(B:B,'ILC3413'!B106:F8501,5,false)="","Y","N")</f>
        <v>Y</v>
      </c>
      <c r="U134" s="12" t="str">
        <f>if(vlookup(B:B,'ILC3415'!B134:F8526,5,false)="","Y","N")</f>
        <v>N</v>
      </c>
      <c r="V134" s="12" t="str">
        <f>if(vlookup(B:B,'ILC4406'!B69:F8495,5,false)="","Y","N")</f>
        <v>Y</v>
      </c>
      <c r="W134" s="12" t="str">
        <f>if(vlookup(B:B,'ILC4410'!B137:F8743,5,false)="","Y","N")</f>
        <v>Y</v>
      </c>
      <c r="X134" s="12" t="str">
        <f>if(vlookup(B:B,'JBV455'!B137:F9083,5,false)="","Y","N")</f>
        <v>N</v>
      </c>
      <c r="Y134" s="12" t="str">
        <f>if(vlookup(B:B,'JBV462'!B137:F8576,5,false)="","Y","N")</f>
        <v>Y</v>
      </c>
      <c r="Z134" s="12" t="str">
        <f>if(vlookup(B:B,'JBV464'!B137:F8576,5,false)="","Y","N")</f>
        <v>N</v>
      </c>
      <c r="AA134" s="12" t="str">
        <f>if(vlookup(B:B,'VDI208'!B69:F8576,5,false)="","Y","N")</f>
        <v>Y</v>
      </c>
      <c r="AB134" s="76" t="str">
        <f>if(vlookup(B:B,'STO2206'!B69:F8576,5,false)="","Y","N")</f>
        <v>Y</v>
      </c>
    </row>
    <row r="135" hidden="1">
      <c r="A135" s="67" t="str">
        <f t="shared" si="2"/>
        <v>Thu</v>
      </c>
      <c r="B135" s="69">
        <v>43580.0</v>
      </c>
      <c r="C135" s="12"/>
      <c r="D135" s="12"/>
      <c r="E135" s="12"/>
      <c r="F135" s="12" t="str">
        <f>if(vlookup(B:B,'ILC1211'!$B138:F8577,5,false)="","Y","N")</f>
        <v>N</v>
      </c>
      <c r="G135" s="12" t="str">
        <f>if(vlookup(B:B,'ILC1213'!$B65:G8577,5,false)="","Y","N")</f>
        <v>N</v>
      </c>
      <c r="H135" s="12" t="str">
        <f>if(vlookup(B:B,'ILC1314'!$B64:G877,5,false)="","Y","N")</f>
        <v>N</v>
      </c>
      <c r="I135" s="12" t="str">
        <f>if(vlookup(B:B,'ILC1404'!B138:F8300,5,false)="","Y","N")</f>
        <v>Y</v>
      </c>
      <c r="J135" s="12" t="str">
        <f>if(vlookup(B:B,'ILC2203'!B101:F8300,5,false)="","Y","N")</f>
        <v>N</v>
      </c>
      <c r="K135" s="12" t="str">
        <f>if(vlookup(B:B,'ILC2206'!B86:H370,5,false)="","Y","N")</f>
        <v>Y</v>
      </c>
      <c r="L135" s="12" t="str">
        <f>if(vlookup(B:B,'ILC2303'!B138:F8577,5,false)="","Y","N")</f>
        <v>N</v>
      </c>
      <c r="M135" s="12" t="str">
        <f>if(vlookup(B:B,'ILC2307'!B138:F9093,5,false)="","Y","N")</f>
        <v>N</v>
      </c>
      <c r="N135" s="12" t="str">
        <f>if(vlookup(B:B,'ILC2313'!B138:F8732,5,false)="","Y","N")</f>
        <v>N</v>
      </c>
      <c r="O135" s="12" t="str">
        <f>if(vlookup(B:B,'ILC2412'!B138:F8577,5,false)="","Y","N")</f>
        <v>Y</v>
      </c>
      <c r="P135" s="12" t="str">
        <f>if(vlookup(B:B,'ILC2413'!B138:F9075,5,false)="","Y","N")</f>
        <v>Y</v>
      </c>
      <c r="Q135" s="12" t="str">
        <f>if(vlookup(B:B,'ILC3104'!B138:F8620,5,false)="","Y","N")</f>
        <v>N</v>
      </c>
      <c r="R135" s="12" t="str">
        <f>if(vlookup(B:B,'ILC3310'!B6:F8559,5,false)="","Y","N")</f>
        <v>#N/A</v>
      </c>
      <c r="S135" s="12" t="str">
        <f>if(vlookup(B:B,'ILC3312'!B138:F8577,5,false)="","Y","N")</f>
        <v>N</v>
      </c>
      <c r="T135" s="12" t="str">
        <f>if(vlookup(B:B,'ILC3413'!B107:F8502,5,false)="","Y","N")</f>
        <v>N</v>
      </c>
      <c r="U135" s="12" t="str">
        <f>if(vlookup(B:B,'ILC3415'!B135:F8527,5,false)="","Y","N")</f>
        <v>N</v>
      </c>
      <c r="V135" s="12" t="str">
        <f>if(vlookup(B:B,'ILC4406'!B70:F8496,5,false)="","Y","N")</f>
        <v>Y</v>
      </c>
      <c r="W135" s="12" t="str">
        <f>if(vlookup(B:B,'ILC4410'!B138:F8744,5,false)="","Y","N")</f>
        <v>Y</v>
      </c>
      <c r="X135" s="12" t="str">
        <f>if(vlookup(B:B,'JBV455'!B138:F9084,5,false)="","Y","N")</f>
        <v>N</v>
      </c>
      <c r="Y135" s="12" t="str">
        <f>if(vlookup(B:B,'JBV462'!B138:F8577,5,false)="","Y","N")</f>
        <v>N</v>
      </c>
      <c r="Z135" s="12" t="str">
        <f>if(vlookup(B:B,'JBV464'!B138:F8577,5,false)="","Y","N")</f>
        <v>N</v>
      </c>
      <c r="AA135" s="12" t="str">
        <f>if(vlookup(B:B,'VDI208'!B70:F8577,5,false)="","Y","N")</f>
        <v>Y</v>
      </c>
      <c r="AB135" s="76" t="str">
        <f>if(vlookup(B:B,'STO2206'!B70:F8577,5,false)="","Y","N")</f>
        <v>Y</v>
      </c>
    </row>
    <row r="136" hidden="1">
      <c r="A136" s="67" t="str">
        <f t="shared" si="2"/>
        <v>Fri</v>
      </c>
      <c r="B136" s="69">
        <v>43581.0</v>
      </c>
      <c r="C136" s="12"/>
      <c r="D136" s="12"/>
      <c r="E136" s="12"/>
      <c r="F136" s="12" t="str">
        <f>if(vlookup(B:B,'ILC1211'!$B139:F8578,5,false)="","Y","N")</f>
        <v>N</v>
      </c>
      <c r="G136" s="12" t="str">
        <f>if(vlookup(B:B,'ILC1213'!$B66:G8578,5,false)="","Y","N")</f>
        <v>N</v>
      </c>
      <c r="H136" s="12" t="str">
        <f>if(vlookup(B:B,'ILC1314'!$B65:G878,5,false)="","Y","N")</f>
        <v>N</v>
      </c>
      <c r="I136" s="12" t="str">
        <f>if(vlookup(B:B,'ILC1404'!B139:F8301,5,false)="","Y","N")</f>
        <v>Y</v>
      </c>
      <c r="J136" s="12" t="str">
        <f>if(vlookup(B:B,'ILC2203'!B102:F8301,5,false)="","Y","N")</f>
        <v>N</v>
      </c>
      <c r="K136" s="12" t="str">
        <f>if(vlookup(B:B,'ILC2206'!B87:H370,5,false)="","Y","N")</f>
        <v>Y</v>
      </c>
      <c r="L136" s="12" t="str">
        <f>if(vlookup(B:B,'ILC2303'!B139:F8578,5,false)="","Y","N")</f>
        <v>N</v>
      </c>
      <c r="M136" s="12" t="str">
        <f>if(vlookup(B:B,'ILC2307'!B139:F9094,5,false)="","Y","N")</f>
        <v>N</v>
      </c>
      <c r="N136" s="12" t="str">
        <f>if(vlookup(B:B,'ILC2313'!B139:F8733,5,false)="","Y","N")</f>
        <v>N</v>
      </c>
      <c r="O136" s="12" t="str">
        <f>if(vlookup(B:B,'ILC2412'!B139:F8578,5,false)="","Y","N")</f>
        <v>N</v>
      </c>
      <c r="P136" s="12" t="str">
        <f>if(vlookup(B:B,'ILC2413'!B139:F9076,5,false)="","Y","N")</f>
        <v>N</v>
      </c>
      <c r="Q136" s="12" t="str">
        <f>if(vlookup(B:B,'ILC3104'!B139:F8621,5,false)="","Y","N")</f>
        <v>N</v>
      </c>
      <c r="R136" s="12" t="str">
        <f>if(vlookup(B:B,'ILC3310'!B6:F8560,5,false)="","Y","N")</f>
        <v>#N/A</v>
      </c>
      <c r="S136" s="12" t="str">
        <f>if(vlookup(B:B,'ILC3312'!B139:F8578,5,false)="","Y","N")</f>
        <v>N</v>
      </c>
      <c r="T136" s="12" t="str">
        <f>if(vlookup(B:B,'ILC3413'!B108:F8503,5,false)="","Y","N")</f>
        <v>N</v>
      </c>
      <c r="U136" s="12" t="str">
        <f>if(vlookup(B:B,'ILC3415'!B136:F8528,5,false)="","Y","N")</f>
        <v>N</v>
      </c>
      <c r="V136" s="12" t="str">
        <f>if(vlookup(B:B,'ILC4406'!B71:F8497,5,false)="","Y","N")</f>
        <v>Y</v>
      </c>
      <c r="W136" s="12" t="str">
        <f>if(vlookup(B:B,'ILC4410'!B139:F8745,5,false)="","Y","N")</f>
        <v>N</v>
      </c>
      <c r="X136" s="12" t="str">
        <f>if(vlookup(B:B,'JBV455'!B139:F9085,5,false)="","Y","N")</f>
        <v>N</v>
      </c>
      <c r="Y136" s="12" t="str">
        <f>if(vlookup(B:B,'JBV462'!B139:F8578,5,false)="","Y","N")</f>
        <v>N</v>
      </c>
      <c r="Z136" s="12" t="str">
        <f>if(vlookup(B:B,'JBV464'!B139:F8578,5,false)="","Y","N")</f>
        <v>N</v>
      </c>
      <c r="AA136" s="12" t="str">
        <f>if(vlookup(B:B,'VDI208'!B71:F8578,5,false)="","Y","N")</f>
        <v>Y</v>
      </c>
      <c r="AB136" s="76" t="str">
        <f>if(vlookup(B:B,'STO2206'!B71:F8578,5,false)="","Y","N")</f>
        <v>Y</v>
      </c>
    </row>
    <row r="137" hidden="1">
      <c r="A137" s="67" t="str">
        <f t="shared" si="2"/>
        <v>Sat</v>
      </c>
      <c r="B137" s="69">
        <v>43582.0</v>
      </c>
      <c r="C137" s="12"/>
      <c r="D137" s="12"/>
      <c r="E137" s="12"/>
      <c r="F137" s="12" t="str">
        <f>if(vlookup(B:B,'ILC1211'!$B140:F8579,5,false)="","Y","N")</f>
        <v>N</v>
      </c>
      <c r="G137" s="12" t="str">
        <f>if(vlookup(B:B,'ILC1213'!$B67:G8579,5,false)="","Y","N")</f>
        <v>N</v>
      </c>
      <c r="H137" s="12" t="str">
        <f>if(vlookup(B:B,'ILC1314'!$B66:G879,5,false)="","Y","N")</f>
        <v>N</v>
      </c>
      <c r="I137" s="12" t="str">
        <f>if(vlookup(B:B,'ILC1404'!B140:F8302,5,false)="","Y","N")</f>
        <v>N</v>
      </c>
      <c r="J137" s="12" t="str">
        <f>if(vlookup(B:B,'ILC2203'!B103:F8302,5,false)="","Y","N")</f>
        <v>N</v>
      </c>
      <c r="K137" s="12" t="str">
        <f>if(vlookup(B:B,'ILC2206'!B88:H370,5,false)="","Y","N")</f>
        <v>N</v>
      </c>
      <c r="L137" s="12" t="str">
        <f>if(vlookup(B:B,'ILC2303'!B140:F8579,5,false)="","Y","N")</f>
        <v>N</v>
      </c>
      <c r="M137" s="12" t="str">
        <f>if(vlookup(B:B,'ILC2307'!B140:F9095,5,false)="","Y","N")</f>
        <v>N</v>
      </c>
      <c r="N137" s="12" t="str">
        <f>if(vlookup(B:B,'ILC2313'!B140:F8734,5,false)="","Y","N")</f>
        <v>N</v>
      </c>
      <c r="O137" s="12" t="str">
        <f>if(vlookup(B:B,'ILC2412'!B140:F8579,5,false)="","Y","N")</f>
        <v>N</v>
      </c>
      <c r="P137" s="12" t="str">
        <f>if(vlookup(B:B,'ILC2413'!B140:F9077,5,false)="","Y","N")</f>
        <v>N</v>
      </c>
      <c r="Q137" s="12" t="str">
        <f>if(vlookup(B:B,'ILC3104'!B140:F8622,5,false)="","Y","N")</f>
        <v>N</v>
      </c>
      <c r="R137" s="12" t="str">
        <f>if(vlookup(B:B,'ILC3310'!B6:F8561,5,false)="","Y","N")</f>
        <v>#N/A</v>
      </c>
      <c r="S137" s="12" t="str">
        <f>if(vlookup(B:B,'ILC3312'!B140:F8579,5,false)="","Y","N")</f>
        <v>N</v>
      </c>
      <c r="T137" s="12" t="str">
        <f>if(vlookup(B:B,'ILC3413'!B109:F8504,5,false)="","Y","N")</f>
        <v>N</v>
      </c>
      <c r="U137" s="12" t="str">
        <f>if(vlookup(B:B,'ILC3415'!B137:F8529,5,false)="","Y","N")</f>
        <v>N</v>
      </c>
      <c r="V137" s="12" t="str">
        <f>if(vlookup(B:B,'ILC4406'!B72:F8498,5,false)="","Y","N")</f>
        <v>N</v>
      </c>
      <c r="W137" s="12" t="str">
        <f>if(vlookup(B:B,'ILC4410'!B140:F8746,5,false)="","Y","N")</f>
        <v>N</v>
      </c>
      <c r="X137" s="12" t="str">
        <f>if(vlookup(B:B,'JBV455'!B140:F9086,5,false)="","Y","N")</f>
        <v>N</v>
      </c>
      <c r="Y137" s="12" t="str">
        <f>if(vlookup(B:B,'JBV462'!B140:F8579,5,false)="","Y","N")</f>
        <v>N</v>
      </c>
      <c r="Z137" s="12" t="str">
        <f>if(vlookup(B:B,'JBV464'!B140:F8579,5,false)="","Y","N")</f>
        <v>N</v>
      </c>
      <c r="AA137" s="12" t="str">
        <f>if(vlookup(B:B,'VDI208'!B72:F8579,5,false)="","Y","N")</f>
        <v>Y</v>
      </c>
      <c r="AB137" s="76" t="str">
        <f>if(vlookup(B:B,'STO2206'!B72:F8579,5,false)="","Y","N")</f>
        <v>Y</v>
      </c>
    </row>
    <row r="138" hidden="1">
      <c r="A138" s="67" t="str">
        <f t="shared" si="2"/>
        <v>Sun</v>
      </c>
      <c r="B138" s="69">
        <v>43583.0</v>
      </c>
      <c r="C138" s="12"/>
      <c r="D138" s="12"/>
      <c r="E138" s="12"/>
      <c r="F138" s="12" t="str">
        <f>if(vlookup(B:B,'ILC1211'!$B141:F8580,5,false)="","Y","N")</f>
        <v>N</v>
      </c>
      <c r="G138" s="12" t="str">
        <f>if(vlookup(B:B,'ILC1213'!$B68:G8580,5,false)="","Y","N")</f>
        <v>N</v>
      </c>
      <c r="H138" s="12" t="str">
        <f>if(vlookup(B:B,'ILC1314'!$B67:G880,5,false)="","Y","N")</f>
        <v>N</v>
      </c>
      <c r="I138" s="12" t="str">
        <f>if(vlookup(B:B,'ILC1404'!B141:F8303,5,false)="","Y","N")</f>
        <v>N</v>
      </c>
      <c r="J138" s="12" t="str">
        <f>if(vlookup(B:B,'ILC2203'!B104:F8303,5,false)="","Y","N")</f>
        <v>N</v>
      </c>
      <c r="K138" s="12" t="str">
        <f>if(vlookup(B:B,'ILC2206'!B89:H370,5,false)="","Y","N")</f>
        <v>N</v>
      </c>
      <c r="L138" s="12" t="str">
        <f>if(vlookup(B:B,'ILC2303'!B141:F8580,5,false)="","Y","N")</f>
        <v>N</v>
      </c>
      <c r="M138" s="12" t="str">
        <f>if(vlookup(B:B,'ILC2307'!B141:F9096,5,false)="","Y","N")</f>
        <v>Y</v>
      </c>
      <c r="N138" s="12" t="str">
        <f>if(vlookup(B:B,'ILC2313'!B141:F8735,5,false)="","Y","N")</f>
        <v>N</v>
      </c>
      <c r="O138" s="12" t="str">
        <f>if(vlookup(B:B,'ILC2412'!B141:F8580,5,false)="","Y","N")</f>
        <v>N</v>
      </c>
      <c r="P138" s="12" t="str">
        <f>if(vlookup(B:B,'ILC2413'!B141:F9078,5,false)="","Y","N")</f>
        <v>Y</v>
      </c>
      <c r="Q138" s="12" t="str">
        <f>if(vlookup(B:B,'ILC3104'!B141:F8623,5,false)="","Y","N")</f>
        <v>N</v>
      </c>
      <c r="R138" s="12" t="str">
        <f>if(vlookup(B:B,'ILC3310'!B6:F8562,5,false)="","Y","N")</f>
        <v>#N/A</v>
      </c>
      <c r="S138" s="12" t="str">
        <f>if(vlookup(B:B,'ILC3312'!B141:F8580,5,false)="","Y","N")</f>
        <v>Y</v>
      </c>
      <c r="T138" s="12" t="str">
        <f>if(vlookup(B:B,'ILC3413'!B110:F8505,5,false)="","Y","N")</f>
        <v>N</v>
      </c>
      <c r="U138" s="12" t="str">
        <f>if(vlookup(B:B,'ILC3415'!B138:F8530,5,false)="","Y","N")</f>
        <v>N</v>
      </c>
      <c r="V138" s="12" t="str">
        <f>if(vlookup(B:B,'ILC4406'!B73:F8499,5,false)="","Y","N")</f>
        <v>N</v>
      </c>
      <c r="W138" s="12" t="str">
        <f>if(vlookup(B:B,'ILC4410'!B141:F8747,5,false)="","Y","N")</f>
        <v>N</v>
      </c>
      <c r="X138" s="12" t="str">
        <f>if(vlookup(B:B,'JBV455'!B141:F9087,5,false)="","Y","N")</f>
        <v>N</v>
      </c>
      <c r="Y138" s="12" t="str">
        <f>if(vlookup(B:B,'JBV462'!B141:F8580,5,false)="","Y","N")</f>
        <v>N</v>
      </c>
      <c r="Z138" s="12" t="str">
        <f>if(vlookup(B:B,'JBV464'!B141:F8580,5,false)="","Y","N")</f>
        <v>N</v>
      </c>
      <c r="AA138" s="12" t="str">
        <f>if(vlookup(B:B,'VDI208'!B73:F8580,5,false)="","Y","N")</f>
        <v>Y</v>
      </c>
      <c r="AB138" s="76" t="str">
        <f>if(vlookup(B:B,'STO2206'!B73:F8580,5,false)="","Y","N")</f>
        <v>Y</v>
      </c>
    </row>
    <row r="139" hidden="1">
      <c r="A139" s="67" t="str">
        <f t="shared" si="2"/>
        <v>Mon</v>
      </c>
      <c r="B139" s="69">
        <v>43584.0</v>
      </c>
      <c r="C139" s="12"/>
      <c r="D139" s="12"/>
      <c r="E139" s="12"/>
      <c r="F139" s="12" t="str">
        <f>if(vlookup(B:B,'ILC1211'!$B142:F8581,5,false)="","Y","N")</f>
        <v>Y</v>
      </c>
      <c r="G139" s="12" t="str">
        <f>if(vlookup(B:B,'ILC1213'!$B69:G8581,5,false)="","Y","N")</f>
        <v>N</v>
      </c>
      <c r="H139" s="12" t="str">
        <f>if(vlookup(B:B,'ILC1314'!$B68:G881,5,false)="","Y","N")</f>
        <v>N</v>
      </c>
      <c r="I139" s="12" t="str">
        <f>if(vlookup(B:B,'ILC1404'!B142:F8304,5,false)="","Y","N")</f>
        <v>N</v>
      </c>
      <c r="J139" s="12" t="str">
        <f>if(vlookup(B:B,'ILC2203'!B105:F8304,5,false)="","Y","N")</f>
        <v>Y</v>
      </c>
      <c r="K139" s="12" t="str">
        <f>if(vlookup(B:B,'ILC2206'!B90:H370,5,false)="","Y","N")</f>
        <v>N</v>
      </c>
      <c r="L139" s="12" t="str">
        <f>if(vlookup(B:B,'ILC2303'!B142:F8581,5,false)="","Y","N")</f>
        <v>N</v>
      </c>
      <c r="M139" s="12" t="str">
        <f>if(vlookup(B:B,'ILC2307'!B142:F9097,5,false)="","Y","N")</f>
        <v>Y</v>
      </c>
      <c r="N139" s="12" t="str">
        <f>if(vlookup(B:B,'ILC2313'!B142:F8736,5,false)="","Y","N")</f>
        <v>N</v>
      </c>
      <c r="O139" s="12" t="str">
        <f>if(vlookup(B:B,'ILC2412'!B142:F8581,5,false)="","Y","N")</f>
        <v>Y</v>
      </c>
      <c r="P139" s="12" t="str">
        <f>if(vlookup(B:B,'ILC2413'!B142:F9079,5,false)="","Y","N")</f>
        <v>Y</v>
      </c>
      <c r="Q139" s="12" t="str">
        <f>if(vlookup(B:B,'ILC3104'!B142:F8624,5,false)="","Y","N")</f>
        <v>N</v>
      </c>
      <c r="R139" s="12" t="str">
        <f>if(vlookup(B:B,'ILC3310'!B6:F8563,5,false)="","Y","N")</f>
        <v>#N/A</v>
      </c>
      <c r="S139" s="12" t="str">
        <f>if(vlookup(B:B,'ILC3312'!B142:F8581,5,false)="","Y","N")</f>
        <v>N</v>
      </c>
      <c r="T139" s="12" t="str">
        <f>if(vlookup(B:B,'ILC3413'!B111:F8506,5,false)="","Y","N")</f>
        <v>Y</v>
      </c>
      <c r="U139" s="12" t="str">
        <f>if(vlookup(B:B,'ILC3415'!B139:F8531,5,false)="","Y","N")</f>
        <v>N</v>
      </c>
      <c r="V139" s="12" t="str">
        <f>if(vlookup(B:B,'ILC4406'!B74:F8500,5,false)="","Y","N")</f>
        <v>N</v>
      </c>
      <c r="W139" s="12" t="str">
        <f>if(vlookup(B:B,'ILC4410'!B142:F8748,5,false)="","Y","N")</f>
        <v>N</v>
      </c>
      <c r="X139" s="12" t="str">
        <f>if(vlookup(B:B,'JBV455'!B142:F9088,5,false)="","Y","N")</f>
        <v>N</v>
      </c>
      <c r="Y139" s="12" t="str">
        <f>if(vlookup(B:B,'JBV462'!B142:F8581,5,false)="","Y","N")</f>
        <v>N</v>
      </c>
      <c r="Z139" s="12" t="str">
        <f>if(vlookup(B:B,'JBV464'!B142:F8581,5,false)="","Y","N")</f>
        <v>N</v>
      </c>
      <c r="AA139" s="12" t="str">
        <f>if(vlookup(B:B,'VDI208'!B74:F8581,5,false)="","Y","N")</f>
        <v>Y</v>
      </c>
      <c r="AB139" s="76" t="str">
        <f>if(vlookup(B:B,'STO2206'!B74:F8581,5,false)="","Y","N")</f>
        <v>Y</v>
      </c>
    </row>
    <row r="140" hidden="1">
      <c r="A140" s="67" t="str">
        <f t="shared" si="2"/>
        <v>Tue</v>
      </c>
      <c r="B140" s="69">
        <v>43585.0</v>
      </c>
      <c r="C140" s="12"/>
      <c r="D140" s="12"/>
      <c r="E140" s="12"/>
      <c r="F140" s="12" t="str">
        <f>if(vlookup(B:B,'ILC1211'!$B143:F8582,5,false)="","Y","N")</f>
        <v>N</v>
      </c>
      <c r="G140" s="12" t="str">
        <f>if(vlookup(B:B,'ILC1213'!$B70:G8582,5,false)="","Y","N")</f>
        <v>N</v>
      </c>
      <c r="H140" s="12" t="str">
        <f>if(vlookup(B:B,'ILC1314'!$B69:G882,5,false)="","Y","N")</f>
        <v>N</v>
      </c>
      <c r="I140" s="12" t="str">
        <f>if(vlookup(B:B,'ILC1404'!B143:F8305,5,false)="","Y","N")</f>
        <v>N</v>
      </c>
      <c r="J140" s="12" t="str">
        <f>if(vlookup(B:B,'ILC2203'!B106:F8305,5,false)="","Y","N")</f>
        <v>N</v>
      </c>
      <c r="K140" s="12" t="str">
        <f>if(vlookup(B:B,'ILC2206'!B91:H370,5,false)="","Y","N")</f>
        <v>N</v>
      </c>
      <c r="L140" s="12" t="str">
        <f>if(vlookup(B:B,'ILC2303'!B143:F8582,5,false)="","Y","N")</f>
        <v>N</v>
      </c>
      <c r="M140" s="12" t="str">
        <f>if(vlookup(B:B,'ILC2307'!B143:F9098,5,false)="","Y","N")</f>
        <v>N</v>
      </c>
      <c r="N140" s="12" t="str">
        <f>if(vlookup(B:B,'ILC2313'!B143:F8737,5,false)="","Y","N")</f>
        <v>N</v>
      </c>
      <c r="O140" s="12" t="str">
        <f>if(vlookup(B:B,'ILC2412'!B143:F8582,5,false)="","Y","N")</f>
        <v>Y</v>
      </c>
      <c r="P140" s="12" t="str">
        <f>if(vlookup(B:B,'ILC2413'!B143:F9080,5,false)="","Y","N")</f>
        <v>N</v>
      </c>
      <c r="Q140" s="12" t="str">
        <f>if(vlookup(B:B,'ILC3104'!B143:F8625,5,false)="","Y","N")</f>
        <v>N</v>
      </c>
      <c r="R140" s="12" t="str">
        <f>if(vlookup(B:B,'ILC3310'!B6:F8564,5,false)="","Y","N")</f>
        <v>#N/A</v>
      </c>
      <c r="S140" s="12" t="str">
        <f>if(vlookup(B:B,'ILC3312'!B143:F8582,5,false)="","Y","N")</f>
        <v>N</v>
      </c>
      <c r="T140" s="12" t="str">
        <f>if(vlookup(B:B,'ILC3413'!B112:F8507,5,false)="","Y","N")</f>
        <v>N</v>
      </c>
      <c r="U140" s="12" t="str">
        <f>if(vlookup(B:B,'ILC3415'!B140:F8532,5,false)="","Y","N")</f>
        <v>Y</v>
      </c>
      <c r="V140" s="12" t="str">
        <f>if(vlookup(B:B,'ILC4406'!B75:F8501,5,false)="","Y","N")</f>
        <v>N</v>
      </c>
      <c r="W140" s="12" t="str">
        <f>if(vlookup(B:B,'ILC4410'!B143:F8749,5,false)="","Y","N")</f>
        <v>N</v>
      </c>
      <c r="X140" s="12" t="str">
        <f>if(vlookup(B:B,'JBV455'!B143:F9089,5,false)="","Y","N")</f>
        <v>N</v>
      </c>
      <c r="Y140" s="12" t="str">
        <f>if(vlookup(B:B,'JBV462'!B143:F8582,5,false)="","Y","N")</f>
        <v>N</v>
      </c>
      <c r="Z140" s="12" t="str">
        <f>if(vlookup(B:B,'JBV464'!B143:F8582,5,false)="","Y","N")</f>
        <v>N</v>
      </c>
      <c r="AA140" s="12" t="str">
        <f>if(vlookup(B:B,'VDI208'!B75:F8582,5,false)="","Y","N")</f>
        <v>Y</v>
      </c>
      <c r="AB140" s="76" t="str">
        <f>if(vlookup(B:B,'STO2206'!B75:F8582,5,false)="","Y","N")</f>
        <v>Y</v>
      </c>
    </row>
    <row r="141" hidden="1">
      <c r="A141" s="67" t="str">
        <f t="shared" si="2"/>
        <v>Wed</v>
      </c>
      <c r="B141" s="69">
        <v>43586.0</v>
      </c>
      <c r="C141" s="12"/>
      <c r="D141" s="12"/>
      <c r="E141" s="12"/>
      <c r="F141" s="12" t="str">
        <f>if(vlookup(B:B,'ILC1211'!$B144:F8583,5,false)="","Y","N")</f>
        <v>N</v>
      </c>
      <c r="G141" s="12" t="str">
        <f>if(vlookup(B:B,'ILC1213'!$B71:G8583,5,false)="","Y","N")</f>
        <v>N</v>
      </c>
      <c r="H141" s="12" t="str">
        <f>if(vlookup(B:B,'ILC1314'!$B70:G883,5,false)="","Y","N")</f>
        <v>N</v>
      </c>
      <c r="I141" s="12" t="str">
        <f>if(vlookup(B:B,'ILC1404'!B144:F8306,5,false)="","Y","N")</f>
        <v>N</v>
      </c>
      <c r="J141" s="12" t="str">
        <f>if(vlookup(B:B,'ILC2203'!B107:F8306,5,false)="","Y","N")</f>
        <v>Y</v>
      </c>
      <c r="K141" s="12" t="str">
        <f>if(vlookup(B:B,'ILC2206'!B92:H370,5,false)="","Y","N")</f>
        <v>N</v>
      </c>
      <c r="L141" s="12" t="str">
        <f>if(vlookup(B:B,'ILC2303'!B144:F8583,5,false)="","Y","N")</f>
        <v>N</v>
      </c>
      <c r="M141" s="12" t="str">
        <f>if(vlookup(B:B,'ILC2307'!B144:F9099,5,false)="","Y","N")</f>
        <v>N</v>
      </c>
      <c r="N141" s="12" t="str">
        <f>if(vlookup(B:B,'ILC2313'!B144:F8738,5,false)="","Y","N")</f>
        <v>N</v>
      </c>
      <c r="O141" s="12" t="str">
        <f>if(vlookup(B:B,'ILC2412'!B144:F8583,5,false)="","Y","N")</f>
        <v>N</v>
      </c>
      <c r="P141" s="12" t="str">
        <f>if(vlookup(B:B,'ILC2413'!B144:F9081,5,false)="","Y","N")</f>
        <v>N</v>
      </c>
      <c r="Q141" s="12" t="str">
        <f>if(vlookup(B:B,'ILC3104'!B144:F8626,5,false)="","Y","N")</f>
        <v>N</v>
      </c>
      <c r="R141" s="12" t="str">
        <f>if(vlookup(B:B,'ILC3310'!B6:F8565,5,false)="","Y","N")</f>
        <v>#N/A</v>
      </c>
      <c r="S141" s="12" t="str">
        <f>if(vlookup(B:B,'ILC3312'!B144:F8583,5,false)="","Y","N")</f>
        <v>N</v>
      </c>
      <c r="T141" s="12" t="str">
        <f>if(vlookup(B:B,'ILC3413'!B113:F8508,5,false)="","Y","N")</f>
        <v>N</v>
      </c>
      <c r="U141" s="12" t="str">
        <f>if(vlookup(B:B,'ILC3415'!B141:F8533,5,false)="","Y","N")</f>
        <v>Y</v>
      </c>
      <c r="V141" s="12" t="str">
        <f>if(vlookup(B:B,'ILC4406'!B76:F8502,5,false)="","Y","N")</f>
        <v>Y</v>
      </c>
      <c r="W141" s="12" t="str">
        <f>if(vlookup(B:B,'ILC4410'!B144:F8750,5,false)="","Y","N")</f>
        <v>N</v>
      </c>
      <c r="X141" s="12" t="str">
        <f>if(vlookup(B:B,'JBV455'!B144:F9090,5,false)="","Y","N")</f>
        <v>Y</v>
      </c>
      <c r="Y141" s="12" t="str">
        <f>if(vlookup(B:B,'JBV462'!B144:F8583,5,false)="","Y","N")</f>
        <v>N</v>
      </c>
      <c r="Z141" s="12" t="str">
        <f>if(vlookup(B:B,'JBV464'!B144:F8583,5,false)="","Y","N")</f>
        <v>N</v>
      </c>
      <c r="AA141" s="12" t="str">
        <f>if(vlookup(B:B,'VDI208'!B76:F8583,5,false)="","Y","N")</f>
        <v>Y</v>
      </c>
      <c r="AB141" s="76" t="str">
        <f>if(vlookup(B:B,'STO2206'!B76:F8583,5,false)="","Y","N")</f>
        <v>Y</v>
      </c>
    </row>
    <row r="142" hidden="1">
      <c r="A142" s="67" t="str">
        <f t="shared" si="2"/>
        <v>Thu</v>
      </c>
      <c r="B142" s="69">
        <v>43587.0</v>
      </c>
      <c r="C142" s="12"/>
      <c r="D142" s="12"/>
      <c r="E142" s="12"/>
      <c r="F142" s="12" t="str">
        <f>if(vlookup(B:B,'ILC1211'!$B145:F8584,5,false)="","Y","N")</f>
        <v>N</v>
      </c>
      <c r="G142" s="12" t="str">
        <f>if(vlookup(B:B,'ILC1213'!$B72:G8584,5,false)="","Y","N")</f>
        <v>N</v>
      </c>
      <c r="H142" s="12" t="str">
        <f>if(vlookup(B:B,'ILC1314'!$B71:G884,5,false)="","Y","N")</f>
        <v>N</v>
      </c>
      <c r="I142" s="12" t="str">
        <f>if(vlookup(B:B,'ILC1404'!B145:F8307,5,false)="","Y","N")</f>
        <v>N</v>
      </c>
      <c r="J142" s="12" t="str">
        <f>if(vlookup(B:B,'ILC2203'!B108:F8307,5,false)="","Y","N")</f>
        <v>Y</v>
      </c>
      <c r="K142" s="12" t="str">
        <f>if(vlookup(B:B,'ILC2206'!B93:H370,5,false)="","Y","N")</f>
        <v>N</v>
      </c>
      <c r="L142" s="12" t="str">
        <f>if(vlookup(B:B,'ILC2303'!B145:F8584,5,false)="","Y","N")</f>
        <v>N</v>
      </c>
      <c r="M142" s="12" t="str">
        <f>if(vlookup(B:B,'ILC2307'!B145:F9100,5,false)="","Y","N")</f>
        <v>N</v>
      </c>
      <c r="N142" s="12" t="str">
        <f>if(vlookup(B:B,'ILC2313'!B145:F8739,5,false)="","Y","N")</f>
        <v>N</v>
      </c>
      <c r="O142" s="12" t="str">
        <f>if(vlookup(B:B,'ILC2412'!B145:F8584,5,false)="","Y","N")</f>
        <v>N</v>
      </c>
      <c r="P142" s="12" t="str">
        <f>if(vlookup(B:B,'ILC2413'!B145:F9082,5,false)="","Y","N")</f>
        <v>N</v>
      </c>
      <c r="Q142" s="12" t="str">
        <f>if(vlookup(B:B,'ILC3104'!B145:F8627,5,false)="","Y","N")</f>
        <v>N</v>
      </c>
      <c r="R142" s="12" t="str">
        <f>if(vlookup(B:B,'ILC3310'!B6:F8566,5,false)="","Y","N")</f>
        <v>#N/A</v>
      </c>
      <c r="S142" s="12" t="str">
        <f>if(vlookup(B:B,'ILC3312'!B145:F8584,5,false)="","Y","N")</f>
        <v>Y</v>
      </c>
      <c r="T142" s="12" t="str">
        <f>if(vlookup(B:B,'ILC3413'!B114:F8509,5,false)="","Y","N")</f>
        <v>N</v>
      </c>
      <c r="U142" s="12" t="str">
        <f>if(vlookup(B:B,'ILC3415'!B142:F8534,5,false)="","Y","N")</f>
        <v>N</v>
      </c>
      <c r="V142" s="12" t="str">
        <f>if(vlookup(B:B,'ILC4406'!B77:F8503,5,false)="","Y","N")</f>
        <v>N</v>
      </c>
      <c r="W142" s="12" t="str">
        <f>if(vlookup(B:B,'ILC4410'!B145:F8751,5,false)="","Y","N")</f>
        <v>N</v>
      </c>
      <c r="X142" s="12" t="str">
        <f>if(vlookup(B:B,'JBV455'!B145:F9091,5,false)="","Y","N")</f>
        <v>N</v>
      </c>
      <c r="Y142" s="12" t="str">
        <f>if(vlookup(B:B,'JBV462'!B145:F8584,5,false)="","Y","N")</f>
        <v>N</v>
      </c>
      <c r="Z142" s="12" t="str">
        <f>if(vlookup(B:B,'JBV464'!B145:F8584,5,false)="","Y","N")</f>
        <v>N</v>
      </c>
      <c r="AA142" s="12" t="str">
        <f>if(vlookup(B:B,'VDI208'!B77:F8584,5,false)="","Y","N")</f>
        <v>Y</v>
      </c>
      <c r="AB142" s="76" t="str">
        <f>if(vlookup(B:B,'STO2206'!B77:F8584,5,false)="","Y","N")</f>
        <v>Y</v>
      </c>
    </row>
    <row r="143" hidden="1">
      <c r="A143" s="67" t="str">
        <f t="shared" si="2"/>
        <v>Fri</v>
      </c>
      <c r="B143" s="69">
        <v>43588.0</v>
      </c>
      <c r="C143" s="12"/>
      <c r="D143" s="12"/>
      <c r="E143" s="12"/>
      <c r="F143" s="12" t="str">
        <f>if(vlookup(B:B,'ILC1211'!$B146:F8585,5,false)="","Y","N")</f>
        <v>N</v>
      </c>
      <c r="G143" s="12" t="str">
        <f>if(vlookup(B:B,'ILC1213'!$B73:G8585,5,false)="","Y","N")</f>
        <v>N</v>
      </c>
      <c r="H143" s="12" t="str">
        <f>if(vlookup(B:B,'ILC1314'!$B72:G885,5,false)="","Y","N")</f>
        <v>N</v>
      </c>
      <c r="I143" s="12" t="str">
        <f>if(vlookup(B:B,'ILC1404'!B146:F8308,5,false)="","Y","N")</f>
        <v>N</v>
      </c>
      <c r="J143" s="12" t="str">
        <f>if(vlookup(B:B,'ILC2203'!B109:F8308,5,false)="","Y","N")</f>
        <v>N</v>
      </c>
      <c r="K143" s="12" t="str">
        <f>if(vlookup(B:B,'ILC2206'!B94:H370,5,false)="","Y","N")</f>
        <v>N</v>
      </c>
      <c r="L143" s="12" t="str">
        <f>if(vlookup(B:B,'ILC2303'!B146:F8585,5,false)="","Y","N")</f>
        <v>N</v>
      </c>
      <c r="M143" s="12" t="str">
        <f>if(vlookup(B:B,'ILC2307'!B146:F9101,5,false)="","Y","N")</f>
        <v>N</v>
      </c>
      <c r="N143" s="12" t="str">
        <f>if(vlookup(B:B,'ILC2313'!B146:F8740,5,false)="","Y","N")</f>
        <v>N</v>
      </c>
      <c r="O143" s="12" t="str">
        <f>if(vlookup(B:B,'ILC2412'!B146:F8585,5,false)="","Y","N")</f>
        <v>N</v>
      </c>
      <c r="P143" s="12" t="str">
        <f>if(vlookup(B:B,'ILC2413'!B146:F9083,5,false)="","Y","N")</f>
        <v>N</v>
      </c>
      <c r="Q143" s="12" t="str">
        <f>if(vlookup(B:B,'ILC3104'!B146:F8628,5,false)="","Y","N")</f>
        <v>N</v>
      </c>
      <c r="R143" s="12" t="str">
        <f>if(vlookup(B:B,'ILC3310'!B6:F8567,5,false)="","Y","N")</f>
        <v>#N/A</v>
      </c>
      <c r="S143" s="12" t="str">
        <f>if(vlookup(B:B,'ILC3312'!B146:F8585,5,false)="","Y","N")</f>
        <v>N</v>
      </c>
      <c r="T143" s="12" t="str">
        <f>if(vlookup(B:B,'ILC3413'!B115:F8510,5,false)="","Y","N")</f>
        <v>N</v>
      </c>
      <c r="U143" s="12" t="str">
        <f>if(vlookup(B:B,'ILC3415'!B143:F8535,5,false)="","Y","N")</f>
        <v>N</v>
      </c>
      <c r="V143" s="12" t="str">
        <f>if(vlookup(B:B,'ILC4406'!B78:F8504,5,false)="","Y","N")</f>
        <v>N</v>
      </c>
      <c r="W143" s="12" t="str">
        <f>if(vlookup(B:B,'ILC4410'!B146:F8752,5,false)="","Y","N")</f>
        <v>N</v>
      </c>
      <c r="X143" s="12" t="str">
        <f>if(vlookup(B:B,'JBV455'!B146:F9092,5,false)="","Y","N")</f>
        <v>Y</v>
      </c>
      <c r="Y143" s="12" t="str">
        <f>if(vlookup(B:B,'JBV462'!B146:F8585,5,false)="","Y","N")</f>
        <v>N</v>
      </c>
      <c r="Z143" s="12" t="str">
        <f>if(vlookup(B:B,'JBV464'!B146:F8585,5,false)="","Y","N")</f>
        <v>N</v>
      </c>
      <c r="AA143" s="12" t="str">
        <f>if(vlookup(B:B,'VDI208'!B78:F8585,5,false)="","Y","N")</f>
        <v>Y</v>
      </c>
      <c r="AB143" s="76" t="str">
        <f>if(vlookup(B:B,'STO2206'!B78:F8585,5,false)="","Y","N")</f>
        <v>Y</v>
      </c>
    </row>
    <row r="144" hidden="1">
      <c r="A144" s="67" t="str">
        <f t="shared" si="2"/>
        <v>Sat</v>
      </c>
      <c r="B144" s="69">
        <v>43589.0</v>
      </c>
      <c r="C144" s="12"/>
      <c r="D144" s="12"/>
      <c r="E144" s="12"/>
      <c r="F144" s="12" t="str">
        <f>if(vlookup(B:B,'ILC1211'!$B147:F8586,5,false)="","Y","N")</f>
        <v>N</v>
      </c>
      <c r="G144" s="12" t="str">
        <f>if(vlookup(B:B,'ILC1213'!$B74:G8586,5,false)="","Y","N")</f>
        <v>N</v>
      </c>
      <c r="H144" s="12" t="str">
        <f>if(vlookup(B:B,'ILC1314'!$B73:G886,5,false)="","Y","N")</f>
        <v>N</v>
      </c>
      <c r="I144" s="12" t="str">
        <f>if(vlookup(B:B,'ILC1404'!B147:F8309,5,false)="","Y","N")</f>
        <v>N</v>
      </c>
      <c r="J144" s="12" t="str">
        <f>if(vlookup(B:B,'ILC2203'!B110:F8309,5,false)="","Y","N")</f>
        <v>N</v>
      </c>
      <c r="K144" s="12" t="str">
        <f>if(vlookup(B:B,'ILC2206'!B95:H370,5,false)="","Y","N")</f>
        <v>N</v>
      </c>
      <c r="L144" s="12" t="str">
        <f>if(vlookup(B:B,'ILC2303'!B147:F8586,5,false)="","Y","N")</f>
        <v>N</v>
      </c>
      <c r="M144" s="12" t="str">
        <f>if(vlookup(B:B,'ILC2307'!B147:F9102,5,false)="","Y","N")</f>
        <v>N</v>
      </c>
      <c r="N144" s="12" t="str">
        <f>if(vlookup(B:B,'ILC2313'!B147:F8741,5,false)="","Y","N")</f>
        <v>N</v>
      </c>
      <c r="O144" s="12" t="str">
        <f>if(vlookup(B:B,'ILC2412'!B147:F8586,5,false)="","Y","N")</f>
        <v>N</v>
      </c>
      <c r="P144" s="12" t="str">
        <f>if(vlookup(B:B,'ILC2413'!B147:F9084,5,false)="","Y","N")</f>
        <v>N</v>
      </c>
      <c r="Q144" s="12" t="str">
        <f>if(vlookup(B:B,'ILC3104'!B147:F8629,5,false)="","Y","N")</f>
        <v>N</v>
      </c>
      <c r="R144" s="12" t="str">
        <f>if(vlookup(B:B,'ILC3310'!B6:F8568,5,false)="","Y","N")</f>
        <v>#N/A</v>
      </c>
      <c r="S144" s="12" t="str">
        <f>if(vlookup(B:B,'ILC3312'!B147:F8586,5,false)="","Y","N")</f>
        <v>N</v>
      </c>
      <c r="T144" s="12" t="str">
        <f>if(vlookup(B:B,'ILC3413'!B116:F8511,5,false)="","Y","N")</f>
        <v>N</v>
      </c>
      <c r="U144" s="12" t="str">
        <f>if(vlookup(B:B,'ILC3415'!B144:F8536,5,false)="","Y","N")</f>
        <v>N</v>
      </c>
      <c r="V144" s="12" t="str">
        <f>if(vlookup(B:B,'ILC4406'!B79:F8505,5,false)="","Y","N")</f>
        <v>N</v>
      </c>
      <c r="W144" s="12" t="str">
        <f>if(vlookup(B:B,'ILC4410'!B147:F8753,5,false)="","Y","N")</f>
        <v>N</v>
      </c>
      <c r="X144" s="12" t="str">
        <f>if(vlookup(B:B,'JBV455'!B147:F9093,5,false)="","Y","N")</f>
        <v>Y</v>
      </c>
      <c r="Y144" s="12" t="str">
        <f>if(vlookup(B:B,'JBV462'!B147:F8586,5,false)="","Y","N")</f>
        <v>N</v>
      </c>
      <c r="Z144" s="12" t="str">
        <f>if(vlookup(B:B,'JBV464'!B147:F8586,5,false)="","Y","N")</f>
        <v>N</v>
      </c>
      <c r="AA144" s="12" t="str">
        <f>if(vlookup(B:B,'VDI208'!B79:F8586,5,false)="","Y","N")</f>
        <v>Y</v>
      </c>
      <c r="AB144" s="76" t="str">
        <f>if(vlookup(B:B,'STO2206'!B79:F8586,5,false)="","Y","N")</f>
        <v>Y</v>
      </c>
    </row>
    <row r="145" hidden="1">
      <c r="A145" s="67" t="str">
        <f t="shared" si="2"/>
        <v>Sun</v>
      </c>
      <c r="B145" s="69">
        <v>43590.0</v>
      </c>
      <c r="C145" s="12"/>
      <c r="D145" s="12"/>
      <c r="E145" s="12"/>
      <c r="F145" s="12" t="str">
        <f>if(vlookup(B:B,'ILC1211'!$B148:F8587,5,false)="","Y","N")</f>
        <v>N</v>
      </c>
      <c r="G145" s="12" t="str">
        <f>if(vlookup(B:B,'ILC1213'!$B75:G8587,5,false)="","Y","N")</f>
        <v>N</v>
      </c>
      <c r="H145" s="12" t="str">
        <f>if(vlookup(B:B,'ILC1314'!$B74:G887,5,false)="","Y","N")</f>
        <v>N</v>
      </c>
      <c r="I145" s="12" t="str">
        <f>if(vlookup(B:B,'ILC1404'!B148:F8310,5,false)="","Y","N")</f>
        <v>Y</v>
      </c>
      <c r="J145" s="12" t="str">
        <f>if(vlookup(B:B,'ILC2203'!B111:F8310,5,false)="","Y","N")</f>
        <v>Y</v>
      </c>
      <c r="K145" s="12" t="str">
        <f>if(vlookup(B:B,'ILC2206'!B96:H370,5,false)="","Y","N")</f>
        <v>Y</v>
      </c>
      <c r="L145" s="12" t="str">
        <f>if(vlookup(B:B,'ILC2303'!B148:F8587,5,false)="","Y","N")</f>
        <v>N</v>
      </c>
      <c r="M145" s="12" t="str">
        <f>if(vlookup(B:B,'ILC2307'!B148:F9103,5,false)="","Y","N")</f>
        <v>N</v>
      </c>
      <c r="N145" s="12" t="str">
        <f>if(vlookup(B:B,'ILC2313'!B148:F8742,5,false)="","Y","N")</f>
        <v>N</v>
      </c>
      <c r="O145" s="12" t="str">
        <f>if(vlookup(B:B,'ILC2412'!B148:F8587,5,false)="","Y","N")</f>
        <v>N</v>
      </c>
      <c r="P145" s="12" t="str">
        <f>if(vlookup(B:B,'ILC2413'!B148:F9085,5,false)="","Y","N")</f>
        <v>N</v>
      </c>
      <c r="Q145" s="12" t="str">
        <f>if(vlookup(B:B,'ILC3104'!B148:F8630,5,false)="","Y","N")</f>
        <v>N</v>
      </c>
      <c r="R145" s="12" t="str">
        <f>if(vlookup(B:B,'ILC3310'!B6:F8569,5,false)="","Y","N")</f>
        <v>#N/A</v>
      </c>
      <c r="S145" s="12" t="str">
        <f>if(vlookup(B:B,'ILC3312'!B148:F8587,5,false)="","Y","N")</f>
        <v>N</v>
      </c>
      <c r="T145" s="12" t="str">
        <f>if(vlookup(B:B,'ILC3413'!B117:F8512,5,false)="","Y","N")</f>
        <v>N</v>
      </c>
      <c r="U145" s="12" t="str">
        <f>if(vlookup(B:B,'ILC3415'!B145:F8537,5,false)="","Y","N")</f>
        <v>N</v>
      </c>
      <c r="V145" s="12" t="str">
        <f>if(vlookup(B:B,'ILC4406'!B80:F8506,5,false)="","Y","N")</f>
        <v>N</v>
      </c>
      <c r="W145" s="12" t="str">
        <f>if(vlookup(B:B,'ILC4410'!B148:F8754,5,false)="","Y","N")</f>
        <v>N</v>
      </c>
      <c r="X145" s="12" t="str">
        <f>if(vlookup(B:B,'JBV455'!B148:F9094,5,false)="","Y","N")</f>
        <v>Y</v>
      </c>
      <c r="Y145" s="12" t="str">
        <f>if(vlookup(B:B,'JBV462'!B148:F8587,5,false)="","Y","N")</f>
        <v>N</v>
      </c>
      <c r="Z145" s="12" t="str">
        <f>if(vlookup(B:B,'JBV464'!B148:F8587,5,false)="","Y","N")</f>
        <v>N</v>
      </c>
      <c r="AA145" s="12" t="str">
        <f>if(vlookup(B:B,'VDI208'!B80:F8587,5,false)="","Y","N")</f>
        <v>Y</v>
      </c>
      <c r="AB145" s="76" t="str">
        <f>if(vlookup(B:B,'STO2206'!B80:F8587,5,false)="","Y","N")</f>
        <v>Y</v>
      </c>
    </row>
    <row r="146" hidden="1">
      <c r="A146" s="67" t="str">
        <f t="shared" si="2"/>
        <v>Mon</v>
      </c>
      <c r="B146" s="69">
        <v>43591.0</v>
      </c>
      <c r="C146" s="12"/>
      <c r="D146" s="12"/>
      <c r="E146" s="12"/>
      <c r="F146" s="12" t="str">
        <f>if(vlookup(B:B,'ILC1211'!$B149:F8588,5,false)="","Y","N")</f>
        <v>Y</v>
      </c>
      <c r="G146" s="12" t="str">
        <f>if(vlookup(B:B,'ILC1213'!$B76:G8588,5,false)="","Y","N")</f>
        <v>N</v>
      </c>
      <c r="H146" s="12" t="str">
        <f>if(vlookup(B:B,'ILC1314'!$B75:G888,5,false)="","Y","N")</f>
        <v>N</v>
      </c>
      <c r="I146" s="12" t="str">
        <f>if(vlookup(B:B,'ILC1404'!B149:F8311,5,false)="","Y","N")</f>
        <v>Y</v>
      </c>
      <c r="J146" s="12" t="str">
        <f>if(vlookup(B:B,'ILC2203'!B112:F8311,5,false)="","Y","N")</f>
        <v>Y</v>
      </c>
      <c r="K146" s="12" t="str">
        <f>if(vlookup(B:B,'ILC2206'!B97:H370,5,false)="","Y","N")</f>
        <v>Y</v>
      </c>
      <c r="L146" s="12" t="str">
        <f>if(vlookup(B:B,'ILC2303'!B149:F8588,5,false)="","Y","N")</f>
        <v>N</v>
      </c>
      <c r="M146" s="12" t="str">
        <f>if(vlookup(B:B,'ILC2307'!B149:F9104,5,false)="","Y","N")</f>
        <v>N</v>
      </c>
      <c r="N146" s="12" t="str">
        <f>if(vlookup(B:B,'ILC2313'!B149:F8743,5,false)="","Y","N")</f>
        <v>Y</v>
      </c>
      <c r="O146" s="12" t="str">
        <f>if(vlookup(B:B,'ILC2412'!B149:F8588,5,false)="","Y","N")</f>
        <v>N</v>
      </c>
      <c r="P146" s="12" t="str">
        <f>if(vlookup(B:B,'ILC2413'!B149:F9086,5,false)="","Y","N")</f>
        <v>Y</v>
      </c>
      <c r="Q146" s="12" t="str">
        <f>if(vlookup(B:B,'ILC3104'!B149:F8631,5,false)="","Y","N")</f>
        <v>N</v>
      </c>
      <c r="R146" s="12" t="str">
        <f>if(vlookup(B:B,'ILC3310'!B6:F8570,5,false)="","Y","N")</f>
        <v>N</v>
      </c>
      <c r="S146" s="12" t="str">
        <f>if(vlookup(B:B,'ILC3312'!B149:F8588,5,false)="","Y","N")</f>
        <v>Y</v>
      </c>
      <c r="T146" s="12" t="str">
        <f>if(vlookup(B:B,'ILC3413'!B118:F8513,5,false)="","Y","N")</f>
        <v>Y</v>
      </c>
      <c r="U146" s="12" t="str">
        <f>if(vlookup(B:B,'ILC3415'!B146:F8538,5,false)="","Y","N")</f>
        <v>N</v>
      </c>
      <c r="V146" s="12" t="str">
        <f>if(vlookup(B:B,'ILC4406'!B81:F8507,5,false)="","Y","N")</f>
        <v>Y</v>
      </c>
      <c r="W146" s="12" t="str">
        <f>if(vlookup(B:B,'ILC4410'!B149:F8755,5,false)="","Y","N")</f>
        <v>N</v>
      </c>
      <c r="X146" s="12" t="str">
        <f>if(vlookup(B:B,'JBV455'!B149:F9095,5,false)="","Y","N")</f>
        <v>Y</v>
      </c>
      <c r="Y146" s="12" t="str">
        <f>if(vlookup(B:B,'JBV462'!B149:F8588,5,false)="","Y","N")</f>
        <v>N</v>
      </c>
      <c r="Z146" s="12" t="str">
        <f>if(vlookup(B:B,'JBV464'!B149:F8588,5,false)="","Y","N")</f>
        <v>N</v>
      </c>
      <c r="AA146" s="12" t="str">
        <f>if(vlookup(B:B,'VDI208'!B81:F8588,5,false)="","Y","N")</f>
        <v>Y</v>
      </c>
      <c r="AB146" s="76" t="str">
        <f>if(vlookup(B:B,'STO2206'!B81:F8588,5,false)="","Y","N")</f>
        <v>Y</v>
      </c>
    </row>
    <row r="147" hidden="1">
      <c r="A147" s="67" t="str">
        <f t="shared" si="2"/>
        <v>Tue</v>
      </c>
      <c r="B147" s="69">
        <v>43592.0</v>
      </c>
      <c r="C147" s="12"/>
      <c r="D147" s="12"/>
      <c r="E147" s="12"/>
      <c r="F147" s="12" t="str">
        <f>if(vlookup(B:B,'ILC1211'!$B150:F8589,5,false)="","Y","N")</f>
        <v>N</v>
      </c>
      <c r="G147" s="12" t="str">
        <f>if(vlookup(B:B,'ILC1213'!$B77:G8589,5,false)="","Y","N")</f>
        <v>N</v>
      </c>
      <c r="H147" s="12" t="str">
        <f>if(vlookup(B:B,'ILC1314'!$B76:G889,5,false)="","Y","N")</f>
        <v>N</v>
      </c>
      <c r="I147" s="12" t="str">
        <f>if(vlookup(B:B,'ILC1404'!B150:F8312,5,false)="","Y","N")</f>
        <v>Y</v>
      </c>
      <c r="J147" s="12" t="str">
        <f>if(vlookup(B:B,'ILC2203'!B113:F8312,5,false)="","Y","N")</f>
        <v>Y</v>
      </c>
      <c r="K147" s="12" t="str">
        <f>if(vlookup(B:B,'ILC2206'!B98:H370,5,false)="","Y","N")</f>
        <v>Y</v>
      </c>
      <c r="L147" s="12" t="str">
        <f>if(vlookup(B:B,'ILC2303'!B150:F8589,5,false)="","Y","N")</f>
        <v>N</v>
      </c>
      <c r="M147" s="12" t="str">
        <f>if(vlookup(B:B,'ILC2307'!B150:F9105,5,false)="","Y","N")</f>
        <v>N</v>
      </c>
      <c r="N147" s="12" t="str">
        <f>if(vlookup(B:B,'ILC2313'!B150:F8744,5,false)="","Y","N")</f>
        <v>Y</v>
      </c>
      <c r="O147" s="12" t="str">
        <f>if(vlookup(B:B,'ILC2412'!B150:F8589,5,false)="","Y","N")</f>
        <v>N</v>
      </c>
      <c r="P147" s="12" t="str">
        <f>if(vlookup(B:B,'ILC2413'!B150:F9087,5,false)="","Y","N")</f>
        <v>Y</v>
      </c>
      <c r="Q147" s="12" t="str">
        <f>if(vlookup(B:B,'ILC3104'!B150:F8632,5,false)="","Y","N")</f>
        <v>N</v>
      </c>
      <c r="R147" s="12" t="str">
        <f>if(vlookup(B:B,'ILC3310'!B6:F8571,5,false)="","Y","N")</f>
        <v>Y</v>
      </c>
      <c r="S147" s="12" t="str">
        <f>if(vlookup(B:B,'ILC3312'!B150:F8589,5,false)="","Y","N")</f>
        <v>N</v>
      </c>
      <c r="T147" s="12" t="str">
        <f>if(vlookup(B:B,'ILC3413'!B119:F8514,5,false)="","Y","N")</f>
        <v>Y</v>
      </c>
      <c r="U147" s="12" t="str">
        <f>if(vlookup(B:B,'ILC3415'!B147:F8539,5,false)="","Y","N")</f>
        <v>N</v>
      </c>
      <c r="V147" s="12" t="str">
        <f>if(vlookup(B:B,'ILC4406'!B82:F8508,5,false)="","Y","N")</f>
        <v>Y</v>
      </c>
      <c r="W147" s="12" t="str">
        <f>if(vlookup(B:B,'ILC4410'!B150:F8756,5,false)="","Y","N")</f>
        <v>N</v>
      </c>
      <c r="X147" s="12" t="str">
        <f>if(vlookup(B:B,'JBV455'!B150:F9096,5,false)="","Y","N")</f>
        <v>Y</v>
      </c>
      <c r="Y147" s="12" t="str">
        <f>if(vlookup(B:B,'JBV462'!B150:F8589,5,false)="","Y","N")</f>
        <v>N</v>
      </c>
      <c r="Z147" s="12" t="str">
        <f>if(vlookup(B:B,'JBV464'!B150:F8589,5,false)="","Y","N")</f>
        <v>N</v>
      </c>
      <c r="AA147" s="12" t="str">
        <f>if(vlookup(B:B,'VDI208'!B82:F8589,5,false)="","Y","N")</f>
        <v>Y</v>
      </c>
      <c r="AB147" s="76" t="str">
        <f>if(vlookup(B:B,'STO2206'!B82:F8589,5,false)="","Y","N")</f>
        <v>Y</v>
      </c>
    </row>
    <row r="148" hidden="1">
      <c r="A148" s="67" t="str">
        <f t="shared" si="2"/>
        <v>Wed</v>
      </c>
      <c r="B148" s="69">
        <v>43593.0</v>
      </c>
      <c r="C148" s="12"/>
      <c r="D148" s="12"/>
      <c r="E148" s="12"/>
      <c r="F148" s="12" t="str">
        <f>if(vlookup(B:B,'ILC1211'!$B151:F8590,5,false)="","Y","N")</f>
        <v>Y</v>
      </c>
      <c r="G148" s="12" t="str">
        <f>if(vlookup(B:B,'ILC1213'!$B78:G8590,5,false)="","Y","N")</f>
        <v>N</v>
      </c>
      <c r="H148" s="12" t="str">
        <f>if(vlookup(B:B,'ILC1314'!$B77:G890,5,false)="","Y","N")</f>
        <v>N</v>
      </c>
      <c r="I148" s="12" t="str">
        <f>if(vlookup(B:B,'ILC1404'!B151:F8313,5,false)="","Y","N")</f>
        <v>Y</v>
      </c>
      <c r="J148" s="12" t="str">
        <f>if(vlookup(B:B,'ILC2203'!B114:F8313,5,false)="","Y","N")</f>
        <v>Y</v>
      </c>
      <c r="K148" s="12" t="str">
        <f>if(vlookup(B:B,'ILC2206'!B99:H370,5,false)="","Y","N")</f>
        <v>Y</v>
      </c>
      <c r="L148" s="12" t="str">
        <f>if(vlookup(B:B,'ILC2303'!B151:F8590,5,false)="","Y","N")</f>
        <v>N</v>
      </c>
      <c r="M148" s="12" t="str">
        <f>if(vlookup(B:B,'ILC2307'!B151:F9106,5,false)="","Y","N")</f>
        <v>N</v>
      </c>
      <c r="N148" s="12" t="str">
        <f>if(vlookup(B:B,'ILC2313'!B151:F8745,5,false)="","Y","N")</f>
        <v>Y</v>
      </c>
      <c r="O148" s="12" t="str">
        <f>if(vlookup(B:B,'ILC2412'!B151:F8590,5,false)="","Y","N")</f>
        <v>Y</v>
      </c>
      <c r="P148" s="12" t="str">
        <f>if(vlookup(B:B,'ILC2413'!B151:F9088,5,false)="","Y","N")</f>
        <v>Y</v>
      </c>
      <c r="Q148" s="12" t="str">
        <f>if(vlookup(B:B,'ILC3104'!B151:F8633,5,false)="","Y","N")</f>
        <v>Y</v>
      </c>
      <c r="R148" s="12" t="str">
        <f>if(vlookup(B:B,'ILC3310'!B6:F8572,5,false)="","Y","N")</f>
        <v>Y</v>
      </c>
      <c r="S148" s="12" t="str">
        <f>if(vlookup(B:B,'ILC3312'!B151:F8590,5,false)="","Y","N")</f>
        <v>N</v>
      </c>
      <c r="T148" s="12" t="str">
        <f>if(vlookup(B:B,'ILC3413'!B120:F8515,5,false)="","Y","N")</f>
        <v>Y</v>
      </c>
      <c r="U148" s="12" t="str">
        <f>if(vlookup(B:B,'ILC3415'!B148:F8540,5,false)="","Y","N")</f>
        <v>N</v>
      </c>
      <c r="V148" s="12" t="str">
        <f>if(vlookup(B:B,'ILC4406'!B83:F8509,5,false)="","Y","N")</f>
        <v>Y</v>
      </c>
      <c r="W148" s="12" t="str">
        <f>if(vlookup(B:B,'ILC4410'!B151:F8757,5,false)="","Y","N")</f>
        <v>Y</v>
      </c>
      <c r="X148" s="12" t="str">
        <f>if(vlookup(B:B,'JBV455'!B151:F9097,5,false)="","Y","N")</f>
        <v>Y</v>
      </c>
      <c r="Y148" s="12" t="str">
        <f>if(vlookup(B:B,'JBV462'!B151:F8590,5,false)="","Y","N")</f>
        <v>N</v>
      </c>
      <c r="Z148" s="12" t="str">
        <f>if(vlookup(B:B,'JBV464'!B151:F8590,5,false)="","Y","N")</f>
        <v>N</v>
      </c>
      <c r="AA148" s="12" t="str">
        <f>if(vlookup(B:B,'VDI208'!B83:F8590,5,false)="","Y","N")</f>
        <v>Y</v>
      </c>
      <c r="AB148" s="76" t="str">
        <f>if(vlookup(B:B,'STO2206'!B83:F8590,5,false)="","Y","N")</f>
        <v>Y</v>
      </c>
    </row>
    <row r="149" hidden="1">
      <c r="A149" s="67" t="str">
        <f t="shared" si="2"/>
        <v>Thu</v>
      </c>
      <c r="B149" s="69">
        <v>43594.0</v>
      </c>
      <c r="C149" s="12"/>
      <c r="D149" s="12"/>
      <c r="E149" s="12"/>
      <c r="F149" s="12" t="str">
        <f>if(vlookup(B:B,'ILC1211'!$B152:F8591,5,false)="","Y","N")</f>
        <v>Y</v>
      </c>
      <c r="G149" s="12" t="str">
        <f>if(vlookup(B:B,'ILC1213'!$B79:G8591,5,false)="","Y","N")</f>
        <v>N</v>
      </c>
      <c r="H149" s="12" t="str">
        <f>if(vlookup(B:B,'ILC1314'!$B78:G891,5,false)="","Y","N")</f>
        <v>N</v>
      </c>
      <c r="I149" s="12" t="str">
        <f>if(vlookup(B:B,'ILC1404'!B152:F8314,5,false)="","Y","N")</f>
        <v>N</v>
      </c>
      <c r="J149" s="12" t="str">
        <f>if(vlookup(B:B,'ILC2203'!B115:F8314,5,false)="","Y","N")</f>
        <v>Y</v>
      </c>
      <c r="K149" s="12" t="str">
        <f>if(vlookup(B:B,'ILC2206'!B100:H370,5,false)="","Y","N")</f>
        <v>Y</v>
      </c>
      <c r="L149" s="12" t="str">
        <f>if(vlookup(B:B,'ILC2303'!B152:F8591,5,false)="","Y","N")</f>
        <v>N</v>
      </c>
      <c r="M149" s="12" t="str">
        <f>if(vlookup(B:B,'ILC2307'!B152:F9107,5,false)="","Y","N")</f>
        <v>N</v>
      </c>
      <c r="N149" s="12" t="str">
        <f>if(vlookup(B:B,'ILC2313'!B152:F8746,5,false)="","Y","N")</f>
        <v>Y</v>
      </c>
      <c r="O149" s="12" t="str">
        <f>if(vlookup(B:B,'ILC2412'!B152:F8591,5,false)="","Y","N")</f>
        <v>Y</v>
      </c>
      <c r="P149" s="12" t="str">
        <f>if(vlookup(B:B,'ILC2413'!B152:F9089,5,false)="","Y","N")</f>
        <v>Y</v>
      </c>
      <c r="Q149" s="12" t="str">
        <f>if(vlookup(B:B,'ILC3104'!B152:F8634,5,false)="","Y","N")</f>
        <v>Y</v>
      </c>
      <c r="R149" s="12" t="str">
        <f>if(vlookup(B:B,'ILC3310'!B6:F8573,5,false)="","Y","N")</f>
        <v>Y</v>
      </c>
      <c r="S149" s="12" t="str">
        <f>if(vlookup(B:B,'ILC3312'!B152:F8591,5,false)="","Y","N")</f>
        <v>N</v>
      </c>
      <c r="T149" s="12" t="str">
        <f>if(vlookup(B:B,'ILC3413'!B121:F8516,5,false)="","Y","N")</f>
        <v>Y</v>
      </c>
      <c r="U149" s="12" t="str">
        <f>if(vlookup(B:B,'ILC3415'!B149:F8541,5,false)="","Y","N")</f>
        <v>Y</v>
      </c>
      <c r="V149" s="12" t="str">
        <f>if(vlookup(B:B,'ILC4406'!B84:F8510,5,false)="","Y","N")</f>
        <v>Y</v>
      </c>
      <c r="W149" s="12" t="str">
        <f>if(vlookup(B:B,'ILC4410'!B152:F8758,5,false)="","Y","N")</f>
        <v>N</v>
      </c>
      <c r="X149" s="12" t="str">
        <f>if(vlookup(B:B,'JBV455'!B152:F9098,5,false)="","Y","N")</f>
        <v>N</v>
      </c>
      <c r="Y149" s="12" t="str">
        <f>if(vlookup(B:B,'JBV462'!B152:F8591,5,false)="","Y","N")</f>
        <v>N</v>
      </c>
      <c r="Z149" s="12" t="str">
        <f>if(vlookup(B:B,'JBV464'!B152:F8591,5,false)="","Y","N")</f>
        <v>N</v>
      </c>
      <c r="AA149" s="12" t="str">
        <f>if(vlookup(B:B,'VDI208'!B84:F8591,5,false)="","Y","N")</f>
        <v>N</v>
      </c>
      <c r="AB149" s="76" t="str">
        <f>if(vlookup(B:B,'STO2206'!B84:F8591,5,false)="","Y","N")</f>
        <v>Y</v>
      </c>
    </row>
    <row r="150" ht="11.25" hidden="1" customHeight="1">
      <c r="A150" s="67" t="str">
        <f t="shared" si="2"/>
        <v>Fri</v>
      </c>
      <c r="B150" s="69">
        <v>43595.0</v>
      </c>
      <c r="C150" s="12"/>
      <c r="D150" s="12"/>
      <c r="E150" s="12"/>
      <c r="F150" s="12" t="str">
        <f>if(vlookup(B:B,'ILC1211'!$B153:F8592,5,false)="","Y","N")</f>
        <v>N</v>
      </c>
      <c r="G150" s="12" t="str">
        <f>if(vlookup(B:B,'ILC1213'!$B80:G8592,5,false)="","Y","N")</f>
        <v>N</v>
      </c>
      <c r="H150" s="12" t="str">
        <f>if(vlookup(B:B,'ILC1314'!$B79:G892,5,false)="","Y","N")</f>
        <v>N</v>
      </c>
      <c r="I150" s="12" t="str">
        <f>if(vlookup(B:B,'ILC1404'!B153:F8315,5,false)="","Y","N")</f>
        <v>N</v>
      </c>
      <c r="J150" s="12" t="str">
        <f>if(vlookup(B:B,'ILC2203'!B116:F8315,5,false)="","Y","N")</f>
        <v>Y</v>
      </c>
      <c r="K150" s="12" t="str">
        <f>if(vlookup(B:B,'ILC2206'!B101:H370,5,false)="","Y","N")</f>
        <v>N</v>
      </c>
      <c r="L150" s="12" t="str">
        <f>if(vlookup(B:B,'ILC2303'!B153:F8592,5,false)="","Y","N")</f>
        <v>N</v>
      </c>
      <c r="M150" s="12" t="str">
        <f>if(vlookup(B:B,'ILC2307'!B153:F9108,5,false)="","Y","N")</f>
        <v>N</v>
      </c>
      <c r="N150" s="12" t="str">
        <f>if(vlookup(B:B,'ILC2313'!B153:F8747,5,false)="","Y","N")</f>
        <v>N</v>
      </c>
      <c r="O150" s="12" t="str">
        <f>if(vlookup(B:B,'ILC2412'!B153:F8592,5,false)="","Y","N")</f>
        <v>Y</v>
      </c>
      <c r="P150" s="12" t="str">
        <f>if(vlookup(B:B,'ILC2413'!B153:F9090,5,false)="","Y","N")</f>
        <v>Y</v>
      </c>
      <c r="Q150" s="12" t="str">
        <f>if(vlookup(B:B,'ILC3104'!B153:F8635,5,false)="","Y","N")</f>
        <v>N</v>
      </c>
      <c r="R150" s="12" t="str">
        <f>if(vlookup(B:B,'ILC3310'!B6:F8574,5,false)="","Y","N")</f>
        <v>N</v>
      </c>
      <c r="S150" s="12" t="str">
        <f>if(vlookup(B:B,'ILC3312'!B153:F8592,5,false)="","Y","N")</f>
        <v>N</v>
      </c>
      <c r="T150" s="12" t="str">
        <f>if(vlookup(B:B,'ILC3413'!B122:F8517,5,false)="","Y","N")</f>
        <v>N</v>
      </c>
      <c r="U150" s="12" t="str">
        <f>if(vlookup(B:B,'ILC3415'!B150:F8542,5,false)="","Y","N")</f>
        <v>N</v>
      </c>
      <c r="V150" s="12" t="str">
        <f>if(vlookup(B:B,'ILC4406'!B85:F8511,5,false)="","Y","N")</f>
        <v>N</v>
      </c>
      <c r="W150" s="12" t="str">
        <f>if(vlookup(B:B,'ILC4410'!B153:F8759,5,false)="","Y","N")</f>
        <v>N</v>
      </c>
      <c r="X150" s="12" t="str">
        <f>if(vlookup(B:B,'JBV455'!B153:F9099,5,false)="","Y","N")</f>
        <v>N</v>
      </c>
      <c r="Y150" s="12" t="str">
        <f>if(vlookup(B:B,'JBV462'!B153:F8592,5,false)="","Y","N")</f>
        <v>N</v>
      </c>
      <c r="Z150" s="12" t="str">
        <f>if(vlookup(B:B,'JBV464'!B153:F8592,5,false)="","Y","N")</f>
        <v>N</v>
      </c>
      <c r="AA150" s="12" t="str">
        <f>if(vlookup(B:B,'VDI208'!B85:F8592,5,false)="","Y","N")</f>
        <v>N</v>
      </c>
      <c r="AB150" s="76" t="str">
        <f>if(vlookup(B:B,'STO2206'!B85:F8592,5,false)="","Y","N")</f>
        <v>Y</v>
      </c>
    </row>
    <row r="151" hidden="1">
      <c r="A151" s="67" t="str">
        <f t="shared" si="2"/>
        <v>Sat</v>
      </c>
      <c r="B151" s="69">
        <v>43596.0</v>
      </c>
      <c r="C151" s="12" t="str">
        <f>if(vlookup(B:B,'ILC1110'!$B16:F8593,5,false)="","Y","N")</f>
        <v>Y</v>
      </c>
      <c r="D151" s="12" t="str">
        <f>if(vlookup(B:B,'ILC1111'!$B16:F8600,5,false)="","Y","N")</f>
        <v>N</v>
      </c>
      <c r="E151" s="12" t="str">
        <f>if(vlookup(B:B,'ILC1112'!$B16:F8593,5,false)="","Y","N")</f>
        <v>Y</v>
      </c>
      <c r="F151" s="12" t="str">
        <f>if(vlookup(B:B,'ILC1211'!$B154:F8593,5,false)="","Y","N")</f>
        <v>N</v>
      </c>
      <c r="G151" s="12" t="str">
        <f>if(vlookup(B:B,'ILC1213'!$B81:G8593,5,false)="","Y","N")</f>
        <v>N</v>
      </c>
      <c r="H151" s="12" t="str">
        <f>if(vlookup(B:B,'ILC1314'!$B80:G893,5,false)="","Y","N")</f>
        <v>N</v>
      </c>
      <c r="I151" s="12" t="str">
        <f>if(vlookup(B:B,'ILC1404'!B154:F8316,5,false)="","Y","N")</f>
        <v>N</v>
      </c>
      <c r="J151" s="12" t="str">
        <f>if(vlookup(B:B,'ILC2203'!B117:F8316,5,false)="","Y","N")</f>
        <v>Y</v>
      </c>
      <c r="K151" s="12" t="str">
        <f>if(vlookup(B:B,'ILC2206'!B102:H370,5,false)="","Y","N")</f>
        <v>N</v>
      </c>
      <c r="L151" s="12" t="str">
        <f>if(vlookup(B:B,'ILC2303'!B154:F8593,5,false)="","Y","N")</f>
        <v>N</v>
      </c>
      <c r="M151" s="12" t="str">
        <f>if(vlookup(B:B,'ILC2307'!B154:F9109,5,false)="","Y","N")</f>
        <v>N</v>
      </c>
      <c r="N151" s="12" t="str">
        <f>if(vlookup(B:B,'ILC2313'!B154:F8748,5,false)="","Y","N")</f>
        <v>N</v>
      </c>
      <c r="O151" s="12" t="str">
        <f>if(vlookup(B:B,'ILC2412'!B154:F8593,5,false)="","Y","N")</f>
        <v>Y</v>
      </c>
      <c r="P151" s="12" t="str">
        <f>if(vlookup(B:B,'ILC2413'!B154:F9091,5,false)="","Y","N")</f>
        <v>Y</v>
      </c>
      <c r="Q151" s="12" t="str">
        <f>if(vlookup(B:B,'ILC3104'!B154:F8636,5,false)="","Y","N")</f>
        <v>N</v>
      </c>
      <c r="R151" s="12" t="str">
        <f>if(vlookup(B:B,'ILC3310'!B6:F8575,5,false)="","Y","N")</f>
        <v>N</v>
      </c>
      <c r="S151" s="12" t="str">
        <f>if(vlookup(B:B,'ILC3312'!B154:F8593,5,false)="","Y","N")</f>
        <v>Y</v>
      </c>
      <c r="T151" s="12" t="str">
        <f>if(vlookup(B:B,'ILC3413'!B123:F8518,5,false)="","Y","N")</f>
        <v>N</v>
      </c>
      <c r="U151" s="12" t="str">
        <f>if(vlookup(B:B,'ILC3415'!B151:F8543,5,false)="","Y","N")</f>
        <v>N</v>
      </c>
      <c r="V151" s="12" t="str">
        <f>if(vlookup(B:B,'ILC4406'!B86:F8512,5,false)="","Y","N")</f>
        <v>N</v>
      </c>
      <c r="W151" s="12" t="str">
        <f>if(vlookup(B:B,'ILC4410'!B154:F8760,5,false)="","Y","N")</f>
        <v>N</v>
      </c>
      <c r="X151" s="12" t="str">
        <f>if(vlookup(B:B,'JBV455'!B154:F9100,5,false)="","Y","N")</f>
        <v>N</v>
      </c>
      <c r="Y151" s="12" t="str">
        <f>if(vlookup(B:B,'JBV462'!B154:F8593,5,false)="","Y","N")</f>
        <v>N</v>
      </c>
      <c r="Z151" s="12" t="str">
        <f>if(vlookup(B:B,'JBV464'!B154:F8593,5,false)="","Y","N")</f>
        <v>N</v>
      </c>
      <c r="AA151" s="12" t="str">
        <f>if(vlookup(B:B,'VDI208'!B86:F8593,5,false)="","Y","N")</f>
        <v>N</v>
      </c>
      <c r="AB151" s="76" t="str">
        <f>if(vlookup(B:B,'STO2206'!B86:F8593,5,false)="","Y","N")</f>
        <v>Y</v>
      </c>
    </row>
    <row r="152" hidden="1">
      <c r="A152" s="67" t="str">
        <f t="shared" si="2"/>
        <v>Sun</v>
      </c>
      <c r="B152" s="69">
        <v>43597.0</v>
      </c>
      <c r="C152" s="12" t="str">
        <f>if(vlookup(B:B,'ILC1110'!$B17:F8594,5,false)="","Y","N")</f>
        <v>Y</v>
      </c>
      <c r="D152" s="12" t="str">
        <f>if(vlookup(B:B,'ILC1111'!$B17:F8601,5,false)="","Y","N")</f>
        <v>N</v>
      </c>
      <c r="E152" s="12" t="str">
        <f>if(vlookup(B:B,'ILC1112'!$B17:F8594,5,false)="","Y","N")</f>
        <v>Y</v>
      </c>
      <c r="F152" s="12" t="str">
        <f>if(vlookup(B:B,'ILC1211'!$B155:F8594,5,false)="","Y","N")</f>
        <v>Y</v>
      </c>
      <c r="G152" s="12" t="str">
        <f>if(vlookup(B:B,'ILC1213'!$B82:G8594,5,false)="","Y","N")</f>
        <v>N</v>
      </c>
      <c r="H152" s="12" t="str">
        <f>if(vlookup(B:B,'ILC1314'!$B81:G894,5,false)="","Y","N")</f>
        <v>N</v>
      </c>
      <c r="I152" s="12" t="str">
        <f>if(vlookup(B:B,'ILC1404'!B155:F8317,5,false)="","Y","N")</f>
        <v>Y</v>
      </c>
      <c r="J152" s="12" t="str">
        <f>if(vlookup(B:B,'ILC2203'!B118:F8317,5,false)="","Y","N")</f>
        <v>Y</v>
      </c>
      <c r="K152" s="12" t="str">
        <f>if(vlookup(B:B,'ILC2206'!B103:H370,5,false)="","Y","N")</f>
        <v>Y</v>
      </c>
      <c r="L152" s="12" t="str">
        <f>if(vlookup(B:B,'ILC2303'!B155:F8594,5,false)="","Y","N")</f>
        <v>N</v>
      </c>
      <c r="M152" s="12" t="str">
        <f>if(vlookup(B:B,'ILC2307'!B155:F9110,5,false)="","Y","N")</f>
        <v>N</v>
      </c>
      <c r="N152" s="12" t="str">
        <f>if(vlookup(B:B,'ILC2313'!B155:F8749,5,false)="","Y","N")</f>
        <v>Y</v>
      </c>
      <c r="O152" s="12" t="str">
        <f>if(vlookup(B:B,'ILC2412'!B155:F8594,5,false)="","Y","N")</f>
        <v>Y</v>
      </c>
      <c r="P152" s="12" t="str">
        <f>if(vlookup(B:B,'ILC2413'!B155:F9092,5,false)="","Y","N")</f>
        <v>Y</v>
      </c>
      <c r="Q152" s="12" t="str">
        <f>if(vlookup(B:B,'ILC3104'!B155:F8637,5,false)="","Y","N")</f>
        <v>Y</v>
      </c>
      <c r="R152" s="12" t="str">
        <f>if(vlookup(B:B,'ILC3310'!B6:F8576,5,false)="","Y","N")</f>
        <v>Y</v>
      </c>
      <c r="S152" s="12" t="str">
        <f>if(vlookup(B:B,'ILC3312'!B155:F8594,5,false)="","Y","N")</f>
        <v>Y</v>
      </c>
      <c r="T152" s="12" t="str">
        <f>if(vlookup(B:B,'ILC3413'!B124:F8519,5,false)="","Y","N")</f>
        <v>Y</v>
      </c>
      <c r="U152" s="12" t="str">
        <f>if(vlookup(B:B,'ILC3415'!B152:F8544,5,false)="","Y","N")</f>
        <v>Y</v>
      </c>
      <c r="V152" s="12" t="str">
        <f>if(vlookup(B:B,'ILC4406'!B87:F8513,5,false)="","Y","N")</f>
        <v>Y</v>
      </c>
      <c r="W152" s="12" t="str">
        <f>if(vlookup(B:B,'ILC4410'!B155:F8761,5,false)="","Y","N")</f>
        <v>N</v>
      </c>
      <c r="X152" s="12" t="str">
        <f>if(vlookup(B:B,'JBV455'!B155:F9101,5,false)="","Y","N")</f>
        <v>N</v>
      </c>
      <c r="Y152" s="12" t="str">
        <f>if(vlookup(B:B,'JBV462'!B155:F8594,5,false)="","Y","N")</f>
        <v>Y</v>
      </c>
      <c r="Z152" s="12" t="str">
        <f>if(vlookup(B:B,'JBV464'!B155:F8594,5,false)="","Y","N")</f>
        <v>Y</v>
      </c>
      <c r="AA152" s="12" t="str">
        <f>if(vlookup(B:B,'VDI208'!B87:F8594,5,false)="","Y","N")</f>
        <v>N</v>
      </c>
      <c r="AB152" s="76" t="str">
        <f>if(vlookup(B:B,'STO2206'!B87:F8594,5,false)="","Y","N")</f>
        <v>Y</v>
      </c>
    </row>
    <row r="153" hidden="1">
      <c r="A153" s="67" t="str">
        <f t="shared" si="2"/>
        <v>Mon</v>
      </c>
      <c r="B153" s="69">
        <v>43598.0</v>
      </c>
      <c r="C153" s="12" t="str">
        <f>if(vlookup(B:B,'ILC1110'!$B18:F8595,5,false)="","Y","N")</f>
        <v>Y</v>
      </c>
      <c r="D153" s="12" t="str">
        <f>if(vlookup(B:B,'ILC1111'!$B18:F8602,5,false)="","Y","N")</f>
        <v>N</v>
      </c>
      <c r="E153" s="12" t="str">
        <f>if(vlookup(B:B,'ILC1112'!$B18:F8595,5,false)="","Y","N")</f>
        <v>Y</v>
      </c>
      <c r="F153" s="12" t="str">
        <f>if(vlookup(B:B,'ILC1211'!$B156:F8595,5,false)="","Y","N")</f>
        <v>Y</v>
      </c>
      <c r="G153" s="12" t="str">
        <f>if(vlookup(B:B,'ILC1213'!$B83:G8595,5,false)="","Y","N")</f>
        <v>N</v>
      </c>
      <c r="H153" s="12" t="str">
        <f>if(vlookup(B:B,'ILC1314'!$B82:G895,5,false)="","Y","N")</f>
        <v>N</v>
      </c>
      <c r="I153" s="12" t="str">
        <f>if(vlookup(B:B,'ILC1404'!B156:F8318,5,false)="","Y","N")</f>
        <v>Y</v>
      </c>
      <c r="J153" s="12" t="str">
        <f>if(vlookup(B:B,'ILC2203'!B119:F8318,5,false)="","Y","N")</f>
        <v>Y</v>
      </c>
      <c r="K153" s="12" t="str">
        <f>if(vlookup(B:B,'ILC2206'!B104:H370,5,false)="","Y","N")</f>
        <v>Y</v>
      </c>
      <c r="L153" s="12" t="str">
        <f>if(vlookup(B:B,'ILC2303'!B156:F8595,5,false)="","Y","N")</f>
        <v>N</v>
      </c>
      <c r="M153" s="12" t="str">
        <f>if(vlookup(B:B,'ILC2307'!B156:F9111,5,false)="","Y","N")</f>
        <v>N</v>
      </c>
      <c r="N153" s="12" t="str">
        <f>if(vlookup(B:B,'ILC2313'!B156:F8750,5,false)="","Y","N")</f>
        <v>Y</v>
      </c>
      <c r="O153" s="12" t="str">
        <f>if(vlookup(B:B,'ILC2412'!B156:F8595,5,false)="","Y","N")</f>
        <v>Y</v>
      </c>
      <c r="P153" s="12" t="str">
        <f>if(vlookup(B:B,'ILC2413'!B156:F9093,5,false)="","Y","N")</f>
        <v>Y</v>
      </c>
      <c r="Q153" s="12" t="str">
        <f>if(vlookup(B:B,'ILC3104'!B156:F8638,5,false)="","Y","N")</f>
        <v>Y</v>
      </c>
      <c r="R153" s="12" t="str">
        <f>if(vlookup(B:B,'ILC3310'!B6:F8577,5,false)="","Y","N")</f>
        <v>Y</v>
      </c>
      <c r="S153" s="12" t="str">
        <f>if(vlookup(B:B,'ILC3312'!B156:F8595,5,false)="","Y","N")</f>
        <v>Y</v>
      </c>
      <c r="T153" s="12" t="str">
        <f>if(vlookup(B:B,'ILC3413'!B125:F8520,5,false)="","Y","N")</f>
        <v>Y</v>
      </c>
      <c r="U153" s="12" t="str">
        <f>if(vlookup(B:B,'ILC3415'!B153:F8545,5,false)="","Y","N")</f>
        <v>Y</v>
      </c>
      <c r="V153" s="12" t="str">
        <f>if(vlookup(B:B,'ILC4406'!B88:F8514,5,false)="","Y","N")</f>
        <v>Y</v>
      </c>
      <c r="W153" s="12" t="str">
        <f>if(vlookup(B:B,'ILC4410'!B156:F8762,5,false)="","Y","N")</f>
        <v>N</v>
      </c>
      <c r="X153" s="12" t="str">
        <f>if(vlookup(B:B,'JBV455'!B156:F9102,5,false)="","Y","N")</f>
        <v>N</v>
      </c>
      <c r="Y153" s="12" t="str">
        <f>if(vlookup(B:B,'JBV462'!B156:F8595,5,false)="","Y","N")</f>
        <v>N</v>
      </c>
      <c r="Z153" s="12" t="str">
        <f>if(vlookup(B:B,'JBV464'!B156:F8595,5,false)="","Y","N")</f>
        <v>N</v>
      </c>
      <c r="AA153" s="12" t="str">
        <f>if(vlookup(B:B,'VDI208'!B88:F8595,5,false)="","Y","N")</f>
        <v>N</v>
      </c>
      <c r="AB153" s="76" t="str">
        <f>if(vlookup(B:B,'STO2206'!B88:F8595,5,false)="","Y","N")</f>
        <v>Y</v>
      </c>
    </row>
    <row r="154" hidden="1">
      <c r="A154" s="67" t="str">
        <f t="shared" si="2"/>
        <v>Tue</v>
      </c>
      <c r="B154" s="69">
        <v>43599.0</v>
      </c>
      <c r="C154" s="12" t="str">
        <f>if(vlookup(B:B,'ILC1110'!$B19:F8596,5,false)="","Y","N")</f>
        <v>Y</v>
      </c>
      <c r="D154" s="12" t="str">
        <f>if(vlookup(B:B,'ILC1111'!$B19:F8603,5,false)="","Y","N")</f>
        <v>N</v>
      </c>
      <c r="E154" s="12" t="str">
        <f>if(vlookup(B:B,'ILC1112'!$B19:F8596,5,false)="","Y","N")</f>
        <v>Y</v>
      </c>
      <c r="F154" s="12" t="str">
        <f>if(vlookup(B:B,'ILC1211'!$B157:F8596,5,false)="","Y","N")</f>
        <v>N</v>
      </c>
      <c r="G154" s="12" t="str">
        <f>if(vlookup(B:B,'ILC1213'!$B84:G8596,5,false)="","Y","N")</f>
        <v>N</v>
      </c>
      <c r="H154" s="12" t="str">
        <f>if(vlookup(B:B,'ILC1314'!$B83:G896,5,false)="","Y","N")</f>
        <v>N</v>
      </c>
      <c r="I154" s="12" t="str">
        <f>if(vlookup(B:B,'ILC1404'!B157:F8319,5,false)="","Y","N")</f>
        <v>N</v>
      </c>
      <c r="J154" s="12" t="str">
        <f>if(vlookup(B:B,'ILC2203'!B120:F8319,5,false)="","Y","N")</f>
        <v>Y</v>
      </c>
      <c r="K154" s="12" t="str">
        <f>if(vlookup(B:B,'ILC2206'!B105:H370,5,false)="","Y","N")</f>
        <v>Y</v>
      </c>
      <c r="L154" s="12" t="str">
        <f>if(vlookup(B:B,'ILC2303'!B157:F8596,5,false)="","Y","N")</f>
        <v>N</v>
      </c>
      <c r="M154" s="12" t="str">
        <f>if(vlookup(B:B,'ILC2307'!B157:F9112,5,false)="","Y","N")</f>
        <v>N</v>
      </c>
      <c r="N154" s="12" t="str">
        <f>if(vlookup(B:B,'ILC2313'!B157:F8751,5,false)="","Y","N")</f>
        <v>Y</v>
      </c>
      <c r="O154" s="12" t="str">
        <f>if(vlookup(B:B,'ILC2412'!B157:F8596,5,false)="","Y","N")</f>
        <v>Y</v>
      </c>
      <c r="P154" s="12" t="str">
        <f>if(vlookup(B:B,'ILC2413'!B157:F9094,5,false)="","Y","N")</f>
        <v>Y</v>
      </c>
      <c r="Q154" s="12" t="str">
        <f>if(vlookup(B:B,'ILC3104'!B157:F8639,5,false)="","Y","N")</f>
        <v>Y</v>
      </c>
      <c r="R154" s="12" t="str">
        <f>if(vlookup(B:B,'ILC3310'!B6:F8578,5,false)="","Y","N")</f>
        <v>Y</v>
      </c>
      <c r="S154" s="12" t="str">
        <f>if(vlookup(B:B,'ILC3312'!B157:F8596,5,false)="","Y","N")</f>
        <v>Y</v>
      </c>
      <c r="T154" s="12" t="str">
        <f>if(vlookup(B:B,'ILC3413'!B126:F8521,5,false)="","Y","N")</f>
        <v>Y</v>
      </c>
      <c r="U154" s="12" t="str">
        <f>if(vlookup(B:B,'ILC3415'!B154:F8546,5,false)="","Y","N")</f>
        <v>Y</v>
      </c>
      <c r="V154" s="12" t="str">
        <f>if(vlookup(B:B,'ILC4406'!B89:F8515,5,false)="","Y","N")</f>
        <v>N</v>
      </c>
      <c r="W154" s="12" t="str">
        <f>if(vlookup(B:B,'ILC4410'!B157:F8763,5,false)="","Y","N")</f>
        <v>Y</v>
      </c>
      <c r="X154" s="12" t="str">
        <f>if(vlookup(B:B,'JBV455'!B157:F9103,5,false)="","Y","N")</f>
        <v>N</v>
      </c>
      <c r="Y154" s="12" t="str">
        <f>if(vlookup(B:B,'JBV462'!B157:F8596,5,false)="","Y","N")</f>
        <v>N</v>
      </c>
      <c r="Z154" s="12" t="str">
        <f>if(vlookup(B:B,'JBV464'!B157:F8596,5,false)="","Y","N")</f>
        <v>N</v>
      </c>
      <c r="AA154" s="12" t="str">
        <f>if(vlookup(B:B,'VDI208'!B89:F8596,5,false)="","Y","N")</f>
        <v>N</v>
      </c>
      <c r="AB154" s="76" t="str">
        <f>if(vlookup(B:B,'STO2206'!B89:F8596,5,false)="","Y","N")</f>
        <v>Y</v>
      </c>
    </row>
    <row r="155" hidden="1">
      <c r="A155" s="67" t="str">
        <f t="shared" si="2"/>
        <v>Wed</v>
      </c>
      <c r="B155" s="69">
        <v>43600.0</v>
      </c>
      <c r="C155" s="12" t="str">
        <f>if(vlookup(B:B,'ILC1110'!$B20:F8597,5,false)="","Y","N")</f>
        <v>Y</v>
      </c>
      <c r="D155" s="12" t="str">
        <f>if(vlookup(B:B,'ILC1111'!$B20:F8604,5,false)="","Y","N")</f>
        <v>N</v>
      </c>
      <c r="E155" s="12" t="str">
        <f>if(vlookup(B:B,'ILC1112'!$B20:F8597,5,false)="","Y","N")</f>
        <v>Y</v>
      </c>
      <c r="F155" s="12" t="str">
        <f>if(vlookup(B:B,'ILC1211'!$B158:F8597,5,false)="","Y","N")</f>
        <v>N</v>
      </c>
      <c r="G155" s="12" t="str">
        <f>if(vlookup(B:B,'ILC1213'!$B85:G8597,5,false)="","Y","N")</f>
        <v>N</v>
      </c>
      <c r="H155" s="12" t="str">
        <f>if(vlookup(B:B,'ILC1314'!$B84:G897,5,false)="","Y","N")</f>
        <v>N</v>
      </c>
      <c r="I155" s="12" t="str">
        <f>if(vlookup(B:B,'ILC1404'!B158:F8320,5,false)="","Y","N")</f>
        <v>N</v>
      </c>
      <c r="J155" s="12" t="str">
        <f>if(vlookup(B:B,'ILC2203'!B121:F8320,5,false)="","Y","N")</f>
        <v>Y</v>
      </c>
      <c r="K155" s="12" t="str">
        <f>if(vlookup(B:B,'ILC2206'!B106:H370,5,false)="","Y","N")</f>
        <v>Y</v>
      </c>
      <c r="L155" s="12" t="str">
        <f>if(vlookup(B:B,'ILC2303'!B158:F8597,5,false)="","Y","N")</f>
        <v>N</v>
      </c>
      <c r="M155" s="12" t="str">
        <f>if(vlookup(B:B,'ILC2307'!B158:F9113,5,false)="","Y","N")</f>
        <v>N</v>
      </c>
      <c r="N155" s="12" t="str">
        <f>if(vlookup(B:B,'ILC2313'!B158:F8752,5,false)="","Y","N")</f>
        <v>Y</v>
      </c>
      <c r="O155" s="12" t="str">
        <f>if(vlookup(B:B,'ILC2412'!B158:F8597,5,false)="","Y","N")</f>
        <v>Y</v>
      </c>
      <c r="P155" s="12" t="str">
        <f>if(vlookup(B:B,'ILC2413'!B158:F9095,5,false)="","Y","N")</f>
        <v>Y</v>
      </c>
      <c r="Q155" s="12" t="str">
        <f>if(vlookup(B:B,'ILC3104'!B158:F8640,5,false)="","Y","N")</f>
        <v>Y</v>
      </c>
      <c r="R155" s="12" t="str">
        <f>if(vlookup(B:B,'ILC3310'!B6:F8579,5,false)="","Y","N")</f>
        <v>Y</v>
      </c>
      <c r="S155" s="12" t="str">
        <f>if(vlookup(B:B,'ILC3312'!B158:F8597,5,false)="","Y","N")</f>
        <v>Y</v>
      </c>
      <c r="T155" s="12" t="str">
        <f>if(vlookup(B:B,'ILC3413'!B127:F8522,5,false)="","Y","N")</f>
        <v>Y</v>
      </c>
      <c r="U155" s="12" t="str">
        <f>if(vlookup(B:B,'ILC3415'!B155:F8547,5,false)="","Y","N")</f>
        <v>Y</v>
      </c>
      <c r="V155" s="12" t="str">
        <f>if(vlookup(B:B,'ILC4406'!B90:F8516,5,false)="","Y","N")</f>
        <v>N</v>
      </c>
      <c r="W155" s="12" t="str">
        <f>if(vlookup(B:B,'ILC4410'!B158:F8764,5,false)="","Y","N")</f>
        <v>Y</v>
      </c>
      <c r="X155" s="12" t="str">
        <f>if(vlookup(B:B,'JBV455'!B158:F9104,5,false)="","Y","N")</f>
        <v>N</v>
      </c>
      <c r="Y155" s="12" t="str">
        <f>if(vlookup(B:B,'JBV462'!B158:F8597,5,false)="","Y","N")</f>
        <v>N</v>
      </c>
      <c r="Z155" s="12" t="str">
        <f>if(vlookup(B:B,'JBV464'!B158:F8597,5,false)="","Y","N")</f>
        <v>Y</v>
      </c>
      <c r="AA155" s="12" t="str">
        <f>if(vlookup(B:B,'VDI208'!B90:F8597,5,false)="","Y","N")</f>
        <v>N</v>
      </c>
      <c r="AB155" s="76" t="str">
        <f>if(vlookup(B:B,'STO2206'!B90:F8597,5,false)="","Y","N")</f>
        <v>Y</v>
      </c>
    </row>
    <row r="156" hidden="1">
      <c r="A156" s="67" t="str">
        <f t="shared" si="2"/>
        <v>Thu</v>
      </c>
      <c r="B156" s="69">
        <v>43601.0</v>
      </c>
      <c r="C156" s="12" t="str">
        <f>if(vlookup(B:B,'ILC1110'!$B21:F8598,5,false)="","Y","N")</f>
        <v>Y</v>
      </c>
      <c r="D156" s="12" t="str">
        <f>if(vlookup(B:B,'ILC1111'!$B21:F8605,5,false)="","Y","N")</f>
        <v>N</v>
      </c>
      <c r="E156" s="12" t="str">
        <f>if(vlookup(B:B,'ILC1112'!$B21:F8598,5,false)="","Y","N")</f>
        <v>Y</v>
      </c>
      <c r="F156" s="12" t="str">
        <f>if(vlookup(B:B,'ILC1211'!$B159:F8598,5,false)="","Y","N")</f>
        <v>Y</v>
      </c>
      <c r="G156" s="12" t="str">
        <f>if(vlookup(B:B,'ILC1213'!$B86:G8598,5,false)="","Y","N")</f>
        <v>N</v>
      </c>
      <c r="H156" s="12" t="str">
        <f>if(vlookup(B:B,'ILC1314'!$B85:G898,5,false)="","Y","N")</f>
        <v>N</v>
      </c>
      <c r="I156" s="12" t="str">
        <f>if(vlookup(B:B,'ILC1404'!B159:F8321,5,false)="","Y","N")</f>
        <v>Y</v>
      </c>
      <c r="J156" s="12" t="str">
        <f>if(vlookup(B:B,'ILC2203'!B122:F8321,5,false)="","Y","N")</f>
        <v>Y</v>
      </c>
      <c r="K156" s="12" t="str">
        <f>if(vlookup(B:B,'ILC2206'!B107:H370,5,false)="","Y","N")</f>
        <v>Y</v>
      </c>
      <c r="L156" s="12" t="str">
        <f>if(vlookup(B:B,'ILC2303'!B159:F8598,5,false)="","Y","N")</f>
        <v>N</v>
      </c>
      <c r="M156" s="12" t="str">
        <f>if(vlookup(B:B,'ILC2307'!B159:F9114,5,false)="","Y","N")</f>
        <v>N</v>
      </c>
      <c r="N156" s="12" t="str">
        <f>if(vlookup(B:B,'ILC2313'!B159:F8753,5,false)="","Y","N")</f>
        <v>Y</v>
      </c>
      <c r="O156" s="12" t="str">
        <f>if(vlookup(B:B,'ILC2412'!B159:F8598,5,false)="","Y","N")</f>
        <v>N</v>
      </c>
      <c r="P156" s="12" t="str">
        <f>if(vlookup(B:B,'ILC2413'!B159:F9096,5,false)="","Y","N")</f>
        <v>Y</v>
      </c>
      <c r="Q156" s="12" t="str">
        <f>if(vlookup(B:B,'ILC3104'!B159:F8641,5,false)="","Y","N")</f>
        <v>N</v>
      </c>
      <c r="R156" s="12" t="str">
        <f>if(vlookup(B:B,'ILC3310'!B6:F8580,5,false)="","Y","N")</f>
        <v>N</v>
      </c>
      <c r="S156" s="12" t="str">
        <f>if(vlookup(B:B,'ILC3312'!B159:F8598,5,false)="","Y","N")</f>
        <v>Y</v>
      </c>
      <c r="T156" s="12" t="str">
        <f>if(vlookup(B:B,'ILC3413'!B128:F8523,5,false)="","Y","N")</f>
        <v>Y</v>
      </c>
      <c r="U156" s="12" t="str">
        <f>if(vlookup(B:B,'ILC3415'!B156:F8548,5,false)="","Y","N")</f>
        <v>Y</v>
      </c>
      <c r="V156" s="12" t="str">
        <f>if(vlookup(B:B,'ILC4406'!B91:F8517,5,false)="","Y","N")</f>
        <v>N</v>
      </c>
      <c r="W156" s="12" t="str">
        <f>if(vlookup(B:B,'ILC4410'!B159:F8765,5,false)="","Y","N")</f>
        <v>Y</v>
      </c>
      <c r="X156" s="12" t="str">
        <f>if(vlookup(B:B,'JBV455'!B159:F9105,5,false)="","Y","N")</f>
        <v>N</v>
      </c>
      <c r="Y156" s="12" t="str">
        <f>if(vlookup(B:B,'JBV462'!B159:F8598,5,false)="","Y","N")</f>
        <v>N</v>
      </c>
      <c r="Z156" s="12" t="str">
        <f>if(vlookup(B:B,'JBV464'!B159:F8598,5,false)="","Y","N")</f>
        <v>Y</v>
      </c>
      <c r="AA156" s="12" t="str">
        <f>if(vlookup(B:B,'VDI208'!B91:F8598,5,false)="","Y","N")</f>
        <v>N</v>
      </c>
      <c r="AB156" s="76" t="str">
        <f>if(vlookup(B:B,'STO2206'!B91:F8598,5,false)="","Y","N")</f>
        <v>Y</v>
      </c>
    </row>
    <row r="157" hidden="1">
      <c r="A157" s="67" t="str">
        <f t="shared" si="2"/>
        <v>Fri</v>
      </c>
      <c r="B157" s="69">
        <v>43602.0</v>
      </c>
      <c r="C157" s="12" t="str">
        <f>if(vlookup(B:B,'ILC1110'!$B22:F8599,5,false)="","Y","N")</f>
        <v>Y</v>
      </c>
      <c r="D157" s="12" t="str">
        <f>if(vlookup(B:B,'ILC1111'!$B22:F8606,5,false)="","Y","N")</f>
        <v>N</v>
      </c>
      <c r="E157" s="12" t="str">
        <f>if(vlookup(B:B,'ILC1112'!$B22:F8599,5,false)="","Y","N")</f>
        <v>Y</v>
      </c>
      <c r="F157" s="12" t="str">
        <f>if(vlookup(B:B,'ILC1211'!$B160:F8599,5,false)="","Y","N")</f>
        <v>Y</v>
      </c>
      <c r="G157" s="12" t="str">
        <f>if(vlookup(B:B,'ILC1213'!$B87:G8599,5,false)="","Y","N")</f>
        <v>N</v>
      </c>
      <c r="H157" s="12" t="str">
        <f>if(vlookup(B:B,'ILC1314'!$B86:G899,5,false)="","Y","N")</f>
        <v>N</v>
      </c>
      <c r="I157" s="12" t="str">
        <f>if(vlookup(B:B,'ILC1404'!B160:F8322,5,false)="","Y","N")</f>
        <v>N</v>
      </c>
      <c r="J157" s="12" t="str">
        <f>if(vlookup(B:B,'ILC2203'!B123:F8322,5,false)="","Y","N")</f>
        <v>Y</v>
      </c>
      <c r="K157" s="12" t="str">
        <f>if(vlookup(B:B,'ILC2206'!B108:H370,5,false)="","Y","N")</f>
        <v>Y</v>
      </c>
      <c r="L157" s="12" t="str">
        <f>if(vlookup(B:B,'ILC2303'!B160:F8599,5,false)="","Y","N")</f>
        <v>N</v>
      </c>
      <c r="M157" s="12" t="str">
        <f>if(vlookup(B:B,'ILC2307'!B160:F9115,5,false)="","Y","N")</f>
        <v>N</v>
      </c>
      <c r="N157" s="12" t="str">
        <f>if(vlookup(B:B,'ILC2313'!B160:F8754,5,false)="","Y","N")</f>
        <v>N</v>
      </c>
      <c r="O157" s="12" t="str">
        <f>if(vlookup(B:B,'ILC2412'!B160:F8599,5,false)="","Y","N")</f>
        <v>N</v>
      </c>
      <c r="P157" s="12" t="str">
        <f>if(vlookup(B:B,'ILC2413'!B160:F9097,5,false)="","Y","N")</f>
        <v>Y</v>
      </c>
      <c r="Q157" s="12" t="str">
        <f>if(vlookup(B:B,'ILC3104'!B160:F8642,5,false)="","Y","N")</f>
        <v>N</v>
      </c>
      <c r="R157" s="12" t="str">
        <f>if(vlookup(B:B,'ILC3310'!B6:F8581,5,false)="","Y","N")</f>
        <v>N</v>
      </c>
      <c r="S157" s="12" t="str">
        <f>if(vlookup(B:B,'ILC3312'!B160:F8599,5,false)="","Y","N")</f>
        <v>N</v>
      </c>
      <c r="T157" s="12" t="str">
        <f>if(vlookup(B:B,'ILC3413'!B129:F8524,5,false)="","Y","N")</f>
        <v>Y</v>
      </c>
      <c r="U157" s="12" t="str">
        <f>if(vlookup(B:B,'ILC3415'!B157:F8549,5,false)="","Y","N")</f>
        <v>Y</v>
      </c>
      <c r="V157" s="12" t="str">
        <f>if(vlookup(B:B,'ILC4406'!B92:F8518,5,false)="","Y","N")</f>
        <v>N</v>
      </c>
      <c r="W157" s="12" t="str">
        <f>if(vlookup(B:B,'ILC4410'!B160:F8766,5,false)="","Y","N")</f>
        <v>N</v>
      </c>
      <c r="X157" s="12" t="str">
        <f>if(vlookup(B:B,'JBV455'!B160:F9106,5,false)="","Y","N")</f>
        <v>N</v>
      </c>
      <c r="Y157" s="12" t="str">
        <f>if(vlookup(B:B,'JBV462'!B160:F8599,5,false)="","Y","N")</f>
        <v>N</v>
      </c>
      <c r="Z157" s="12" t="str">
        <f>if(vlookup(B:B,'JBV464'!B160:F8599,5,false)="","Y","N")</f>
        <v>N</v>
      </c>
      <c r="AA157" s="12" t="str">
        <f>if(vlookup(B:B,'VDI208'!B92:F8599,5,false)="","Y","N")</f>
        <v>N</v>
      </c>
      <c r="AB157" s="76" t="str">
        <f>if(vlookup(B:B,'STO2206'!B92:F8599,5,false)="","Y","N")</f>
        <v>Y</v>
      </c>
    </row>
    <row r="158" hidden="1">
      <c r="A158" s="67" t="str">
        <f t="shared" si="2"/>
        <v>Sat</v>
      </c>
      <c r="B158" s="69">
        <v>43603.0</v>
      </c>
      <c r="C158" s="12" t="str">
        <f>if(vlookup(B:B,'ILC1110'!$B23:F8600,5,false)="","Y","N")</f>
        <v>Y</v>
      </c>
      <c r="D158" s="12" t="str">
        <f>if(vlookup(B:B,'ILC1111'!$B23:F8607,5,false)="","Y","N")</f>
        <v>N</v>
      </c>
      <c r="E158" s="12" t="str">
        <f>if(vlookup(B:B,'ILC1112'!$B23:F8600,5,false)="","Y","N")</f>
        <v>N</v>
      </c>
      <c r="F158" s="12" t="str">
        <f>if(vlookup(B:B,'ILC1211'!$B161:F8600,5,false)="","Y","N")</f>
        <v>N</v>
      </c>
      <c r="G158" s="12" t="str">
        <f>if(vlookup(B:B,'ILC1213'!$B88:G8600,5,false)="","Y","N")</f>
        <v>N</v>
      </c>
      <c r="H158" s="12" t="str">
        <f>if(vlookup(B:B,'ILC1314'!$B87:G900,5,false)="","Y","N")</f>
        <v>N</v>
      </c>
      <c r="I158" s="12" t="str">
        <f>if(vlookup(B:B,'ILC1404'!B161:F8323,5,false)="","Y","N")</f>
        <v>N</v>
      </c>
      <c r="J158" s="12" t="str">
        <f>if(vlookup(B:B,'ILC2203'!B124:F8323,5,false)="","Y","N")</f>
        <v>N</v>
      </c>
      <c r="K158" s="12" t="str">
        <f>if(vlookup(B:B,'ILC2206'!B109:H370,5,false)="","Y","N")</f>
        <v>N</v>
      </c>
      <c r="L158" s="12" t="str">
        <f>if(vlookup(B:B,'ILC2303'!B161:F8600,5,false)="","Y","N")</f>
        <v>N</v>
      </c>
      <c r="M158" s="12" t="str">
        <f>if(vlookup(B:B,'ILC2307'!B161:F9116,5,false)="","Y","N")</f>
        <v>N</v>
      </c>
      <c r="N158" s="12" t="str">
        <f>if(vlookup(B:B,'ILC2313'!B161:F8755,5,false)="","Y","N")</f>
        <v>N</v>
      </c>
      <c r="O158" s="12" t="str">
        <f>if(vlookup(B:B,'ILC2412'!B161:F8600,5,false)="","Y","N")</f>
        <v>N</v>
      </c>
      <c r="P158" s="12" t="str">
        <f>if(vlookup(B:B,'ILC2413'!B161:F9098,5,false)="","Y","N")</f>
        <v>Y</v>
      </c>
      <c r="Q158" s="12" t="str">
        <f>if(vlookup(B:B,'ILC3104'!B161:F8643,5,false)="","Y","N")</f>
        <v>N</v>
      </c>
      <c r="R158" s="12" t="str">
        <f>if(vlookup(B:B,'ILC3310'!B6:F8582,5,false)="","Y","N")</f>
        <v>N</v>
      </c>
      <c r="S158" s="12" t="str">
        <f>if(vlookup(B:B,'ILC3312'!B161:F8600,5,false)="","Y","N")</f>
        <v>N</v>
      </c>
      <c r="T158" s="12" t="str">
        <f>if(vlookup(B:B,'ILC3413'!B130:F8525,5,false)="","Y","N")</f>
        <v>N</v>
      </c>
      <c r="U158" s="12" t="str">
        <f>if(vlookup(B:B,'ILC3415'!B158:F8550,5,false)="","Y","N")</f>
        <v>N</v>
      </c>
      <c r="V158" s="12" t="str">
        <f>if(vlookup(B:B,'ILC4406'!B93:F8519,5,false)="","Y","N")</f>
        <v>N</v>
      </c>
      <c r="W158" s="12" t="str">
        <f>if(vlookup(B:B,'ILC4410'!B161:F8767,5,false)="","Y","N")</f>
        <v>N</v>
      </c>
      <c r="X158" s="12" t="str">
        <f>if(vlookup(B:B,'JBV455'!B161:F9107,5,false)="","Y","N")</f>
        <v>N</v>
      </c>
      <c r="Y158" s="12" t="str">
        <f>if(vlookup(B:B,'JBV462'!B161:F8600,5,false)="","Y","N")</f>
        <v>N</v>
      </c>
      <c r="Z158" s="12" t="str">
        <f>if(vlookup(B:B,'JBV464'!B161:F8600,5,false)="","Y","N")</f>
        <v>N</v>
      </c>
      <c r="AA158" s="12" t="str">
        <f>if(vlookup(B:B,'VDI208'!B93:F8600,5,false)="","Y","N")</f>
        <v>N</v>
      </c>
      <c r="AB158" s="76" t="str">
        <f>if(vlookup(B:B,'STO2206'!B93:F8600,5,false)="","Y","N")</f>
        <v>Y</v>
      </c>
    </row>
    <row r="159" hidden="1">
      <c r="A159" s="67" t="str">
        <f t="shared" si="2"/>
        <v>Sun</v>
      </c>
      <c r="B159" s="69">
        <v>43604.0</v>
      </c>
      <c r="C159" s="12" t="str">
        <f>if(vlookup(B:B,'ILC1110'!$B24:F8601,5,false)="","Y","N")</f>
        <v>Y</v>
      </c>
      <c r="D159" s="12" t="str">
        <f>if(vlookup(B:B,'ILC1111'!$B24:F8608,5,false)="","Y","N")</f>
        <v>N</v>
      </c>
      <c r="E159" s="12" t="str">
        <f>if(vlookup(B:B,'ILC1112'!$B24:F8601,5,false)="","Y","N")</f>
        <v>N</v>
      </c>
      <c r="F159" s="12" t="str">
        <f>if(vlookup(B:B,'ILC1211'!$B162:F8601,5,false)="","Y","N")</f>
        <v>N</v>
      </c>
      <c r="G159" s="12" t="str">
        <f>if(vlookup(B:B,'ILC1213'!$B89:G8601,5,false)="","Y","N")</f>
        <v>N</v>
      </c>
      <c r="H159" s="12" t="str">
        <f>if(vlookup(B:B,'ILC1314'!$B88:G901,5,false)="","Y","N")</f>
        <v>N</v>
      </c>
      <c r="I159" s="12" t="str">
        <f>if(vlookup(B:B,'ILC1404'!B162:F8324,5,false)="","Y","N")</f>
        <v>N</v>
      </c>
      <c r="J159" s="12" t="str">
        <f>if(vlookup(B:B,'ILC2203'!B125:F8324,5,false)="","Y","N")</f>
        <v>N</v>
      </c>
      <c r="K159" s="12" t="str">
        <f>if(vlookup(B:B,'ILC2206'!B110:H370,5,false)="","Y","N")</f>
        <v>N</v>
      </c>
      <c r="L159" s="12" t="str">
        <f>if(vlookup(B:B,'ILC2303'!B162:F8601,5,false)="","Y","N")</f>
        <v>N</v>
      </c>
      <c r="M159" s="12" t="str">
        <f>if(vlookup(B:B,'ILC2307'!B162:F9117,5,false)="","Y","N")</f>
        <v>N</v>
      </c>
      <c r="N159" s="12" t="str">
        <f>if(vlookup(B:B,'ILC2313'!B162:F8756,5,false)="","Y","N")</f>
        <v>N</v>
      </c>
      <c r="O159" s="12" t="str">
        <f>if(vlookup(B:B,'ILC2412'!B162:F8601,5,false)="","Y","N")</f>
        <v>Y</v>
      </c>
      <c r="P159" s="12" t="str">
        <f>if(vlookup(B:B,'ILC2413'!B162:F9099,5,false)="","Y","N")</f>
        <v>Y</v>
      </c>
      <c r="Q159" s="12" t="str">
        <f>if(vlookup(B:B,'ILC3104'!B162:F8644,5,false)="","Y","N")</f>
        <v>Y</v>
      </c>
      <c r="R159" s="12" t="str">
        <f>if(vlookup(B:B,'ILC3310'!B6:F8583,5,false)="","Y","N")</f>
        <v>N</v>
      </c>
      <c r="S159" s="12" t="str">
        <f>if(vlookup(B:B,'ILC3312'!B162:F8601,5,false)="","Y","N")</f>
        <v>Y</v>
      </c>
      <c r="T159" s="12" t="str">
        <f>if(vlookup(B:B,'ILC3413'!B131:F8526,5,false)="","Y","N")</f>
        <v>N</v>
      </c>
      <c r="U159" s="12" t="str">
        <f>if(vlookup(B:B,'ILC3415'!B159:F8551,5,false)="","Y","N")</f>
        <v>N</v>
      </c>
      <c r="V159" s="12" t="str">
        <f>if(vlookup(B:B,'ILC4406'!B94:F8520,5,false)="","Y","N")</f>
        <v>N</v>
      </c>
      <c r="W159" s="12" t="str">
        <f>if(vlookup(B:B,'ILC4410'!B162:F8768,5,false)="","Y","N")</f>
        <v>Y</v>
      </c>
      <c r="X159" s="12" t="str">
        <f>if(vlookup(B:B,'JBV455'!B162:F9108,5,false)="","Y","N")</f>
        <v>Y</v>
      </c>
      <c r="Y159" s="12" t="str">
        <f>if(vlookup(B:B,'JBV462'!B162:F8601,5,false)="","Y","N")</f>
        <v>N</v>
      </c>
      <c r="Z159" s="12" t="str">
        <f>if(vlookup(B:B,'JBV464'!B162:F8601,5,false)="","Y","N")</f>
        <v>N</v>
      </c>
      <c r="AA159" s="12" t="str">
        <f>if(vlookup(B:B,'VDI208'!B94:F8601,5,false)="","Y","N")</f>
        <v>N</v>
      </c>
      <c r="AB159" s="76" t="str">
        <f>if(vlookup(B:B,'STO2206'!B94:F8601,5,false)="","Y","N")</f>
        <v>Y</v>
      </c>
    </row>
    <row r="160">
      <c r="A160" s="67" t="str">
        <f t="shared" si="2"/>
        <v>Mon</v>
      </c>
      <c r="B160" s="69">
        <v>43605.0</v>
      </c>
      <c r="C160" s="12" t="str">
        <f>if(vlookup(B:B,'ILC1110'!$B25:F8602,5,false)="","Y","N")</f>
        <v>Y</v>
      </c>
      <c r="D160" s="12" t="str">
        <f>if(vlookup(B:B,'ILC1111'!$B25:F8609,5,false)="","Y","N")</f>
        <v>N</v>
      </c>
      <c r="E160" s="12" t="str">
        <f>if(vlookup(B:B,'ILC1112'!$B25:F8602,5,false)="","Y","N")</f>
        <v>Y</v>
      </c>
      <c r="F160" s="12" t="str">
        <f>if(vlookup(B:B,'ILC1211'!$B163:F8602,5,false)="","Y","N")</f>
        <v>N</v>
      </c>
      <c r="G160" s="12" t="str">
        <f>if(vlookup(B:B,'ILC1213'!$B90:G8602,5,false)="","Y","N")</f>
        <v>N</v>
      </c>
      <c r="H160" s="12" t="str">
        <f>if(vlookup(B:B,'ILC1314'!$B89:G902,5,false)="","Y","N")</f>
        <v>N</v>
      </c>
      <c r="I160" s="12" t="str">
        <f>if(vlookup(B:B,'ILC1404'!B163:F8325,5,false)="","Y","N")</f>
        <v>Y</v>
      </c>
      <c r="J160" s="12" t="str">
        <f>if(vlookup(B:B,'ILC2203'!B126:F8325,5,false)="","Y","N")</f>
        <v>Y</v>
      </c>
      <c r="K160" s="12" t="str">
        <f>if(vlookup(B:B,'ILC2206'!B111:H370,5,false)="","Y","N")</f>
        <v>N</v>
      </c>
      <c r="L160" s="12" t="str">
        <f>if(vlookup(B:B,'ILC2303'!B163:F8602,5,false)="","Y","N")</f>
        <v>N</v>
      </c>
      <c r="M160" s="12" t="str">
        <f>if(vlookup(B:B,'ILC2307'!B163:F9118,5,false)="","Y","N")</f>
        <v>N</v>
      </c>
      <c r="N160" s="12" t="str">
        <f>if(vlookup(B:B,'ILC2313'!B163:F8757,5,false)="","Y","N")</f>
        <v>Y</v>
      </c>
      <c r="O160" s="12" t="str">
        <f>if(vlookup(B:B,'ILC2412'!B163:F8602,5,false)="","Y","N")</f>
        <v>Y</v>
      </c>
      <c r="P160" s="12" t="str">
        <f>if(vlookup(B:B,'ILC2413'!B163:F9100,5,false)="","Y","N")</f>
        <v>Y</v>
      </c>
      <c r="Q160" s="12" t="str">
        <f>if(vlookup(B:B,'ILC3104'!B163:F8645,5,false)="","Y","N")</f>
        <v>Y</v>
      </c>
      <c r="R160" s="12" t="str">
        <f>if(vlookup(B:B,'ILC3310'!B6:F8584,5,false)="","Y","N")</f>
        <v>N</v>
      </c>
      <c r="S160" s="12" t="str">
        <f>if(vlookup(B:B,'ILC3312'!B163:F8602,5,false)="","Y","N")</f>
        <v>Y</v>
      </c>
      <c r="T160" s="12" t="str">
        <f>if(vlookup(B:B,'ILC3413'!B132:F8527,5,false)="","Y","N")</f>
        <v>Y</v>
      </c>
      <c r="U160" s="12" t="str">
        <f>if(vlookup(B:B,'ILC3415'!B160:F8552,5,false)="","Y","N")</f>
        <v>Y</v>
      </c>
      <c r="V160" s="12" t="str">
        <f>if(vlookup(B:B,'ILC4406'!B95:F8521,5,false)="","Y","N")</f>
        <v>Y</v>
      </c>
      <c r="W160" s="12" t="str">
        <f>if(vlookup(B:B,'ILC4410'!B163:F8769,5,false)="","Y","N")</f>
        <v>Y</v>
      </c>
      <c r="X160" s="12" t="str">
        <f>if(vlookup(B:B,'JBV455'!B163:F9109,5,false)="","Y","N")</f>
        <v>Y</v>
      </c>
      <c r="Y160" s="12" t="str">
        <f>if(vlookup(B:B,'JBV462'!B163:F8602,5,false)="","Y","N")</f>
        <v>N</v>
      </c>
      <c r="Z160" s="12" t="str">
        <f>if(vlookup(B:B,'JBV464'!B163:F8602,5,false)="","Y","N")</f>
        <v>N</v>
      </c>
      <c r="AA160" s="12" t="str">
        <f>if(vlookup(B:B,'VDI208'!B95:F8602,5,false)="","Y","N")</f>
        <v>N</v>
      </c>
      <c r="AB160" s="76" t="str">
        <f>if(vlookup(B:B,'STO2206'!B95:F8602,5,false)="","Y","N")</f>
        <v>Y</v>
      </c>
    </row>
    <row r="161">
      <c r="A161" s="67" t="str">
        <f t="shared" si="2"/>
        <v>Tue</v>
      </c>
      <c r="B161" s="69">
        <v>43606.0</v>
      </c>
      <c r="C161" s="12" t="str">
        <f>if(vlookup(B:B,'ILC1110'!$B26:F8603,5,false)="","Y","N")</f>
        <v>Y</v>
      </c>
      <c r="D161" s="12" t="str">
        <f>if(vlookup(B:B,'ILC1111'!$B26:F8610,5,false)="","Y","N")</f>
        <v>N</v>
      </c>
      <c r="E161" s="12" t="str">
        <f>if(vlookup(B:B,'ILC1112'!$B26:F8603,5,false)="","Y","N")</f>
        <v>Y</v>
      </c>
      <c r="F161" s="12" t="str">
        <f>if(vlookup(B:B,'ILC1211'!$B164:F8603,5,false)="","Y","N")</f>
        <v>N</v>
      </c>
      <c r="G161" s="12" t="str">
        <f>if(vlookup(B:B,'ILC1213'!$B91:G8603,5,false)="","Y","N")</f>
        <v>N</v>
      </c>
      <c r="H161" s="12" t="str">
        <f>if(vlookup(B:B,'ILC1314'!$B90:G903,5,false)="","Y","N")</f>
        <v>N</v>
      </c>
      <c r="I161" s="12" t="str">
        <f>if(vlookup(B:B,'ILC1404'!B164:F8326,5,false)="","Y","N")</f>
        <v>Y</v>
      </c>
      <c r="J161" s="12" t="str">
        <f>if(vlookup(B:B,'ILC2203'!B127:F8326,5,false)="","Y","N")</f>
        <v>Y</v>
      </c>
      <c r="K161" s="12" t="str">
        <f>if(vlookup(B:B,'ILC2206'!B112:H370,5,false)="","Y","N")</f>
        <v>N</v>
      </c>
      <c r="L161" s="12" t="str">
        <f>if(vlookup(B:B,'ILC2303'!B164:F8603,5,false)="","Y","N")</f>
        <v>N</v>
      </c>
      <c r="M161" s="12" t="str">
        <f>if(vlookup(B:B,'ILC2307'!B164:F9119,5,false)="","Y","N")</f>
        <v>N</v>
      </c>
      <c r="N161" s="12" t="str">
        <f>if(vlookup(B:B,'ILC2313'!B164:F8758,5,false)="","Y","N")</f>
        <v>Y</v>
      </c>
      <c r="O161" s="12" t="str">
        <f>if(vlookup(B:B,'ILC2412'!B164:F8603,5,false)="","Y","N")</f>
        <v>N</v>
      </c>
      <c r="P161" s="12" t="str">
        <f>if(vlookup(B:B,'ILC2413'!B164:F9101,5,false)="","Y","N")</f>
        <v>Y</v>
      </c>
      <c r="Q161" s="12" t="str">
        <f>if(vlookup(B:B,'ILC3104'!B164:F8646,5,false)="","Y","N")</f>
        <v>Y</v>
      </c>
      <c r="R161" s="12" t="str">
        <f>if(vlookup(B:B,'ILC3310'!B6:F8585,5,false)="","Y","N")</f>
        <v>N</v>
      </c>
      <c r="S161" s="12" t="str">
        <f>if(vlookup(B:B,'ILC3312'!B164:F8603,5,false)="","Y","N")</f>
        <v>Y</v>
      </c>
      <c r="T161" s="12" t="str">
        <f>if(vlookup(B:B,'ILC3413'!B133:F8528,5,false)="","Y","N")</f>
        <v>Y</v>
      </c>
      <c r="U161" s="12" t="str">
        <f>if(vlookup(B:B,'ILC3415'!B161:F8553,5,false)="","Y","N")</f>
        <v>Y</v>
      </c>
      <c r="V161" s="12" t="str">
        <f>if(vlookup(B:B,'ILC4406'!B96:F8522,5,false)="","Y","N")</f>
        <v>Y</v>
      </c>
      <c r="W161" s="12" t="str">
        <f>if(vlookup(B:B,'ILC4410'!B164:F8770,5,false)="","Y","N")</f>
        <v>Y</v>
      </c>
      <c r="X161" s="12" t="str">
        <f>if(vlookup(B:B,'JBV455'!B164:F9110,5,false)="","Y","N")</f>
        <v>N</v>
      </c>
      <c r="Y161" s="12" t="str">
        <f>if(vlookup(B:B,'JBV462'!B164:F8603,5,false)="","Y","N")</f>
        <v>Y</v>
      </c>
      <c r="Z161" s="12" t="str">
        <f>if(vlookup(B:B,'JBV464'!B164:F8603,5,false)="","Y","N")</f>
        <v>N</v>
      </c>
      <c r="AA161" s="12" t="str">
        <f>if(vlookup(B:B,'VDI208'!B96:F8603,5,false)="","Y","N")</f>
        <v>Y</v>
      </c>
      <c r="AB161" s="76" t="str">
        <f>if(vlookup(B:B,'STO2206'!B96:F8603,5,false)="","Y","N")</f>
        <v>Y</v>
      </c>
    </row>
    <row r="162">
      <c r="A162" s="67" t="str">
        <f t="shared" si="2"/>
        <v>Wed</v>
      </c>
      <c r="B162" s="69">
        <v>43607.0</v>
      </c>
      <c r="C162" s="12" t="str">
        <f>if(vlookup(B:B,'ILC1110'!$B27:F8604,5,false)="","Y","N")</f>
        <v>N</v>
      </c>
      <c r="D162" s="12" t="str">
        <f>if(vlookup(B:B,'ILC1111'!$B27:F8611,5,false)="","Y","N")</f>
        <v>N</v>
      </c>
      <c r="E162" s="12" t="str">
        <f>if(vlookup(B:B,'ILC1112'!$B27:F8604,5,false)="","Y","N")</f>
        <v>N</v>
      </c>
      <c r="F162" s="12" t="str">
        <f>if(vlookup(B:B,'ILC1211'!$B165:F8604,5,false)="","Y","N")</f>
        <v>N</v>
      </c>
      <c r="G162" s="12" t="str">
        <f>if(vlookup(B:B,'ILC1213'!$B92:G8604,5,false)="","Y","N")</f>
        <v>N</v>
      </c>
      <c r="H162" s="12" t="str">
        <f>if(vlookup(B:B,'ILC1314'!$B91:G904,5,false)="","Y","N")</f>
        <v>N</v>
      </c>
      <c r="I162" s="12" t="str">
        <f>if(vlookup(B:B,'ILC1404'!B165:F8327,5,false)="","Y","N")</f>
        <v>N</v>
      </c>
      <c r="J162" s="12" t="str">
        <f>if(vlookup(B:B,'ILC2203'!B128:F8327,5,false)="","Y","N")</f>
        <v>Y</v>
      </c>
      <c r="K162" s="12" t="str">
        <f>if(vlookup(B:B,'ILC2206'!B113:H370,5,false)="","Y","N")</f>
        <v>N</v>
      </c>
      <c r="L162" s="12" t="str">
        <f>if(vlookup(B:B,'ILC2303'!B165:F8604,5,false)="","Y","N")</f>
        <v>N</v>
      </c>
      <c r="M162" s="12" t="str">
        <f>if(vlookup(B:B,'ILC2307'!B165:F9120,5,false)="","Y","N")</f>
        <v>N</v>
      </c>
      <c r="N162" s="12" t="str">
        <f>if(vlookup(B:B,'ILC2313'!B165:F8759,5,false)="","Y","N")</f>
        <v>N</v>
      </c>
      <c r="O162" s="12" t="str">
        <f>if(vlookup(B:B,'ILC2412'!B165:F8604,5,false)="","Y","N")</f>
        <v>N</v>
      </c>
      <c r="P162" s="12" t="str">
        <f>if(vlookup(B:B,'ILC2413'!B165:F9102,5,false)="","Y","N")</f>
        <v>N</v>
      </c>
      <c r="Q162" s="12" t="str">
        <f>if(vlookup(B:B,'ILC3104'!B165:F8647,5,false)="","Y","N")</f>
        <v>Y</v>
      </c>
      <c r="R162" s="12" t="str">
        <f>if(vlookup(B:B,'ILC3310'!B6:F8586,5,false)="","Y","N")</f>
        <v>N</v>
      </c>
      <c r="S162" s="12" t="str">
        <f>if(vlookup(B:B,'ILC3312'!B165:F8604,5,false)="","Y","N")</f>
        <v>N</v>
      </c>
      <c r="T162" s="12" t="str">
        <f>if(vlookup(B:B,'ILC3413'!B134:F8529,5,false)="","Y","N")</f>
        <v>Y</v>
      </c>
      <c r="U162" s="12" t="str">
        <f>if(vlookup(B:B,'ILC3415'!B162:F8554,5,false)="","Y","N")</f>
        <v>Y</v>
      </c>
      <c r="V162" s="12" t="str">
        <f>if(vlookup(B:B,'ILC4406'!B97:F8523,5,false)="","Y","N")</f>
        <v>N</v>
      </c>
      <c r="W162" s="12" t="str">
        <f>if(vlookup(B:B,'ILC4410'!B165:F8771,5,false)="","Y","N")</f>
        <v>N</v>
      </c>
      <c r="X162" s="12" t="str">
        <f>if(vlookup(B:B,'JBV455'!B165:F9111,5,false)="","Y","N")</f>
        <v>N</v>
      </c>
      <c r="Y162" s="12" t="str">
        <f>if(vlookup(B:B,'JBV462'!B165:F8604,5,false)="","Y","N")</f>
        <v>Y</v>
      </c>
      <c r="Z162" s="12" t="str">
        <f>if(vlookup(B:B,'JBV464'!B165:F8604,5,false)="","Y","N")</f>
        <v>N</v>
      </c>
      <c r="AA162" s="12" t="str">
        <f>if(vlookup(B:B,'VDI208'!B97:F8604,5,false)="","Y","N")</f>
        <v>Y</v>
      </c>
      <c r="AB162" s="76" t="str">
        <f>if(vlookup(B:B,'STO2206'!B97:F8604,5,false)="","Y","N")</f>
        <v>Y</v>
      </c>
    </row>
    <row r="163">
      <c r="A163" s="67" t="str">
        <f t="shared" si="2"/>
        <v>Thu</v>
      </c>
      <c r="B163" s="69">
        <v>43608.0</v>
      </c>
      <c r="C163" s="12" t="str">
        <f>if(vlookup(B:B,'ILC1110'!$B28:F8605,5,false)="","Y","N")</f>
        <v>N</v>
      </c>
      <c r="D163" s="12" t="str">
        <f>if(vlookup(B:B,'ILC1111'!$B28:F8612,5,false)="","Y","N")</f>
        <v>N</v>
      </c>
      <c r="E163" s="12" t="str">
        <f>if(vlookup(B:B,'ILC1112'!$B28:F8605,5,false)="","Y","N")</f>
        <v>N</v>
      </c>
      <c r="F163" s="12" t="str">
        <f>if(vlookup(B:B,'ILC1211'!$B166:F8605,5,false)="","Y","N")</f>
        <v>N</v>
      </c>
      <c r="G163" s="12" t="str">
        <f>if(vlookup(B:B,'ILC1213'!$B93:G8605,5,false)="","Y","N")</f>
        <v>N</v>
      </c>
      <c r="H163" s="12" t="str">
        <f>if(vlookup(B:B,'ILC1314'!$B92:G905,5,false)="","Y","N")</f>
        <v>N</v>
      </c>
      <c r="I163" s="12" t="str">
        <f>if(vlookup(B:B,'ILC1404'!B166:F8328,5,false)="","Y","N")</f>
        <v>N</v>
      </c>
      <c r="J163" s="12" t="str">
        <f>if(vlookup(B:B,'ILC2203'!B129:F8328,5,false)="","Y","N")</f>
        <v>Y</v>
      </c>
      <c r="K163" s="12" t="str">
        <f>if(vlookup(B:B,'ILC2206'!B114:H370,5,false)="","Y","N")</f>
        <v>N</v>
      </c>
      <c r="L163" s="12" t="str">
        <f>if(vlookup(B:B,'ILC2303'!B166:F8605,5,false)="","Y","N")</f>
        <v>N</v>
      </c>
      <c r="M163" s="12" t="str">
        <f>if(vlookup(B:B,'ILC2307'!B166:F9121,5,false)="","Y","N")</f>
        <v>Y</v>
      </c>
      <c r="N163" s="12" t="str">
        <f>if(vlookup(B:B,'ILC2313'!B166:F8760,5,false)="","Y","N")</f>
        <v>N</v>
      </c>
      <c r="O163" s="12" t="str">
        <f>if(vlookup(B:B,'ILC2412'!B166:F8605,5,false)="","Y","N")</f>
        <v>N</v>
      </c>
      <c r="P163" s="12" t="str">
        <f>if(vlookup(B:B,'ILC2413'!B166:F9103,5,false)="","Y","N")</f>
        <v>N</v>
      </c>
      <c r="Q163" s="12" t="str">
        <f>if(vlookup(B:B,'ILC3104'!B166:F8648,5,false)="","Y","N")</f>
        <v>Y</v>
      </c>
      <c r="R163" s="12" t="str">
        <f>if(vlookup(B:B,'ILC3310'!B6:F8587,5,false)="","Y","N")</f>
        <v>Y</v>
      </c>
      <c r="S163" s="12" t="str">
        <f>if(vlookup(B:B,'ILC3312'!B166:F8605,5,false)="","Y","N")</f>
        <v>N</v>
      </c>
      <c r="T163" s="12" t="str">
        <f>if(vlookup(B:B,'ILC3413'!B135:F8530,5,false)="","Y","N")</f>
        <v>Y</v>
      </c>
      <c r="U163" s="12" t="str">
        <f>if(vlookup(B:B,'ILC3415'!B163:F8555,5,false)="","Y","N")</f>
        <v>Y</v>
      </c>
      <c r="V163" s="12" t="str">
        <f>if(vlookup(B:B,'ILC4406'!B98:F8524,5,false)="","Y","N")</f>
        <v>N</v>
      </c>
      <c r="W163" s="12" t="str">
        <f>if(vlookup(B:B,'ILC4410'!B166:F8772,5,false)="","Y","N")</f>
        <v>Y</v>
      </c>
      <c r="X163" s="12" t="str">
        <f>if(vlookup(B:B,'JBV455'!B166:F9112,5,false)="","Y","N")</f>
        <v>N</v>
      </c>
      <c r="Y163" s="12" t="str">
        <f>if(vlookup(B:B,'JBV462'!B166:F8605,5,false)="","Y","N")</f>
        <v>N</v>
      </c>
      <c r="Z163" s="12" t="str">
        <f>if(vlookup(B:B,'JBV464'!B166:F8605,5,false)="","Y","N")</f>
        <v>N</v>
      </c>
      <c r="AA163" s="12" t="str">
        <f>if(vlookup(B:B,'VDI208'!B98:F8605,5,false)="","Y","N")</f>
        <v>N</v>
      </c>
      <c r="AB163" s="76" t="str">
        <f>if(vlookup(B:B,'STO2206'!B98:F8605,5,false)="","Y","N")</f>
        <v>Y</v>
      </c>
    </row>
    <row r="164">
      <c r="A164" s="67" t="str">
        <f t="shared" si="2"/>
        <v>Fri</v>
      </c>
      <c r="B164" s="69">
        <v>43609.0</v>
      </c>
      <c r="C164" s="12" t="str">
        <f>if(vlookup(B:B,'ILC1110'!$B29:F8606,5,false)="","Y","N")</f>
        <v>N</v>
      </c>
      <c r="D164" s="12" t="str">
        <f>if(vlookup(B:B,'ILC1111'!$B29:F8613,5,false)="","Y","N")</f>
        <v>N</v>
      </c>
      <c r="E164" s="12" t="str">
        <f>if(vlookup(B:B,'ILC1112'!$B29:F8606,5,false)="","Y","N")</f>
        <v>N</v>
      </c>
      <c r="F164" s="12" t="str">
        <f>if(vlookup(B:B,'ILC1211'!$B167:F8606,5,false)="","Y","N")</f>
        <v>N</v>
      </c>
      <c r="G164" s="12" t="str">
        <f>if(vlookup(B:B,'ILC1213'!$B94:G8606,5,false)="","Y","N")</f>
        <v>N</v>
      </c>
      <c r="H164" s="12" t="str">
        <f>if(vlookup(B:B,'ILC1314'!$B93:G906,5,false)="","Y","N")</f>
        <v>N</v>
      </c>
      <c r="I164" s="12" t="str">
        <f>if(vlookup(B:B,'ILC1404'!B167:F8329,5,false)="","Y","N")</f>
        <v>N</v>
      </c>
      <c r="J164" s="12" t="str">
        <f>if(vlookup(B:B,'ILC2203'!B130:F8329,5,false)="","Y","N")</f>
        <v>Y</v>
      </c>
      <c r="K164" s="12" t="str">
        <f>if(vlookup(B:B,'ILC2206'!B115:H370,5,false)="","Y","N")</f>
        <v>N</v>
      </c>
      <c r="L164" s="12" t="str">
        <f>if(vlookup(B:B,'ILC2303'!B167:F8606,5,false)="","Y","N")</f>
        <v>N</v>
      </c>
      <c r="M164" s="12" t="str">
        <f>if(vlookup(B:B,'ILC2307'!B167:F9122,5,false)="","Y","N")</f>
        <v>Y</v>
      </c>
      <c r="N164" s="12" t="str">
        <f>if(vlookup(B:B,'ILC2313'!B167:F8761,5,false)="","Y","N")</f>
        <v>N</v>
      </c>
      <c r="O164" s="12" t="str">
        <f>if(vlookup(B:B,'ILC2412'!B167:F8606,5,false)="","Y","N")</f>
        <v>N</v>
      </c>
      <c r="P164" s="12" t="str">
        <f>if(vlookup(B:B,'ILC2413'!B167:F9104,5,false)="","Y","N")</f>
        <v>N</v>
      </c>
      <c r="Q164" s="12" t="str">
        <f>if(vlookup(B:B,'ILC3104'!B167:F8649,5,false)="","Y","N")</f>
        <v>N</v>
      </c>
      <c r="R164" s="12" t="str">
        <f>if(vlookup(B:B,'ILC3310'!B6:F8588,5,false)="","Y","N")</f>
        <v>Y</v>
      </c>
      <c r="S164" s="12" t="str">
        <f>if(vlookup(B:B,'ILC3312'!B167:F8606,5,false)="","Y","N")</f>
        <v>N</v>
      </c>
      <c r="T164" s="12" t="str">
        <f>if(vlookup(B:B,'ILC3413'!B136:F8531,5,false)="","Y","N")</f>
        <v>Y</v>
      </c>
      <c r="U164" s="12" t="str">
        <f>if(vlookup(B:B,'ILC3415'!B164:F8556,5,false)="","Y","N")</f>
        <v>N</v>
      </c>
      <c r="V164" s="12" t="str">
        <f>if(vlookup(B:B,'ILC4406'!B99:F8525,5,false)="","Y","N")</f>
        <v>N</v>
      </c>
      <c r="W164" s="12" t="str">
        <f>if(vlookup(B:B,'ILC4410'!B167:F8773,5,false)="","Y","N")</f>
        <v>Y</v>
      </c>
      <c r="X164" s="12" t="str">
        <f>if(vlookup(B:B,'JBV455'!B167:F9113,5,false)="","Y","N")</f>
        <v>N</v>
      </c>
      <c r="Y164" s="12" t="str">
        <f>if(vlookup(B:B,'JBV462'!B167:F8606,5,false)="","Y","N")</f>
        <v>N</v>
      </c>
      <c r="Z164" s="12" t="str">
        <f>if(vlookup(B:B,'JBV464'!B167:F8606,5,false)="","Y","N")</f>
        <v>N</v>
      </c>
      <c r="AA164" s="12" t="str">
        <f>if(vlookup(B:B,'VDI208'!B99:F8606,5,false)="","Y","N")</f>
        <v>N</v>
      </c>
      <c r="AB164" s="76" t="str">
        <f>if(vlookup(B:B,'STO2206'!B99:F8606,5,false)="","Y","N")</f>
        <v>Y</v>
      </c>
    </row>
    <row r="165">
      <c r="A165" s="67" t="str">
        <f t="shared" si="2"/>
        <v>Sat</v>
      </c>
      <c r="B165" s="69">
        <v>43610.0</v>
      </c>
      <c r="C165" s="12" t="str">
        <f>if(vlookup(B:B,'ILC1110'!$B30:F8607,5,false)="","Y","N")</f>
        <v>N</v>
      </c>
      <c r="D165" s="12" t="str">
        <f>if(vlookup(B:B,'ILC1111'!$B30:F8614,5,false)="","Y","N")</f>
        <v>N</v>
      </c>
      <c r="E165" s="12" t="str">
        <f>if(vlookup(B:B,'ILC1112'!$B30:F8607,5,false)="","Y","N")</f>
        <v>N</v>
      </c>
      <c r="F165" s="12" t="str">
        <f>if(vlookup(B:B,'ILC1211'!$B168:F8607,5,false)="","Y","N")</f>
        <v>N</v>
      </c>
      <c r="G165" s="12" t="str">
        <f>if(vlookup(B:B,'ILC1213'!$B95:G8607,5,false)="","Y","N")</f>
        <v>N</v>
      </c>
      <c r="H165" s="12" t="str">
        <f>if(vlookup(B:B,'ILC1314'!$B94:G907,5,false)="","Y","N")</f>
        <v>N</v>
      </c>
      <c r="I165" s="12" t="str">
        <f>if(vlookup(B:B,'ILC1404'!B168:F8330,5,false)="","Y","N")</f>
        <v>N</v>
      </c>
      <c r="J165" s="12" t="str">
        <f>if(vlookup(B:B,'ILC2203'!B131:F8330,5,false)="","Y","N")</f>
        <v>Y</v>
      </c>
      <c r="K165" s="12" t="str">
        <f>if(vlookup(B:B,'ILC2206'!B116:H370,5,false)="","Y","N")</f>
        <v>N</v>
      </c>
      <c r="L165" s="12" t="str">
        <f>if(vlookup(B:B,'ILC2303'!B168:F8607,5,false)="","Y","N")</f>
        <v>N</v>
      </c>
      <c r="M165" s="12" t="str">
        <f>if(vlookup(B:B,'ILC2307'!B168:F9123,5,false)="","Y","N")</f>
        <v>N</v>
      </c>
      <c r="N165" s="12" t="str">
        <f>if(vlookup(B:B,'ILC2313'!B168:F8762,5,false)="","Y","N")</f>
        <v>N</v>
      </c>
      <c r="O165" s="12" t="str">
        <f>if(vlookup(B:B,'ILC2412'!B168:F8607,5,false)="","Y","N")</f>
        <v>N</v>
      </c>
      <c r="P165" s="12" t="str">
        <f>if(vlookup(B:B,'ILC2413'!B168:F9105,5,false)="","Y","N")</f>
        <v>N</v>
      </c>
      <c r="Q165" s="12" t="str">
        <f>if(vlookup(B:B,'ILC3104'!B168:F8650,5,false)="","Y","N")</f>
        <v>N</v>
      </c>
      <c r="R165" s="12" t="str">
        <f>if(vlookup(B:B,'ILC3310'!B6:F8589,5,false)="","Y","N")</f>
        <v>N</v>
      </c>
      <c r="S165" s="12" t="str">
        <f>if(vlookup(B:B,'ILC3312'!B168:F8607,5,false)="","Y","N")</f>
        <v>N</v>
      </c>
      <c r="T165" s="12" t="str">
        <f>if(vlookup(B:B,'ILC3413'!B137:F8532,5,false)="","Y","N")</f>
        <v>N</v>
      </c>
      <c r="U165" s="12" t="str">
        <f>if(vlookup(B:B,'ILC3415'!B165:F8557,5,false)="","Y","N")</f>
        <v>N</v>
      </c>
      <c r="V165" s="12" t="str">
        <f>if(vlookup(B:B,'ILC4406'!B100:F8526,5,false)="","Y","N")</f>
        <v>N</v>
      </c>
      <c r="W165" s="12" t="str">
        <f>if(vlookup(B:B,'ILC4410'!B168:F8774,5,false)="","Y","N")</f>
        <v>N</v>
      </c>
      <c r="X165" s="12" t="str">
        <f>if(vlookup(B:B,'JBV455'!B168:F9114,5,false)="","Y","N")</f>
        <v>N</v>
      </c>
      <c r="Y165" s="12" t="str">
        <f>if(vlookup(B:B,'JBV462'!B168:F8607,5,false)="","Y","N")</f>
        <v>N</v>
      </c>
      <c r="Z165" s="12" t="str">
        <f>if(vlookup(B:B,'JBV464'!B168:F8607,5,false)="","Y","N")</f>
        <v>N</v>
      </c>
      <c r="AA165" s="12" t="str">
        <f>if(vlookup(B:B,'VDI208'!B100:F8607,5,false)="","Y","N")</f>
        <v>N</v>
      </c>
      <c r="AB165" s="76" t="str">
        <f>if(vlookup(B:B,'STO2206'!B100:F8607,5,false)="","Y","N")</f>
        <v>Y</v>
      </c>
    </row>
    <row r="166">
      <c r="A166" s="67" t="str">
        <f t="shared" si="2"/>
        <v>Sun</v>
      </c>
      <c r="B166" s="69">
        <v>43611.0</v>
      </c>
      <c r="C166" s="12" t="str">
        <f>if(vlookup(B:B,'ILC1110'!$B31:F8608,5,false)="","Y","N")</f>
        <v>N</v>
      </c>
      <c r="D166" s="12" t="str">
        <f>if(vlookup(B:B,'ILC1111'!$B31:F8615,5,false)="","Y","N")</f>
        <v>N</v>
      </c>
      <c r="E166" s="12" t="str">
        <f>if(vlookup(B:B,'ILC1112'!$B31:F8608,5,false)="","Y","N")</f>
        <v>N</v>
      </c>
      <c r="F166" s="12" t="str">
        <f>if(vlookup(B:B,'ILC1211'!$B169:F8608,5,false)="","Y","N")</f>
        <v>N</v>
      </c>
      <c r="G166" s="12" t="str">
        <f>if(vlookup(B:B,'ILC1213'!$B96:G8608,5,false)="","Y","N")</f>
        <v>N</v>
      </c>
      <c r="H166" s="12" t="str">
        <f>if(vlookup(B:B,'ILC1314'!$B95:G908,5,false)="","Y","N")</f>
        <v>N</v>
      </c>
      <c r="I166" s="12" t="str">
        <f>if(vlookup(B:B,'ILC1404'!B169:F8331,5,false)="","Y","N")</f>
        <v>N</v>
      </c>
      <c r="J166" s="12" t="str">
        <f>if(vlookup(B:B,'ILC2203'!B132:F8331,5,false)="","Y","N")</f>
        <v>Y</v>
      </c>
      <c r="K166" s="12" t="str">
        <f>if(vlookup(B:B,'ILC2206'!B117:H370,5,false)="","Y","N")</f>
        <v>N</v>
      </c>
      <c r="L166" s="12" t="str">
        <f>if(vlookup(B:B,'ILC2303'!B169:F8608,5,false)="","Y","N")</f>
        <v>N</v>
      </c>
      <c r="M166" s="12" t="str">
        <f>if(vlookup(B:B,'ILC2307'!B169:F9124,5,false)="","Y","N")</f>
        <v>N</v>
      </c>
      <c r="N166" s="12" t="str">
        <f>if(vlookup(B:B,'ILC2313'!B169:F8763,5,false)="","Y","N")</f>
        <v>N</v>
      </c>
      <c r="O166" s="12" t="str">
        <f>if(vlookup(B:B,'ILC2412'!B169:F8608,5,false)="","Y","N")</f>
        <v>N</v>
      </c>
      <c r="P166" s="12" t="str">
        <f>if(vlookup(B:B,'ILC2413'!B169:F9106,5,false)="","Y","N")</f>
        <v>N</v>
      </c>
      <c r="Q166" s="12" t="str">
        <f>if(vlookup(B:B,'ILC3104'!B169:F8651,5,false)="","Y","N")</f>
        <v>N</v>
      </c>
      <c r="R166" s="12" t="str">
        <f>if(vlookup(B:B,'ILC3310'!B6:F8590,5,false)="","Y","N")</f>
        <v>N</v>
      </c>
      <c r="S166" s="12" t="str">
        <f>if(vlookup(B:B,'ILC3312'!B169:F8608,5,false)="","Y","N")</f>
        <v>N</v>
      </c>
      <c r="T166" s="12" t="str">
        <f>if(vlookup(B:B,'ILC3413'!B138:F8533,5,false)="","Y","N")</f>
        <v>N</v>
      </c>
      <c r="U166" s="12" t="str">
        <f>if(vlookup(B:B,'ILC3415'!B166:F8558,5,false)="","Y","N")</f>
        <v>Y</v>
      </c>
      <c r="V166" s="12" t="str">
        <f>if(vlookup(B:B,'ILC4406'!B101:F8527,5,false)="","Y","N")</f>
        <v>N</v>
      </c>
      <c r="W166" s="12" t="str">
        <f>if(vlookup(B:B,'ILC4410'!B169:F8775,5,false)="","Y","N")</f>
        <v>Y</v>
      </c>
      <c r="X166" s="12" t="str">
        <f>if(vlookup(B:B,'JBV455'!B169:F9115,5,false)="","Y","N")</f>
        <v>N</v>
      </c>
      <c r="Y166" s="12" t="str">
        <f>if(vlookup(B:B,'JBV462'!B169:F8608,5,false)="","Y","N")</f>
        <v>N</v>
      </c>
      <c r="Z166" s="12" t="str">
        <f>if(vlookup(B:B,'JBV464'!B169:F8608,5,false)="","Y","N")</f>
        <v>N</v>
      </c>
      <c r="AA166" s="12" t="str">
        <f>if(vlookup(B:B,'VDI208'!B101:F8608,5,false)="","Y","N")</f>
        <v>N</v>
      </c>
      <c r="AB166" s="76" t="str">
        <f>if(vlookup(B:B,'STO2206'!B101:F8608,5,false)="","Y","N")</f>
        <v>Y</v>
      </c>
    </row>
    <row r="167">
      <c r="A167" s="67" t="str">
        <f t="shared" si="2"/>
        <v>Mon</v>
      </c>
      <c r="B167" s="69">
        <v>43612.0</v>
      </c>
      <c r="C167" s="12" t="str">
        <f>if(vlookup(B:B,'ILC1110'!$B32:F8609,5,false)="","Y","N")</f>
        <v>N</v>
      </c>
      <c r="D167" s="12" t="str">
        <f>if(vlookup(B:B,'ILC1111'!$B32:F8616,5,false)="","Y","N")</f>
        <v>N</v>
      </c>
      <c r="E167" s="12" t="str">
        <f>if(vlookup(B:B,'ILC1112'!$B32:F8609,5,false)="","Y","N")</f>
        <v>N</v>
      </c>
      <c r="F167" s="12" t="str">
        <f>if(vlookup(B:B,'ILC1211'!$B170:F8609,5,false)="","Y","N")</f>
        <v>Y</v>
      </c>
      <c r="G167" s="12" t="str">
        <f>if(vlookup(B:B,'ILC1213'!$B97:G8609,5,false)="","Y","N")</f>
        <v>N</v>
      </c>
      <c r="H167" s="12" t="str">
        <f>if(vlookup(B:B,'ILC1314'!$B96:G909,5,false)="","Y","N")</f>
        <v>N</v>
      </c>
      <c r="I167" s="12" t="str">
        <f>if(vlookup(B:B,'ILC1404'!B170:F8332,5,false)="","Y","N")</f>
        <v>Y</v>
      </c>
      <c r="J167" s="12" t="str">
        <f>if(vlookup(B:B,'ILC2203'!B133:F8332,5,false)="","Y","N")</f>
        <v>Y</v>
      </c>
      <c r="K167" s="12" t="str">
        <f>if(vlookup(B:B,'ILC2206'!B118:H370,5,false)="","Y","N")</f>
        <v>Y</v>
      </c>
      <c r="L167" s="12" t="str">
        <f>if(vlookup(B:B,'ILC2303'!B170:F8609,5,false)="","Y","N")</f>
        <v>N</v>
      </c>
      <c r="M167" s="12" t="str">
        <f>if(vlookup(B:B,'ILC2307'!B170:F9125,5,false)="","Y","N")</f>
        <v>N</v>
      </c>
      <c r="N167" s="12" t="str">
        <f>if(vlookup(B:B,'ILC2313'!B170:F8764,5,false)="","Y","N")</f>
        <v>N</v>
      </c>
      <c r="O167" s="12" t="str">
        <f>if(vlookup(B:B,'ILC2412'!B170:F8609,5,false)="","Y","N")</f>
        <v>Y</v>
      </c>
      <c r="P167" s="12" t="str">
        <f>if(vlookup(B:B,'ILC2413'!B170:F9107,5,false)="","Y","N")</f>
        <v>Y</v>
      </c>
      <c r="Q167" s="12" t="str">
        <f>if(vlookup(B:B,'ILC3104'!B170:F8652,5,false)="","Y","N")</f>
        <v>Y</v>
      </c>
      <c r="R167" s="12" t="str">
        <f>if(vlookup(B:B,'ILC3310'!B6:F8591,5,false)="","Y","N")</f>
        <v>Y</v>
      </c>
      <c r="S167" s="12" t="str">
        <f>if(vlookup(B:B,'ILC3312'!B170:F8609,5,false)="","Y","N")</f>
        <v>Y</v>
      </c>
      <c r="T167" s="12" t="str">
        <f>if(vlookup(B:B,'ILC3413'!B139:F8534,5,false)="","Y","N")</f>
        <v>Y</v>
      </c>
      <c r="U167" s="12" t="str">
        <f>if(vlookup(B:B,'ILC3415'!B167:F8559,5,false)="","Y","N")</f>
        <v>Y</v>
      </c>
      <c r="V167" s="12" t="str">
        <f>if(vlookup(B:B,'ILC4406'!B102:F8528,5,false)="","Y","N")</f>
        <v>Y</v>
      </c>
      <c r="W167" s="12" t="str">
        <f>if(vlookup(B:B,'ILC4410'!B170:F8776,5,false)="","Y","N")</f>
        <v>N</v>
      </c>
      <c r="X167" s="12" t="str">
        <f>if(vlookup(B:B,'JBV455'!B170:F9116,5,false)="","Y","N")</f>
        <v>Y</v>
      </c>
      <c r="Y167" s="12" t="str">
        <f>if(vlookup(B:B,'JBV462'!B170:F8609,5,false)="","Y","N")</f>
        <v>N</v>
      </c>
      <c r="Z167" s="12" t="str">
        <f>if(vlookup(B:B,'JBV464'!B170:F8609,5,false)="","Y","N")</f>
        <v>N</v>
      </c>
      <c r="AA167" s="12" t="str">
        <f>if(vlookup(B:B,'VDI208'!B102:F8609,5,false)="","Y","N")</f>
        <v>Y</v>
      </c>
      <c r="AB167" s="76" t="str">
        <f>if(vlookup(B:B,'STO2206'!B102:F8609,5,false)="","Y","N")</f>
        <v>Y</v>
      </c>
    </row>
    <row r="168">
      <c r="A168" s="67" t="str">
        <f t="shared" si="2"/>
        <v>Tue</v>
      </c>
      <c r="B168" s="69">
        <v>43613.0</v>
      </c>
      <c r="C168" s="12" t="str">
        <f>if(vlookup(B:B,'ILC1110'!$B33:F8610,5,false)="","Y","N")</f>
        <v>Y</v>
      </c>
      <c r="D168" s="12" t="str">
        <f>if(vlookup(B:B,'ILC1111'!$B33:F8617,5,false)="","Y","N")</f>
        <v>N</v>
      </c>
      <c r="E168" s="12" t="str">
        <f>if(vlookup(B:B,'ILC1112'!$B33:F8610,5,false)="","Y","N")</f>
        <v>Y</v>
      </c>
      <c r="F168" s="12" t="str">
        <f>if(vlookup(B:B,'ILC1211'!$B171:F8610,5,false)="","Y","N")</f>
        <v>Y</v>
      </c>
      <c r="G168" s="12" t="str">
        <f>if(vlookup(B:B,'ILC1213'!$B98:G8610,5,false)="","Y","N")</f>
        <v>N</v>
      </c>
      <c r="H168" s="12" t="str">
        <f>if(vlookup(B:B,'ILC1314'!$B97:G910,5,false)="","Y","N")</f>
        <v>N</v>
      </c>
      <c r="I168" s="12" t="str">
        <f>if(vlookup(B:B,'ILC1404'!B171:F8333,5,false)="","Y","N")</f>
        <v>Y</v>
      </c>
      <c r="J168" s="12" t="str">
        <f>if(vlookup(B:B,'ILC2203'!B134:F8333,5,false)="","Y","N")</f>
        <v>Y</v>
      </c>
      <c r="K168" s="12" t="str">
        <f>if(vlookup(B:B,'ILC2206'!B119:H370,5,false)="","Y","N")</f>
        <v>Y</v>
      </c>
      <c r="L168" s="12" t="str">
        <f>if(vlookup(B:B,'ILC2303'!B171:F8610,5,false)="","Y","N")</f>
        <v>N</v>
      </c>
      <c r="M168" s="12" t="str">
        <f>if(vlookup(B:B,'ILC2307'!B171:F9126,5,false)="","Y","N")</f>
        <v>N</v>
      </c>
      <c r="N168" s="12" t="str">
        <f>if(vlookup(B:B,'ILC2313'!B171:F8765,5,false)="","Y","N")</f>
        <v>N</v>
      </c>
      <c r="O168" s="12" t="str">
        <f>if(vlookup(B:B,'ILC2412'!B171:F8610,5,false)="","Y","N")</f>
        <v>Y</v>
      </c>
      <c r="P168" s="12" t="str">
        <f>if(vlookup(B:B,'ILC2413'!B171:F9108,5,false)="","Y","N")</f>
        <v>Y</v>
      </c>
      <c r="Q168" s="12" t="str">
        <f>if(vlookup(B:B,'ILC3104'!B171:F8653,5,false)="","Y","N")</f>
        <v>Y</v>
      </c>
      <c r="R168" s="12" t="str">
        <f>if(vlookup(B:B,'ILC3310'!B6:F8592,5,false)="","Y","N")</f>
        <v>Y</v>
      </c>
      <c r="S168" s="12" t="str">
        <f>if(vlookup(B:B,'ILC3312'!B171:F8610,5,false)="","Y","N")</f>
        <v>Y</v>
      </c>
      <c r="T168" s="12" t="str">
        <f>if(vlookup(B:B,'ILC3413'!B140:F8535,5,false)="","Y","N")</f>
        <v>Y</v>
      </c>
      <c r="U168" s="12" t="str">
        <f>if(vlookup(B:B,'ILC3415'!B168:F8560,5,false)="","Y","N")</f>
        <v>Y</v>
      </c>
      <c r="V168" s="12" t="str">
        <f>if(vlookup(B:B,'ILC4406'!B103:F8529,5,false)="","Y","N")</f>
        <v>Y</v>
      </c>
      <c r="W168" s="12" t="str">
        <f>if(vlookup(B:B,'ILC4410'!B171:F8777,5,false)="","Y","N")</f>
        <v>N</v>
      </c>
      <c r="X168" s="12" t="str">
        <f>if(vlookup(B:B,'JBV455'!B171:F9117,5,false)="","Y","N")</f>
        <v>Y</v>
      </c>
      <c r="Y168" s="12" t="str">
        <f>if(vlookup(B:B,'JBV462'!B171:F8610,5,false)="","Y","N")</f>
        <v>Y</v>
      </c>
      <c r="Z168" s="12" t="str">
        <f>if(vlookup(B:B,'JBV464'!B171:F8610,5,false)="","Y","N")</f>
        <v>N</v>
      </c>
      <c r="AA168" s="12" t="str">
        <f>if(vlookup(B:B,'VDI208'!B103:F8610,5,false)="","Y","N")</f>
        <v>Y</v>
      </c>
      <c r="AB168" s="76" t="str">
        <f>if(vlookup(B:B,'STO2206'!B103:F8610,5,false)="","Y","N")</f>
        <v>Y</v>
      </c>
    </row>
    <row r="169">
      <c r="A169" s="67" t="str">
        <f t="shared" si="2"/>
        <v>Wed</v>
      </c>
      <c r="B169" s="69">
        <v>43614.0</v>
      </c>
      <c r="C169" s="12" t="str">
        <f>if(vlookup(B:B,'ILC1110'!$B34:F8611,5,false)="","Y","N")</f>
        <v>Y</v>
      </c>
      <c r="D169" s="12" t="str">
        <f>if(vlookup(B:B,'ILC1111'!$B34:F8618,5,false)="","Y","N")</f>
        <v>N</v>
      </c>
      <c r="E169" s="12" t="str">
        <f>if(vlookup(B:B,'ILC1112'!$B34:F8611,5,false)="","Y","N")</f>
        <v>Y</v>
      </c>
      <c r="F169" s="12" t="str">
        <f>if(vlookup(B:B,'ILC1211'!$B172:F8611,5,false)="","Y","N")</f>
        <v>Y</v>
      </c>
      <c r="G169" s="12" t="str">
        <f>if(vlookup(B:B,'ILC1213'!$B99:G8611,5,false)="","Y","N")</f>
        <v>N</v>
      </c>
      <c r="H169" s="12" t="str">
        <f>if(vlookup(B:B,'ILC1314'!$B98:G911,5,false)="","Y","N")</f>
        <v>N</v>
      </c>
      <c r="I169" s="12" t="str">
        <f>if(vlookup(B:B,'ILC1404'!B172:F8334,5,false)="","Y","N")</f>
        <v>Y</v>
      </c>
      <c r="J169" s="12" t="str">
        <f>if(vlookup(B:B,'ILC2203'!B135:F8334,5,false)="","Y","N")</f>
        <v>Y</v>
      </c>
      <c r="K169" s="12" t="str">
        <f>if(vlookup(B:B,'ILC2206'!B120:H370,5,false)="","Y","N")</f>
        <v>Y</v>
      </c>
      <c r="L169" s="12" t="str">
        <f>if(vlookup(B:B,'ILC2303'!B172:F8611,5,false)="","Y","N")</f>
        <v>N</v>
      </c>
      <c r="M169" s="12" t="str">
        <f>if(vlookup(B:B,'ILC2307'!B172:F9127,5,false)="","Y","N")</f>
        <v>N</v>
      </c>
      <c r="N169" s="12" t="str">
        <f>if(vlookup(B:B,'ILC2313'!B172:F8766,5,false)="","Y","N")</f>
        <v>N</v>
      </c>
      <c r="O169" s="12" t="str">
        <f>if(vlookup(B:B,'ILC2412'!B172:F8611,5,false)="","Y","N")</f>
        <v>Y</v>
      </c>
      <c r="P169" s="12" t="str">
        <f>if(vlookup(B:B,'ILC2413'!B172:F9109,5,false)="","Y","N")</f>
        <v>Y</v>
      </c>
      <c r="Q169" s="12" t="str">
        <f>if(vlookup(B:B,'ILC3104'!B172:F8654,5,false)="","Y","N")</f>
        <v>Y</v>
      </c>
      <c r="R169" s="12" t="str">
        <f>if(vlookup(B:B,'ILC3310'!B6:F8593,5,false)="","Y","N")</f>
        <v>N</v>
      </c>
      <c r="S169" s="12" t="str">
        <f>if(vlookup(B:B,'ILC3312'!B172:F8611,5,false)="","Y","N")</f>
        <v>N</v>
      </c>
      <c r="T169" s="12" t="str">
        <f>if(vlookup(B:B,'ILC3413'!B141:F8536,5,false)="","Y","N")</f>
        <v>Y</v>
      </c>
      <c r="U169" s="12" t="str">
        <f>if(vlookup(B:B,'ILC3415'!B169:F8561,5,false)="","Y","N")</f>
        <v>Y</v>
      </c>
      <c r="V169" s="12" t="str">
        <f>if(vlookup(B:B,'ILC4406'!B104:F8530,5,false)="","Y","N")</f>
        <v>Y</v>
      </c>
      <c r="W169" s="12" t="str">
        <f>if(vlookup(B:B,'ILC4410'!B172:F8778,5,false)="","Y","N")</f>
        <v>N</v>
      </c>
      <c r="X169" s="12" t="str">
        <f>if(vlookup(B:B,'JBV455'!B172:F9118,5,false)="","Y","N")</f>
        <v>Y</v>
      </c>
      <c r="Y169" s="12" t="str">
        <f>if(vlookup(B:B,'JBV462'!B172:F8611,5,false)="","Y","N")</f>
        <v>Y</v>
      </c>
      <c r="Z169" s="12" t="str">
        <f>if(vlookup(B:B,'JBV464'!B172:F8611,5,false)="","Y","N")</f>
        <v>N</v>
      </c>
      <c r="AA169" s="12" t="str">
        <f>if(vlookup(B:B,'VDI208'!B104:F8611,5,false)="","Y","N")</f>
        <v>Y</v>
      </c>
      <c r="AB169" s="76" t="str">
        <f>if(vlookup(B:B,'STO2206'!B104:F8611,5,false)="","Y","N")</f>
        <v>Y</v>
      </c>
    </row>
    <row r="170">
      <c r="A170" s="67" t="str">
        <f t="shared" si="2"/>
        <v>Thu</v>
      </c>
      <c r="B170" s="69">
        <v>43615.0</v>
      </c>
      <c r="C170" s="12" t="str">
        <f>if(vlookup(B:B,'ILC1110'!$B35:F8612,5,false)="","Y","N")</f>
        <v>Y</v>
      </c>
      <c r="D170" s="12" t="str">
        <f>if(vlookup(B:B,'ILC1111'!$B35:F8619,5,false)="","Y","N")</f>
        <v>N</v>
      </c>
      <c r="E170" s="12" t="str">
        <f>if(vlookup(B:B,'ILC1112'!$B35:F8612,5,false)="","Y","N")</f>
        <v>Y</v>
      </c>
      <c r="F170" s="12" t="str">
        <f>if(vlookup(B:B,'ILC1211'!$B173:F8612,5,false)="","Y","N")</f>
        <v>N</v>
      </c>
      <c r="G170" s="12" t="str">
        <f>if(vlookup(B:B,'ILC1213'!$B100:G8612,5,false)="","Y","N")</f>
        <v>N</v>
      </c>
      <c r="H170" s="12" t="str">
        <f>if(vlookup(B:B,'ILC1314'!$B99:G912,5,false)="","Y","N")</f>
        <v>N</v>
      </c>
      <c r="I170" s="12" t="str">
        <f>if(vlookup(B:B,'ILC1404'!B173:F8335,5,false)="","Y","N")</f>
        <v>Y</v>
      </c>
      <c r="J170" s="12" t="str">
        <f>if(vlookup(B:B,'ILC2203'!B136:F8335,5,false)="","Y","N")</f>
        <v>Y</v>
      </c>
      <c r="K170" s="12" t="str">
        <f>if(vlookup(B:B,'ILC2206'!B121:H370,5,false)="","Y","N")</f>
        <v>Y</v>
      </c>
      <c r="L170" s="12" t="str">
        <f>if(vlookup(B:B,'ILC2303'!B173:F8612,5,false)="","Y","N")</f>
        <v>N</v>
      </c>
      <c r="M170" s="12" t="str">
        <f>if(vlookup(B:B,'ILC2307'!B173:F9128,5,false)="","Y","N")</f>
        <v>Y</v>
      </c>
      <c r="N170" s="12" t="str">
        <f>if(vlookup(B:B,'ILC2313'!B173:F8767,5,false)="","Y","N")</f>
        <v>Y</v>
      </c>
      <c r="O170" s="12" t="str">
        <f>if(vlookup(B:B,'ILC2412'!B173:F8612,5,false)="","Y","N")</f>
        <v>Y</v>
      </c>
      <c r="P170" s="12" t="str">
        <f>if(vlookup(B:B,'ILC2413'!B173:F9110,5,false)="","Y","N")</f>
        <v>Y</v>
      </c>
      <c r="Q170" s="12" t="str">
        <f>if(vlookup(B:B,'ILC3104'!B173:F8655,5,false)="","Y","N")</f>
        <v>N</v>
      </c>
      <c r="R170" s="12" t="str">
        <f>if(vlookup(B:B,'ILC3310'!B6:F8594,5,false)="","Y","N")</f>
        <v>N</v>
      </c>
      <c r="S170" s="12" t="str">
        <f>if(vlookup(B:B,'ILC3312'!B173:F8612,5,false)="","Y","N")</f>
        <v>N</v>
      </c>
      <c r="T170" s="12" t="str">
        <f>if(vlookup(B:B,'ILC3413'!B142:F8537,5,false)="","Y","N")</f>
        <v>N</v>
      </c>
      <c r="U170" s="12" t="str">
        <f>if(vlookup(B:B,'ILC3415'!B170:F8562,5,false)="","Y","N")</f>
        <v>Y</v>
      </c>
      <c r="V170" s="12" t="str">
        <f>if(vlookup(B:B,'ILC4406'!B105:F8531,5,false)="","Y","N")</f>
        <v>Y</v>
      </c>
      <c r="W170" s="12" t="str">
        <f>if(vlookup(B:B,'ILC4410'!B173:F8779,5,false)="","Y","N")</f>
        <v>Y</v>
      </c>
      <c r="X170" s="12" t="str">
        <f>if(vlookup(B:B,'JBV455'!B173:F9119,5,false)="","Y","N")</f>
        <v>Y</v>
      </c>
      <c r="Y170" s="12" t="str">
        <f>if(vlookup(B:B,'JBV462'!B173:F8612,5,false)="","Y","N")</f>
        <v>Y</v>
      </c>
      <c r="Z170" s="12" t="str">
        <f>if(vlookup(B:B,'JBV464'!B173:F8612,5,false)="","Y","N")</f>
        <v>N</v>
      </c>
      <c r="AA170" s="12" t="str">
        <f>if(vlookup(B:B,'VDI208'!B105:F8612,5,false)="","Y","N")</f>
        <v>N</v>
      </c>
      <c r="AB170" s="76" t="str">
        <f>if(vlookup(B:B,'STO2206'!B105:F8612,5,false)="","Y","N")</f>
        <v>Y</v>
      </c>
    </row>
    <row r="171">
      <c r="A171" s="67" t="str">
        <f t="shared" si="2"/>
        <v>Fri</v>
      </c>
      <c r="B171" s="69">
        <v>43616.0</v>
      </c>
      <c r="C171" s="12" t="str">
        <f>if(vlookup(B:B,'ILC1110'!$B36:F8613,5,false)="","Y","N")</f>
        <v>N</v>
      </c>
      <c r="D171" s="12" t="str">
        <f>if(vlookup(B:B,'ILC1111'!$B36:F8620,5,false)="","Y","N")</f>
        <v>N</v>
      </c>
      <c r="E171" s="12" t="str">
        <f>if(vlookup(B:B,'ILC1112'!$B36:F8613,5,false)="","Y","N")</f>
        <v>N</v>
      </c>
      <c r="F171" s="12" t="str">
        <f>if(vlookup(B:B,'ILC1211'!$B174:F8613,5,false)="","Y","N")</f>
        <v>N</v>
      </c>
      <c r="G171" s="12" t="str">
        <f>if(vlookup(B:B,'ILC1213'!$B101:G8613,5,false)="","Y","N")</f>
        <v>N</v>
      </c>
      <c r="H171" s="12" t="str">
        <f>if(vlookup(B:B,'ILC1314'!$B100:G913,5,false)="","Y","N")</f>
        <v>N</v>
      </c>
      <c r="I171" s="12" t="str">
        <f>if(vlookup(B:B,'ILC1404'!B174:F8336,5,false)="","Y","N")</f>
        <v>Y</v>
      </c>
      <c r="J171" s="12" t="str">
        <f>if(vlookup(B:B,'ILC2203'!B137:F8336,5,false)="","Y","N")</f>
        <v>N</v>
      </c>
      <c r="K171" s="12" t="str">
        <f>if(vlookup(B:B,'ILC2206'!B122:H370,5,false)="","Y","N")</f>
        <v>Y</v>
      </c>
      <c r="L171" s="12" t="str">
        <f>if(vlookup(B:B,'ILC2303'!B174:F8613,5,false)="","Y","N")</f>
        <v>N</v>
      </c>
      <c r="M171" s="12" t="str">
        <f>if(vlookup(B:B,'ILC2307'!B174:F9129,5,false)="","Y","N")</f>
        <v>Y</v>
      </c>
      <c r="N171" s="12" t="str">
        <f>if(vlookup(B:B,'ILC2313'!B174:F8768,5,false)="","Y","N")</f>
        <v>Y</v>
      </c>
      <c r="O171" s="12" t="str">
        <f>if(vlookup(B:B,'ILC2412'!B174:F8613,5,false)="","Y","N")</f>
        <v>N</v>
      </c>
      <c r="P171" s="12" t="str">
        <f>if(vlookup(B:B,'ILC2413'!B174:F9111,5,false)="","Y","N")</f>
        <v>N</v>
      </c>
      <c r="Q171" s="12" t="str">
        <f>if(vlookup(B:B,'ILC3104'!B174:F8656,5,false)="","Y","N")</f>
        <v>N</v>
      </c>
      <c r="R171" s="12" t="str">
        <f>if(vlookup(B:B,'ILC3310'!B6:F8595,5,false)="","Y","N")</f>
        <v>N</v>
      </c>
      <c r="S171" s="12" t="str">
        <f>if(vlookup(B:B,'ILC3312'!B174:F8613,5,false)="","Y","N")</f>
        <v>N</v>
      </c>
      <c r="T171" s="12" t="str">
        <f>if(vlookup(B:B,'ILC3413'!B143:F8538,5,false)="","Y","N")</f>
        <v>N</v>
      </c>
      <c r="U171" s="12" t="str">
        <f>if(vlookup(B:B,'ILC3415'!B171:F8563,5,false)="","Y","N")</f>
        <v>Y</v>
      </c>
      <c r="V171" s="12" t="str">
        <f>if(vlookup(B:B,'ILC4406'!B106:F8532,5,false)="","Y","N")</f>
        <v>Y</v>
      </c>
      <c r="W171" s="12" t="str">
        <f>if(vlookup(B:B,'ILC4410'!B174:F8780,5,false)="","Y","N")</f>
        <v>N</v>
      </c>
      <c r="X171" s="12" t="str">
        <f>if(vlookup(B:B,'JBV455'!B174:F9120,5,false)="","Y","N")</f>
        <v>Y</v>
      </c>
      <c r="Y171" s="12" t="str">
        <f>if(vlookup(B:B,'JBV462'!B174:F8613,5,false)="","Y","N")</f>
        <v>Y</v>
      </c>
      <c r="Z171" s="12" t="str">
        <f>if(vlookup(B:B,'JBV464'!B174:F8613,5,false)="","Y","N")</f>
        <v>N</v>
      </c>
      <c r="AA171" s="12" t="str">
        <f>if(vlookup(B:B,'VDI208'!B106:F8613,5,false)="","Y","N")</f>
        <v>N</v>
      </c>
      <c r="AB171" s="76" t="str">
        <f>if(vlookup(B:B,'STO2206'!B106:F8613,5,false)="","Y","N")</f>
        <v>Y</v>
      </c>
    </row>
    <row r="172">
      <c r="A172" s="67" t="str">
        <f t="shared" si="2"/>
        <v>Sat</v>
      </c>
      <c r="B172" s="69">
        <v>43617.0</v>
      </c>
      <c r="C172" s="12" t="str">
        <f>if(vlookup(B:B,'ILC1110'!$B37:F8614,5,false)="","Y","N")</f>
        <v>N</v>
      </c>
      <c r="D172" s="12" t="str">
        <f>if(vlookup(B:B,'ILC1111'!$B37:F8621,5,false)="","Y","N")</f>
        <v>N</v>
      </c>
      <c r="E172" s="12" t="str">
        <f>if(vlookup(B:B,'ILC1112'!$B37:F8614,5,false)="","Y","N")</f>
        <v>N</v>
      </c>
      <c r="F172" s="12" t="str">
        <f>if(vlookup(B:B,'ILC1211'!$B175:F8614,5,false)="","Y","N")</f>
        <v>N</v>
      </c>
      <c r="G172" s="12" t="str">
        <f>if(vlookup(B:B,'ILC1213'!$B102:G8614,5,false)="","Y","N")</f>
        <v>N</v>
      </c>
      <c r="H172" s="12" t="str">
        <f>if(vlookup(B:B,'ILC1314'!$B101:G914,5,false)="","Y","N")</f>
        <v>N</v>
      </c>
      <c r="I172" s="12" t="str">
        <f>if(vlookup(B:B,'ILC1404'!B175:F8337,5,false)="","Y","N")</f>
        <v>N</v>
      </c>
      <c r="J172" s="12" t="str">
        <f>if(vlookup(B:B,'ILC2203'!B138:F8337,5,false)="","Y","N")</f>
        <v>N</v>
      </c>
      <c r="K172" s="12" t="str">
        <f>if(vlookup(B:B,'ILC2206'!B123:H370,5,false)="","Y","N")</f>
        <v>Y</v>
      </c>
      <c r="L172" s="12" t="str">
        <f>if(vlookup(B:B,'ILC2303'!B175:F8614,5,false)="","Y","N")</f>
        <v>N</v>
      </c>
      <c r="M172" s="12" t="str">
        <f>if(vlookup(B:B,'ILC2307'!B175:F9130,5,false)="","Y","N")</f>
        <v>N</v>
      </c>
      <c r="N172" s="12" t="str">
        <f>if(vlookup(B:B,'ILC2313'!B175:F8769,5,false)="","Y","N")</f>
        <v>Y</v>
      </c>
      <c r="O172" s="12" t="str">
        <f>if(vlookup(B:B,'ILC2412'!B175:F8614,5,false)="","Y","N")</f>
        <v>N</v>
      </c>
      <c r="P172" s="12" t="str">
        <f>if(vlookup(B:B,'ILC2413'!B175:F9112,5,false)="","Y","N")</f>
        <v>N</v>
      </c>
      <c r="Q172" s="12" t="str">
        <f>if(vlookup(B:B,'ILC3104'!B175:F8657,5,false)="","Y","N")</f>
        <v>N</v>
      </c>
      <c r="R172" s="12" t="str">
        <f>if(vlookup(B:B,'ILC3310'!B7:F8596,5,false)="","Y","N")</f>
        <v>N</v>
      </c>
      <c r="S172" s="12" t="str">
        <f>if(vlookup(B:B,'ILC3312'!B175:F8614,5,false)="","Y","N")</f>
        <v>N</v>
      </c>
      <c r="T172" s="12" t="str">
        <f>if(vlookup(B:B,'ILC3413'!B144:F8539,5,false)="","Y","N")</f>
        <v>N</v>
      </c>
      <c r="U172" s="12" t="str">
        <f>if(vlookup(B:B,'ILC3415'!B172:F8564,5,false)="","Y","N")</f>
        <v>Y</v>
      </c>
      <c r="V172" s="12" t="str">
        <f>if(vlookup(B:B,'ILC4406'!B107:F8533,5,false)="","Y","N")</f>
        <v>Y</v>
      </c>
      <c r="W172" s="12" t="str">
        <f>if(vlookup(B:B,'ILC4410'!B175:F8781,5,false)="","Y","N")</f>
        <v>N</v>
      </c>
      <c r="X172" s="12" t="str">
        <f>if(vlookup(B:B,'JBV455'!B175:F9121,5,false)="","Y","N")</f>
        <v>N</v>
      </c>
      <c r="Y172" s="12" t="str">
        <f>if(vlookup(B:B,'JBV462'!B175:F8614,5,false)="","Y","N")</f>
        <v>N</v>
      </c>
      <c r="Z172" s="12" t="str">
        <f>if(vlookup(B:B,'JBV464'!B175:F8614,5,false)="","Y","N")</f>
        <v>N</v>
      </c>
      <c r="AA172" s="12" t="str">
        <f>if(vlookup(B:B,'VDI208'!B107:F8614,5,false)="","Y","N")</f>
        <v>N</v>
      </c>
      <c r="AB172" s="76" t="str">
        <f>if(vlookup(B:B,'STO2206'!B107:F8614,5,false)="","Y","N")</f>
        <v>Y</v>
      </c>
    </row>
    <row r="173">
      <c r="A173" s="67" t="str">
        <f t="shared" si="2"/>
        <v>Sun</v>
      </c>
      <c r="B173" s="69">
        <v>43618.0</v>
      </c>
      <c r="C173" s="12" t="str">
        <f>if(vlookup(B:B,'ILC1110'!$B38:F8615,5,false)="","Y","N")</f>
        <v>N</v>
      </c>
      <c r="D173" s="12" t="str">
        <f>if(vlookup(B:B,'ILC1111'!$B38:F8622,5,false)="","Y","N")</f>
        <v>N</v>
      </c>
      <c r="E173" s="12" t="str">
        <f>if(vlookup(B:B,'ILC1112'!$B38:F8615,5,false)="","Y","N")</f>
        <v>Y</v>
      </c>
      <c r="F173" s="12" t="str">
        <f>if(vlookup(B:B,'ILC1211'!$B176:F8615,5,false)="","Y","N")</f>
        <v>N</v>
      </c>
      <c r="G173" s="12" t="str">
        <f>if(vlookup(B:B,'ILC1213'!$B103:G8615,5,false)="","Y","N")</f>
        <v>N</v>
      </c>
      <c r="H173" s="12" t="str">
        <f>if(vlookup(B:B,'ILC1314'!$B102:G915,5,false)="","Y","N")</f>
        <v>Y</v>
      </c>
      <c r="I173" s="12" t="str">
        <f>if(vlookup(B:B,'ILC1404'!B176:F8338,5,false)="","Y","N")</f>
        <v>N</v>
      </c>
      <c r="J173" s="12" t="str">
        <f>if(vlookup(B:B,'ILC2203'!B139:F8338,5,false)="","Y","N")</f>
        <v>Y</v>
      </c>
      <c r="K173" s="12" t="str">
        <f>if(vlookup(B:B,'ILC2206'!B124:H370,5,false)="","Y","N")</f>
        <v>Y</v>
      </c>
      <c r="L173" s="12" t="str">
        <f>if(vlookup(B:B,'ILC2303'!B176:F8615,5,false)="","Y","N")</f>
        <v>N</v>
      </c>
      <c r="M173" s="12" t="str">
        <f>if(vlookup(B:B,'ILC2307'!B176:F9131,5,false)="","Y","N")</f>
        <v>N</v>
      </c>
      <c r="N173" s="12" t="str">
        <f>if(vlookup(B:B,'ILC2313'!B176:F8770,5,false)="","Y","N")</f>
        <v>Y</v>
      </c>
      <c r="O173" s="12" t="str">
        <f>if(vlookup(B:B,'ILC2412'!B176:F8615,5,false)="","Y","N")</f>
        <v>Y</v>
      </c>
      <c r="P173" s="12" t="str">
        <f>if(vlookup(B:B,'ILC2413'!B176:F9113,5,false)="","Y","N")</f>
        <v>N</v>
      </c>
      <c r="Q173" s="12" t="str">
        <f>if(vlookup(B:B,'ILC3104'!B176:F8658,5,false)="","Y","N")</f>
        <v>Y</v>
      </c>
      <c r="R173" s="12" t="str">
        <f>if(vlookup(B:B,'ILC3310'!B8:F8597,5,false)="","Y","N")</f>
        <v>Y</v>
      </c>
      <c r="S173" s="12" t="str">
        <f>if(vlookup(B:B,'ILC3312'!B176:F8615,5,false)="","Y","N")</f>
        <v>Y</v>
      </c>
      <c r="T173" s="12" t="str">
        <f>if(vlookup(B:B,'ILC3413'!B145:F8540,5,false)="","Y","N")</f>
        <v>Y</v>
      </c>
      <c r="U173" s="12" t="str">
        <f>if(vlookup(B:B,'ILC3415'!B173:F8565,5,false)="","Y","N")</f>
        <v>Y</v>
      </c>
      <c r="V173" s="12" t="str">
        <f>if(vlookup(B:B,'ILC4406'!B108:F8534,5,false)="","Y","N")</f>
        <v>Y</v>
      </c>
      <c r="W173" s="12" t="str">
        <f>if(vlookup(B:B,'ILC4410'!B176:F8782,5,false)="","Y","N")</f>
        <v>N</v>
      </c>
      <c r="X173" s="12" t="str">
        <f>if(vlookup(B:B,'JBV455'!B176:F9122,5,false)="","Y","N")</f>
        <v>N</v>
      </c>
      <c r="Y173" s="12" t="str">
        <f>if(vlookup(B:B,'JBV462'!B176:F8615,5,false)="","Y","N")</f>
        <v>N</v>
      </c>
      <c r="Z173" s="12" t="str">
        <f>if(vlookup(B:B,'JBV464'!B176:F8615,5,false)="","Y","N")</f>
        <v>N</v>
      </c>
      <c r="AA173" s="12" t="str">
        <f>if(vlookup(B:B,'VDI208'!B108:F8615,5,false)="","Y","N")</f>
        <v>N</v>
      </c>
      <c r="AB173" s="76" t="str">
        <f>if(vlookup(B:B,'STO2206'!B108:F8615,5,false)="","Y","N")</f>
        <v>Y</v>
      </c>
    </row>
    <row r="174">
      <c r="A174" s="67" t="str">
        <f t="shared" si="2"/>
        <v>Mon</v>
      </c>
      <c r="B174" s="69">
        <v>43619.0</v>
      </c>
      <c r="C174" s="12" t="str">
        <f>if(vlookup(B:B,'ILC1110'!$B39:F8616,5,false)="","Y","N")</f>
        <v>Y</v>
      </c>
      <c r="D174" s="12" t="str">
        <f>if(vlookup(B:B,'ILC1111'!$B39:F8623,5,false)="","Y","N")</f>
        <v>Y</v>
      </c>
      <c r="E174" s="12" t="str">
        <f>if(vlookup(B:B,'ILC1112'!$B39:F8616,5,false)="","Y","N")</f>
        <v>Y</v>
      </c>
      <c r="F174" s="12" t="str">
        <f>if(vlookup(B:B,'ILC1211'!$B177:F8616,5,false)="","Y","N")</f>
        <v>N</v>
      </c>
      <c r="G174" s="12" t="str">
        <f>if(vlookup(B:B,'ILC1213'!$B104:G8616,5,false)="","Y","N")</f>
        <v>Y</v>
      </c>
      <c r="H174" s="12" t="str">
        <f>if(vlookup(B:B,'ILC1314'!$B103:G916,5,false)="","Y","N")</f>
        <v>Y</v>
      </c>
      <c r="I174" s="12" t="str">
        <f>if(vlookup(B:B,'ILC1404'!B177:F8339,5,false)="","Y","N")</f>
        <v>N</v>
      </c>
      <c r="J174" s="12" t="str">
        <f>if(vlookup(B:B,'ILC2203'!B140:F8339,5,false)="","Y","N")</f>
        <v>Y</v>
      </c>
      <c r="K174" s="12" t="str">
        <f>if(vlookup(B:B,'ILC2206'!B125:H370,5,false)="","Y","N")</f>
        <v>Y</v>
      </c>
      <c r="L174" s="12" t="str">
        <f>if(vlookup(B:B,'ILC2303'!B177:F8616,5,false)="","Y","N")</f>
        <v>N</v>
      </c>
      <c r="M174" s="12" t="str">
        <f>if(vlookup(B:B,'ILC2307'!B177:F9132,5,false)="","Y","N")</f>
        <v>Y</v>
      </c>
      <c r="N174" s="12" t="str">
        <f>if(vlookup(B:B,'ILC2313'!B177:F8771,5,false)="","Y","N")</f>
        <v>Y</v>
      </c>
      <c r="O174" s="12" t="str">
        <f>if(vlookup(B:B,'ILC2412'!B177:F8616,5,false)="","Y","N")</f>
        <v>Y</v>
      </c>
      <c r="P174" s="12" t="str">
        <f>if(vlookup(B:B,'ILC2413'!B177:F9114,5,false)="","Y","N")</f>
        <v>Y</v>
      </c>
      <c r="Q174" s="12" t="str">
        <f>if(vlookup(B:B,'ILC3104'!B177:F8659,5,false)="","Y","N")</f>
        <v>Y</v>
      </c>
      <c r="R174" s="12" t="str">
        <f>if(vlookup(B:B,'ILC3310'!B9:F8598,5,false)="","Y","N")</f>
        <v>Y</v>
      </c>
      <c r="S174" s="12" t="str">
        <f>if(vlookup(B:B,'ILC3312'!B177:F8616,5,false)="","Y","N")</f>
        <v>Y</v>
      </c>
      <c r="T174" s="12" t="str">
        <f>if(vlookup(B:B,'ILC3413'!B146:F8541,5,false)="","Y","N")</f>
        <v>Y</v>
      </c>
      <c r="U174" s="12" t="str">
        <f>if(vlookup(B:B,'ILC3415'!B174:F8566,5,false)="","Y","N")</f>
        <v>Y</v>
      </c>
      <c r="V174" s="12" t="str">
        <f>if(vlookup(B:B,'ILC4406'!B109:F8535,5,false)="","Y","N")</f>
        <v>Y</v>
      </c>
      <c r="W174" s="12" t="str">
        <f>if(vlookup(B:B,'ILC4410'!B177:F8783,5,false)="","Y","N")</f>
        <v>N</v>
      </c>
      <c r="X174" s="12" t="str">
        <f>if(vlookup(B:B,'JBV455'!B177:F9123,5,false)="","Y","N")</f>
        <v>Y</v>
      </c>
      <c r="Y174" s="12" t="str">
        <f>if(vlookup(B:B,'JBV462'!B177:F8616,5,false)="","Y","N")</f>
        <v>Y</v>
      </c>
      <c r="Z174" s="12" t="str">
        <f>if(vlookup(B:B,'JBV464'!B177:F8616,5,false)="","Y","N")</f>
        <v>Y</v>
      </c>
      <c r="AA174" s="12" t="str">
        <f>if(vlookup(B:B,'VDI208'!B109:F8616,5,false)="","Y","N")</f>
        <v>Y</v>
      </c>
      <c r="AB174" s="76" t="str">
        <f>if(vlookup(B:B,'STO2206'!B109:F8616,5,false)="","Y","N")</f>
        <v>Y</v>
      </c>
    </row>
    <row r="175">
      <c r="A175" s="67" t="str">
        <f t="shared" si="2"/>
        <v>Tue</v>
      </c>
      <c r="B175" s="69">
        <v>43620.0</v>
      </c>
      <c r="C175" s="12" t="str">
        <f>if(vlookup(B:B,'ILC1110'!$B40:F8617,5,false)="","Y","N")</f>
        <v>Y</v>
      </c>
      <c r="D175" s="12" t="str">
        <f>if(vlookup(B:B,'ILC1111'!$B40:F8624,5,false)="","Y","N")</f>
        <v>Y</v>
      </c>
      <c r="E175" s="12" t="str">
        <f>if(vlookup(B:B,'ILC1112'!$B40:F8617,5,false)="","Y","N")</f>
        <v>Y</v>
      </c>
      <c r="F175" s="12" t="str">
        <f>if(vlookup(B:B,'ILC1211'!$B178:F8617,5,false)="","Y","N")</f>
        <v>N</v>
      </c>
      <c r="G175" s="12" t="str">
        <f>if(vlookup(B:B,'ILC1213'!$B105:G8617,5,false)="","Y","N")</f>
        <v>Y</v>
      </c>
      <c r="H175" s="12" t="str">
        <f>if(vlookup(B:B,'ILC1314'!$B104:G917,5,false)="","Y","N")</f>
        <v>Y</v>
      </c>
      <c r="I175" s="12" t="str">
        <f>if(vlookup(B:B,'ILC1404'!B178:F8340,5,false)="","Y","N")</f>
        <v>Y</v>
      </c>
      <c r="J175" s="12" t="str">
        <f>if(vlookup(B:B,'ILC2203'!B141:F8340,5,false)="","Y","N")</f>
        <v>Y</v>
      </c>
      <c r="K175" s="12" t="str">
        <f>if(vlookup(B:B,'ILC2206'!B126:H370,5,false)="","Y","N")</f>
        <v>Y</v>
      </c>
      <c r="L175" s="12" t="str">
        <f>if(vlookup(B:B,'ILC2303'!B178:F8617,5,false)="","Y","N")</f>
        <v>N</v>
      </c>
      <c r="M175" s="12" t="str">
        <f>if(vlookup(B:B,'ILC2307'!B178:F9133,5,false)="","Y","N")</f>
        <v>Y</v>
      </c>
      <c r="N175" s="12" t="str">
        <f>if(vlookup(B:B,'ILC2313'!B178:F8772,5,false)="","Y","N")</f>
        <v>Y</v>
      </c>
      <c r="O175" s="12" t="str">
        <f>if(vlookup(B:B,'ILC2412'!B178:F8617,5,false)="","Y","N")</f>
        <v>Y</v>
      </c>
      <c r="P175" s="12" t="str">
        <f>if(vlookup(B:B,'ILC2413'!B178:F9115,5,false)="","Y","N")</f>
        <v>Y</v>
      </c>
      <c r="Q175" s="12" t="str">
        <f>if(vlookup(B:B,'ILC3104'!B178:F8660,5,false)="","Y","N")</f>
        <v>Y</v>
      </c>
      <c r="R175" s="12" t="str">
        <f>if(vlookup(B:B,'ILC3310'!B10:F8599,5,false)="","Y","N")</f>
        <v>Y</v>
      </c>
      <c r="S175" s="12" t="str">
        <f>if(vlookup(B:B,'ILC3312'!B178:F8617,5,false)="","Y","N")</f>
        <v>Y</v>
      </c>
      <c r="T175" s="12" t="str">
        <f>if(vlookup(B:B,'ILC3413'!B147:F8542,5,false)="","Y","N")</f>
        <v>Y</v>
      </c>
      <c r="U175" s="12" t="str">
        <f>if(vlookup(B:B,'ILC3415'!B175:F8567,5,false)="","Y","N")</f>
        <v>Y</v>
      </c>
      <c r="V175" s="12" t="str">
        <f>if(vlookup(B:B,'ILC4406'!B110:F8536,5,false)="","Y","N")</f>
        <v>Y</v>
      </c>
      <c r="W175" s="12" t="str">
        <f>if(vlookup(B:B,'ILC4410'!B178:F8784,5,false)="","Y","N")</f>
        <v>N</v>
      </c>
      <c r="X175" s="12" t="str">
        <f>if(vlookup(B:B,'JBV455'!B178:F9124,5,false)="","Y","N")</f>
        <v>Y</v>
      </c>
      <c r="Y175" s="12" t="str">
        <f>if(vlookup(B:B,'JBV462'!B178:F8617,5,false)="","Y","N")</f>
        <v>Y</v>
      </c>
      <c r="Z175" s="12" t="str">
        <f>if(vlookup(B:B,'JBV464'!B178:F8617,5,false)="","Y","N")</f>
        <v>Y</v>
      </c>
      <c r="AA175" s="12" t="str">
        <f>if(vlookup(B:B,'VDI208'!B110:F8617,5,false)="","Y","N")</f>
        <v>Y</v>
      </c>
      <c r="AB175" s="76" t="str">
        <f>if(vlookup(B:B,'STO2206'!B110:F8617,5,false)="","Y","N")</f>
        <v>Y</v>
      </c>
    </row>
    <row r="176">
      <c r="A176" s="67" t="str">
        <f t="shared" si="2"/>
        <v>Wed</v>
      </c>
      <c r="B176" s="69">
        <v>43621.0</v>
      </c>
      <c r="C176" s="12" t="str">
        <f>if(vlookup(B:B,'ILC1110'!$B41:F8618,5,false)="","Y","N")</f>
        <v>Y</v>
      </c>
      <c r="D176" s="12" t="str">
        <f>if(vlookup(B:B,'ILC1111'!$B41:F8625,5,false)="","Y","N")</f>
        <v>Y</v>
      </c>
      <c r="E176" s="12" t="str">
        <f>if(vlookup(B:B,'ILC1112'!$B41:F8618,5,false)="","Y","N")</f>
        <v>Y</v>
      </c>
      <c r="F176" s="12" t="str">
        <f>if(vlookup(B:B,'ILC1211'!$B179:F8618,5,false)="","Y","N")</f>
        <v>N</v>
      </c>
      <c r="G176" s="12" t="str">
        <f>if(vlookup(B:B,'ILC1213'!$B106:G8618,5,false)="","Y","N")</f>
        <v>Y</v>
      </c>
      <c r="H176" s="12" t="str">
        <f>if(vlookup(B:B,'ILC1314'!$B105:G918,5,false)="","Y","N")</f>
        <v>Y</v>
      </c>
      <c r="I176" s="12" t="str">
        <f>if(vlookup(B:B,'ILC1404'!B179:F8341,5,false)="","Y","N")</f>
        <v>Y</v>
      </c>
      <c r="J176" s="12" t="str">
        <f>if(vlookup(B:B,'ILC2203'!B142:F8341,5,false)="","Y","N")</f>
        <v>Y</v>
      </c>
      <c r="K176" s="12" t="str">
        <f>if(vlookup(B:B,'ILC2206'!B127:H370,5,false)="","Y","N")</f>
        <v>Y</v>
      </c>
      <c r="L176" s="12" t="str">
        <f>if(vlookup(B:B,'ILC2303'!B179:F8618,5,false)="","Y","N")</f>
        <v>N</v>
      </c>
      <c r="M176" s="12" t="str">
        <f>if(vlookup(B:B,'ILC2307'!B179:F9134,5,false)="","Y","N")</f>
        <v>Y</v>
      </c>
      <c r="N176" s="12" t="str">
        <f>if(vlookup(B:B,'ILC2313'!B179:F8773,5,false)="","Y","N")</f>
        <v>Y</v>
      </c>
      <c r="O176" s="12" t="str">
        <f>if(vlookup(B:B,'ILC2412'!B179:F8618,5,false)="","Y","N")</f>
        <v>Y</v>
      </c>
      <c r="P176" s="12" t="str">
        <f>if(vlookup(B:B,'ILC2413'!B179:F9116,5,false)="","Y","N")</f>
        <v>Y</v>
      </c>
      <c r="Q176" s="12" t="str">
        <f>if(vlookup(B:B,'ILC3104'!B179:F8661,5,false)="","Y","N")</f>
        <v>Y</v>
      </c>
      <c r="R176" s="12" t="str">
        <f>if(vlookup(B:B,'ILC3310'!B11:F8600,5,false)="","Y","N")</f>
        <v>Y</v>
      </c>
      <c r="S176" s="12" t="str">
        <f>if(vlookup(B:B,'ILC3312'!B179:F8618,5,false)="","Y","N")</f>
        <v>Y</v>
      </c>
      <c r="T176" s="12" t="str">
        <f>if(vlookup(B:B,'ILC3413'!B148:F8543,5,false)="","Y","N")</f>
        <v>Y</v>
      </c>
      <c r="U176" s="12" t="str">
        <f>if(vlookup(B:B,'ILC3415'!B176:F8568,5,false)="","Y","N")</f>
        <v>Y</v>
      </c>
      <c r="V176" s="12" t="str">
        <f>if(vlookup(B:B,'ILC4406'!B111:F8537,5,false)="","Y","N")</f>
        <v>Y</v>
      </c>
      <c r="W176" s="12" t="str">
        <f>if(vlookup(B:B,'ILC4410'!B179:F8785,5,false)="","Y","N")</f>
        <v>Y</v>
      </c>
      <c r="X176" s="12" t="str">
        <f>if(vlookup(B:B,'JBV455'!B179:F9125,5,false)="","Y","N")</f>
        <v>N</v>
      </c>
      <c r="Y176" s="12" t="str">
        <f>if(vlookup(B:B,'JBV462'!B179:F8618,5,false)="","Y","N")</f>
        <v>N</v>
      </c>
      <c r="Z176" s="12" t="str">
        <f>if(vlookup(B:B,'JBV464'!B179:F8618,5,false)="","Y","N")</f>
        <v>N</v>
      </c>
      <c r="AA176" s="12" t="str">
        <f>if(vlookup(B:B,'VDI208'!B111:F8618,5,false)="","Y","N")</f>
        <v>Y</v>
      </c>
      <c r="AB176" s="76" t="str">
        <f>if(vlookup(B:B,'STO2206'!B111:F8618,5,false)="","Y","N")</f>
        <v>Y</v>
      </c>
    </row>
    <row r="177">
      <c r="A177" s="67" t="str">
        <f t="shared" si="2"/>
        <v>Thu</v>
      </c>
      <c r="B177" s="69">
        <v>43622.0</v>
      </c>
      <c r="C177" s="12" t="str">
        <f>if(vlookup(B:B,'ILC1110'!$B42:F8619,5,false)="","Y","N")</f>
        <v>N</v>
      </c>
      <c r="D177" s="12" t="str">
        <f>if(vlookup(B:B,'ILC1111'!$B42:F8626,5,false)="","Y","N")</f>
        <v>Y</v>
      </c>
      <c r="E177" s="12" t="str">
        <f>if(vlookup(B:B,'ILC1112'!$B42:F8619,5,false)="","Y","N")</f>
        <v>Y</v>
      </c>
      <c r="F177" s="12" t="str">
        <f>if(vlookup(B:B,'ILC1211'!$B180:F8619,5,false)="","Y","N")</f>
        <v>Y</v>
      </c>
      <c r="G177" s="12" t="str">
        <f>if(vlookup(B:B,'ILC1213'!$B107:G8619,5,false)="","Y","N")</f>
        <v>Y</v>
      </c>
      <c r="H177" s="12" t="str">
        <f>if(vlookup(B:B,'ILC1314'!$B106:G919,5,false)="","Y","N")</f>
        <v>Y</v>
      </c>
      <c r="I177" s="12" t="str">
        <f>if(vlookup(B:B,'ILC1404'!B180:F8342,5,false)="","Y","N")</f>
        <v>Y</v>
      </c>
      <c r="J177" s="12" t="str">
        <f>if(vlookup(B:B,'ILC2203'!B143:F8342,5,false)="","Y","N")</f>
        <v>Y</v>
      </c>
      <c r="K177" s="12" t="str">
        <f>if(vlookup(B:B,'ILC2206'!B128:H370,5,false)="","Y","N")</f>
        <v>Y</v>
      </c>
      <c r="L177" s="12" t="str">
        <f>if(vlookup(B:B,'ILC2303'!B180:F8619,5,false)="","Y","N")</f>
        <v>N</v>
      </c>
      <c r="M177" s="12" t="str">
        <f>if(vlookup(B:B,'ILC2307'!B180:F9135,5,false)="","Y","N")</f>
        <v>Y</v>
      </c>
      <c r="N177" s="12" t="str">
        <f>if(vlookup(B:B,'ILC2313'!B180:F8774,5,false)="","Y","N")</f>
        <v>Y</v>
      </c>
      <c r="O177" s="12" t="str">
        <f>if(vlookup(B:B,'ILC2412'!B180:F8619,5,false)="","Y","N")</f>
        <v>Y</v>
      </c>
      <c r="P177" s="12" t="str">
        <f>if(vlookup(B:B,'ILC2413'!B180:F9117,5,false)="","Y","N")</f>
        <v>Y</v>
      </c>
      <c r="Q177" s="12" t="str">
        <f>if(vlookup(B:B,'ILC3104'!B180:F8662,5,false)="","Y","N")</f>
        <v>Y</v>
      </c>
      <c r="R177" s="12" t="str">
        <f>if(vlookup(B:B,'ILC3310'!B12:F8601,5,false)="","Y","N")</f>
        <v>Y</v>
      </c>
      <c r="S177" s="12" t="str">
        <f>if(vlookup(B:B,'ILC3312'!B180:F8619,5,false)="","Y","N")</f>
        <v>Y</v>
      </c>
      <c r="T177" s="12" t="str">
        <f>if(vlookup(B:B,'ILC3413'!B149:F8544,5,false)="","Y","N")</f>
        <v>Y</v>
      </c>
      <c r="U177" s="12" t="str">
        <f>if(vlookup(B:B,'ILC3415'!B177:F8569,5,false)="","Y","N")</f>
        <v>Y</v>
      </c>
      <c r="V177" s="12" t="str">
        <f>if(vlookup(B:B,'ILC4406'!B112:F8538,5,false)="","Y","N")</f>
        <v>Y</v>
      </c>
      <c r="W177" s="12" t="str">
        <f>if(vlookup(B:B,'ILC4410'!B180:F8786,5,false)="","Y","N")</f>
        <v>Y</v>
      </c>
      <c r="X177" s="12" t="str">
        <f>if(vlookup(B:B,'JBV455'!B180:F9126,5,false)="","Y","N")</f>
        <v>N</v>
      </c>
      <c r="Y177" s="12" t="str">
        <f>if(vlookup(B:B,'JBV462'!B180:F8619,5,false)="","Y","N")</f>
        <v>N</v>
      </c>
      <c r="Z177" s="12" t="str">
        <f>if(vlookup(B:B,'JBV464'!B180:F8619,5,false)="","Y","N")</f>
        <v>N</v>
      </c>
      <c r="AA177" s="12" t="str">
        <f>if(vlookup(B:B,'VDI208'!B112:F8619,5,false)="","Y","N")</f>
        <v>Y</v>
      </c>
      <c r="AB177" s="76" t="str">
        <f>if(vlookup(B:B,'STO2206'!B112:F8619,5,false)="","Y","N")</f>
        <v>Y</v>
      </c>
    </row>
    <row r="178">
      <c r="A178" s="67" t="str">
        <f t="shared" si="2"/>
        <v>Fri</v>
      </c>
      <c r="B178" s="69">
        <v>43623.0</v>
      </c>
      <c r="C178" s="12" t="str">
        <f>if(vlookup(B:B,'ILC1110'!$B43:F8620,5,false)="","Y","N")</f>
        <v>N</v>
      </c>
      <c r="D178" s="12" t="str">
        <f>if(vlookup(B:B,'ILC1111'!$B43:F8627,5,false)="","Y","N")</f>
        <v>Y</v>
      </c>
      <c r="E178" s="12" t="str">
        <f>if(vlookup(B:B,'ILC1112'!$B43:F8620,5,false)="","Y","N")</f>
        <v>N</v>
      </c>
      <c r="F178" s="12" t="str">
        <f>if(vlookup(B:B,'ILC1211'!$B181:F8620,5,false)="","Y","N")</f>
        <v>Y</v>
      </c>
      <c r="G178" s="12" t="str">
        <f>if(vlookup(B:B,'ILC1213'!$B108:G8620,5,false)="","Y","N")</f>
        <v>Y</v>
      </c>
      <c r="H178" s="12" t="str">
        <f>if(vlookup(B:B,'ILC1314'!$B107:G920,5,false)="","Y","N")</f>
        <v>N</v>
      </c>
      <c r="I178" s="12" t="str">
        <f>if(vlookup(B:B,'ILC1404'!B181:F8343,5,false)="","Y","N")</f>
        <v>Y</v>
      </c>
      <c r="J178" s="12" t="str">
        <f>if(vlookup(B:B,'ILC2203'!B144:F8343,5,false)="","Y","N")</f>
        <v>Y</v>
      </c>
      <c r="K178" s="12" t="str">
        <f>if(vlookup(B:B,'ILC2206'!B129:H370,5,false)="","Y","N")</f>
        <v>Y</v>
      </c>
      <c r="L178" s="12" t="str">
        <f>if(vlookup(B:B,'ILC2303'!B181:F8620,5,false)="","Y","N")</f>
        <v>N</v>
      </c>
      <c r="M178" s="12" t="str">
        <f>if(vlookup(B:B,'ILC2307'!B181:F9136,5,false)="","Y","N")</f>
        <v>N</v>
      </c>
      <c r="N178" s="12" t="str">
        <f>if(vlookup(B:B,'ILC2313'!B181:F8775,5,false)="","Y","N")</f>
        <v>Y</v>
      </c>
      <c r="O178" s="12" t="str">
        <f>if(vlookup(B:B,'ILC2412'!B181:F8620,5,false)="","Y","N")</f>
        <v>Y</v>
      </c>
      <c r="P178" s="12" t="str">
        <f>if(vlookup(B:B,'ILC2413'!B181:F9118,5,false)="","Y","N")</f>
        <v>Y</v>
      </c>
      <c r="Q178" s="12" t="str">
        <f>if(vlookup(B:B,'ILC3104'!B181:F8663,5,false)="","Y","N")</f>
        <v>Y</v>
      </c>
      <c r="R178" s="12" t="str">
        <f>if(vlookup(B:B,'ILC3310'!B13:F8602,5,false)="","Y","N")</f>
        <v>Y</v>
      </c>
      <c r="S178" s="12" t="str">
        <f>if(vlookup(B:B,'ILC3312'!B181:F8620,5,false)="","Y","N")</f>
        <v>Y</v>
      </c>
      <c r="T178" s="12" t="str">
        <f>if(vlookup(B:B,'ILC3413'!B150:F8545,5,false)="","Y","N")</f>
        <v>Y</v>
      </c>
      <c r="U178" s="12" t="str">
        <f>if(vlookup(B:B,'ILC3415'!B178:F8570,5,false)="","Y","N")</f>
        <v>Y</v>
      </c>
      <c r="V178" s="12" t="str">
        <f>if(vlookup(B:B,'ILC4406'!B113:F8539,5,false)="","Y","N")</f>
        <v>Y</v>
      </c>
      <c r="W178" s="12" t="str">
        <f>if(vlookup(B:B,'ILC4410'!B181:F8787,5,false)="","Y","N")</f>
        <v>Y</v>
      </c>
      <c r="X178" s="12" t="str">
        <f>if(vlookup(B:B,'JBV455'!B181:F9127,5,false)="","Y","N")</f>
        <v>N</v>
      </c>
      <c r="Y178" s="12" t="str">
        <f>if(vlookup(B:B,'JBV462'!B181:F8620,5,false)="","Y","N")</f>
        <v>N</v>
      </c>
      <c r="Z178" s="12" t="str">
        <f>if(vlookup(B:B,'JBV464'!B181:F8620,5,false)="","Y","N")</f>
        <v>N</v>
      </c>
      <c r="AA178" s="12" t="str">
        <f>if(vlookup(B:B,'VDI208'!B113:F8620,5,false)="","Y","N")</f>
        <v>Y</v>
      </c>
      <c r="AB178" s="76" t="str">
        <f>if(vlookup(B:B,'STO2206'!B113:F8620,5,false)="","Y","N")</f>
        <v>Y</v>
      </c>
    </row>
    <row r="179">
      <c r="A179" s="67" t="str">
        <f t="shared" si="2"/>
        <v>Sat</v>
      </c>
      <c r="B179" s="69">
        <v>43624.0</v>
      </c>
      <c r="C179" s="12" t="str">
        <f>if(vlookup(B:B,'ILC1110'!$B44:F8621,5,false)="","Y","N")</f>
        <v>N</v>
      </c>
      <c r="D179" s="12" t="str">
        <f>if(vlookup(B:B,'ILC1111'!$B44:F8628,5,false)="","Y","N")</f>
        <v>Y</v>
      </c>
      <c r="E179" s="12" t="str">
        <f>if(vlookup(B:B,'ILC1112'!$B44:F8621,5,false)="","Y","N")</f>
        <v>N</v>
      </c>
      <c r="F179" s="12" t="str">
        <f>if(vlookup(B:B,'ILC1211'!$B182:F8621,5,false)="","Y","N")</f>
        <v>Y</v>
      </c>
      <c r="G179" s="12" t="str">
        <f>if(vlookup(B:B,'ILC1213'!$B109:G8621,5,false)="","Y","N")</f>
        <v>Y</v>
      </c>
      <c r="H179" s="12" t="str">
        <f>if(vlookup(B:B,'ILC1314'!$B108:G921,5,false)="","Y","N")</f>
        <v>N</v>
      </c>
      <c r="I179" s="12" t="str">
        <f>if(vlookup(B:B,'ILC1404'!B182:F8344,5,false)="","Y","N")</f>
        <v>Y</v>
      </c>
      <c r="J179" s="12" t="str">
        <f>if(vlookup(B:B,'ILC2203'!B145:F8344,5,false)="","Y","N")</f>
        <v>Y</v>
      </c>
      <c r="K179" s="12" t="str">
        <f>if(vlookup(B:B,'ILC2206'!B130:H370,5,false)="","Y","N")</f>
        <v>Y</v>
      </c>
      <c r="L179" s="12" t="str">
        <f>if(vlookup(B:B,'ILC2303'!B182:F8621,5,false)="","Y","N")</f>
        <v>N</v>
      </c>
      <c r="M179" s="12" t="str">
        <f>if(vlookup(B:B,'ILC2307'!B182:F9137,5,false)="","Y","N")</f>
        <v>N</v>
      </c>
      <c r="N179" s="12" t="str">
        <f>if(vlookup(B:B,'ILC2313'!B182:F8776,5,false)="","Y","N")</f>
        <v>Y</v>
      </c>
      <c r="O179" s="12" t="str">
        <f>if(vlookup(B:B,'ILC2412'!B182:F8621,5,false)="","Y","N")</f>
        <v>Y</v>
      </c>
      <c r="P179" s="12" t="str">
        <f>if(vlookup(B:B,'ILC2413'!B182:F9119,5,false)="","Y","N")</f>
        <v>Y</v>
      </c>
      <c r="Q179" s="12" t="str">
        <f>if(vlookup(B:B,'ILC3104'!B182:F8664,5,false)="","Y","N")</f>
        <v>Y</v>
      </c>
      <c r="R179" s="12" t="str">
        <f>if(vlookup(B:B,'ILC3310'!B14:F8603,5,false)="","Y","N")</f>
        <v>Y</v>
      </c>
      <c r="S179" s="12" t="str">
        <f>if(vlookup(B:B,'ILC3312'!B182:F8621,5,false)="","Y","N")</f>
        <v>Y</v>
      </c>
      <c r="T179" s="12" t="str">
        <f>if(vlookup(B:B,'ILC3413'!B151:F8546,5,false)="","Y","N")</f>
        <v>Y</v>
      </c>
      <c r="U179" s="12" t="str">
        <f>if(vlookup(B:B,'ILC3415'!B179:F8571,5,false)="","Y","N")</f>
        <v>Y</v>
      </c>
      <c r="V179" s="12" t="str">
        <f>if(vlookup(B:B,'ILC4406'!B114:F8540,5,false)="","Y","N")</f>
        <v>Y</v>
      </c>
      <c r="W179" s="12" t="str">
        <f>if(vlookup(B:B,'ILC4410'!B182:F8788,5,false)="","Y","N")</f>
        <v>Y</v>
      </c>
      <c r="X179" s="12" t="str">
        <f>if(vlookup(B:B,'JBV455'!B182:F9128,5,false)="","Y","N")</f>
        <v>N</v>
      </c>
      <c r="Y179" s="12" t="str">
        <f>if(vlookup(B:B,'JBV462'!B182:F8621,5,false)="","Y","N")</f>
        <v>N</v>
      </c>
      <c r="Z179" s="12" t="str">
        <f>if(vlookup(B:B,'JBV464'!B182:F8621,5,false)="","Y","N")</f>
        <v>N</v>
      </c>
      <c r="AA179" s="12" t="str">
        <f>if(vlookup(B:B,'VDI208'!B114:F8621,5,false)="","Y","N")</f>
        <v>Y</v>
      </c>
      <c r="AB179" s="76" t="str">
        <f>if(vlookup(B:B,'STO2206'!B114:F8621,5,false)="","Y","N")</f>
        <v>Y</v>
      </c>
    </row>
    <row r="180">
      <c r="A180" s="67" t="str">
        <f t="shared" si="2"/>
        <v>Sun</v>
      </c>
      <c r="B180" s="69">
        <v>43625.0</v>
      </c>
      <c r="C180" s="12" t="str">
        <f>if(vlookup(B:B,'ILC1110'!$B45:F8622,5,false)="","Y","N")</f>
        <v>N</v>
      </c>
      <c r="D180" s="12" t="str">
        <f>if(vlookup(B:B,'ILC1111'!$B45:F8629,5,false)="","Y","N")</f>
        <v>Y</v>
      </c>
      <c r="E180" s="12" t="str">
        <f>if(vlookup(B:B,'ILC1112'!$B45:F8622,5,false)="","Y","N")</f>
        <v>Y</v>
      </c>
      <c r="F180" s="12" t="str">
        <f>if(vlookup(B:B,'ILC1211'!$B183:F8622,5,false)="","Y","N")</f>
        <v>Y</v>
      </c>
      <c r="G180" s="12" t="str">
        <f>if(vlookup(B:B,'ILC1213'!$B110:G8622,5,false)="","Y","N")</f>
        <v>Y</v>
      </c>
      <c r="H180" s="12" t="str">
        <f>if(vlookup(B:B,'ILC1314'!$B109:G922,5,false)="","Y","N")</f>
        <v>N</v>
      </c>
      <c r="I180" s="12" t="str">
        <f>if(vlookup(B:B,'ILC1404'!B183:F8345,5,false)="","Y","N")</f>
        <v>Y</v>
      </c>
      <c r="J180" s="12" t="str">
        <f>if(vlookup(B:B,'ILC2203'!B146:F8345,5,false)="","Y","N")</f>
        <v>Y</v>
      </c>
      <c r="K180" s="12" t="str">
        <f>if(vlookup(B:B,'ILC2206'!B131:H370,5,false)="","Y","N")</f>
        <v>Y</v>
      </c>
      <c r="L180" s="12" t="str">
        <f>if(vlookup(B:B,'ILC2303'!B183:F8622,5,false)="","Y","N")</f>
        <v>N</v>
      </c>
      <c r="M180" s="12" t="str">
        <f>if(vlookup(B:B,'ILC2307'!B183:F9138,5,false)="","Y","N")</f>
        <v>Y</v>
      </c>
      <c r="N180" s="12" t="str">
        <f>if(vlookup(B:B,'ILC2313'!B183:F8777,5,false)="","Y","N")</f>
        <v>Y</v>
      </c>
      <c r="O180" s="12" t="str">
        <f>if(vlookup(B:B,'ILC2412'!B183:F8622,5,false)="","Y","N")</f>
        <v>Y</v>
      </c>
      <c r="P180" s="12" t="str">
        <f>if(vlookup(B:B,'ILC2413'!B183:F9120,5,false)="","Y","N")</f>
        <v>Y</v>
      </c>
      <c r="Q180" s="12" t="str">
        <f>if(vlookup(B:B,'ILC3104'!B183:F8665,5,false)="","Y","N")</f>
        <v>Y</v>
      </c>
      <c r="R180" s="12" t="str">
        <f>if(vlookup(B:B,'ILC3310'!B15:F8604,5,false)="","Y","N")</f>
        <v>Y</v>
      </c>
      <c r="S180" s="12" t="str">
        <f>if(vlookup(B:B,'ILC3312'!B183:F8622,5,false)="","Y","N")</f>
        <v>Y</v>
      </c>
      <c r="T180" s="12" t="str">
        <f>if(vlookup(B:B,'ILC3413'!B152:F8547,5,false)="","Y","N")</f>
        <v>Y</v>
      </c>
      <c r="U180" s="12" t="str">
        <f>if(vlookup(B:B,'ILC3415'!B180:F8572,5,false)="","Y","N")</f>
        <v>Y</v>
      </c>
      <c r="V180" s="12" t="str">
        <f>if(vlookup(B:B,'ILC4406'!B115:F8541,5,false)="","Y","N")</f>
        <v>Y</v>
      </c>
      <c r="W180" s="12" t="str">
        <f>if(vlookup(B:B,'ILC4410'!B183:F8789,5,false)="","Y","N")</f>
        <v>N</v>
      </c>
      <c r="X180" s="12" t="str">
        <f>if(vlookup(B:B,'JBV455'!B183:F9129,5,false)="","Y","N")</f>
        <v>N</v>
      </c>
      <c r="Y180" s="12" t="str">
        <f>if(vlookup(B:B,'JBV462'!B183:F8622,5,false)="","Y","N")</f>
        <v>N</v>
      </c>
      <c r="Z180" s="12" t="str">
        <f>if(vlookup(B:B,'JBV464'!B183:F8622,5,false)="","Y","N")</f>
        <v>N</v>
      </c>
      <c r="AA180" s="12" t="str">
        <f>if(vlookup(B:B,'VDI208'!B115:F8622,5,false)="","Y","N")</f>
        <v>Y</v>
      </c>
      <c r="AB180" s="76" t="str">
        <f>if(vlookup(B:B,'STO2206'!B115:F8622,5,false)="","Y","N")</f>
        <v>Y</v>
      </c>
    </row>
    <row r="181">
      <c r="A181" s="67" t="str">
        <f t="shared" si="2"/>
        <v>Mon</v>
      </c>
      <c r="B181" s="69">
        <v>43626.0</v>
      </c>
      <c r="C181" s="12" t="str">
        <f>if(vlookup(B:B,'ILC1110'!$B46:F8623,5,false)="","Y","N")</f>
        <v>Y</v>
      </c>
      <c r="D181" s="12" t="str">
        <f>if(vlookup(B:B,'ILC1111'!$B46:F8630,5,false)="","Y","N")</f>
        <v>Y</v>
      </c>
      <c r="E181" s="12" t="str">
        <f>if(vlookup(B:B,'ILC1112'!$B46:F8623,5,false)="","Y","N")</f>
        <v>Y</v>
      </c>
      <c r="F181" s="12" t="str">
        <f>if(vlookup(B:B,'ILC1211'!$B184:F8623,5,false)="","Y","N")</f>
        <v>Y</v>
      </c>
      <c r="G181" s="12" t="str">
        <f>if(vlookup(B:B,'ILC1213'!$B111:G8623,5,false)="","Y","N")</f>
        <v>Y</v>
      </c>
      <c r="H181" s="12" t="str">
        <f>if(vlookup(B:B,'ILC1314'!$B110:G923,5,false)="","Y","N")</f>
        <v>Y</v>
      </c>
      <c r="I181" s="12" t="str">
        <f>if(vlookup(B:B,'ILC1404'!B184:F8346,5,false)="","Y","N")</f>
        <v>Y</v>
      </c>
      <c r="J181" s="12" t="str">
        <f>if(vlookup(B:B,'ILC2203'!B147:F8346,5,false)="","Y","N")</f>
        <v>Y</v>
      </c>
      <c r="K181" s="12" t="str">
        <f>if(vlookup(B:B,'ILC2206'!B132:H370,5,false)="","Y","N")</f>
        <v>Y</v>
      </c>
      <c r="L181" s="12" t="str">
        <f>if(vlookup(B:B,'ILC2303'!B184:F8623,5,false)="","Y","N")</f>
        <v>N</v>
      </c>
      <c r="M181" s="12" t="str">
        <f>if(vlookup(B:B,'ILC2307'!B184:F9139,5,false)="","Y","N")</f>
        <v>Y</v>
      </c>
      <c r="N181" s="12" t="str">
        <f>if(vlookup(B:B,'ILC2313'!B184:F8778,5,false)="","Y","N")</f>
        <v>Y</v>
      </c>
      <c r="O181" s="12" t="str">
        <f>if(vlookup(B:B,'ILC2412'!B184:F8623,5,false)="","Y","N")</f>
        <v>Y</v>
      </c>
      <c r="P181" s="12" t="str">
        <f>if(vlookup(B:B,'ILC2413'!B184:F9121,5,false)="","Y","N")</f>
        <v>Y</v>
      </c>
      <c r="Q181" s="12" t="str">
        <f>if(vlookup(B:B,'ILC3104'!B184:F8666,5,false)="","Y","N")</f>
        <v>Y</v>
      </c>
      <c r="R181" s="12" t="str">
        <f>if(vlookup(B:B,'ILC3310'!B16:F8605,5,false)="","Y","N")</f>
        <v>Y</v>
      </c>
      <c r="S181" s="12" t="str">
        <f>if(vlookup(B:B,'ILC3312'!B184:F8623,5,false)="","Y","N")</f>
        <v>Y</v>
      </c>
      <c r="T181" s="12" t="str">
        <f>if(vlookup(B:B,'ILC3413'!B153:F8548,5,false)="","Y","N")</f>
        <v>Y</v>
      </c>
      <c r="U181" s="12" t="str">
        <f>if(vlookup(B:B,'ILC3415'!B181:F8573,5,false)="","Y","N")</f>
        <v>Y</v>
      </c>
      <c r="V181" s="12" t="str">
        <f>if(vlookup(B:B,'ILC4406'!B116:F8542,5,false)="","Y","N")</f>
        <v>Y</v>
      </c>
      <c r="W181" s="12" t="str">
        <f>if(vlookup(B:B,'ILC4410'!B184:F8790,5,false)="","Y","N")</f>
        <v>N</v>
      </c>
      <c r="X181" s="12" t="str">
        <f>if(vlookup(B:B,'JBV455'!B184:F9130,5,false)="","Y","N")</f>
        <v>Y</v>
      </c>
      <c r="Y181" s="12" t="str">
        <f>if(vlookup(B:B,'JBV462'!B184:F8623,5,false)="","Y","N")</f>
        <v>Y</v>
      </c>
      <c r="Z181" s="12" t="str">
        <f>if(vlookup(B:B,'JBV464'!B184:F8623,5,false)="","Y","N")</f>
        <v>N</v>
      </c>
      <c r="AA181" s="12" t="str">
        <f>if(vlookup(B:B,'VDI208'!B116:F8623,5,false)="","Y","N")</f>
        <v>Y</v>
      </c>
      <c r="AB181" s="76" t="str">
        <f>if(vlookup(B:B,'STO2206'!B116:F8623,5,false)="","Y","N")</f>
        <v>Y</v>
      </c>
    </row>
    <row r="182">
      <c r="A182" s="67" t="str">
        <f t="shared" si="2"/>
        <v>Tue</v>
      </c>
      <c r="B182" s="69">
        <v>43627.0</v>
      </c>
      <c r="C182" s="12" t="str">
        <f>if(vlookup(B:B,'ILC1110'!$B47:F8624,5,false)="","Y","N")</f>
        <v>Y</v>
      </c>
      <c r="D182" s="12" t="str">
        <f>if(vlookup(B:B,'ILC1111'!$B47:F8631,5,false)="","Y","N")</f>
        <v>Y</v>
      </c>
      <c r="E182" s="12" t="str">
        <f>if(vlookup(B:B,'ILC1112'!$B47:F8624,5,false)="","Y","N")</f>
        <v>Y</v>
      </c>
      <c r="F182" s="12" t="str">
        <f>if(vlookup(B:B,'ILC1211'!$B185:F8624,5,false)="","Y","N")</f>
        <v>Y</v>
      </c>
      <c r="G182" s="12" t="str">
        <f>if(vlookup(B:B,'ILC1213'!$B112:G8624,5,false)="","Y","N")</f>
        <v>Y</v>
      </c>
      <c r="H182" s="12" t="str">
        <f>if(vlookup(B:B,'ILC1314'!$B111:G924,5,false)="","Y","N")</f>
        <v>Y</v>
      </c>
      <c r="I182" s="12" t="str">
        <f>if(vlookup(B:B,'ILC1404'!B185:F8347,5,false)="","Y","N")</f>
        <v>Y</v>
      </c>
      <c r="J182" s="12" t="str">
        <f>if(vlookup(B:B,'ILC2203'!B148:F8347,5,false)="","Y","N")</f>
        <v>Y</v>
      </c>
      <c r="K182" s="12" t="str">
        <f>if(vlookup(B:B,'ILC2206'!B133:H370,5,false)="","Y","N")</f>
        <v>Y</v>
      </c>
      <c r="L182" s="12" t="str">
        <f>if(vlookup(B:B,'ILC2303'!B185:F8624,5,false)="","Y","N")</f>
        <v>N</v>
      </c>
      <c r="M182" s="12" t="str">
        <f>if(vlookup(B:B,'ILC2307'!B185:F9140,5,false)="","Y","N")</f>
        <v>Y</v>
      </c>
      <c r="N182" s="12" t="str">
        <f>if(vlookup(B:B,'ILC2313'!B185:F8779,5,false)="","Y","N")</f>
        <v>Y</v>
      </c>
      <c r="O182" s="12" t="str">
        <f>if(vlookup(B:B,'ILC2412'!B185:F8624,5,false)="","Y","N")</f>
        <v>Y</v>
      </c>
      <c r="P182" s="12" t="str">
        <f>if(vlookup(B:B,'ILC2413'!B185:F9122,5,false)="","Y","N")</f>
        <v>Y</v>
      </c>
      <c r="Q182" s="12" t="str">
        <f>if(vlookup(B:B,'ILC3104'!B185:F8667,5,false)="","Y","N")</f>
        <v>Y</v>
      </c>
      <c r="R182" s="12" t="str">
        <f>if(vlookup(B:B,'ILC3310'!B17:F8606,5,false)="","Y","N")</f>
        <v>Y</v>
      </c>
      <c r="S182" s="12" t="str">
        <f>if(vlookup(B:B,'ILC3312'!B185:F8624,5,false)="","Y","N")</f>
        <v>Y</v>
      </c>
      <c r="T182" s="12" t="str">
        <f>if(vlookup(B:B,'ILC3413'!B154:F8549,5,false)="","Y","N")</f>
        <v>Y</v>
      </c>
      <c r="U182" s="12" t="str">
        <f>if(vlookup(B:B,'ILC3415'!B182:F8574,5,false)="","Y","N")</f>
        <v>Y</v>
      </c>
      <c r="V182" s="12" t="str">
        <f>if(vlookup(B:B,'ILC4406'!B117:F8543,5,false)="","Y","N")</f>
        <v>Y</v>
      </c>
      <c r="W182" s="12" t="str">
        <f>if(vlookup(B:B,'ILC4410'!B185:F8791,5,false)="","Y","N")</f>
        <v>N</v>
      </c>
      <c r="X182" s="12" t="str">
        <f>if(vlookup(B:B,'JBV455'!B185:F9131,5,false)="","Y","N")</f>
        <v>Y</v>
      </c>
      <c r="Y182" s="12" t="str">
        <f>if(vlookup(B:B,'JBV462'!B185:F8624,5,false)="","Y","N")</f>
        <v>Y</v>
      </c>
      <c r="Z182" s="12" t="str">
        <f>if(vlookup(B:B,'JBV464'!B185:F8624,5,false)="","Y","N")</f>
        <v>N</v>
      </c>
      <c r="AA182" s="12" t="str">
        <f>if(vlookup(B:B,'VDI208'!B117:F8624,5,false)="","Y","N")</f>
        <v>Y</v>
      </c>
      <c r="AB182" s="76" t="str">
        <f>if(vlookup(B:B,'STO2206'!B117:F8624,5,false)="","Y","N")</f>
        <v>Y</v>
      </c>
    </row>
    <row r="183">
      <c r="A183" s="67" t="str">
        <f t="shared" si="2"/>
        <v>Wed</v>
      </c>
      <c r="B183" s="69">
        <v>43628.0</v>
      </c>
      <c r="C183" s="12" t="str">
        <f>if(vlookup(B:B,'ILC1110'!$B48:F8625,5,false)="","Y","N")</f>
        <v>Y</v>
      </c>
      <c r="D183" s="12" t="str">
        <f>if(vlookup(B:B,'ILC1111'!$B48:F8632,5,false)="","Y","N")</f>
        <v>Y</v>
      </c>
      <c r="E183" s="12" t="str">
        <f>if(vlookup(B:B,'ILC1112'!$B48:F8625,5,false)="","Y","N")</f>
        <v>Y</v>
      </c>
      <c r="F183" s="12" t="str">
        <f>if(vlookup(B:B,'ILC1211'!$B186:F8625,5,false)="","Y","N")</f>
        <v>Y</v>
      </c>
      <c r="G183" s="12" t="str">
        <f>if(vlookup(B:B,'ILC1213'!$B113:G8625,5,false)="","Y","N")</f>
        <v>Y</v>
      </c>
      <c r="H183" s="12" t="str">
        <f>if(vlookup(B:B,'ILC1314'!$B112:G925,5,false)="","Y","N")</f>
        <v>Y</v>
      </c>
      <c r="I183" s="12" t="str">
        <f>if(vlookup(B:B,'ILC1404'!B186:F8348,5,false)="","Y","N")</f>
        <v>Y</v>
      </c>
      <c r="J183" s="12" t="str">
        <f>if(vlookup(B:B,'ILC2203'!B149:F8348,5,false)="","Y","N")</f>
        <v>Y</v>
      </c>
      <c r="K183" s="12" t="str">
        <f>if(vlookup(B:B,'ILC2206'!B134:H370,5,false)="","Y","N")</f>
        <v>Y</v>
      </c>
      <c r="L183" s="12" t="str">
        <f>if(vlookup(B:B,'ILC2303'!B186:F8625,5,false)="","Y","N")</f>
        <v>N</v>
      </c>
      <c r="M183" s="12" t="str">
        <f>if(vlookup(B:B,'ILC2307'!B186:F9141,5,false)="","Y","N")</f>
        <v>Y</v>
      </c>
      <c r="N183" s="12" t="str">
        <f>if(vlookup(B:B,'ILC2313'!B186:F8780,5,false)="","Y","N")</f>
        <v>Y</v>
      </c>
      <c r="O183" s="12" t="str">
        <f>if(vlookup(B:B,'ILC2412'!B186:F8625,5,false)="","Y","N")</f>
        <v>Y</v>
      </c>
      <c r="P183" s="12" t="str">
        <f>if(vlookup(B:B,'ILC2413'!B186:F9123,5,false)="","Y","N")</f>
        <v>Y</v>
      </c>
      <c r="Q183" s="12" t="str">
        <f>if(vlookup(B:B,'ILC3104'!B186:F8668,5,false)="","Y","N")</f>
        <v>Y</v>
      </c>
      <c r="R183" s="12" t="str">
        <f>if(vlookup(B:B,'ILC3310'!B18:F8607,5,false)="","Y","N")</f>
        <v>Y</v>
      </c>
      <c r="S183" s="12" t="str">
        <f>if(vlookup(B:B,'ILC3312'!B186:F8625,5,false)="","Y","N")</f>
        <v>Y</v>
      </c>
      <c r="T183" s="12" t="str">
        <f>if(vlookup(B:B,'ILC3413'!B155:F8550,5,false)="","Y","N")</f>
        <v>Y</v>
      </c>
      <c r="U183" s="12" t="str">
        <f>if(vlookup(B:B,'ILC3415'!B183:F8575,5,false)="","Y","N")</f>
        <v>Y</v>
      </c>
      <c r="V183" s="12" t="str">
        <f>if(vlookup(B:B,'ILC4406'!B118:F8544,5,false)="","Y","N")</f>
        <v>Y</v>
      </c>
      <c r="W183" s="12" t="str">
        <f>if(vlookup(B:B,'ILC4410'!B186:F8792,5,false)="","Y","N")</f>
        <v>N</v>
      </c>
      <c r="X183" s="12" t="str">
        <f>if(vlookup(B:B,'JBV455'!B186:F9132,5,false)="","Y","N")</f>
        <v>Y</v>
      </c>
      <c r="Y183" s="12" t="str">
        <f>if(vlookup(B:B,'JBV462'!B186:F8625,5,false)="","Y","N")</f>
        <v>Y</v>
      </c>
      <c r="Z183" s="12" t="str">
        <f>if(vlookup(B:B,'JBV464'!B186:F8625,5,false)="","Y","N")</f>
        <v>N</v>
      </c>
      <c r="AA183" s="12" t="str">
        <f>if(vlookup(B:B,'VDI208'!B118:F8625,5,false)="","Y","N")</f>
        <v>Y</v>
      </c>
      <c r="AB183" s="76" t="str">
        <f>if(vlookup(B:B,'STO2206'!B118:F8625,5,false)="","Y","N")</f>
        <v>Y</v>
      </c>
    </row>
    <row r="184">
      <c r="A184" s="67" t="str">
        <f t="shared" si="2"/>
        <v>Thu</v>
      </c>
      <c r="B184" s="69">
        <v>43629.0</v>
      </c>
      <c r="C184" s="12" t="str">
        <f>if(vlookup(B:B,'ILC1110'!$B49:F8626,5,false)="","Y","N")</f>
        <v>Y</v>
      </c>
      <c r="D184" s="12" t="str">
        <f>if(vlookup(B:B,'ILC1111'!$B49:F8633,5,false)="","Y","N")</f>
        <v>Y</v>
      </c>
      <c r="E184" s="12" t="str">
        <f>if(vlookup(B:B,'ILC1112'!$B49:F8626,5,false)="","Y","N")</f>
        <v>Y</v>
      </c>
      <c r="F184" s="12" t="str">
        <f>if(vlookup(B:B,'ILC1211'!$B187:F8626,5,false)="","Y","N")</f>
        <v>Y</v>
      </c>
      <c r="G184" s="12" t="str">
        <f>if(vlookup(B:B,'ILC1213'!$B114:G8626,5,false)="","Y","N")</f>
        <v>Y</v>
      </c>
      <c r="H184" s="12" t="str">
        <f>if(vlookup(B:B,'ILC1314'!$B113:G926,5,false)="","Y","N")</f>
        <v>Y</v>
      </c>
      <c r="I184" s="12" t="str">
        <f>if(vlookup(B:B,'ILC1404'!B187:F8349,5,false)="","Y","N")</f>
        <v>Y</v>
      </c>
      <c r="J184" s="12" t="str">
        <f>if(vlookup(B:B,'ILC2203'!B150:F8349,5,false)="","Y","N")</f>
        <v>Y</v>
      </c>
      <c r="K184" s="12" t="str">
        <f>if(vlookup(B:B,'ILC2206'!B135:H370,5,false)="","Y","N")</f>
        <v>Y</v>
      </c>
      <c r="L184" s="12" t="str">
        <f>if(vlookup(B:B,'ILC2303'!B187:F8626,5,false)="","Y","N")</f>
        <v>N</v>
      </c>
      <c r="M184" s="12" t="str">
        <f>if(vlookup(B:B,'ILC2307'!B187:F9142,5,false)="","Y","N")</f>
        <v>Y</v>
      </c>
      <c r="N184" s="12" t="str">
        <f>if(vlookup(B:B,'ILC2313'!B187:F8781,5,false)="","Y","N")</f>
        <v>Y</v>
      </c>
      <c r="O184" s="12" t="str">
        <f>if(vlookup(B:B,'ILC2412'!B187:F8626,5,false)="","Y","N")</f>
        <v>Y</v>
      </c>
      <c r="P184" s="12" t="str">
        <f>if(vlookup(B:B,'ILC2413'!B187:F9124,5,false)="","Y","N")</f>
        <v>Y</v>
      </c>
      <c r="Q184" s="12" t="str">
        <f>if(vlookup(B:B,'ILC3104'!B187:F8669,5,false)="","Y","N")</f>
        <v>Y</v>
      </c>
      <c r="R184" s="12" t="str">
        <f>if(vlookup(B:B,'ILC3310'!B19:F8608,5,false)="","Y","N")</f>
        <v>Y</v>
      </c>
      <c r="S184" s="12" t="str">
        <f>if(vlookup(B:B,'ILC3312'!B187:F8626,5,false)="","Y","N")</f>
        <v>Y</v>
      </c>
      <c r="T184" s="12" t="str">
        <f>if(vlookup(B:B,'ILC3413'!B156:F8551,5,false)="","Y","N")</f>
        <v>Y</v>
      </c>
      <c r="U184" s="12" t="str">
        <f>if(vlookup(B:B,'ILC3415'!B184:F8576,5,false)="","Y","N")</f>
        <v>Y</v>
      </c>
      <c r="V184" s="12" t="str">
        <f>if(vlookup(B:B,'ILC4406'!B119:F8545,5,false)="","Y","N")</f>
        <v>Y</v>
      </c>
      <c r="W184" s="12" t="str">
        <f>if(vlookup(B:B,'ILC4410'!B187:F8793,5,false)="","Y","N")</f>
        <v>N</v>
      </c>
      <c r="X184" s="12" t="str">
        <f>if(vlookup(B:B,'JBV455'!B187:F9133,5,false)="","Y","N")</f>
        <v>Y</v>
      </c>
      <c r="Y184" s="12" t="str">
        <f>if(vlookup(B:B,'JBV462'!B187:F8626,5,false)="","Y","N")</f>
        <v>Y</v>
      </c>
      <c r="Z184" s="12" t="str">
        <f>if(vlookup(B:B,'JBV464'!B187:F8626,5,false)="","Y","N")</f>
        <v>N</v>
      </c>
      <c r="AA184" s="12" t="str">
        <f>if(vlookup(B:B,'VDI208'!B119:F8626,5,false)="","Y","N")</f>
        <v>Y</v>
      </c>
      <c r="AB184" s="76" t="str">
        <f>if(vlookup(B:B,'STO2206'!B119:F8626,5,false)="","Y","N")</f>
        <v>Y</v>
      </c>
    </row>
    <row r="185">
      <c r="A185" s="67" t="str">
        <f t="shared" si="2"/>
        <v>Fri</v>
      </c>
      <c r="B185" s="69">
        <v>43630.0</v>
      </c>
      <c r="C185" s="12" t="str">
        <f>if(vlookup(B:B,'ILC1110'!$B50:F8627,5,false)="","Y","N")</f>
        <v>Y</v>
      </c>
      <c r="D185" s="12" t="str">
        <f>if(vlookup(B:B,'ILC1111'!$B50:F8634,5,false)="","Y","N")</f>
        <v>Y</v>
      </c>
      <c r="E185" s="12" t="str">
        <f>if(vlookup(B:B,'ILC1112'!$B50:F8627,5,false)="","Y","N")</f>
        <v>N</v>
      </c>
      <c r="F185" s="12" t="str">
        <f>if(vlookup(B:B,'ILC1211'!$B188:F8627,5,false)="","Y","N")</f>
        <v>N</v>
      </c>
      <c r="G185" s="12" t="str">
        <f>if(vlookup(B:B,'ILC1213'!$B115:G8627,5,false)="","Y","N")</f>
        <v>Y</v>
      </c>
      <c r="H185" s="12" t="str">
        <f>if(vlookup(B:B,'ILC1314'!$B114:G927,5,false)="","Y","N")</f>
        <v>Y</v>
      </c>
      <c r="I185" s="12" t="str">
        <f>if(vlookup(B:B,'ILC1404'!B188:F8350,5,false)="","Y","N")</f>
        <v>Y</v>
      </c>
      <c r="J185" s="12" t="str">
        <f>if(vlookup(B:B,'ILC2203'!B151:F8350,5,false)="","Y","N")</f>
        <v>Y</v>
      </c>
      <c r="K185" s="12" t="str">
        <f>if(vlookup(B:B,'ILC2206'!B136:H370,5,false)="","Y","N")</f>
        <v>Y</v>
      </c>
      <c r="L185" s="12" t="str">
        <f>if(vlookup(B:B,'ILC2303'!B188:F8627,5,false)="","Y","N")</f>
        <v>N</v>
      </c>
      <c r="M185" s="12" t="str">
        <f>if(vlookup(B:B,'ILC2307'!B188:F9143,5,false)="","Y","N")</f>
        <v>Y</v>
      </c>
      <c r="N185" s="12" t="str">
        <f>if(vlookup(B:B,'ILC2313'!B188:F8782,5,false)="","Y","N")</f>
        <v>Y</v>
      </c>
      <c r="O185" s="12" t="str">
        <f>if(vlookup(B:B,'ILC2412'!B188:F8627,5,false)="","Y","N")</f>
        <v>N</v>
      </c>
      <c r="P185" s="12" t="str">
        <f>if(vlookup(B:B,'ILC2413'!B188:F9125,5,false)="","Y","N")</f>
        <v>Y</v>
      </c>
      <c r="Q185" s="12" t="str">
        <f>if(vlookup(B:B,'ILC3104'!B188:F8670,5,false)="","Y","N")</f>
        <v>Y</v>
      </c>
      <c r="R185" s="12" t="str">
        <f>if(vlookup(B:B,'ILC3310'!B20:F8609,5,false)="","Y","N")</f>
        <v>N</v>
      </c>
      <c r="S185" s="12" t="str">
        <f>if(vlookup(B:B,'ILC3312'!B188:F8627,5,false)="","Y","N")</f>
        <v>N</v>
      </c>
      <c r="T185" s="12" t="str">
        <f>if(vlookup(B:B,'ILC3413'!B157:F8552,5,false)="","Y","N")</f>
        <v>Y</v>
      </c>
      <c r="U185" s="12" t="str">
        <f>if(vlookup(B:B,'ILC3415'!B185:F8577,5,false)="","Y","N")</f>
        <v>Y</v>
      </c>
      <c r="V185" s="12" t="str">
        <f>if(vlookup(B:B,'ILC4406'!B120:F8546,5,false)="","Y","N")</f>
        <v>Y</v>
      </c>
      <c r="W185" s="12" t="str">
        <f>if(vlookup(B:B,'ILC4410'!B188:F8794,5,false)="","Y","N")</f>
        <v>N</v>
      </c>
      <c r="X185" s="12" t="str">
        <f>if(vlookup(B:B,'JBV455'!B188:F9134,5,false)="","Y","N")</f>
        <v>Y</v>
      </c>
      <c r="Y185" s="12" t="str">
        <f>if(vlookup(B:B,'JBV462'!B188:F8627,5,false)="","Y","N")</f>
        <v>Y</v>
      </c>
      <c r="Z185" s="12" t="str">
        <f>if(vlookup(B:B,'JBV464'!B188:F8627,5,false)="","Y","N")</f>
        <v>Y</v>
      </c>
      <c r="AA185" s="12" t="str">
        <f>if(vlookup(B:B,'VDI208'!B120:F8627,5,false)="","Y","N")</f>
        <v>Y</v>
      </c>
      <c r="AB185" s="76" t="str">
        <f>if(vlookup(B:B,'STO2206'!B120:F8627,5,false)="","Y","N")</f>
        <v>Y</v>
      </c>
    </row>
    <row r="186">
      <c r="A186" s="67" t="str">
        <f t="shared" si="2"/>
        <v>Sat</v>
      </c>
      <c r="B186" s="69">
        <v>43631.0</v>
      </c>
      <c r="C186" s="12" t="str">
        <f>if(vlookup(B:B,'ILC1110'!$B51:F8628,5,false)="","Y","N")</f>
        <v>Y</v>
      </c>
      <c r="D186" s="12" t="str">
        <f>if(vlookup(B:B,'ILC1111'!$B51:F8635,5,false)="","Y","N")</f>
        <v>Y</v>
      </c>
      <c r="E186" s="12" t="str">
        <f>if(vlookup(B:B,'ILC1112'!$B51:F8628,5,false)="","Y","N")</f>
        <v>N</v>
      </c>
      <c r="F186" s="12" t="str">
        <f>if(vlookup(B:B,'ILC1211'!$B189:F8628,5,false)="","Y","N")</f>
        <v>N</v>
      </c>
      <c r="G186" s="12" t="str">
        <f>if(vlookup(B:B,'ILC1213'!$B116:G8628,5,false)="","Y","N")</f>
        <v>Y</v>
      </c>
      <c r="H186" s="12" t="str">
        <f>if(vlookup(B:B,'ILC1314'!$B115:G928,5,false)="","Y","N")</f>
        <v>Y</v>
      </c>
      <c r="I186" s="12" t="str">
        <f>if(vlookup(B:B,'ILC1404'!B189:F8351,5,false)="","Y","N")</f>
        <v>Y</v>
      </c>
      <c r="J186" s="12" t="str">
        <f>if(vlookup(B:B,'ILC2203'!B152:F8351,5,false)="","Y","N")</f>
        <v>N</v>
      </c>
      <c r="K186" s="12" t="str">
        <f>if(vlookup(B:B,'ILC2206'!B137:H370,5,false)="","Y","N")</f>
        <v>Y</v>
      </c>
      <c r="L186" s="12" t="str">
        <f>if(vlookup(B:B,'ILC2303'!B189:F8628,5,false)="","Y","N")</f>
        <v>N</v>
      </c>
      <c r="M186" s="12" t="str">
        <f>if(vlookup(B:B,'ILC2307'!B189:F9144,5,false)="","Y","N")</f>
        <v>Y</v>
      </c>
      <c r="N186" s="12" t="str">
        <f>if(vlookup(B:B,'ILC2313'!B189:F8783,5,false)="","Y","N")</f>
        <v>Y</v>
      </c>
      <c r="O186" s="12" t="str">
        <f>if(vlookup(B:B,'ILC2412'!B189:F8628,5,false)="","Y","N")</f>
        <v>N</v>
      </c>
      <c r="P186" s="12" t="str">
        <f>if(vlookup(B:B,'ILC2413'!B189:F9126,5,false)="","Y","N")</f>
        <v>Y</v>
      </c>
      <c r="Q186" s="12" t="str">
        <f>if(vlookup(B:B,'ILC3104'!B189:F8671,5,false)="","Y","N")</f>
        <v>Y</v>
      </c>
      <c r="R186" s="12" t="str">
        <f>if(vlookup(B:B,'ILC3310'!B21:F8610,5,false)="","Y","N")</f>
        <v>N</v>
      </c>
      <c r="S186" s="12" t="str">
        <f>if(vlookup(B:B,'ILC3312'!B189:F8628,5,false)="","Y","N")</f>
        <v>N</v>
      </c>
      <c r="T186" s="12" t="str">
        <f>if(vlookup(B:B,'ILC3413'!B158:F8553,5,false)="","Y","N")</f>
        <v>Y</v>
      </c>
      <c r="U186" s="12" t="str">
        <f>if(vlookup(B:B,'ILC3415'!B186:F8578,5,false)="","Y","N")</f>
        <v>Y</v>
      </c>
      <c r="V186" s="12" t="str">
        <f>if(vlookup(B:B,'ILC4406'!B121:F8547,5,false)="","Y","N")</f>
        <v>Y</v>
      </c>
      <c r="W186" s="12" t="str">
        <f>if(vlookup(B:B,'ILC4410'!B189:F8795,5,false)="","Y","N")</f>
        <v>Y</v>
      </c>
      <c r="X186" s="12" t="str">
        <f>if(vlookup(B:B,'JBV455'!B189:F9135,5,false)="","Y","N")</f>
        <v>Y</v>
      </c>
      <c r="Y186" s="12" t="str">
        <f>if(vlookup(B:B,'JBV462'!B189:F8628,5,false)="","Y","N")</f>
        <v>Y</v>
      </c>
      <c r="Z186" s="12" t="str">
        <f>if(vlookup(B:B,'JBV464'!B189:F8628,5,false)="","Y","N")</f>
        <v>Y</v>
      </c>
      <c r="AA186" s="12" t="str">
        <f>if(vlookup(B:B,'VDI208'!B121:F8628,5,false)="","Y","N")</f>
        <v>Y</v>
      </c>
      <c r="AB186" s="76" t="str">
        <f>if(vlookup(B:B,'STO2206'!B121:F8628,5,false)="","Y","N")</f>
        <v>Y</v>
      </c>
    </row>
    <row r="187">
      <c r="A187" s="67" t="str">
        <f t="shared" si="2"/>
        <v>Sun</v>
      </c>
      <c r="B187" s="69">
        <v>43632.0</v>
      </c>
      <c r="C187" s="12" t="str">
        <f>if(vlookup(B:B,'ILC1110'!$B52:F8629,5,false)="","Y","N")</f>
        <v>Y</v>
      </c>
      <c r="D187" s="12" t="str">
        <f>if(vlookup(B:B,'ILC1111'!$B52:F8636,5,false)="","Y","N")</f>
        <v>Y</v>
      </c>
      <c r="E187" s="12" t="str">
        <f>if(vlookup(B:B,'ILC1112'!$B52:F8629,5,false)="","Y","N")</f>
        <v>Y</v>
      </c>
      <c r="F187" s="12" t="str">
        <f>if(vlookup(B:B,'ILC1211'!$B190:F8629,5,false)="","Y","N")</f>
        <v>Y</v>
      </c>
      <c r="G187" s="12" t="str">
        <f>if(vlookup(B:B,'ILC1213'!$B117:G8629,5,false)="","Y","N")</f>
        <v>Y</v>
      </c>
      <c r="H187" s="12" t="str">
        <f>if(vlookup(B:B,'ILC1314'!$B116:G929,5,false)="","Y","N")</f>
        <v>Y</v>
      </c>
      <c r="I187" s="12" t="str">
        <f>if(vlookup(B:B,'ILC1404'!B190:F8352,5,false)="","Y","N")</f>
        <v>Y</v>
      </c>
      <c r="J187" s="12" t="str">
        <f>if(vlookup(B:B,'ILC2203'!B153:F8352,5,false)="","Y","N")</f>
        <v>N</v>
      </c>
      <c r="K187" s="12" t="str">
        <f>if(vlookup(B:B,'ILC2206'!B138:H370,5,false)="","Y","N")</f>
        <v>Y</v>
      </c>
      <c r="L187" s="12" t="str">
        <f>if(vlookup(B:B,'ILC2303'!B190:F8629,5,false)="","Y","N")</f>
        <v>N</v>
      </c>
      <c r="M187" s="12" t="str">
        <f>if(vlookup(B:B,'ILC2307'!B190:F9145,5,false)="","Y","N")</f>
        <v>Y</v>
      </c>
      <c r="N187" s="12" t="str">
        <f>if(vlookup(B:B,'ILC2313'!B190:F8784,5,false)="","Y","N")</f>
        <v>Y</v>
      </c>
      <c r="O187" s="12" t="str">
        <f>if(vlookup(B:B,'ILC2412'!B190:F8629,5,false)="","Y","N")</f>
        <v>Y</v>
      </c>
      <c r="P187" s="12" t="str">
        <f>if(vlookup(B:B,'ILC2413'!B190:F9127,5,false)="","Y","N")</f>
        <v>Y</v>
      </c>
      <c r="Q187" s="12" t="str">
        <f>if(vlookup(B:B,'ILC3104'!B190:F8672,5,false)="","Y","N")</f>
        <v>Y</v>
      </c>
      <c r="R187" s="12" t="str">
        <f>if(vlookup(B:B,'ILC3310'!B22:F8611,5,false)="","Y","N")</f>
        <v>Y</v>
      </c>
      <c r="S187" s="12" t="str">
        <f>if(vlookup(B:B,'ILC3312'!B190:F8629,5,false)="","Y","N")</f>
        <v>Y</v>
      </c>
      <c r="T187" s="12" t="str">
        <f>if(vlookup(B:B,'ILC3413'!B159:F8554,5,false)="","Y","N")</f>
        <v>Y</v>
      </c>
      <c r="U187" s="12" t="str">
        <f>if(vlookup(B:B,'ILC3415'!B187:F8579,5,false)="","Y","N")</f>
        <v>Y</v>
      </c>
      <c r="V187" s="12" t="str">
        <f>if(vlookup(B:B,'ILC4406'!B122:F8548,5,false)="","Y","N")</f>
        <v>Y</v>
      </c>
      <c r="W187" s="12" t="str">
        <f>if(vlookup(B:B,'ILC4410'!B190:F8796,5,false)="","Y","N")</f>
        <v>Y</v>
      </c>
      <c r="X187" s="12" t="str">
        <f>if(vlookup(B:B,'JBV455'!B190:F9136,5,false)="","Y","N")</f>
        <v>Y</v>
      </c>
      <c r="Y187" s="12" t="str">
        <f>if(vlookup(B:B,'JBV462'!B190:F8629,5,false)="","Y","N")</f>
        <v>Y</v>
      </c>
      <c r="Z187" s="12" t="str">
        <f>if(vlookup(B:B,'JBV464'!B190:F8629,5,false)="","Y","N")</f>
        <v>Y</v>
      </c>
      <c r="AA187" s="12" t="str">
        <f>if(vlookup(B:B,'VDI208'!B122:F8629,5,false)="","Y","N")</f>
        <v>Y</v>
      </c>
      <c r="AB187" s="76" t="str">
        <f>if(vlookup(B:B,'STO2206'!B122:F8629,5,false)="","Y","N")</f>
        <v>Y</v>
      </c>
    </row>
    <row r="188">
      <c r="A188" s="67" t="str">
        <f t="shared" si="2"/>
        <v>Mon</v>
      </c>
      <c r="B188" s="69">
        <v>43633.0</v>
      </c>
      <c r="C188" s="12" t="str">
        <f>if(vlookup(B:B,'ILC1110'!$B53:F8630,5,false)="","Y","N")</f>
        <v>Y</v>
      </c>
      <c r="D188" s="12" t="str">
        <f>if(vlookup(B:B,'ILC1111'!$B53:F8637,5,false)="","Y","N")</f>
        <v>Y</v>
      </c>
      <c r="E188" s="12" t="str">
        <f>if(vlookup(B:B,'ILC1112'!$B53:F8630,5,false)="","Y","N")</f>
        <v>Y</v>
      </c>
      <c r="F188" s="12" t="str">
        <f>if(vlookup(B:B,'ILC1211'!$B191:F8630,5,false)="","Y","N")</f>
        <v>Y</v>
      </c>
      <c r="G188" s="12" t="str">
        <f>if(vlookup(B:B,'ILC1213'!$B118:G8630,5,false)="","Y","N")</f>
        <v>Y</v>
      </c>
      <c r="H188" s="12" t="str">
        <f>if(vlookup(B:B,'ILC1314'!$B117:G930,5,false)="","Y","N")</f>
        <v>Y</v>
      </c>
      <c r="I188" s="12" t="str">
        <f>if(vlookup(B:B,'ILC1404'!B191:F8353,5,false)="","Y","N")</f>
        <v>Y</v>
      </c>
      <c r="J188" s="12" t="str">
        <f>if(vlookup(B:B,'ILC2203'!B154:F8353,5,false)="","Y","N")</f>
        <v>Y</v>
      </c>
      <c r="K188" s="12" t="str">
        <f>if(vlookup(B:B,'ILC2206'!B139:H370,5,false)="","Y","N")</f>
        <v>Y</v>
      </c>
      <c r="L188" s="12" t="str">
        <f>if(vlookup(B:B,'ILC2303'!B191:F8630,5,false)="","Y","N")</f>
        <v>N</v>
      </c>
      <c r="M188" s="12" t="str">
        <f>if(vlookup(B:B,'ILC2307'!B191:F9146,5,false)="","Y","N")</f>
        <v>Y</v>
      </c>
      <c r="N188" s="12" t="str">
        <f>if(vlookup(B:B,'ILC2313'!B191:F8785,5,false)="","Y","N")</f>
        <v>Y</v>
      </c>
      <c r="O188" s="12" t="str">
        <f>if(vlookup(B:B,'ILC2412'!B191:F8630,5,false)="","Y","N")</f>
        <v>Y</v>
      </c>
      <c r="P188" s="12" t="str">
        <f>if(vlookup(B:B,'ILC2413'!B191:F9128,5,false)="","Y","N")</f>
        <v>Y</v>
      </c>
      <c r="Q188" s="12" t="str">
        <f>if(vlookup(B:B,'ILC3104'!B191:F8673,5,false)="","Y","N")</f>
        <v>Y</v>
      </c>
      <c r="R188" s="12" t="str">
        <f>if(vlookup(B:B,'ILC3310'!B23:F8612,5,false)="","Y","N")</f>
        <v>Y</v>
      </c>
      <c r="S188" s="12" t="str">
        <f>if(vlookup(B:B,'ILC3312'!B191:F8630,5,false)="","Y","N")</f>
        <v>Y</v>
      </c>
      <c r="T188" s="12" t="str">
        <f>if(vlookup(B:B,'ILC3413'!B160:F8555,5,false)="","Y","N")</f>
        <v>Y</v>
      </c>
      <c r="U188" s="12" t="str">
        <f>if(vlookup(B:B,'ILC3415'!B188:F8580,5,false)="","Y","N")</f>
        <v>Y</v>
      </c>
      <c r="V188" s="12" t="str">
        <f>if(vlookup(B:B,'ILC4406'!B123:F8549,5,false)="","Y","N")</f>
        <v>Y</v>
      </c>
      <c r="W188" s="12" t="str">
        <f>if(vlookup(B:B,'ILC4410'!B191:F8797,5,false)="","Y","N")</f>
        <v>Y</v>
      </c>
      <c r="X188" s="12" t="str">
        <f>if(vlookup(B:B,'JBV455'!B191:F9137,5,false)="","Y","N")</f>
        <v>Y</v>
      </c>
      <c r="Y188" s="12" t="str">
        <f>if(vlookup(B:B,'JBV462'!B191:F8630,5,false)="","Y","N")</f>
        <v>Y</v>
      </c>
      <c r="Z188" s="12" t="str">
        <f>if(vlookup(B:B,'JBV464'!B191:F8630,5,false)="","Y","N")</f>
        <v>Y</v>
      </c>
      <c r="AA188" s="12" t="str">
        <f>if(vlookup(B:B,'VDI208'!B123:F8630,5,false)="","Y","N")</f>
        <v>Y</v>
      </c>
      <c r="AB188" s="76" t="str">
        <f>if(vlookup(B:B,'STO2206'!B123:F8630,5,false)="","Y","N")</f>
        <v>Y</v>
      </c>
    </row>
    <row r="189">
      <c r="A189" s="67" t="str">
        <f t="shared" si="2"/>
        <v>Tue</v>
      </c>
      <c r="B189" s="69">
        <v>43634.0</v>
      </c>
      <c r="C189" s="12" t="str">
        <f>if(vlookup(B:B,'ILC1110'!$B54:F8631,5,false)="","Y","N")</f>
        <v>N</v>
      </c>
      <c r="D189" s="12" t="str">
        <f>if(vlookup(B:B,'ILC1111'!$B54:F8638,5,false)="","Y","N")</f>
        <v>Y</v>
      </c>
      <c r="E189" s="12" t="str">
        <f>if(vlookup(B:B,'ILC1112'!$B54:F8631,5,false)="","Y","N")</f>
        <v>Y</v>
      </c>
      <c r="F189" s="12" t="str">
        <f>if(vlookup(B:B,'ILC1211'!$B192:F8631,5,false)="","Y","N")</f>
        <v>Y</v>
      </c>
      <c r="G189" s="12" t="str">
        <f>if(vlookup(B:B,'ILC1213'!$B119:G8631,5,false)="","Y","N")</f>
        <v>Y</v>
      </c>
      <c r="H189" s="12" t="str">
        <f>if(vlookup(B:B,'ILC1314'!$B118:G931,5,false)="","Y","N")</f>
        <v>Y</v>
      </c>
      <c r="I189" s="12" t="str">
        <f>if(vlookup(B:B,'ILC1404'!B192:F8354,5,false)="","Y","N")</f>
        <v>Y</v>
      </c>
      <c r="J189" s="12" t="str">
        <f>if(vlookup(B:B,'ILC2203'!B155:F8354,5,false)="","Y","N")</f>
        <v>Y</v>
      </c>
      <c r="K189" s="12" t="str">
        <f>if(vlookup(B:B,'ILC2206'!B140:H370,5,false)="","Y","N")</f>
        <v>Y</v>
      </c>
      <c r="L189" s="12" t="str">
        <f>if(vlookup(B:B,'ILC2303'!B192:F8631,5,false)="","Y","N")</f>
        <v>N</v>
      </c>
      <c r="M189" s="12" t="str">
        <f>if(vlookup(B:B,'ILC2307'!B192:F9147,5,false)="","Y","N")</f>
        <v>Y</v>
      </c>
      <c r="N189" s="12" t="str">
        <f>if(vlookup(B:B,'ILC2313'!B192:F8786,5,false)="","Y","N")</f>
        <v>Y</v>
      </c>
      <c r="O189" s="12" t="str">
        <f>if(vlookup(B:B,'ILC2412'!B192:F8631,5,false)="","Y","N")</f>
        <v>Y</v>
      </c>
      <c r="P189" s="12" t="str">
        <f>if(vlookup(B:B,'ILC2413'!B192:F9129,5,false)="","Y","N")</f>
        <v>Y</v>
      </c>
      <c r="Q189" s="12" t="str">
        <f>if(vlookup(B:B,'ILC3104'!B192:F8674,5,false)="","Y","N")</f>
        <v>Y</v>
      </c>
      <c r="R189" s="12" t="str">
        <f>if(vlookup(B:B,'ILC3310'!B24:F8613,5,false)="","Y","N")</f>
        <v>Y</v>
      </c>
      <c r="S189" s="12" t="str">
        <f>if(vlookup(B:B,'ILC3312'!B192:F8631,5,false)="","Y","N")</f>
        <v>Y</v>
      </c>
      <c r="T189" s="12" t="str">
        <f>if(vlookup(B:B,'ILC3413'!B161:F8556,5,false)="","Y","N")</f>
        <v>Y</v>
      </c>
      <c r="U189" s="12" t="str">
        <f>if(vlookup(B:B,'ILC3415'!B189:F8581,5,false)="","Y","N")</f>
        <v>Y</v>
      </c>
      <c r="V189" s="12" t="str">
        <f>if(vlookup(B:B,'ILC4406'!B124:F8550,5,false)="","Y","N")</f>
        <v>Y</v>
      </c>
      <c r="W189" s="12" t="str">
        <f>if(vlookup(B:B,'ILC4410'!B192:F8798,5,false)="","Y","N")</f>
        <v>Y</v>
      </c>
      <c r="X189" s="12" t="str">
        <f>if(vlookup(B:B,'JBV455'!B192:F9138,5,false)="","Y","N")</f>
        <v>Y</v>
      </c>
      <c r="Y189" s="12" t="str">
        <f>if(vlookup(B:B,'JBV462'!B192:F8631,5,false)="","Y","N")</f>
        <v>Y</v>
      </c>
      <c r="Z189" s="12" t="str">
        <f>if(vlookup(B:B,'JBV464'!B192:F8631,5,false)="","Y","N")</f>
        <v>Y</v>
      </c>
      <c r="AA189" s="12" t="str">
        <f>if(vlookup(B:B,'VDI208'!B124:F8631,5,false)="","Y","N")</f>
        <v>Y</v>
      </c>
      <c r="AB189" s="76" t="str">
        <f>if(vlookup(B:B,'STO2206'!B124:F8631,5,false)="","Y","N")</f>
        <v>Y</v>
      </c>
    </row>
    <row r="190">
      <c r="A190" s="67" t="str">
        <f t="shared" si="2"/>
        <v>Wed</v>
      </c>
      <c r="B190" s="69">
        <v>43635.0</v>
      </c>
      <c r="C190" s="12" t="str">
        <f>if(vlookup(B:B,'ILC1110'!$B55:F8632,5,false)="","Y","N")</f>
        <v>N</v>
      </c>
      <c r="D190" s="12" t="str">
        <f>if(vlookup(B:B,'ILC1111'!$B55:F8639,5,false)="","Y","N")</f>
        <v>Y</v>
      </c>
      <c r="E190" s="12" t="str">
        <f>if(vlookup(B:B,'ILC1112'!$B55:F8632,5,false)="","Y","N")</f>
        <v>Y</v>
      </c>
      <c r="F190" s="12" t="str">
        <f>if(vlookup(B:B,'ILC1211'!$B193:F8632,5,false)="","Y","N")</f>
        <v>Y</v>
      </c>
      <c r="G190" s="12" t="str">
        <f>if(vlookup(B:B,'ILC1213'!$B120:G8632,5,false)="","Y","N")</f>
        <v>Y</v>
      </c>
      <c r="H190" s="12" t="str">
        <f>if(vlookup(B:B,'ILC1314'!$B119:G932,5,false)="","Y","N")</f>
        <v>Y</v>
      </c>
      <c r="I190" s="12" t="str">
        <f>if(vlookup(B:B,'ILC1404'!B193:F8355,5,false)="","Y","N")</f>
        <v>Y</v>
      </c>
      <c r="J190" s="12" t="str">
        <f>if(vlookup(B:B,'ILC2203'!B156:F8355,5,false)="","Y","N")</f>
        <v>N</v>
      </c>
      <c r="K190" s="12" t="str">
        <f>if(vlookup(B:B,'ILC2206'!B141:H370,5,false)="","Y","N")</f>
        <v>Y</v>
      </c>
      <c r="L190" s="12" t="str">
        <f>if(vlookup(B:B,'ILC2303'!B193:F8632,5,false)="","Y","N")</f>
        <v>N</v>
      </c>
      <c r="M190" s="12" t="str">
        <f>if(vlookup(B:B,'ILC2307'!B193:F9148,5,false)="","Y","N")</f>
        <v>Y</v>
      </c>
      <c r="N190" s="12" t="str">
        <f>if(vlookup(B:B,'ILC2313'!B193:F8787,5,false)="","Y","N")</f>
        <v>Y</v>
      </c>
      <c r="O190" s="12" t="str">
        <f>if(vlookup(B:B,'ILC2412'!B193:F8632,5,false)="","Y","N")</f>
        <v>Y</v>
      </c>
      <c r="P190" s="12" t="str">
        <f>if(vlookup(B:B,'ILC2413'!B193:F9130,5,false)="","Y","N")</f>
        <v>Y</v>
      </c>
      <c r="Q190" s="12" t="str">
        <f>if(vlookup(B:B,'ILC3104'!B193:F8675,5,false)="","Y","N")</f>
        <v>Y</v>
      </c>
      <c r="R190" s="12" t="str">
        <f>if(vlookup(B:B,'ILC3310'!B25:F8614,5,false)="","Y","N")</f>
        <v>Y</v>
      </c>
      <c r="S190" s="12" t="str">
        <f>if(vlookup(B:B,'ILC3312'!B193:F8632,5,false)="","Y","N")</f>
        <v>Y</v>
      </c>
      <c r="T190" s="12" t="str">
        <f>if(vlookup(B:B,'ILC3413'!B162:F8557,5,false)="","Y","N")</f>
        <v>Y</v>
      </c>
      <c r="U190" s="12" t="str">
        <f>if(vlookup(B:B,'ILC3415'!B190:F8582,5,false)="","Y","N")</f>
        <v>Y</v>
      </c>
      <c r="V190" s="12" t="str">
        <f>if(vlookup(B:B,'ILC4406'!B125:F8551,5,false)="","Y","N")</f>
        <v>Y</v>
      </c>
      <c r="W190" s="12" t="str">
        <f>if(vlookup(B:B,'ILC4410'!B193:F8799,5,false)="","Y","N")</f>
        <v>Y</v>
      </c>
      <c r="X190" s="12" t="str">
        <f>if(vlookup(B:B,'JBV455'!B193:F9139,5,false)="","Y","N")</f>
        <v>N</v>
      </c>
      <c r="Y190" s="12" t="str">
        <f>if(vlookup(B:B,'JBV462'!B193:F8632,5,false)="","Y","N")</f>
        <v>Y</v>
      </c>
      <c r="Z190" s="12" t="str">
        <f>if(vlookup(B:B,'JBV464'!B193:F8632,5,false)="","Y","N")</f>
        <v>Y</v>
      </c>
      <c r="AA190" s="12" t="str">
        <f>if(vlookup(B:B,'VDI208'!B125:F8632,5,false)="","Y","N")</f>
        <v>Y</v>
      </c>
      <c r="AB190" s="76" t="str">
        <f>if(vlookup(B:B,'STO2206'!B125:F8632,5,false)="","Y","N")</f>
        <v>Y</v>
      </c>
    </row>
    <row r="191">
      <c r="A191" s="67" t="str">
        <f t="shared" si="2"/>
        <v>Thu</v>
      </c>
      <c r="B191" s="69">
        <v>43636.0</v>
      </c>
      <c r="C191" s="12" t="str">
        <f>if(vlookup(B:B,'ILC1110'!$B56:F8633,5,false)="","Y","N")</f>
        <v>N</v>
      </c>
      <c r="D191" s="12" t="str">
        <f>if(vlookup(B:B,'ILC1111'!$B56:F8640,5,false)="","Y","N")</f>
        <v>N</v>
      </c>
      <c r="E191" s="12" t="str">
        <f>if(vlookup(B:B,'ILC1112'!$B56:F8633,5,false)="","Y","N")</f>
        <v>N</v>
      </c>
      <c r="F191" s="12" t="str">
        <f>if(vlookup(B:B,'ILC1211'!$B194:F8633,5,false)="","Y","N")</f>
        <v>Y</v>
      </c>
      <c r="G191" s="12" t="str">
        <f>if(vlookup(B:B,'ILC1213'!$B121:G8633,5,false)="","Y","N")</f>
        <v>Y</v>
      </c>
      <c r="H191" s="12" t="str">
        <f>if(vlookup(B:B,'ILC1314'!$B120:G933,5,false)="","Y","N")</f>
        <v>Y</v>
      </c>
      <c r="I191" s="12" t="str">
        <f>if(vlookup(B:B,'ILC1404'!B194:F8356,5,false)="","Y","N")</f>
        <v>N</v>
      </c>
      <c r="J191" s="12" t="str">
        <f>if(vlookup(B:B,'ILC2203'!B157:F8356,5,false)="","Y","N")</f>
        <v>N</v>
      </c>
      <c r="K191" s="12" t="str">
        <f>if(vlookup(B:B,'ILC2206'!B142:H370,5,false)="","Y","N")</f>
        <v>Y</v>
      </c>
      <c r="L191" s="12" t="str">
        <f>if(vlookup(B:B,'ILC2303'!B194:F8633,5,false)="","Y","N")</f>
        <v>N</v>
      </c>
      <c r="M191" s="12" t="str">
        <f>if(vlookup(B:B,'ILC2307'!B194:F9149,5,false)="","Y","N")</f>
        <v>Y</v>
      </c>
      <c r="N191" s="12" t="str">
        <f>if(vlookup(B:B,'ILC2313'!B194:F8788,5,false)="","Y","N")</f>
        <v>Y</v>
      </c>
      <c r="O191" s="12" t="str">
        <f>if(vlookup(B:B,'ILC2412'!B194:F8633,5,false)="","Y","N")</f>
        <v>Y</v>
      </c>
      <c r="P191" s="12" t="str">
        <f>if(vlookup(B:B,'ILC2413'!B194:F9131,5,false)="","Y","N")</f>
        <v>Y</v>
      </c>
      <c r="Q191" s="12" t="str">
        <f>if(vlookup(B:B,'ILC3104'!B194:F8676,5,false)="","Y","N")</f>
        <v>Y</v>
      </c>
      <c r="R191" s="12" t="str">
        <f>if(vlookup(B:B,'ILC3310'!B26:F8615,5,false)="","Y","N")</f>
        <v>Y</v>
      </c>
      <c r="S191" s="12" t="str">
        <f>if(vlookup(B:B,'ILC3312'!B194:F8633,5,false)="","Y","N")</f>
        <v>Y</v>
      </c>
      <c r="T191" s="12" t="str">
        <f>if(vlookup(B:B,'ILC3413'!B163:F8558,5,false)="","Y","N")</f>
        <v>Y</v>
      </c>
      <c r="U191" s="12" t="str">
        <f>if(vlookup(B:B,'ILC3415'!B191:F8583,5,false)="","Y","N")</f>
        <v>N</v>
      </c>
      <c r="V191" s="12" t="str">
        <f>if(vlookup(B:B,'ILC4406'!B126:F8552,5,false)="","Y","N")</f>
        <v>Y</v>
      </c>
      <c r="W191" s="12" t="str">
        <f>if(vlookup(B:B,'ILC4410'!B194:F8800,5,false)="","Y","N")</f>
        <v>Y</v>
      </c>
      <c r="X191" s="12" t="str">
        <f>if(vlookup(B:B,'JBV455'!B194:F9140,5,false)="","Y","N")</f>
        <v>N</v>
      </c>
      <c r="Y191" s="12" t="str">
        <f>if(vlookup(B:B,'JBV462'!B194:F8633,5,false)="","Y","N")</f>
        <v>Y</v>
      </c>
      <c r="Z191" s="12" t="str">
        <f>if(vlookup(B:B,'JBV464'!B194:F8633,5,false)="","Y","N")</f>
        <v>Y</v>
      </c>
      <c r="AA191" s="12" t="str">
        <f>if(vlookup(B:B,'VDI208'!B126:F8633,5,false)="","Y","N")</f>
        <v>Y</v>
      </c>
      <c r="AB191" s="76" t="str">
        <f>if(vlookup(B:B,'STO2206'!B126:F8633,5,false)="","Y","N")</f>
        <v>Y</v>
      </c>
    </row>
    <row r="192">
      <c r="A192" s="67" t="str">
        <f t="shared" si="2"/>
        <v>Fri</v>
      </c>
      <c r="B192" s="69">
        <v>43637.0</v>
      </c>
      <c r="C192" s="12" t="str">
        <f>if(vlookup(B:B,'ILC1110'!$B57:F8634,5,false)="","Y","N")</f>
        <v>Y</v>
      </c>
      <c r="D192" s="12" t="str">
        <f>if(vlookup(B:B,'ILC1111'!$B57:F8641,5,false)="","Y","N")</f>
        <v>N</v>
      </c>
      <c r="E192" s="12" t="str">
        <f>if(vlookup(B:B,'ILC1112'!$B57:F8634,5,false)="","Y","N")</f>
        <v>N</v>
      </c>
      <c r="F192" s="12" t="str">
        <f>if(vlookup(B:B,'ILC1211'!$B195:F8634,5,false)="","Y","N")</f>
        <v>Y</v>
      </c>
      <c r="G192" s="12" t="str">
        <f>if(vlookup(B:B,'ILC1213'!$B122:G8634,5,false)="","Y","N")</f>
        <v>Y</v>
      </c>
      <c r="H192" s="12" t="str">
        <f>if(vlookup(B:B,'ILC1314'!$B121:G934,5,false)="","Y","N")</f>
        <v>Y</v>
      </c>
      <c r="I192" s="12" t="str">
        <f>if(vlookup(B:B,'ILC1404'!B195:F8357,5,false)="","Y","N")</f>
        <v>N</v>
      </c>
      <c r="J192" s="12" t="str">
        <f>if(vlookup(B:B,'ILC2203'!B158:F8357,5,false)="","Y","N")</f>
        <v>N</v>
      </c>
      <c r="K192" s="12" t="str">
        <f>if(vlookup(B:B,'ILC2206'!B143:H370,5,false)="","Y","N")</f>
        <v>Y</v>
      </c>
      <c r="L192" s="12" t="str">
        <f>if(vlookup(B:B,'ILC2303'!B195:F8634,5,false)="","Y","N")</f>
        <v>N</v>
      </c>
      <c r="M192" s="12" t="str">
        <f>if(vlookup(B:B,'ILC2307'!B195:F9150,5,false)="","Y","N")</f>
        <v>Y</v>
      </c>
      <c r="N192" s="12" t="str">
        <f>if(vlookup(B:B,'ILC2313'!B195:F8789,5,false)="","Y","N")</f>
        <v>Y</v>
      </c>
      <c r="O192" s="12" t="str">
        <f>if(vlookup(B:B,'ILC2412'!B195:F8634,5,false)="","Y","N")</f>
        <v>Y</v>
      </c>
      <c r="P192" s="12" t="str">
        <f>if(vlookup(B:B,'ILC2413'!B195:F9132,5,false)="","Y","N")</f>
        <v>Y</v>
      </c>
      <c r="Q192" s="12" t="str">
        <f>if(vlookup(B:B,'ILC3104'!B195:F8677,5,false)="","Y","N")</f>
        <v>Y</v>
      </c>
      <c r="R192" s="12" t="str">
        <f>if(vlookup(B:B,'ILC3310'!B27:F8616,5,false)="","Y","N")</f>
        <v>Y</v>
      </c>
      <c r="S192" s="12" t="str">
        <f>if(vlookup(B:B,'ILC3312'!B195:F8634,5,false)="","Y","N")</f>
        <v>Y</v>
      </c>
      <c r="T192" s="12" t="str">
        <f>if(vlookup(B:B,'ILC3413'!B164:F8559,5,false)="","Y","N")</f>
        <v>Y</v>
      </c>
      <c r="U192" s="12" t="str">
        <f>if(vlookup(B:B,'ILC3415'!B192:F8584,5,false)="","Y","N")</f>
        <v>N</v>
      </c>
      <c r="V192" s="12" t="str">
        <f>if(vlookup(B:B,'ILC4406'!B127:F8553,5,false)="","Y","N")</f>
        <v>Y</v>
      </c>
      <c r="W192" s="12" t="str">
        <f>if(vlookup(B:B,'ILC4410'!B195:F8801,5,false)="","Y","N")</f>
        <v>Y</v>
      </c>
      <c r="X192" s="12" t="str">
        <f>if(vlookup(B:B,'JBV455'!B195:F9141,5,false)="","Y","N")</f>
        <v>N</v>
      </c>
      <c r="Y192" s="12" t="str">
        <f>if(vlookup(B:B,'JBV462'!B195:F8634,5,false)="","Y","N")</f>
        <v>Y</v>
      </c>
      <c r="Z192" s="12" t="str">
        <f>if(vlookup(B:B,'JBV464'!B195:F8634,5,false)="","Y","N")</f>
        <v>N</v>
      </c>
      <c r="AA192" s="12" t="str">
        <f>if(vlookup(B:B,'VDI208'!B127:F8634,5,false)="","Y","N")</f>
        <v>Y</v>
      </c>
      <c r="AB192" s="76" t="str">
        <f>if(vlookup(B:B,'STO2206'!B127:F8634,5,false)="","Y","N")</f>
        <v>Y</v>
      </c>
    </row>
    <row r="193">
      <c r="A193" s="67" t="str">
        <f t="shared" si="2"/>
        <v>Sat</v>
      </c>
      <c r="B193" s="69">
        <v>43638.0</v>
      </c>
      <c r="C193" s="12" t="str">
        <f>if(vlookup(B:B,'ILC1110'!$B58:F8635,5,false)="","Y","N")</f>
        <v>Y</v>
      </c>
      <c r="D193" s="12" t="str">
        <f>if(vlookup(B:B,'ILC1111'!$B58:F8642,5,false)="","Y","N")</f>
        <v>N</v>
      </c>
      <c r="E193" s="12" t="str">
        <f>if(vlookup(B:B,'ILC1112'!$B58:F8635,5,false)="","Y","N")</f>
        <v>N</v>
      </c>
      <c r="F193" s="12" t="str">
        <f>if(vlookup(B:B,'ILC1211'!$B196:F8635,5,false)="","Y","N")</f>
        <v>Y</v>
      </c>
      <c r="G193" s="12" t="str">
        <f>if(vlookup(B:B,'ILC1213'!$B123:G8635,5,false)="","Y","N")</f>
        <v>Y</v>
      </c>
      <c r="H193" s="12" t="str">
        <f>if(vlookup(B:B,'ILC1314'!$B122:G935,5,false)="","Y","N")</f>
        <v>Y</v>
      </c>
      <c r="I193" s="12" t="str">
        <f>if(vlookup(B:B,'ILC1404'!B196:F8358,5,false)="","Y","N")</f>
        <v>N</v>
      </c>
      <c r="J193" s="12" t="str">
        <f>if(vlookup(B:B,'ILC2203'!B159:F8358,5,false)="","Y","N")</f>
        <v>N</v>
      </c>
      <c r="K193" s="12" t="str">
        <f>if(vlookup(B:B,'ILC2206'!B144:H370,5,false)="","Y","N")</f>
        <v>Y</v>
      </c>
      <c r="L193" s="12" t="str">
        <f>if(vlookup(B:B,'ILC2303'!B196:F8635,5,false)="","Y","N")</f>
        <v>N</v>
      </c>
      <c r="M193" s="12" t="str">
        <f>if(vlookup(B:B,'ILC2307'!B196:F9151,5,false)="","Y","N")</f>
        <v>Y</v>
      </c>
      <c r="N193" s="12" t="str">
        <f>if(vlookup(B:B,'ILC2313'!B196:F8790,5,false)="","Y","N")</f>
        <v>Y</v>
      </c>
      <c r="O193" s="12" t="str">
        <f>if(vlookup(B:B,'ILC2412'!B196:F8635,5,false)="","Y","N")</f>
        <v>Y</v>
      </c>
      <c r="P193" s="12" t="str">
        <f>if(vlookup(B:B,'ILC2413'!B196:F9133,5,false)="","Y","N")</f>
        <v>Y</v>
      </c>
      <c r="Q193" s="12" t="str">
        <f>if(vlookup(B:B,'ILC3104'!B196:F8678,5,false)="","Y","N")</f>
        <v>Y</v>
      </c>
      <c r="R193" s="12" t="str">
        <f>if(vlookup(B:B,'ILC3310'!B28:F8617,5,false)="","Y","N")</f>
        <v>Y</v>
      </c>
      <c r="S193" s="12" t="str">
        <f>if(vlookup(B:B,'ILC3312'!B196:F8635,5,false)="","Y","N")</f>
        <v>Y</v>
      </c>
      <c r="T193" s="12" t="str">
        <f>if(vlookup(B:B,'ILC3413'!B165:F8560,5,false)="","Y","N")</f>
        <v>Y</v>
      </c>
      <c r="U193" s="12" t="str">
        <f>if(vlookup(B:B,'ILC3415'!B193:F8585,5,false)="","Y","N")</f>
        <v>N</v>
      </c>
      <c r="V193" s="12" t="str">
        <f>if(vlookup(B:B,'ILC4406'!B128:F8554,5,false)="","Y","N")</f>
        <v>Y</v>
      </c>
      <c r="W193" s="12" t="str">
        <f>if(vlookup(B:B,'ILC4410'!B196:F8802,5,false)="","Y","N")</f>
        <v>Y</v>
      </c>
      <c r="X193" s="12" t="str">
        <f>if(vlookup(B:B,'JBV455'!B196:F9142,5,false)="","Y","N")</f>
        <v>N</v>
      </c>
      <c r="Y193" s="12" t="str">
        <f>if(vlookup(B:B,'JBV462'!B196:F8635,5,false)="","Y","N")</f>
        <v>Y</v>
      </c>
      <c r="Z193" s="12" t="str">
        <f>if(vlookup(B:B,'JBV464'!B196:F8635,5,false)="","Y","N")</f>
        <v>N</v>
      </c>
      <c r="AA193" s="12" t="str">
        <f>if(vlookup(B:B,'VDI208'!B128:F8635,5,false)="","Y","N")</f>
        <v>Y</v>
      </c>
      <c r="AB193" s="76" t="str">
        <f>if(vlookup(B:B,'STO2206'!B128:F8635,5,false)="","Y","N")</f>
        <v>Y</v>
      </c>
    </row>
    <row r="194">
      <c r="A194" s="67" t="str">
        <f t="shared" si="2"/>
        <v>Sun</v>
      </c>
      <c r="B194" s="69">
        <v>43639.0</v>
      </c>
      <c r="C194" s="12" t="str">
        <f>if(vlookup(B:B,'ILC1110'!$B59:F8636,5,false)="","Y","N")</f>
        <v>Y</v>
      </c>
      <c r="D194" s="12" t="str">
        <f>if(vlookup(B:B,'ILC1111'!$B59:F8643,5,false)="","Y","N")</f>
        <v>N</v>
      </c>
      <c r="E194" s="12" t="str">
        <f>if(vlookup(B:B,'ILC1112'!$B59:F8636,5,false)="","Y","N")</f>
        <v>Y</v>
      </c>
      <c r="F194" s="12" t="str">
        <f>if(vlookup(B:B,'ILC1211'!$B197:F8636,5,false)="","Y","N")</f>
        <v>Y</v>
      </c>
      <c r="G194" s="12" t="str">
        <f>if(vlookup(B:B,'ILC1213'!$B124:G8636,5,false)="","Y","N")</f>
        <v>Y</v>
      </c>
      <c r="H194" s="12" t="str">
        <f>if(vlookup(B:B,'ILC1314'!$B123:G936,5,false)="","Y","N")</f>
        <v>Y</v>
      </c>
      <c r="I194" s="12" t="str">
        <f>if(vlookup(B:B,'ILC1404'!B197:F8359,5,false)="","Y","N")</f>
        <v>N</v>
      </c>
      <c r="J194" s="12" t="str">
        <f>if(vlookup(B:B,'ILC2203'!B160:F8359,5,false)="","Y","N")</f>
        <v>Y</v>
      </c>
      <c r="K194" s="12" t="str">
        <f>if(vlookup(B:B,'ILC2206'!B145:H370,5,false)="","Y","N")</f>
        <v>Y</v>
      </c>
      <c r="L194" s="12" t="str">
        <f>if(vlookup(B:B,'ILC2303'!B197:F8636,5,false)="","Y","N")</f>
        <v>N</v>
      </c>
      <c r="M194" s="12" t="str">
        <f>if(vlookup(B:B,'ILC2307'!B197:F9152,5,false)="","Y","N")</f>
        <v>Y</v>
      </c>
      <c r="N194" s="12" t="str">
        <f>if(vlookup(B:B,'ILC2313'!B197:F8791,5,false)="","Y","N")</f>
        <v>Y</v>
      </c>
      <c r="O194" s="12" t="str">
        <f>if(vlookup(B:B,'ILC2412'!B197:F8636,5,false)="","Y","N")</f>
        <v>Y</v>
      </c>
      <c r="P194" s="12" t="str">
        <f>if(vlookup(B:B,'ILC2413'!B197:F9134,5,false)="","Y","N")</f>
        <v>Y</v>
      </c>
      <c r="Q194" s="12" t="str">
        <f>if(vlookup(B:B,'ILC3104'!B197:F8679,5,false)="","Y","N")</f>
        <v>Y</v>
      </c>
      <c r="R194" s="12" t="str">
        <f>if(vlookup(B:B,'ILC3310'!B29:F8618,5,false)="","Y","N")</f>
        <v>Y</v>
      </c>
      <c r="S194" s="12" t="str">
        <f>if(vlookup(B:B,'ILC3312'!B197:F8636,5,false)="","Y","N")</f>
        <v>Y</v>
      </c>
      <c r="T194" s="12" t="str">
        <f>if(vlookup(B:B,'ILC3413'!B166:F8561,5,false)="","Y","N")</f>
        <v>Y</v>
      </c>
      <c r="U194" s="12" t="str">
        <f>if(vlookup(B:B,'ILC3415'!B194:F8586,5,false)="","Y","N")</f>
        <v>N</v>
      </c>
      <c r="V194" s="12" t="str">
        <f>if(vlookup(B:B,'ILC4406'!B129:F8555,5,false)="","Y","N")</f>
        <v>Y</v>
      </c>
      <c r="W194" s="12" t="str">
        <f>if(vlookup(B:B,'ILC4410'!B197:F8803,5,false)="","Y","N")</f>
        <v>Y</v>
      </c>
      <c r="X194" s="12" t="str">
        <f>if(vlookup(B:B,'JBV455'!B197:F9143,5,false)="","Y","N")</f>
        <v>Y</v>
      </c>
      <c r="Y194" s="12" t="str">
        <f>if(vlookup(B:B,'JBV462'!B197:F8636,5,false)="","Y","N")</f>
        <v>Y</v>
      </c>
      <c r="Z194" s="12" t="str">
        <f>if(vlookup(B:B,'JBV464'!B197:F8636,5,false)="","Y","N")</f>
        <v>N</v>
      </c>
      <c r="AA194" s="12" t="str">
        <f>if(vlookup(B:B,'VDI208'!B129:F8636,5,false)="","Y","N")</f>
        <v>Y</v>
      </c>
      <c r="AB194" s="76" t="str">
        <f>if(vlookup(B:B,'STO2206'!B129:F8636,5,false)="","Y","N")</f>
        <v>Y</v>
      </c>
    </row>
    <row r="195">
      <c r="A195" s="67" t="str">
        <f t="shared" si="2"/>
        <v>Mon</v>
      </c>
      <c r="B195" s="69">
        <v>43640.0</v>
      </c>
      <c r="C195" s="12" t="str">
        <f>if(vlookup(B:B,'ILC1110'!$B60:F8637,5,false)="","Y","N")</f>
        <v>Y</v>
      </c>
      <c r="D195" s="12" t="str">
        <f>if(vlookup(B:B,'ILC1111'!$B60:F8644,5,false)="","Y","N")</f>
        <v>Y</v>
      </c>
      <c r="E195" s="12" t="str">
        <f>if(vlookup(B:B,'ILC1112'!$B60:F8637,5,false)="","Y","N")</f>
        <v>Y</v>
      </c>
      <c r="F195" s="12" t="str">
        <f>if(vlookup(B:B,'ILC1211'!$B198:F8637,5,false)="","Y","N")</f>
        <v>Y</v>
      </c>
      <c r="G195" s="12" t="str">
        <f>if(vlookup(B:B,'ILC1213'!$B125:G8637,5,false)="","Y","N")</f>
        <v>Y</v>
      </c>
      <c r="H195" s="12" t="str">
        <f>if(vlookup(B:B,'ILC1314'!$B124:G937,5,false)="","Y","N")</f>
        <v>Y</v>
      </c>
      <c r="I195" s="12" t="str">
        <f>if(vlookup(B:B,'ILC1404'!B198:F8360,5,false)="","Y","N")</f>
        <v>Y</v>
      </c>
      <c r="J195" s="12" t="str">
        <f>if(vlookup(B:B,'ILC2203'!B161:F8360,5,false)="","Y","N")</f>
        <v>Y</v>
      </c>
      <c r="K195" s="12" t="str">
        <f>if(vlookup(B:B,'ILC2206'!B146:H370,5,false)="","Y","N")</f>
        <v>Y</v>
      </c>
      <c r="L195" s="12" t="str">
        <f>if(vlookup(B:B,'ILC2303'!B198:F8637,5,false)="","Y","N")</f>
        <v>N</v>
      </c>
      <c r="M195" s="12" t="str">
        <f>if(vlookup(B:B,'ILC2307'!B198:F9153,5,false)="","Y","N")</f>
        <v>Y</v>
      </c>
      <c r="N195" s="12" t="str">
        <f>if(vlookup(B:B,'ILC2313'!B198:F8792,5,false)="","Y","N")</f>
        <v>Y</v>
      </c>
      <c r="O195" s="12" t="str">
        <f>if(vlookup(B:B,'ILC2412'!B198:F8637,5,false)="","Y","N")</f>
        <v>Y</v>
      </c>
      <c r="P195" s="12" t="str">
        <f>if(vlookup(B:B,'ILC2413'!B198:F9135,5,false)="","Y","N")</f>
        <v>Y</v>
      </c>
      <c r="Q195" s="12" t="str">
        <f>if(vlookup(B:B,'ILC3104'!B198:F8680,5,false)="","Y","N")</f>
        <v>Y</v>
      </c>
      <c r="R195" s="12" t="str">
        <f>if(vlookup(B:B,'ILC3310'!B30:F8619,5,false)="","Y","N")</f>
        <v>Y</v>
      </c>
      <c r="S195" s="12" t="str">
        <f>if(vlookup(B:B,'ILC3312'!B198:F8637,5,false)="","Y","N")</f>
        <v>Y</v>
      </c>
      <c r="T195" s="12" t="str">
        <f>if(vlookup(B:B,'ILC3413'!B167:F8562,5,false)="","Y","N")</f>
        <v>Y</v>
      </c>
      <c r="U195" s="12" t="str">
        <f>if(vlookup(B:B,'ILC3415'!B195:F8587,5,false)="","Y","N")</f>
        <v>Y</v>
      </c>
      <c r="V195" s="12" t="str">
        <f>if(vlookup(B:B,'ILC4406'!B130:F8556,5,false)="","Y","N")</f>
        <v>Y</v>
      </c>
      <c r="W195" s="12" t="str">
        <f>if(vlookup(B:B,'ILC4410'!B198:F8804,5,false)="","Y","N")</f>
        <v>Y</v>
      </c>
      <c r="X195" s="12" t="str">
        <f>if(vlookup(B:B,'JBV455'!B198:F9144,5,false)="","Y","N")</f>
        <v>Y</v>
      </c>
      <c r="Y195" s="12" t="str">
        <f>if(vlookup(B:B,'JBV462'!B198:F8637,5,false)="","Y","N")</f>
        <v>Y</v>
      </c>
      <c r="Z195" s="12" t="str">
        <f>if(vlookup(B:B,'JBV464'!B198:F8637,5,false)="","Y","N")</f>
        <v>N</v>
      </c>
      <c r="AA195" s="12" t="str">
        <f>if(vlookup(B:B,'VDI208'!B130:F8637,5,false)="","Y","N")</f>
        <v>Y</v>
      </c>
      <c r="AB195" s="76" t="str">
        <f>if(vlookup(B:B,'STO2206'!B130:F8637,5,false)="","Y","N")</f>
        <v>Y</v>
      </c>
    </row>
    <row r="196">
      <c r="A196" s="67" t="str">
        <f t="shared" si="2"/>
        <v>Tue</v>
      </c>
      <c r="B196" s="69">
        <v>43641.0</v>
      </c>
      <c r="C196" s="12" t="str">
        <f>if(vlookup(B:B,'ILC1110'!$B61:F8638,5,false)="","Y","N")</f>
        <v>Y</v>
      </c>
      <c r="D196" s="12" t="str">
        <f>if(vlookup(B:B,'ILC1111'!$B61:F8645,5,false)="","Y","N")</f>
        <v>Y</v>
      </c>
      <c r="E196" s="12" t="str">
        <f>if(vlookup(B:B,'ILC1112'!$B61:F8638,5,false)="","Y","N")</f>
        <v>Y</v>
      </c>
      <c r="F196" s="12" t="str">
        <f>if(vlookup(B:B,'ILC1211'!$B199:F8638,5,false)="","Y","N")</f>
        <v>Y</v>
      </c>
      <c r="G196" s="12" t="str">
        <f>if(vlookup(B:B,'ILC1213'!$B126:G8638,5,false)="","Y","N")</f>
        <v>Y</v>
      </c>
      <c r="H196" s="12" t="str">
        <f>if(vlookup(B:B,'ILC1314'!$B125:G938,5,false)="","Y","N")</f>
        <v>Y</v>
      </c>
      <c r="I196" s="12" t="str">
        <f>if(vlookup(B:B,'ILC1404'!B199:F8361,5,false)="","Y","N")</f>
        <v>Y</v>
      </c>
      <c r="J196" s="12" t="str">
        <f>if(vlookup(B:B,'ILC2203'!B162:F8361,5,false)="","Y","N")</f>
        <v>Y</v>
      </c>
      <c r="K196" s="12" t="str">
        <f>if(vlookup(B:B,'ILC2206'!B147:H370,5,false)="","Y","N")</f>
        <v>Y</v>
      </c>
      <c r="L196" s="12" t="str">
        <f>if(vlookup(B:B,'ILC2303'!B199:F8638,5,false)="","Y","N")</f>
        <v>N</v>
      </c>
      <c r="M196" s="12" t="str">
        <f>if(vlookup(B:B,'ILC2307'!B199:F9154,5,false)="","Y","N")</f>
        <v>Y</v>
      </c>
      <c r="N196" s="12" t="str">
        <f>if(vlookup(B:B,'ILC2313'!B199:F8793,5,false)="","Y","N")</f>
        <v>Y</v>
      </c>
      <c r="O196" s="12" t="str">
        <f>if(vlookup(B:B,'ILC2412'!B199:F8638,5,false)="","Y","N")</f>
        <v>Y</v>
      </c>
      <c r="P196" s="12" t="str">
        <f>if(vlookup(B:B,'ILC2413'!B199:F9136,5,false)="","Y","N")</f>
        <v>Y</v>
      </c>
      <c r="Q196" s="12" t="str">
        <f>if(vlookup(B:B,'ILC3104'!B199:F8681,5,false)="","Y","N")</f>
        <v>Y</v>
      </c>
      <c r="R196" s="12" t="str">
        <f>if(vlookup(B:B,'ILC3310'!B31:F8620,5,false)="","Y","N")</f>
        <v>Y</v>
      </c>
      <c r="S196" s="12" t="str">
        <f>if(vlookup(B:B,'ILC3312'!B199:F8638,5,false)="","Y","N")</f>
        <v>Y</v>
      </c>
      <c r="T196" s="12" t="str">
        <f>if(vlookup(B:B,'ILC3413'!B168:F8563,5,false)="","Y","N")</f>
        <v>Y</v>
      </c>
      <c r="U196" s="12" t="str">
        <f>if(vlookup(B:B,'ILC3415'!B196:F8588,5,false)="","Y","N")</f>
        <v>Y</v>
      </c>
      <c r="V196" s="12" t="str">
        <f>if(vlookup(B:B,'ILC4406'!B131:F8557,5,false)="","Y","N")</f>
        <v>Y</v>
      </c>
      <c r="W196" s="12" t="str">
        <f>if(vlookup(B:B,'ILC4410'!B199:F8805,5,false)="","Y","N")</f>
        <v>Y</v>
      </c>
      <c r="X196" s="12" t="str">
        <f>if(vlookup(B:B,'JBV455'!B199:F9145,5,false)="","Y","N")</f>
        <v>Y</v>
      </c>
      <c r="Y196" s="12" t="str">
        <f>if(vlookup(B:B,'JBV462'!B199:F8638,5,false)="","Y","N")</f>
        <v>Y</v>
      </c>
      <c r="Z196" s="12" t="str">
        <f>if(vlookup(B:B,'JBV464'!B199:F8638,5,false)="","Y","N")</f>
        <v>N</v>
      </c>
      <c r="AA196" s="12" t="str">
        <f>if(vlookup(B:B,'VDI208'!B131:F8638,5,false)="","Y","N")</f>
        <v>Y</v>
      </c>
      <c r="AB196" s="76" t="str">
        <f>if(vlookup(B:B,'STO2206'!B131:F8638,5,false)="","Y","N")</f>
        <v>Y</v>
      </c>
    </row>
    <row r="197">
      <c r="A197" s="67" t="str">
        <f t="shared" si="2"/>
        <v>Wed</v>
      </c>
      <c r="B197" s="69">
        <v>43642.0</v>
      </c>
      <c r="C197" s="12" t="str">
        <f>if(vlookup(B:B,'ILC1110'!$B62:F8639,5,false)="","Y","N")</f>
        <v>Y</v>
      </c>
      <c r="D197" s="12" t="str">
        <f>if(vlookup(B:B,'ILC1111'!$B62:F8646,5,false)="","Y","N")</f>
        <v>Y</v>
      </c>
      <c r="E197" s="12" t="str">
        <f>if(vlookup(B:B,'ILC1112'!$B62:F8639,5,false)="","Y","N")</f>
        <v>Y</v>
      </c>
      <c r="F197" s="12" t="str">
        <f>if(vlookup(B:B,'ILC1211'!$B200:F8639,5,false)="","Y","N")</f>
        <v>Y</v>
      </c>
      <c r="G197" s="12" t="str">
        <f>if(vlookup(B:B,'ILC1213'!$B127:G8639,5,false)="","Y","N")</f>
        <v>Y</v>
      </c>
      <c r="H197" s="12" t="str">
        <f>if(vlookup(B:B,'ILC1314'!$B126:G939,5,false)="","Y","N")</f>
        <v>Y</v>
      </c>
      <c r="I197" s="12" t="str">
        <f>if(vlookup(B:B,'ILC1404'!B200:F8362,5,false)="","Y","N")</f>
        <v>Y</v>
      </c>
      <c r="J197" s="12" t="str">
        <f>if(vlookup(B:B,'ILC2203'!B163:F8362,5,false)="","Y","N")</f>
        <v>Y</v>
      </c>
      <c r="K197" s="12" t="str">
        <f>if(vlookup(B:B,'ILC2206'!B148:H370,5,false)="","Y","N")</f>
        <v>Y</v>
      </c>
      <c r="L197" s="12" t="str">
        <f>if(vlookup(B:B,'ILC2303'!B200:F8639,5,false)="","Y","N")</f>
        <v>N</v>
      </c>
      <c r="M197" s="12" t="str">
        <f>if(vlookup(B:B,'ILC2307'!B200:F9155,5,false)="","Y","N")</f>
        <v>Y</v>
      </c>
      <c r="N197" s="12" t="str">
        <f>if(vlookup(B:B,'ILC2313'!B200:F8794,5,false)="","Y","N")</f>
        <v>Y</v>
      </c>
      <c r="O197" s="12" t="str">
        <f>if(vlookup(B:B,'ILC2412'!B200:F8639,5,false)="","Y","N")</f>
        <v>Y</v>
      </c>
      <c r="P197" s="12" t="str">
        <f>if(vlookup(B:B,'ILC2413'!B200:F9137,5,false)="","Y","N")</f>
        <v>Y</v>
      </c>
      <c r="Q197" s="12" t="str">
        <f>if(vlookup(B:B,'ILC3104'!B200:F8682,5,false)="","Y","N")</f>
        <v>Y</v>
      </c>
      <c r="R197" s="12" t="str">
        <f>if(vlookup(B:B,'ILC3310'!B32:F8621,5,false)="","Y","N")</f>
        <v>Y</v>
      </c>
      <c r="S197" s="12" t="str">
        <f>if(vlookup(B:B,'ILC3312'!B200:F8639,5,false)="","Y","N")</f>
        <v>Y</v>
      </c>
      <c r="T197" s="12" t="str">
        <f>if(vlookup(B:B,'ILC3413'!B169:F8564,5,false)="","Y","N")</f>
        <v>Y</v>
      </c>
      <c r="U197" s="12" t="str">
        <f>if(vlookup(B:B,'ILC3415'!B197:F8589,5,false)="","Y","N")</f>
        <v>Y</v>
      </c>
      <c r="V197" s="12" t="str">
        <f>if(vlookup(B:B,'ILC4406'!B132:F8558,5,false)="","Y","N")</f>
        <v>Y</v>
      </c>
      <c r="W197" s="12" t="str">
        <f>if(vlookup(B:B,'ILC4410'!B200:F8806,5,false)="","Y","N")</f>
        <v>Y</v>
      </c>
      <c r="X197" s="12" t="str">
        <f>if(vlookup(B:B,'JBV455'!B200:F9146,5,false)="","Y","N")</f>
        <v>Y</v>
      </c>
      <c r="Y197" s="12" t="str">
        <f>if(vlookup(B:B,'JBV462'!B200:F8639,5,false)="","Y","N")</f>
        <v>Y</v>
      </c>
      <c r="Z197" s="12" t="str">
        <f>if(vlookup(B:B,'JBV464'!B200:F8639,5,false)="","Y","N")</f>
        <v>Y</v>
      </c>
      <c r="AA197" s="12" t="str">
        <f>if(vlookup(B:B,'VDI208'!B132:F8639,5,false)="","Y","N")</f>
        <v>Y</v>
      </c>
      <c r="AB197" s="76" t="str">
        <f>if(vlookup(B:B,'STO2206'!B132:F8639,5,false)="","Y","N")</f>
        <v>Y</v>
      </c>
    </row>
    <row r="198">
      <c r="A198" s="67" t="str">
        <f t="shared" si="2"/>
        <v>Thu</v>
      </c>
      <c r="B198" s="69">
        <v>43643.0</v>
      </c>
      <c r="C198" s="12" t="str">
        <f>if(vlookup(B:B,'ILC1110'!$B63:F8640,5,false)="","Y","N")</f>
        <v>Y</v>
      </c>
      <c r="D198" s="12" t="str">
        <f>if(vlookup(B:B,'ILC1111'!$B63:F8647,5,false)="","Y","N")</f>
        <v>Y</v>
      </c>
      <c r="E198" s="12" t="str">
        <f>if(vlookup(B:B,'ILC1112'!$B63:F8640,5,false)="","Y","N")</f>
        <v>Y</v>
      </c>
      <c r="F198" s="12" t="str">
        <f>if(vlookup(B:B,'ILC1211'!$B201:F8640,5,false)="","Y","N")</f>
        <v>Y</v>
      </c>
      <c r="G198" s="12" t="str">
        <f>if(vlookup(B:B,'ILC1213'!$B128:G8640,5,false)="","Y","N")</f>
        <v>Y</v>
      </c>
      <c r="H198" s="12" t="str">
        <f>if(vlookup(B:B,'ILC1314'!$B127:G940,5,false)="","Y","N")</f>
        <v>Y</v>
      </c>
      <c r="I198" s="12" t="str">
        <f>if(vlookup(B:B,'ILC1404'!B201:F8363,5,false)="","Y","N")</f>
        <v>Y</v>
      </c>
      <c r="J198" s="12" t="str">
        <f>if(vlookup(B:B,'ILC2203'!B164:F8363,5,false)="","Y","N")</f>
        <v>Y</v>
      </c>
      <c r="K198" s="12" t="str">
        <f>if(vlookup(B:B,'ILC2206'!B149:H370,5,false)="","Y","N")</f>
        <v>Y</v>
      </c>
      <c r="L198" s="12" t="str">
        <f>if(vlookup(B:B,'ILC2303'!B201:F8640,5,false)="","Y","N")</f>
        <v>N</v>
      </c>
      <c r="M198" s="12" t="str">
        <f>if(vlookup(B:B,'ILC2307'!B201:F9156,5,false)="","Y","N")</f>
        <v>Y</v>
      </c>
      <c r="N198" s="12" t="str">
        <f>if(vlookup(B:B,'ILC2313'!B201:F8795,5,false)="","Y","N")</f>
        <v>Y</v>
      </c>
      <c r="O198" s="12" t="str">
        <f>if(vlookup(B:B,'ILC2412'!B201:F8640,5,false)="","Y","N")</f>
        <v>Y</v>
      </c>
      <c r="P198" s="12" t="str">
        <f>if(vlookup(B:B,'ILC2413'!B201:F9138,5,false)="","Y","N")</f>
        <v>Y</v>
      </c>
      <c r="Q198" s="12" t="str">
        <f>if(vlookup(B:B,'ILC3104'!B201:F8683,5,false)="","Y","N")</f>
        <v>Y</v>
      </c>
      <c r="R198" s="12" t="str">
        <f>if(vlookup(B:B,'ILC3310'!B33:F8622,5,false)="","Y","N")</f>
        <v>Y</v>
      </c>
      <c r="S198" s="12" t="str">
        <f>if(vlookup(B:B,'ILC3312'!B201:F8640,5,false)="","Y","N")</f>
        <v>Y</v>
      </c>
      <c r="T198" s="12" t="str">
        <f>if(vlookup(B:B,'ILC3413'!B170:F8565,5,false)="","Y","N")</f>
        <v>Y</v>
      </c>
      <c r="U198" s="12" t="str">
        <f>if(vlookup(B:B,'ILC3415'!B198:F8590,5,false)="","Y","N")</f>
        <v>Y</v>
      </c>
      <c r="V198" s="12" t="str">
        <f>if(vlookup(B:B,'ILC4406'!B133:F8559,5,false)="","Y","N")</f>
        <v>Y</v>
      </c>
      <c r="W198" s="12" t="str">
        <f>if(vlookup(B:B,'ILC4410'!B201:F8807,5,false)="","Y","N")</f>
        <v>Y</v>
      </c>
      <c r="X198" s="12" t="str">
        <f>if(vlookup(B:B,'JBV455'!B201:F9147,5,false)="","Y","N")</f>
        <v>Y</v>
      </c>
      <c r="Y198" s="12" t="str">
        <f>if(vlookup(B:B,'JBV462'!B201:F8640,5,false)="","Y","N")</f>
        <v>Y</v>
      </c>
      <c r="Z198" s="12" t="str">
        <f>if(vlookup(B:B,'JBV464'!B201:F8640,5,false)="","Y","N")</f>
        <v>N</v>
      </c>
      <c r="AA198" s="12" t="str">
        <f>if(vlookup(B:B,'VDI208'!B133:F8640,5,false)="","Y","N")</f>
        <v>Y</v>
      </c>
      <c r="AB198" s="76" t="str">
        <f>if(vlookup(B:B,'STO2206'!B133:F8640,5,false)="","Y","N")</f>
        <v>Y</v>
      </c>
    </row>
    <row r="199">
      <c r="A199" s="67" t="str">
        <f t="shared" si="2"/>
        <v>Fri</v>
      </c>
      <c r="B199" s="69">
        <v>43644.0</v>
      </c>
      <c r="C199" s="12" t="str">
        <f>if(vlookup(B:B,'ILC1110'!$B64:F8641,5,false)="","Y","N")</f>
        <v>Y</v>
      </c>
      <c r="D199" s="12" t="str">
        <f>if(vlookup(B:B,'ILC1111'!$B64:F8648,5,false)="","Y","N")</f>
        <v>Y</v>
      </c>
      <c r="E199" s="12" t="str">
        <f>if(vlookup(B:B,'ILC1112'!$B64:F8641,5,false)="","Y","N")</f>
        <v>Y</v>
      </c>
      <c r="F199" s="12" t="str">
        <f>if(vlookup(B:B,'ILC1211'!$B202:F8641,5,false)="","Y","N")</f>
        <v>Y</v>
      </c>
      <c r="G199" s="12" t="str">
        <f>if(vlookup(B:B,'ILC1213'!$B129:G8641,5,false)="","Y","N")</f>
        <v>Y</v>
      </c>
      <c r="H199" s="12" t="str">
        <f>if(vlookup(B:B,'ILC1314'!$B128:G941,5,false)="","Y","N")</f>
        <v>Y</v>
      </c>
      <c r="I199" s="12" t="str">
        <f>if(vlookup(B:B,'ILC1404'!B202:F8364,5,false)="","Y","N")</f>
        <v>Y</v>
      </c>
      <c r="J199" s="12" t="str">
        <f>if(vlookup(B:B,'ILC2203'!B165:F8364,5,false)="","Y","N")</f>
        <v>Y</v>
      </c>
      <c r="K199" s="12" t="str">
        <f>if(vlookup(B:B,'ILC2206'!B150:H370,5,false)="","Y","N")</f>
        <v>Y</v>
      </c>
      <c r="L199" s="12" t="str">
        <f>if(vlookup(B:B,'ILC2303'!B202:F8641,5,false)="","Y","N")</f>
        <v>N</v>
      </c>
      <c r="M199" s="12" t="str">
        <f>if(vlookup(B:B,'ILC2307'!B202:F9157,5,false)="","Y","N")</f>
        <v>Y</v>
      </c>
      <c r="N199" s="12" t="str">
        <f>if(vlookup(B:B,'ILC2313'!B202:F8796,5,false)="","Y","N")</f>
        <v>Y</v>
      </c>
      <c r="O199" s="12" t="str">
        <f>if(vlookup(B:B,'ILC2412'!B202:F8641,5,false)="","Y","N")</f>
        <v>Y</v>
      </c>
      <c r="P199" s="12" t="str">
        <f>if(vlookup(B:B,'ILC2413'!B202:F9139,5,false)="","Y","N")</f>
        <v>Y</v>
      </c>
      <c r="Q199" s="12" t="str">
        <f>if(vlookup(B:B,'ILC3104'!B202:F8684,5,false)="","Y","N")</f>
        <v>Y</v>
      </c>
      <c r="R199" s="12" t="str">
        <f>if(vlookup(B:B,'ILC3310'!B34:F8623,5,false)="","Y","N")</f>
        <v>Y</v>
      </c>
      <c r="S199" s="12" t="str">
        <f>if(vlookup(B:B,'ILC3312'!B202:F8641,5,false)="","Y","N")</f>
        <v>N</v>
      </c>
      <c r="T199" s="12" t="str">
        <f>if(vlookup(B:B,'ILC3413'!B171:F8566,5,false)="","Y","N")</f>
        <v>Y</v>
      </c>
      <c r="U199" s="12" t="str">
        <f>if(vlookup(B:B,'ILC3415'!B199:F8591,5,false)="","Y","N")</f>
        <v>Y</v>
      </c>
      <c r="V199" s="12" t="str">
        <f>if(vlookup(B:B,'ILC4406'!B134:F8560,5,false)="","Y","N")</f>
        <v>Y</v>
      </c>
      <c r="W199" s="12" t="str">
        <f>if(vlookup(B:B,'ILC4410'!B202:F8808,5,false)="","Y","N")</f>
        <v>Y</v>
      </c>
      <c r="X199" s="12" t="str">
        <f>if(vlookup(B:B,'JBV455'!B202:F9148,5,false)="","Y","N")</f>
        <v>Y</v>
      </c>
      <c r="Y199" s="12" t="str">
        <f>if(vlookup(B:B,'JBV462'!B202:F8641,5,false)="","Y","N")</f>
        <v>Y</v>
      </c>
      <c r="Z199" s="12" t="str">
        <f>if(vlookup(B:B,'JBV464'!B202:F8641,5,false)="","Y","N")</f>
        <v>N</v>
      </c>
      <c r="AA199" s="12" t="str">
        <f>if(vlookup(B:B,'VDI208'!B134:F8641,5,false)="","Y","N")</f>
        <v>Y</v>
      </c>
      <c r="AB199" s="76" t="str">
        <f>if(vlookup(B:B,'STO2206'!B134:F8641,5,false)="","Y","N")</f>
        <v>Y</v>
      </c>
    </row>
    <row r="200">
      <c r="A200" s="67" t="str">
        <f t="shared" si="2"/>
        <v>Sat</v>
      </c>
      <c r="B200" s="69">
        <v>43645.0</v>
      </c>
      <c r="C200" s="12" t="str">
        <f>if(vlookup(B:B,'ILC1110'!$B65:F8642,5,false)="","Y","N")</f>
        <v>Y</v>
      </c>
      <c r="D200" s="12" t="str">
        <f>if(vlookup(B:B,'ILC1111'!$B65:F8649,5,false)="","Y","N")</f>
        <v>N</v>
      </c>
      <c r="E200" s="12" t="str">
        <f>if(vlookup(B:B,'ILC1112'!$B65:F8642,5,false)="","Y","N")</f>
        <v>Y</v>
      </c>
      <c r="F200" s="12" t="str">
        <f>if(vlookup(B:B,'ILC1211'!$B203:F8642,5,false)="","Y","N")</f>
        <v>Y</v>
      </c>
      <c r="G200" s="12" t="str">
        <f>if(vlookup(B:B,'ILC1213'!$B130:G8642,5,false)="","Y","N")</f>
        <v>Y</v>
      </c>
      <c r="H200" s="12" t="str">
        <f>if(vlookup(B:B,'ILC1314'!$B129:G942,5,false)="","Y","N")</f>
        <v>Y</v>
      </c>
      <c r="I200" s="12" t="str">
        <f>if(vlookup(B:B,'ILC1404'!B203:F8365,5,false)="","Y","N")</f>
        <v>Y</v>
      </c>
      <c r="J200" s="12" t="str">
        <f>if(vlookup(B:B,'ILC2203'!B166:F8365,5,false)="","Y","N")</f>
        <v>Y</v>
      </c>
      <c r="K200" s="12" t="str">
        <f>if(vlookup(B:B,'ILC2206'!B151:H370,5,false)="","Y","N")</f>
        <v>Y</v>
      </c>
      <c r="L200" s="12" t="str">
        <f>if(vlookup(B:B,'ILC2303'!B203:F8642,5,false)="","Y","N")</f>
        <v>N</v>
      </c>
      <c r="M200" s="12" t="str">
        <f>if(vlookup(B:B,'ILC2307'!B203:F9158,5,false)="","Y","N")</f>
        <v>Y</v>
      </c>
      <c r="N200" s="12" t="str">
        <f>if(vlookup(B:B,'ILC2313'!B203:F8797,5,false)="","Y","N")</f>
        <v>Y</v>
      </c>
      <c r="O200" s="12" t="str">
        <f>if(vlookup(B:B,'ILC2412'!B203:F8642,5,false)="","Y","N")</f>
        <v>Y</v>
      </c>
      <c r="P200" s="12" t="str">
        <f>if(vlookup(B:B,'ILC2413'!B203:F9140,5,false)="","Y","N")</f>
        <v>Y</v>
      </c>
      <c r="Q200" s="12" t="str">
        <f>if(vlookup(B:B,'ILC3104'!B203:F8685,5,false)="","Y","N")</f>
        <v>Y</v>
      </c>
      <c r="R200" s="12" t="str">
        <f>if(vlookup(B:B,'ILC3310'!B35:F8624,5,false)="","Y","N")</f>
        <v>Y</v>
      </c>
      <c r="S200" s="12" t="str">
        <f>if(vlookup(B:B,'ILC3312'!B203:F8642,5,false)="","Y","N")</f>
        <v>N</v>
      </c>
      <c r="T200" s="12" t="str">
        <f>if(vlookup(B:B,'ILC3413'!B172:F8567,5,false)="","Y","N")</f>
        <v>Y</v>
      </c>
      <c r="U200" s="12" t="str">
        <f>if(vlookup(B:B,'ILC3415'!B200:F8592,5,false)="","Y","N")</f>
        <v>Y</v>
      </c>
      <c r="V200" s="12" t="str">
        <f>if(vlookup(B:B,'ILC4406'!B135:F8561,5,false)="","Y","N")</f>
        <v>Y</v>
      </c>
      <c r="W200" s="12" t="str">
        <f>if(vlookup(B:B,'ILC4410'!B203:F8809,5,false)="","Y","N")</f>
        <v>Y</v>
      </c>
      <c r="X200" s="12" t="str">
        <f>if(vlookup(B:B,'JBV455'!B203:F9149,5,false)="","Y","N")</f>
        <v>Y</v>
      </c>
      <c r="Y200" s="12" t="str">
        <f>if(vlookup(B:B,'JBV462'!B203:F8642,5,false)="","Y","N")</f>
        <v>Y</v>
      </c>
      <c r="Z200" s="12" t="str">
        <f>if(vlookup(B:B,'JBV464'!B203:F8642,5,false)="","Y","N")</f>
        <v>N</v>
      </c>
      <c r="AA200" s="12" t="str">
        <f>if(vlookup(B:B,'VDI208'!B135:F8642,5,false)="","Y","N")</f>
        <v>Y</v>
      </c>
      <c r="AB200" s="76" t="str">
        <f>if(vlookup(B:B,'STO2206'!B135:F8642,5,false)="","Y","N")</f>
        <v>Y</v>
      </c>
    </row>
    <row r="201">
      <c r="A201" s="67" t="str">
        <f t="shared" si="2"/>
        <v>Sun</v>
      </c>
      <c r="B201" s="69">
        <v>43646.0</v>
      </c>
      <c r="C201" s="12" t="str">
        <f>if(vlookup(B:B,'ILC1110'!$B66:F8643,5,false)="","Y","N")</f>
        <v>Y</v>
      </c>
      <c r="D201" s="12" t="str">
        <f>if(vlookup(B:B,'ILC1111'!$B66:F8650,5,false)="","Y","N")</f>
        <v>N</v>
      </c>
      <c r="E201" s="12" t="str">
        <f>if(vlookup(B:B,'ILC1112'!$B66:F8643,5,false)="","Y","N")</f>
        <v>Y</v>
      </c>
      <c r="F201" s="12" t="str">
        <f>if(vlookup(B:B,'ILC1211'!$B204:F8643,5,false)="","Y","N")</f>
        <v>Y</v>
      </c>
      <c r="G201" s="12" t="str">
        <f>if(vlookup(B:B,'ILC1213'!$B131:G8643,5,false)="","Y","N")</f>
        <v>Y</v>
      </c>
      <c r="H201" s="12" t="str">
        <f>if(vlookup(B:B,'ILC1314'!$B130:G943,5,false)="","Y","N")</f>
        <v>Y</v>
      </c>
      <c r="I201" s="12" t="str">
        <f>if(vlookup(B:B,'ILC1404'!B204:F8366,5,false)="","Y","N")</f>
        <v>N</v>
      </c>
      <c r="J201" s="12" t="str">
        <f>if(vlookup(B:B,'ILC2203'!B167:F8366,5,false)="","Y","N")</f>
        <v>Y</v>
      </c>
      <c r="K201" s="12" t="str">
        <f>if(vlookup(B:B,'ILC2206'!B152:H370,5,false)="","Y","N")</f>
        <v>Y</v>
      </c>
      <c r="L201" s="12" t="str">
        <f>if(vlookup(B:B,'ILC2303'!B204:F8643,5,false)="","Y","N")</f>
        <v>N</v>
      </c>
      <c r="M201" s="12" t="str">
        <f>if(vlookup(B:B,'ILC2307'!B204:F9159,5,false)="","Y","N")</f>
        <v>Y</v>
      </c>
      <c r="N201" s="12" t="str">
        <f>if(vlookup(B:B,'ILC2313'!B204:F8798,5,false)="","Y","N")</f>
        <v>Y</v>
      </c>
      <c r="O201" s="12" t="str">
        <f>if(vlookup(B:B,'ILC2412'!B204:F8643,5,false)="","Y","N")</f>
        <v>Y</v>
      </c>
      <c r="P201" s="12" t="str">
        <f>if(vlookup(B:B,'ILC2413'!B204:F9141,5,false)="","Y","N")</f>
        <v>Y</v>
      </c>
      <c r="Q201" s="12" t="str">
        <f>if(vlookup(B:B,'ILC3104'!B204:F8686,5,false)="","Y","N")</f>
        <v>Y</v>
      </c>
      <c r="R201" s="12" t="str">
        <f>if(vlookup(B:B,'ILC3310'!B36:F8625,5,false)="","Y","N")</f>
        <v>Y</v>
      </c>
      <c r="S201" s="12" t="str">
        <f>if(vlookup(B:B,'ILC3312'!B204:F8643,5,false)="","Y","N")</f>
        <v>N</v>
      </c>
      <c r="T201" s="12" t="str">
        <f>if(vlookup(B:B,'ILC3413'!B173:F8568,5,false)="","Y","N")</f>
        <v>Y</v>
      </c>
      <c r="U201" s="12" t="str">
        <f>if(vlookup(B:B,'ILC3415'!B201:F8593,5,false)="","Y","N")</f>
        <v>Y</v>
      </c>
      <c r="V201" s="12" t="str">
        <f>if(vlookup(B:B,'ILC4406'!B136:F8562,5,false)="","Y","N")</f>
        <v>Y</v>
      </c>
      <c r="W201" s="12" t="str">
        <f>if(vlookup(B:B,'ILC4410'!B204:F8810,5,false)="","Y","N")</f>
        <v>Y</v>
      </c>
      <c r="X201" s="12" t="str">
        <f>if(vlookup(B:B,'JBV455'!B204:F9150,5,false)="","Y","N")</f>
        <v>Y</v>
      </c>
      <c r="Y201" s="12" t="str">
        <f>if(vlookup(B:B,'JBV462'!B204:F8643,5,false)="","Y","N")</f>
        <v>Y</v>
      </c>
      <c r="Z201" s="12" t="str">
        <f>if(vlookup(B:B,'JBV464'!B204:F8643,5,false)="","Y","N")</f>
        <v>Y</v>
      </c>
      <c r="AA201" s="12" t="str">
        <f>if(vlookup(B:B,'VDI208'!B136:F8643,5,false)="","Y","N")</f>
        <v>Y</v>
      </c>
      <c r="AB201" s="76" t="str">
        <f>if(vlookup(B:B,'STO2206'!B136:F8643,5,false)="","Y","N")</f>
        <v>Y</v>
      </c>
    </row>
    <row r="202">
      <c r="A202" s="67" t="str">
        <f t="shared" si="2"/>
        <v>Mon</v>
      </c>
      <c r="B202" s="69">
        <v>43647.0</v>
      </c>
      <c r="C202" s="12" t="str">
        <f>if(vlookup(B:B,'ILC1110'!$B67:F8644,5,false)="","Y","N")</f>
        <v>Y</v>
      </c>
      <c r="D202" s="12" t="str">
        <f>if(vlookup(B:B,'ILC1111'!$B67:F8651,5,false)="","Y","N")</f>
        <v>N</v>
      </c>
      <c r="E202" s="12" t="str">
        <f>if(vlookup(B:B,'ILC1112'!$B67:F8644,5,false)="","Y","N")</f>
        <v>Y</v>
      </c>
      <c r="F202" s="12" t="str">
        <f>if(vlookup(B:B,'ILC1211'!$B205:F8644,5,false)="","Y","N")</f>
        <v>Y</v>
      </c>
      <c r="G202" s="12" t="str">
        <f>if(vlookup(B:B,'ILC1213'!$B132:G8644,5,false)="","Y","N")</f>
        <v>Y</v>
      </c>
      <c r="H202" s="12" t="str">
        <f>if(vlookup(B:B,'ILC1314'!$B131:G944,5,false)="","Y","N")</f>
        <v>Y</v>
      </c>
      <c r="I202" s="12" t="str">
        <f>if(vlookup(B:B,'ILC1404'!B205:F8367,5,false)="","Y","N")</f>
        <v>N</v>
      </c>
      <c r="J202" s="12" t="str">
        <f>if(vlookup(B:B,'ILC2203'!B168:F8367,5,false)="","Y","N")</f>
        <v>Y</v>
      </c>
      <c r="K202" s="12" t="str">
        <f>if(vlookup(B:B,'ILC2206'!B153:H370,5,false)="","Y","N")</f>
        <v>Y</v>
      </c>
      <c r="L202" s="12" t="str">
        <f>if(vlookup(B:B,'ILC2303'!B205:F8644,5,false)="","Y","N")</f>
        <v>N</v>
      </c>
      <c r="M202" s="12" t="str">
        <f>if(vlookup(B:B,'ILC2307'!B205:F9160,5,false)="","Y","N")</f>
        <v>Y</v>
      </c>
      <c r="N202" s="12" t="str">
        <f>if(vlookup(B:B,'ILC2313'!B205:F8799,5,false)="","Y","N")</f>
        <v>Y</v>
      </c>
      <c r="O202" s="12" t="str">
        <f>if(vlookup(B:B,'ILC2412'!B205:F8644,5,false)="","Y","N")</f>
        <v>Y</v>
      </c>
      <c r="P202" s="12" t="str">
        <f>if(vlookup(B:B,'ILC2413'!B205:F9142,5,false)="","Y","N")</f>
        <v>N</v>
      </c>
      <c r="Q202" s="12" t="str">
        <f>if(vlookup(B:B,'ILC3104'!B205:F8687,5,false)="","Y","N")</f>
        <v>Y</v>
      </c>
      <c r="R202" s="12" t="str">
        <f>if(vlookup(B:B,'ILC3310'!B37:F8626,5,false)="","Y","N")</f>
        <v>Y</v>
      </c>
      <c r="S202" s="12" t="str">
        <f>if(vlookup(B:B,'ILC3312'!B205:F8644,5,false)="","Y","N")</f>
        <v>Y</v>
      </c>
      <c r="T202" s="12" t="str">
        <f>if(vlookup(B:B,'ILC3413'!B174:F8569,5,false)="","Y","N")</f>
        <v>Y</v>
      </c>
      <c r="U202" s="12" t="str">
        <f>if(vlookup(B:B,'ILC3415'!B202:F8594,5,false)="","Y","N")</f>
        <v>Y</v>
      </c>
      <c r="V202" s="12" t="str">
        <f>if(vlookup(B:B,'ILC4406'!B137:F8563,5,false)="","Y","N")</f>
        <v>Y</v>
      </c>
      <c r="W202" s="12" t="str">
        <f>if(vlookup(B:B,'ILC4410'!B205:F8811,5,false)="","Y","N")</f>
        <v>Y</v>
      </c>
      <c r="X202" s="12" t="str">
        <f>if(vlookup(B:B,'JBV455'!B205:F9151,5,false)="","Y","N")</f>
        <v>Y</v>
      </c>
      <c r="Y202" s="12" t="str">
        <f>if(vlookup(B:B,'JBV462'!B205:F8644,5,false)="","Y","N")</f>
        <v>Y</v>
      </c>
      <c r="Z202" s="12" t="str">
        <f>if(vlookup(B:B,'JBV464'!B205:F8644,5,false)="","Y","N")</f>
        <v>Y</v>
      </c>
      <c r="AA202" s="12" t="str">
        <f>if(vlookup(B:B,'VDI208'!B137:F8644,5,false)="","Y","N")</f>
        <v>Y</v>
      </c>
      <c r="AB202" s="76" t="str">
        <f>if(vlookup(B:B,'STO2206'!B137:F8644,5,false)="","Y","N")</f>
        <v>Y</v>
      </c>
    </row>
    <row r="203">
      <c r="A203" s="67" t="str">
        <f t="shared" si="2"/>
        <v>Tue</v>
      </c>
      <c r="B203" s="69">
        <v>43648.0</v>
      </c>
      <c r="C203" s="12" t="str">
        <f>if(vlookup(B:B,'ILC1110'!$B68:F8645,5,false)="","Y","N")</f>
        <v>Y</v>
      </c>
      <c r="D203" s="12" t="str">
        <f>if(vlookup(B:B,'ILC1111'!$B68:F8652,5,false)="","Y","N")</f>
        <v>Y</v>
      </c>
      <c r="E203" s="12" t="str">
        <f>if(vlookup(B:B,'ILC1112'!$B68:F8645,5,false)="","Y","N")</f>
        <v>Y</v>
      </c>
      <c r="F203" s="12" t="str">
        <f>if(vlookup(B:B,'ILC1211'!$B206:F8645,5,false)="","Y","N")</f>
        <v>Y</v>
      </c>
      <c r="G203" s="12" t="str">
        <f>if(vlookup(B:B,'ILC1213'!$B133:G8645,5,false)="","Y","N")</f>
        <v>Y</v>
      </c>
      <c r="H203" s="12" t="str">
        <f>if(vlookup(B:B,'ILC1314'!$B132:G945,5,false)="","Y","N")</f>
        <v>Y</v>
      </c>
      <c r="I203" s="12" t="str">
        <f>if(vlookup(B:B,'ILC1404'!B206:F8368,5,false)="","Y","N")</f>
        <v>Y</v>
      </c>
      <c r="J203" s="12" t="str">
        <f>if(vlookup(B:B,'ILC2203'!B169:F8368,5,false)="","Y","N")</f>
        <v>Y</v>
      </c>
      <c r="K203" s="12" t="str">
        <f>if(vlookup(B:B,'ILC2206'!B154:H370,5,false)="","Y","N")</f>
        <v>Y</v>
      </c>
      <c r="L203" s="12" t="str">
        <f>if(vlookup(B:B,'ILC2303'!B206:F8645,5,false)="","Y","N")</f>
        <v>N</v>
      </c>
      <c r="M203" s="12" t="str">
        <f>if(vlookup(B:B,'ILC2307'!B206:F9161,5,false)="","Y","N")</f>
        <v>Y</v>
      </c>
      <c r="N203" s="12" t="str">
        <f>if(vlookup(B:B,'ILC2313'!B206:F8800,5,false)="","Y","N")</f>
        <v>Y</v>
      </c>
      <c r="O203" s="12" t="str">
        <f>if(vlookup(B:B,'ILC2412'!B206:F8645,5,false)="","Y","N")</f>
        <v>Y</v>
      </c>
      <c r="P203" s="12" t="str">
        <f>if(vlookup(B:B,'ILC2413'!B206:F9143,5,false)="","Y","N")</f>
        <v>Y</v>
      </c>
      <c r="Q203" s="12" t="str">
        <f>if(vlookup(B:B,'ILC3104'!B206:F8688,5,false)="","Y","N")</f>
        <v>Y</v>
      </c>
      <c r="R203" s="12" t="str">
        <f>if(vlookup(B:B,'ILC3310'!B38:F8627,5,false)="","Y","N")</f>
        <v>Y</v>
      </c>
      <c r="S203" s="12" t="str">
        <f>if(vlookup(B:B,'ILC3312'!B206:F8645,5,false)="","Y","N")</f>
        <v>Y</v>
      </c>
      <c r="T203" s="12" t="str">
        <f>if(vlookup(B:B,'ILC3413'!B175:F8570,5,false)="","Y","N")</f>
        <v>Y</v>
      </c>
      <c r="U203" s="12" t="str">
        <f>if(vlookup(B:B,'ILC3415'!B203:F8595,5,false)="","Y","N")</f>
        <v>Y</v>
      </c>
      <c r="V203" s="12" t="str">
        <f>if(vlookup(B:B,'ILC4406'!B138:F8564,5,false)="","Y","N")</f>
        <v>Y</v>
      </c>
      <c r="W203" s="12" t="str">
        <f>if(vlookup(B:B,'ILC4410'!B206:F8812,5,false)="","Y","N")</f>
        <v>Y</v>
      </c>
      <c r="X203" s="12" t="str">
        <f>if(vlookup(B:B,'JBV455'!B206:F9152,5,false)="","Y","N")</f>
        <v>Y</v>
      </c>
      <c r="Y203" s="12" t="str">
        <f>if(vlookup(B:B,'JBV462'!B206:F8645,5,false)="","Y","N")</f>
        <v>Y</v>
      </c>
      <c r="Z203" s="12" t="str">
        <f>if(vlookup(B:B,'JBV464'!B206:F8645,5,false)="","Y","N")</f>
        <v>Y</v>
      </c>
      <c r="AA203" s="12" t="str">
        <f>if(vlookup(B:B,'VDI208'!B138:F8645,5,false)="","Y","N")</f>
        <v>Y</v>
      </c>
      <c r="AB203" s="76" t="str">
        <f>if(vlookup(B:B,'STO2206'!B138:F8645,5,false)="","Y","N")</f>
        <v>Y</v>
      </c>
    </row>
    <row r="204">
      <c r="A204" s="67" t="str">
        <f t="shared" si="2"/>
        <v>Wed</v>
      </c>
      <c r="B204" s="69">
        <v>43649.0</v>
      </c>
      <c r="C204" s="12" t="str">
        <f>if(vlookup(B:B,'ILC1110'!$B69:F8646,5,false)="","Y","N")</f>
        <v>Y</v>
      </c>
      <c r="D204" s="12" t="str">
        <f>if(vlookup(B:B,'ILC1111'!$B69:F8653,5,false)="","Y","N")</f>
        <v>Y</v>
      </c>
      <c r="E204" s="12" t="str">
        <f>if(vlookup(B:B,'ILC1112'!$B69:F8646,5,false)="","Y","N")</f>
        <v>Y</v>
      </c>
      <c r="F204" s="12" t="str">
        <f>if(vlookup(B:B,'ILC1211'!$B207:F8646,5,false)="","Y","N")</f>
        <v>Y</v>
      </c>
      <c r="G204" s="12" t="str">
        <f>if(vlookup(B:B,'ILC1213'!$B134:G8646,5,false)="","Y","N")</f>
        <v>Y</v>
      </c>
      <c r="H204" s="12" t="str">
        <f>if(vlookup(B:B,'ILC1314'!$B133:G946,5,false)="","Y","N")</f>
        <v>Y</v>
      </c>
      <c r="I204" s="12" t="str">
        <f>if(vlookup(B:B,'ILC1404'!B207:F8369,5,false)="","Y","N")</f>
        <v>Y</v>
      </c>
      <c r="J204" s="12" t="str">
        <f>if(vlookup(B:B,'ILC2203'!B170:F8369,5,false)="","Y","N")</f>
        <v>Y</v>
      </c>
      <c r="K204" s="12" t="str">
        <f>if(vlookup(B:B,'ILC2206'!B155:H370,5,false)="","Y","N")</f>
        <v>Y</v>
      </c>
      <c r="L204" s="12" t="str">
        <f>if(vlookup(B:B,'ILC2303'!B207:F8646,5,false)="","Y","N")</f>
        <v>N</v>
      </c>
      <c r="M204" s="12" t="str">
        <f>if(vlookup(B:B,'ILC2307'!B207:F9162,5,false)="","Y","N")</f>
        <v>Y</v>
      </c>
      <c r="N204" s="12" t="str">
        <f>if(vlookup(B:B,'ILC2313'!B207:F8801,5,false)="","Y","N")</f>
        <v>Y</v>
      </c>
      <c r="O204" s="12" t="str">
        <f>if(vlookup(B:B,'ILC2412'!B207:F8646,5,false)="","Y","N")</f>
        <v>Y</v>
      </c>
      <c r="P204" s="12" t="str">
        <f>if(vlookup(B:B,'ILC2413'!B207:F9144,5,false)="","Y","N")</f>
        <v>Y</v>
      </c>
      <c r="Q204" s="12" t="str">
        <f>if(vlookup(B:B,'ILC3104'!B207:F8689,5,false)="","Y","N")</f>
        <v>Y</v>
      </c>
      <c r="R204" s="12" t="str">
        <f>if(vlookup(B:B,'ILC3310'!B39:F8628,5,false)="","Y","N")</f>
        <v>Y</v>
      </c>
      <c r="S204" s="12" t="str">
        <f>if(vlookup(B:B,'ILC3312'!B207:F8646,5,false)="","Y","N")</f>
        <v>Y</v>
      </c>
      <c r="T204" s="12" t="str">
        <f>if(vlookup(B:B,'ILC3413'!B176:F8571,5,false)="","Y","N")</f>
        <v>Y</v>
      </c>
      <c r="U204" s="12" t="str">
        <f>if(vlookup(B:B,'ILC3415'!B204:F8596,5,false)="","Y","N")</f>
        <v>Y</v>
      </c>
      <c r="V204" s="12" t="str">
        <f>if(vlookup(B:B,'ILC4406'!B139:F8565,5,false)="","Y","N")</f>
        <v>Y</v>
      </c>
      <c r="W204" s="12" t="str">
        <f>if(vlookup(B:B,'ILC4410'!B207:F8813,5,false)="","Y","N")</f>
        <v>Y</v>
      </c>
      <c r="X204" s="12" t="str">
        <f>if(vlookup(B:B,'JBV455'!B207:F9153,5,false)="","Y","N")</f>
        <v>Y</v>
      </c>
      <c r="Y204" s="12" t="str">
        <f>if(vlookup(B:B,'JBV462'!B207:F8646,5,false)="","Y","N")</f>
        <v>Y</v>
      </c>
      <c r="Z204" s="12" t="str">
        <f>if(vlookup(B:B,'JBV464'!B207:F8646,5,false)="","Y","N")</f>
        <v>Y</v>
      </c>
      <c r="AA204" s="12" t="str">
        <f>if(vlookup(B:B,'VDI208'!B139:F8646,5,false)="","Y","N")</f>
        <v>Y</v>
      </c>
      <c r="AB204" s="76" t="str">
        <f>if(vlookup(B:B,'STO2206'!B139:F8646,5,false)="","Y","N")</f>
        <v>Y</v>
      </c>
    </row>
    <row r="205">
      <c r="A205" s="67" t="str">
        <f t="shared" si="2"/>
        <v>Thu</v>
      </c>
      <c r="B205" s="69">
        <v>43650.0</v>
      </c>
      <c r="C205" s="12" t="str">
        <f>if(vlookup(B:B,'ILC1110'!$B70:F8647,5,false)="","Y","N")</f>
        <v>Y</v>
      </c>
      <c r="D205" s="12" t="str">
        <f>if(vlookup(B:B,'ILC1111'!$B70:F8654,5,false)="","Y","N")</f>
        <v>Y</v>
      </c>
      <c r="E205" s="12" t="str">
        <f>if(vlookup(B:B,'ILC1112'!$B70:F8647,5,false)="","Y","N")</f>
        <v>Y</v>
      </c>
      <c r="F205" s="12" t="str">
        <f>if(vlookup(B:B,'ILC1211'!$B208:F8647,5,false)="","Y","N")</f>
        <v>Y</v>
      </c>
      <c r="G205" s="12" t="str">
        <f>if(vlookup(B:B,'ILC1213'!$B135:G8647,5,false)="","Y","N")</f>
        <v>Y</v>
      </c>
      <c r="H205" s="12" t="str">
        <f>if(vlookup(B:B,'ILC1314'!$B134:G947,5,false)="","Y","N")</f>
        <v>Y</v>
      </c>
      <c r="I205" s="12" t="str">
        <f>if(vlookup(B:B,'ILC1404'!B208:F8370,5,false)="","Y","N")</f>
        <v>Y</v>
      </c>
      <c r="J205" s="12" t="str">
        <f>if(vlookup(B:B,'ILC2203'!B171:F8370,5,false)="","Y","N")</f>
        <v>Y</v>
      </c>
      <c r="K205" s="12" t="str">
        <f>if(vlookup(B:B,'ILC2206'!B156:H370,5,false)="","Y","N")</f>
        <v>Y</v>
      </c>
      <c r="L205" s="12" t="str">
        <f>if(vlookup(B:B,'ILC2303'!B208:F8647,5,false)="","Y","N")</f>
        <v>N</v>
      </c>
      <c r="M205" s="12" t="str">
        <f>if(vlookup(B:B,'ILC2307'!B208:F9163,5,false)="","Y","N")</f>
        <v>Y</v>
      </c>
      <c r="N205" s="12" t="str">
        <f>if(vlookup(B:B,'ILC2313'!B208:F8802,5,false)="","Y","N")</f>
        <v>Y</v>
      </c>
      <c r="O205" s="12" t="str">
        <f>if(vlookup(B:B,'ILC2412'!B208:F8647,5,false)="","Y","N")</f>
        <v>Y</v>
      </c>
      <c r="P205" s="12" t="str">
        <f>if(vlookup(B:B,'ILC2413'!B208:F9145,5,false)="","Y","N")</f>
        <v>Y</v>
      </c>
      <c r="Q205" s="12" t="str">
        <f>if(vlookup(B:B,'ILC3104'!B208:F8690,5,false)="","Y","N")</f>
        <v>Y</v>
      </c>
      <c r="R205" s="12" t="str">
        <f>if(vlookup(B:B,'ILC3310'!B40:F8629,5,false)="","Y","N")</f>
        <v>Y</v>
      </c>
      <c r="S205" s="12" t="str">
        <f>if(vlookup(B:B,'ILC3312'!B208:F8647,5,false)="","Y","N")</f>
        <v>Y</v>
      </c>
      <c r="T205" s="12" t="str">
        <f>if(vlookup(B:B,'ILC3413'!B177:F8572,5,false)="","Y","N")</f>
        <v>Y</v>
      </c>
      <c r="U205" s="12" t="str">
        <f>if(vlookup(B:B,'ILC3415'!B205:F8597,5,false)="","Y","N")</f>
        <v>Y</v>
      </c>
      <c r="V205" s="12" t="str">
        <f>if(vlookup(B:B,'ILC4406'!B140:F8566,5,false)="","Y","N")</f>
        <v>Y</v>
      </c>
      <c r="W205" s="12" t="str">
        <f>if(vlookup(B:B,'ILC4410'!B208:F8814,5,false)="","Y","N")</f>
        <v>Y</v>
      </c>
      <c r="X205" s="12" t="str">
        <f>if(vlookup(B:B,'JBV455'!B208:F9154,5,false)="","Y","N")</f>
        <v>Y</v>
      </c>
      <c r="Y205" s="12" t="str">
        <f>if(vlookup(B:B,'JBV462'!B208:F8647,5,false)="","Y","N")</f>
        <v>Y</v>
      </c>
      <c r="Z205" s="12" t="str">
        <f>if(vlookup(B:B,'JBV464'!B208:F8647,5,false)="","Y","N")</f>
        <v>Y</v>
      </c>
      <c r="AA205" s="12" t="str">
        <f>if(vlookup(B:B,'VDI208'!B140:F8647,5,false)="","Y","N")</f>
        <v>Y</v>
      </c>
      <c r="AB205" s="76" t="str">
        <f>if(vlookup(B:B,'STO2206'!B140:F8647,5,false)="","Y","N")</f>
        <v>Y</v>
      </c>
    </row>
    <row r="206">
      <c r="A206" s="67" t="str">
        <f t="shared" si="2"/>
        <v>Fri</v>
      </c>
      <c r="B206" s="69">
        <v>43651.0</v>
      </c>
      <c r="C206" s="12" t="str">
        <f>if(vlookup(B:B,'ILC1110'!$B71:F8648,5,false)="","Y","N")</f>
        <v>Y</v>
      </c>
      <c r="D206" s="12" t="str">
        <f>if(vlookup(B:B,'ILC1111'!$B71:F8655,5,false)="","Y","N")</f>
        <v>Y</v>
      </c>
      <c r="E206" s="12" t="str">
        <f>if(vlookup(B:B,'ILC1112'!$B71:F8648,5,false)="","Y","N")</f>
        <v>Y</v>
      </c>
      <c r="F206" s="12" t="str">
        <f>if(vlookup(B:B,'ILC1211'!$B209:F8648,5,false)="","Y","N")</f>
        <v>Y</v>
      </c>
      <c r="G206" s="12" t="str">
        <f>if(vlookup(B:B,'ILC1213'!$B136:G8648,5,false)="","Y","N")</f>
        <v>Y</v>
      </c>
      <c r="H206" s="12" t="str">
        <f>if(vlookup(B:B,'ILC1314'!$B135:G948,5,false)="","Y","N")</f>
        <v>Y</v>
      </c>
      <c r="I206" s="12" t="str">
        <f>if(vlookup(B:B,'ILC1404'!B209:F8371,5,false)="","Y","N")</f>
        <v>Y</v>
      </c>
      <c r="J206" s="12" t="str">
        <f>if(vlookup(B:B,'ILC2203'!B172:F8371,5,false)="","Y","N")</f>
        <v>Y</v>
      </c>
      <c r="K206" s="12" t="str">
        <f>if(vlookup(B:B,'ILC2206'!B157:H370,5,false)="","Y","N")</f>
        <v>Y</v>
      </c>
      <c r="L206" s="12" t="str">
        <f>if(vlookup(B:B,'ILC2303'!B209:F8648,5,false)="","Y","N")</f>
        <v>N</v>
      </c>
      <c r="M206" s="12" t="str">
        <f>if(vlookup(B:B,'ILC2307'!B209:F9164,5,false)="","Y","N")</f>
        <v>Y</v>
      </c>
      <c r="N206" s="12" t="str">
        <f>if(vlookup(B:B,'ILC2313'!B209:F8803,5,false)="","Y","N")</f>
        <v>Y</v>
      </c>
      <c r="O206" s="12" t="str">
        <f>if(vlookup(B:B,'ILC2412'!B209:F8648,5,false)="","Y","N")</f>
        <v>Y</v>
      </c>
      <c r="P206" s="12" t="str">
        <f>if(vlookup(B:B,'ILC2413'!B209:F9146,5,false)="","Y","N")</f>
        <v>Y</v>
      </c>
      <c r="Q206" s="12" t="str">
        <f>if(vlookup(B:B,'ILC3104'!B209:F8691,5,false)="","Y","N")</f>
        <v>Y</v>
      </c>
      <c r="R206" s="12" t="str">
        <f>if(vlookup(B:B,'ILC3310'!B41:F8630,5,false)="","Y","N")</f>
        <v>Y</v>
      </c>
      <c r="S206" s="12" t="str">
        <f>if(vlookup(B:B,'ILC3312'!B209:F8648,5,false)="","Y","N")</f>
        <v>Y</v>
      </c>
      <c r="T206" s="12" t="str">
        <f>if(vlookup(B:B,'ILC3413'!B178:F8573,5,false)="","Y","N")</f>
        <v>Y</v>
      </c>
      <c r="U206" s="12" t="str">
        <f>if(vlookup(B:B,'ILC3415'!B206:F8598,5,false)="","Y","N")</f>
        <v>Y</v>
      </c>
      <c r="V206" s="12" t="str">
        <f>if(vlookup(B:B,'ILC4406'!B141:F8567,5,false)="","Y","N")</f>
        <v>Y</v>
      </c>
      <c r="W206" s="12" t="str">
        <f>if(vlookup(B:B,'ILC4410'!B209:F8815,5,false)="","Y","N")</f>
        <v>Y</v>
      </c>
      <c r="X206" s="12" t="str">
        <f>if(vlookup(B:B,'JBV455'!B209:F9155,5,false)="","Y","N")</f>
        <v>Y</v>
      </c>
      <c r="Y206" s="12" t="str">
        <f>if(vlookup(B:B,'JBV462'!B209:F8648,5,false)="","Y","N")</f>
        <v>Y</v>
      </c>
      <c r="Z206" s="12" t="str">
        <f>if(vlookup(B:B,'JBV464'!B209:F8648,5,false)="","Y","N")</f>
        <v>Y</v>
      </c>
      <c r="AA206" s="12" t="str">
        <f>if(vlookup(B:B,'VDI208'!B141:F8648,5,false)="","Y","N")</f>
        <v>Y</v>
      </c>
      <c r="AB206" s="76" t="str">
        <f>if(vlookup(B:B,'STO2206'!B141:F8648,5,false)="","Y","N")</f>
        <v>Y</v>
      </c>
    </row>
    <row r="207">
      <c r="A207" s="67" t="str">
        <f t="shared" si="2"/>
        <v>Sat</v>
      </c>
      <c r="B207" s="69">
        <v>43652.0</v>
      </c>
      <c r="C207" s="12" t="str">
        <f>if(vlookup(B:B,'ILC1110'!$B72:F8649,5,false)="","Y","N")</f>
        <v>Y</v>
      </c>
      <c r="D207" s="12" t="str">
        <f>if(vlookup(B:B,'ILC1111'!$B72:F8656,5,false)="","Y","N")</f>
        <v>Y</v>
      </c>
      <c r="E207" s="12" t="str">
        <f>if(vlookup(B:B,'ILC1112'!$B72:F8649,5,false)="","Y","N")</f>
        <v>Y</v>
      </c>
      <c r="F207" s="12" t="str">
        <f>if(vlookup(B:B,'ILC1211'!$B210:F8649,5,false)="","Y","N")</f>
        <v>Y</v>
      </c>
      <c r="G207" s="12" t="str">
        <f>if(vlookup(B:B,'ILC1213'!$B137:G8649,5,false)="","Y","N")</f>
        <v>Y</v>
      </c>
      <c r="H207" s="12" t="str">
        <f>if(vlookup(B:B,'ILC1314'!$B136:G949,5,false)="","Y","N")</f>
        <v>Y</v>
      </c>
      <c r="I207" s="12" t="str">
        <f>if(vlookup(B:B,'ILC1404'!B210:F8372,5,false)="","Y","N")</f>
        <v>Y</v>
      </c>
      <c r="J207" s="12" t="str">
        <f>if(vlookup(B:B,'ILC2203'!B173:F8372,5,false)="","Y","N")</f>
        <v>Y</v>
      </c>
      <c r="K207" s="12" t="str">
        <f>if(vlookup(B:B,'ILC2206'!B158:H370,5,false)="","Y","N")</f>
        <v>Y</v>
      </c>
      <c r="L207" s="12" t="str">
        <f>if(vlookup(B:B,'ILC2303'!B210:F8649,5,false)="","Y","N")</f>
        <v>N</v>
      </c>
      <c r="M207" s="12" t="str">
        <f>if(vlookup(B:B,'ILC2307'!B210:F9165,5,false)="","Y","N")</f>
        <v>Y</v>
      </c>
      <c r="N207" s="12" t="str">
        <f>if(vlookup(B:B,'ILC2313'!B210:F8804,5,false)="","Y","N")</f>
        <v>Y</v>
      </c>
      <c r="O207" s="12" t="str">
        <f>if(vlookup(B:B,'ILC2412'!B210:F8649,5,false)="","Y","N")</f>
        <v>Y</v>
      </c>
      <c r="P207" s="12" t="str">
        <f>if(vlookup(B:B,'ILC2413'!B210:F9147,5,false)="","Y","N")</f>
        <v>Y</v>
      </c>
      <c r="Q207" s="12" t="str">
        <f>if(vlookup(B:B,'ILC3104'!B210:F8692,5,false)="","Y","N")</f>
        <v>Y</v>
      </c>
      <c r="R207" s="12" t="str">
        <f>if(vlookup(B:B,'ILC3310'!B42:F8631,5,false)="","Y","N")</f>
        <v>Y</v>
      </c>
      <c r="S207" s="12" t="str">
        <f>if(vlookup(B:B,'ILC3312'!B210:F8649,5,false)="","Y","N")</f>
        <v>Y</v>
      </c>
      <c r="T207" s="12" t="str">
        <f>if(vlookup(B:B,'ILC3413'!B179:F8574,5,false)="","Y","N")</f>
        <v>Y</v>
      </c>
      <c r="U207" s="12" t="str">
        <f>if(vlookup(B:B,'ILC3415'!B207:F8599,5,false)="","Y","N")</f>
        <v>Y</v>
      </c>
      <c r="V207" s="12" t="str">
        <f>if(vlookup(B:B,'ILC4406'!B142:F8568,5,false)="","Y","N")</f>
        <v>Y</v>
      </c>
      <c r="W207" s="12" t="str">
        <f>if(vlookup(B:B,'ILC4410'!B210:F8816,5,false)="","Y","N")</f>
        <v>Y</v>
      </c>
      <c r="X207" s="12" t="str">
        <f>if(vlookup(B:B,'JBV455'!B210:F9156,5,false)="","Y","N")</f>
        <v>Y</v>
      </c>
      <c r="Y207" s="12" t="str">
        <f>if(vlookup(B:B,'JBV462'!B210:F8649,5,false)="","Y","N")</f>
        <v>Y</v>
      </c>
      <c r="Z207" s="12" t="str">
        <f>if(vlookup(B:B,'JBV464'!B210:F8649,5,false)="","Y","N")</f>
        <v>Y</v>
      </c>
      <c r="AA207" s="12" t="str">
        <f>if(vlookup(B:B,'VDI208'!B142:F8649,5,false)="","Y","N")</f>
        <v>Y</v>
      </c>
      <c r="AB207" s="76" t="str">
        <f>if(vlookup(B:B,'STO2206'!B142:F8649,5,false)="","Y","N")</f>
        <v>Y</v>
      </c>
    </row>
    <row r="208">
      <c r="A208" s="67" t="str">
        <f t="shared" si="2"/>
        <v>Sun</v>
      </c>
      <c r="B208" s="69">
        <v>43653.0</v>
      </c>
      <c r="C208" s="12" t="str">
        <f>if(vlookup(B:B,'ILC1110'!$B73:F8650,5,false)="","Y","N")</f>
        <v>Y</v>
      </c>
      <c r="D208" s="12" t="str">
        <f>if(vlookup(B:B,'ILC1111'!$B73:F8657,5,false)="","Y","N")</f>
        <v>Y</v>
      </c>
      <c r="E208" s="12" t="str">
        <f>if(vlookup(B:B,'ILC1112'!$B73:F8650,5,false)="","Y","N")</f>
        <v>Y</v>
      </c>
      <c r="F208" s="12" t="str">
        <f>if(vlookup(B:B,'ILC1211'!$B211:F8650,5,false)="","Y","N")</f>
        <v>Y</v>
      </c>
      <c r="G208" s="12" t="str">
        <f>if(vlookup(B:B,'ILC1213'!$B138:G8650,5,false)="","Y","N")</f>
        <v>Y</v>
      </c>
      <c r="H208" s="12" t="str">
        <f>if(vlookup(B:B,'ILC1314'!$B137:G950,5,false)="","Y","N")</f>
        <v>Y</v>
      </c>
      <c r="I208" s="12" t="str">
        <f>if(vlookup(B:B,'ILC1404'!B211:F8373,5,false)="","Y","N")</f>
        <v>Y</v>
      </c>
      <c r="J208" s="12" t="str">
        <f>if(vlookup(B:B,'ILC2203'!B174:F8373,5,false)="","Y","N")</f>
        <v>Y</v>
      </c>
      <c r="K208" s="12" t="str">
        <f>if(vlookup(B:B,'ILC2206'!B159:H370,5,false)="","Y","N")</f>
        <v>Y</v>
      </c>
      <c r="L208" s="12" t="str">
        <f>if(vlookup(B:B,'ILC2303'!B211:F8650,5,false)="","Y","N")</f>
        <v>N</v>
      </c>
      <c r="M208" s="12" t="str">
        <f>if(vlookup(B:B,'ILC2307'!B211:F9166,5,false)="","Y","N")</f>
        <v>Y</v>
      </c>
      <c r="N208" s="12" t="str">
        <f>if(vlookup(B:B,'ILC2313'!B211:F8805,5,false)="","Y","N")</f>
        <v>Y</v>
      </c>
      <c r="O208" s="12" t="str">
        <f>if(vlookup(B:B,'ILC2412'!B211:F8650,5,false)="","Y","N")</f>
        <v>Y</v>
      </c>
      <c r="P208" s="12" t="str">
        <f>if(vlookup(B:B,'ILC2413'!B211:F9148,5,false)="","Y","N")</f>
        <v>Y</v>
      </c>
      <c r="Q208" s="12" t="str">
        <f>if(vlookup(B:B,'ILC3104'!B211:F8693,5,false)="","Y","N")</f>
        <v>Y</v>
      </c>
      <c r="R208" s="12" t="str">
        <f>if(vlookup(B:B,'ILC3310'!B43:F8632,5,false)="","Y","N")</f>
        <v>N</v>
      </c>
      <c r="S208" s="12" t="str">
        <f>if(vlookup(B:B,'ILC3312'!B211:F8650,5,false)="","Y","N")</f>
        <v>N</v>
      </c>
      <c r="T208" s="12" t="str">
        <f>if(vlookup(B:B,'ILC3413'!B180:F8575,5,false)="","Y","N")</f>
        <v>Y</v>
      </c>
      <c r="U208" s="12" t="str">
        <f>if(vlookup(B:B,'ILC3415'!B208:F8600,5,false)="","Y","N")</f>
        <v>Y</v>
      </c>
      <c r="V208" s="12" t="str">
        <f>if(vlookup(B:B,'ILC4406'!B143:F8569,5,false)="","Y","N")</f>
        <v>Y</v>
      </c>
      <c r="W208" s="12" t="str">
        <f>if(vlookup(B:B,'ILC4410'!B211:F8817,5,false)="","Y","N")</f>
        <v>Y</v>
      </c>
      <c r="X208" s="12" t="str">
        <f>if(vlookup(B:B,'JBV455'!B211:F9157,5,false)="","Y","N")</f>
        <v>Y</v>
      </c>
      <c r="Y208" s="12" t="str">
        <f>if(vlookup(B:B,'JBV462'!B211:F8650,5,false)="","Y","N")</f>
        <v>Y</v>
      </c>
      <c r="Z208" s="12" t="str">
        <f>if(vlookup(B:B,'JBV464'!B211:F8650,5,false)="","Y","N")</f>
        <v>Y</v>
      </c>
      <c r="AA208" s="12" t="str">
        <f>if(vlookup(B:B,'VDI208'!B143:F8650,5,false)="","Y","N")</f>
        <v>Y</v>
      </c>
      <c r="AB208" s="76" t="str">
        <f>if(vlookup(B:B,'STO2206'!B143:F8650,5,false)="","Y","N")</f>
        <v>Y</v>
      </c>
    </row>
    <row r="209">
      <c r="A209" s="67" t="str">
        <f t="shared" si="2"/>
        <v>Mon</v>
      </c>
      <c r="B209" s="69">
        <v>43654.0</v>
      </c>
      <c r="C209" s="12" t="str">
        <f>if(vlookup(B:B,'ILC1110'!$B74:F8651,5,false)="","Y","N")</f>
        <v>Y</v>
      </c>
      <c r="D209" s="12" t="str">
        <f>if(vlookup(B:B,'ILC1111'!$B74:F8658,5,false)="","Y","N")</f>
        <v>Y</v>
      </c>
      <c r="E209" s="12" t="str">
        <f>if(vlookup(B:B,'ILC1112'!$B74:F8651,5,false)="","Y","N")</f>
        <v>Y</v>
      </c>
      <c r="F209" s="12" t="str">
        <f>if(vlookup(B:B,'ILC1211'!$B212:F8651,5,false)="","Y","N")</f>
        <v>Y</v>
      </c>
      <c r="G209" s="12" t="str">
        <f>if(vlookup(B:B,'ILC1213'!$B139:G8651,5,false)="","Y","N")</f>
        <v>Y</v>
      </c>
      <c r="H209" s="12" t="str">
        <f>if(vlookup(B:B,'ILC1314'!$B138:G951,5,false)="","Y","N")</f>
        <v>Y</v>
      </c>
      <c r="I209" s="12" t="str">
        <f>if(vlookup(B:B,'ILC1404'!B212:F8374,5,false)="","Y","N")</f>
        <v>Y</v>
      </c>
      <c r="J209" s="12" t="str">
        <f>if(vlookup(B:B,'ILC2203'!B175:F8374,5,false)="","Y","N")</f>
        <v>Y</v>
      </c>
      <c r="K209" s="12" t="str">
        <f>if(vlookup(B:B,'ILC2206'!B160:H370,5,false)="","Y","N")</f>
        <v>Y</v>
      </c>
      <c r="L209" s="12" t="str">
        <f>if(vlookup(B:B,'ILC2303'!B212:F8651,5,false)="","Y","N")</f>
        <v>N</v>
      </c>
      <c r="M209" s="12" t="str">
        <f>if(vlookup(B:B,'ILC2307'!B212:F9167,5,false)="","Y","N")</f>
        <v>Y</v>
      </c>
      <c r="N209" s="12" t="str">
        <f>if(vlookup(B:B,'ILC2313'!B212:F8806,5,false)="","Y","N")</f>
        <v>Y</v>
      </c>
      <c r="O209" s="12" t="str">
        <f>if(vlookup(B:B,'ILC2412'!B212:F8651,5,false)="","Y","N")</f>
        <v>Y</v>
      </c>
      <c r="P209" s="12" t="str">
        <f>if(vlookup(B:B,'ILC2413'!B212:F9149,5,false)="","Y","N")</f>
        <v>Y</v>
      </c>
      <c r="Q209" s="12" t="str">
        <f>if(vlookup(B:B,'ILC3104'!B212:F8694,5,false)="","Y","N")</f>
        <v>Y</v>
      </c>
      <c r="R209" s="12" t="str">
        <f>if(vlookup(B:B,'ILC3310'!B44:F8633,5,false)="","Y","N")</f>
        <v>N</v>
      </c>
      <c r="S209" s="12" t="str">
        <f>if(vlookup(B:B,'ILC3312'!B212:F8651,5,false)="","Y","N")</f>
        <v>N</v>
      </c>
      <c r="T209" s="12" t="str">
        <f>if(vlookup(B:B,'ILC3413'!B181:F8576,5,false)="","Y","N")</f>
        <v>Y</v>
      </c>
      <c r="U209" s="12" t="str">
        <f>if(vlookup(B:B,'ILC3415'!B209:F8601,5,false)="","Y","N")</f>
        <v>Y</v>
      </c>
      <c r="V209" s="12" t="str">
        <f>if(vlookup(B:B,'ILC4406'!B144:F8570,5,false)="","Y","N")</f>
        <v>Y</v>
      </c>
      <c r="W209" s="12" t="str">
        <f>if(vlookup(B:B,'ILC4410'!B212:F8818,5,false)="","Y","N")</f>
        <v>Y</v>
      </c>
      <c r="X209" s="12" t="str">
        <f>if(vlookup(B:B,'JBV455'!B212:F9158,5,false)="","Y","N")</f>
        <v>Y</v>
      </c>
      <c r="Y209" s="12" t="str">
        <f>if(vlookup(B:B,'JBV462'!B212:F8651,5,false)="","Y","N")</f>
        <v>Y</v>
      </c>
      <c r="Z209" s="12" t="str">
        <f>if(vlookup(B:B,'JBV464'!B212:F8651,5,false)="","Y","N")</f>
        <v>Y</v>
      </c>
      <c r="AA209" s="12" t="str">
        <f>if(vlookup(B:B,'VDI208'!B144:F8651,5,false)="","Y","N")</f>
        <v>Y</v>
      </c>
      <c r="AB209" s="76" t="str">
        <f>if(vlookup(B:B,'STO2206'!B144:F8651,5,false)="","Y","N")</f>
        <v>Y</v>
      </c>
    </row>
    <row r="210">
      <c r="A210" s="67" t="str">
        <f t="shared" si="2"/>
        <v>Tue</v>
      </c>
      <c r="B210" s="69">
        <v>43655.0</v>
      </c>
      <c r="C210" s="12" t="str">
        <f>if(vlookup(B:B,'ILC1110'!$B75:F8652,5,false)="","Y","N")</f>
        <v>Y</v>
      </c>
      <c r="D210" s="12" t="str">
        <f>if(vlookup(B:B,'ILC1111'!$B75:F8659,5,false)="","Y","N")</f>
        <v>Y</v>
      </c>
      <c r="E210" s="12" t="str">
        <f>if(vlookup(B:B,'ILC1112'!$B75:F8652,5,false)="","Y","N")</f>
        <v>Y</v>
      </c>
      <c r="F210" s="12" t="str">
        <f>if(vlookup(B:B,'ILC1211'!$B213:F8652,5,false)="","Y","N")</f>
        <v>Y</v>
      </c>
      <c r="G210" s="12" t="str">
        <f>if(vlookup(B:B,'ILC1213'!$B140:G8652,5,false)="","Y","N")</f>
        <v>Y</v>
      </c>
      <c r="H210" s="12" t="str">
        <f>if(vlookup(B:B,'ILC1314'!$B139:G952,5,false)="","Y","N")</f>
        <v>Y</v>
      </c>
      <c r="I210" s="12" t="str">
        <f>if(vlookup(B:B,'ILC1404'!B213:F8375,5,false)="","Y","N")</f>
        <v>Y</v>
      </c>
      <c r="J210" s="12" t="str">
        <f>if(vlookup(B:B,'ILC2203'!B176:F8375,5,false)="","Y","N")</f>
        <v>Y</v>
      </c>
      <c r="K210" s="12" t="str">
        <f>if(vlookup(B:B,'ILC2206'!B161:H370,5,false)="","Y","N")</f>
        <v>Y</v>
      </c>
      <c r="L210" s="12" t="str">
        <f>if(vlookup(B:B,'ILC2303'!B213:F8652,5,false)="","Y","N")</f>
        <v>N</v>
      </c>
      <c r="M210" s="12" t="str">
        <f>if(vlookup(B:B,'ILC2307'!B213:F9168,5,false)="","Y","N")</f>
        <v>Y</v>
      </c>
      <c r="N210" s="12" t="str">
        <f>if(vlookup(B:B,'ILC2313'!B213:F8807,5,false)="","Y","N")</f>
        <v>Y</v>
      </c>
      <c r="O210" s="12" t="str">
        <f>if(vlookup(B:B,'ILC2412'!B213:F8652,5,false)="","Y","N")</f>
        <v>Y</v>
      </c>
      <c r="P210" s="12" t="str">
        <f>if(vlookup(B:B,'ILC2413'!B213:F9150,5,false)="","Y","N")</f>
        <v>Y</v>
      </c>
      <c r="Q210" s="12" t="str">
        <f>if(vlookup(B:B,'ILC3104'!B213:F8695,5,false)="","Y","N")</f>
        <v>Y</v>
      </c>
      <c r="R210" s="12" t="str">
        <f>if(vlookup(B:B,'ILC3310'!B45:F8634,5,false)="","Y","N")</f>
        <v>N</v>
      </c>
      <c r="S210" s="12" t="str">
        <f>if(vlookup(B:B,'ILC3312'!B213:F8652,5,false)="","Y","N")</f>
        <v>N</v>
      </c>
      <c r="T210" s="12" t="str">
        <f>if(vlookup(B:B,'ILC3413'!B182:F8577,5,false)="","Y","N")</f>
        <v>Y</v>
      </c>
      <c r="U210" s="12" t="str">
        <f>if(vlookup(B:B,'ILC3415'!B210:F8602,5,false)="","Y","N")</f>
        <v>Y</v>
      </c>
      <c r="V210" s="12" t="str">
        <f>if(vlookup(B:B,'ILC4406'!B145:F8571,5,false)="","Y","N")</f>
        <v>Y</v>
      </c>
      <c r="W210" s="12" t="str">
        <f>if(vlookup(B:B,'ILC4410'!B213:F8819,5,false)="","Y","N")</f>
        <v>Y</v>
      </c>
      <c r="X210" s="12" t="str">
        <f>if(vlookup(B:B,'JBV455'!B213:F9159,5,false)="","Y","N")</f>
        <v>Y</v>
      </c>
      <c r="Y210" s="12" t="str">
        <f>if(vlookup(B:B,'JBV462'!B213:F8652,5,false)="","Y","N")</f>
        <v>Y</v>
      </c>
      <c r="Z210" s="12" t="str">
        <f>if(vlookup(B:B,'JBV464'!B213:F8652,5,false)="","Y","N")</f>
        <v>Y</v>
      </c>
      <c r="AA210" s="12" t="str">
        <f>if(vlookup(B:B,'VDI208'!B145:F8652,5,false)="","Y","N")</f>
        <v>Y</v>
      </c>
      <c r="AB210" s="76" t="str">
        <f>if(vlookup(B:B,'STO2206'!B145:F8652,5,false)="","Y","N")</f>
        <v>Y</v>
      </c>
    </row>
    <row r="211">
      <c r="A211" s="67" t="str">
        <f t="shared" si="2"/>
        <v>Wed</v>
      </c>
      <c r="B211" s="69">
        <v>43656.0</v>
      </c>
      <c r="C211" s="12" t="str">
        <f>if(vlookup(B:B,'ILC1110'!$B76:F8653,5,false)="","Y","N")</f>
        <v>Y</v>
      </c>
      <c r="D211" s="12" t="str">
        <f>if(vlookup(B:B,'ILC1111'!$B76:F8660,5,false)="","Y","N")</f>
        <v>Y</v>
      </c>
      <c r="E211" s="12" t="str">
        <f>if(vlookup(B:B,'ILC1112'!$B76:F8653,5,false)="","Y","N")</f>
        <v>Y</v>
      </c>
      <c r="F211" s="12" t="str">
        <f>if(vlookup(B:B,'ILC1211'!$B214:F8653,5,false)="","Y","N")</f>
        <v>Y</v>
      </c>
      <c r="G211" s="12" t="str">
        <f>if(vlookup(B:B,'ILC1213'!$B141:G8653,5,false)="","Y","N")</f>
        <v>Y</v>
      </c>
      <c r="H211" s="12" t="str">
        <f>if(vlookup(B:B,'ILC1314'!$B140:G953,5,false)="","Y","N")</f>
        <v>Y</v>
      </c>
      <c r="I211" s="12" t="str">
        <f>if(vlookup(B:B,'ILC1404'!B214:F8376,5,false)="","Y","N")</f>
        <v>Y</v>
      </c>
      <c r="J211" s="12" t="str">
        <f>if(vlookup(B:B,'ILC2203'!B177:F8376,5,false)="","Y","N")</f>
        <v>Y</v>
      </c>
      <c r="K211" s="12" t="str">
        <f>if(vlookup(B:B,'ILC2206'!B162:H370,5,false)="","Y","N")</f>
        <v>Y</v>
      </c>
      <c r="L211" s="12" t="str">
        <f>if(vlookup(B:B,'ILC2303'!B214:F8653,5,false)="","Y","N")</f>
        <v>N</v>
      </c>
      <c r="M211" s="12" t="str">
        <f>if(vlookup(B:B,'ILC2307'!B214:F9169,5,false)="","Y","N")</f>
        <v>Y</v>
      </c>
      <c r="N211" s="12" t="str">
        <f>if(vlookup(B:B,'ILC2313'!B214:F8808,5,false)="","Y","N")</f>
        <v>Y</v>
      </c>
      <c r="O211" s="12" t="str">
        <f>if(vlookup(B:B,'ILC2412'!B214:F8653,5,false)="","Y","N")</f>
        <v>Y</v>
      </c>
      <c r="P211" s="12" t="str">
        <f>if(vlookup(B:B,'ILC2413'!B214:F9151,5,false)="","Y","N")</f>
        <v>Y</v>
      </c>
      <c r="Q211" s="12" t="str">
        <f>if(vlookup(B:B,'ILC3104'!B214:F8696,5,false)="","Y","N")</f>
        <v>Y</v>
      </c>
      <c r="R211" s="12" t="str">
        <f>if(vlookup(B:B,'ILC3310'!B46:F8635,5,false)="","Y","N")</f>
        <v>N</v>
      </c>
      <c r="S211" s="12" t="str">
        <f>if(vlookup(B:B,'ILC3312'!B214:F8653,5,false)="","Y","N")</f>
        <v>N</v>
      </c>
      <c r="T211" s="12" t="str">
        <f>if(vlookup(B:B,'ILC3413'!B183:F8578,5,false)="","Y","N")</f>
        <v>Y</v>
      </c>
      <c r="U211" s="12" t="str">
        <f>if(vlookup(B:B,'ILC3415'!B211:F8603,5,false)="","Y","N")</f>
        <v>Y</v>
      </c>
      <c r="V211" s="12" t="str">
        <f>if(vlookup(B:B,'ILC4406'!B146:F8572,5,false)="","Y","N")</f>
        <v>Y</v>
      </c>
      <c r="W211" s="12" t="str">
        <f>if(vlookup(B:B,'ILC4410'!B214:F8820,5,false)="","Y","N")</f>
        <v>Y</v>
      </c>
      <c r="X211" s="12" t="str">
        <f>if(vlookup(B:B,'JBV455'!B214:F9160,5,false)="","Y","N")</f>
        <v>Y</v>
      </c>
      <c r="Y211" s="12" t="str">
        <f>if(vlookup(B:B,'JBV462'!B214:F8653,5,false)="","Y","N")</f>
        <v>Y</v>
      </c>
      <c r="Z211" s="12" t="str">
        <f>if(vlookup(B:B,'JBV464'!B214:F8653,5,false)="","Y","N")</f>
        <v>Y</v>
      </c>
      <c r="AA211" s="12" t="str">
        <f>if(vlookup(B:B,'VDI208'!B146:F8653,5,false)="","Y","N")</f>
        <v>Y</v>
      </c>
      <c r="AB211" s="76" t="str">
        <f>if(vlookup(B:B,'STO2206'!B146:F8653,5,false)="","Y","N")</f>
        <v>Y</v>
      </c>
    </row>
    <row r="212">
      <c r="A212" s="67" t="str">
        <f t="shared" si="2"/>
        <v>Thu</v>
      </c>
      <c r="B212" s="69">
        <v>43657.0</v>
      </c>
      <c r="C212" s="12" t="str">
        <f>if(vlookup(B:B,'ILC1110'!$B77:F8654,5,false)="","Y","N")</f>
        <v>Y</v>
      </c>
      <c r="D212" s="12" t="str">
        <f>if(vlookup(B:B,'ILC1111'!$B77:F8661,5,false)="","Y","N")</f>
        <v>Y</v>
      </c>
      <c r="E212" s="12" t="str">
        <f>if(vlookup(B:B,'ILC1112'!$B77:F8654,5,false)="","Y","N")</f>
        <v>N</v>
      </c>
      <c r="F212" s="12" t="str">
        <f>if(vlookup(B:B,'ILC1211'!$B215:F8654,5,false)="","Y","N")</f>
        <v>Y</v>
      </c>
      <c r="G212" s="12" t="str">
        <f>if(vlookup(B:B,'ILC1213'!$B142:G8654,5,false)="","Y","N")</f>
        <v>Y</v>
      </c>
      <c r="H212" s="12" t="str">
        <f>if(vlookup(B:B,'ILC1314'!$B141:G954,5,false)="","Y","N")</f>
        <v>Y</v>
      </c>
      <c r="I212" s="12" t="str">
        <f>if(vlookup(B:B,'ILC1404'!B215:F8377,5,false)="","Y","N")</f>
        <v>Y</v>
      </c>
      <c r="J212" s="12" t="str">
        <f>if(vlookup(B:B,'ILC2203'!B178:F8377,5,false)="","Y","N")</f>
        <v>Y</v>
      </c>
      <c r="K212" s="12" t="str">
        <f>if(vlookup(B:B,'ILC2206'!B163:H370,5,false)="","Y","N")</f>
        <v>Y</v>
      </c>
      <c r="L212" s="12" t="str">
        <f>if(vlookup(B:B,'ILC2303'!B215:F8654,5,false)="","Y","N")</f>
        <v>N</v>
      </c>
      <c r="M212" s="12" t="str">
        <f>if(vlookup(B:B,'ILC2307'!B215:F9170,5,false)="","Y","N")</f>
        <v>Y</v>
      </c>
      <c r="N212" s="12" t="str">
        <f>if(vlookup(B:B,'ILC2313'!B215:F8809,5,false)="","Y","N")</f>
        <v>Y</v>
      </c>
      <c r="O212" s="12" t="str">
        <f>if(vlookup(B:B,'ILC2412'!B215:F8654,5,false)="","Y","N")</f>
        <v>Y</v>
      </c>
      <c r="P212" s="12" t="str">
        <f>if(vlookup(B:B,'ILC2413'!B215:F9152,5,false)="","Y","N")</f>
        <v>Y</v>
      </c>
      <c r="Q212" s="12" t="str">
        <f>if(vlookup(B:B,'ILC3104'!B215:F8697,5,false)="","Y","N")</f>
        <v>Y</v>
      </c>
      <c r="R212" s="12" t="str">
        <f>if(vlookup(B:B,'ILC3310'!B47:F8636,5,false)="","Y","N")</f>
        <v>Y</v>
      </c>
      <c r="S212" s="12" t="str">
        <f>if(vlookup(B:B,'ILC3312'!B215:F8654,5,false)="","Y","N")</f>
        <v>Y</v>
      </c>
      <c r="T212" s="12" t="str">
        <f>if(vlookup(B:B,'ILC3413'!B184:F8579,5,false)="","Y","N")</f>
        <v>Y</v>
      </c>
      <c r="U212" s="12" t="str">
        <f>if(vlookup(B:B,'ILC3415'!B212:F8604,5,false)="","Y","N")</f>
        <v>Y</v>
      </c>
      <c r="V212" s="12" t="str">
        <f>if(vlookup(B:B,'ILC4406'!B147:F8573,5,false)="","Y","N")</f>
        <v>Y</v>
      </c>
      <c r="W212" s="12" t="str">
        <f>if(vlookup(B:B,'ILC4410'!B215:F8821,5,false)="","Y","N")</f>
        <v>Y</v>
      </c>
      <c r="X212" s="12" t="str">
        <f>if(vlookup(B:B,'JBV455'!B215:F9161,5,false)="","Y","N")</f>
        <v>Y</v>
      </c>
      <c r="Y212" s="12" t="str">
        <f>if(vlookup(B:B,'JBV462'!B215:F8654,5,false)="","Y","N")</f>
        <v>Y</v>
      </c>
      <c r="Z212" s="12" t="str">
        <f>if(vlookup(B:B,'JBV464'!B215:F8654,5,false)="","Y","N")</f>
        <v>Y</v>
      </c>
      <c r="AA212" s="12" t="str">
        <f>if(vlookup(B:B,'VDI208'!B147:F8654,5,false)="","Y","N")</f>
        <v>Y</v>
      </c>
      <c r="AB212" s="76" t="str">
        <f>if(vlookup(B:B,'STO2206'!B147:F8654,5,false)="","Y","N")</f>
        <v>Y</v>
      </c>
    </row>
    <row r="213">
      <c r="A213" s="67" t="str">
        <f t="shared" si="2"/>
        <v>Fri</v>
      </c>
      <c r="B213" s="69">
        <v>43658.0</v>
      </c>
      <c r="C213" s="12" t="str">
        <f>if(vlookup(B:B,'ILC1110'!$B78:F8655,5,false)="","Y","N")</f>
        <v>Y</v>
      </c>
      <c r="D213" s="12" t="str">
        <f>if(vlookup(B:B,'ILC1111'!$B78:F8662,5,false)="","Y","N")</f>
        <v>Y</v>
      </c>
      <c r="E213" s="12" t="str">
        <f>if(vlookup(B:B,'ILC1112'!$B78:F8655,5,false)="","Y","N")</f>
        <v>N</v>
      </c>
      <c r="F213" s="12" t="str">
        <f>if(vlookup(B:B,'ILC1211'!$B216:F8655,5,false)="","Y","N")</f>
        <v>Y</v>
      </c>
      <c r="G213" s="12" t="str">
        <f>if(vlookup(B:B,'ILC1213'!$B143:G8655,5,false)="","Y","N")</f>
        <v>Y</v>
      </c>
      <c r="H213" s="12" t="str">
        <f>if(vlookup(B:B,'ILC1314'!$B142:G955,5,false)="","Y","N")</f>
        <v>Y</v>
      </c>
      <c r="I213" s="12" t="str">
        <f>if(vlookup(B:B,'ILC1404'!B216:F8378,5,false)="","Y","N")</f>
        <v>Y</v>
      </c>
      <c r="J213" s="12" t="str">
        <f>if(vlookup(B:B,'ILC2203'!B179:F8378,5,false)="","Y","N")</f>
        <v>Y</v>
      </c>
      <c r="K213" s="12" t="str">
        <f>if(vlookup(B:B,'ILC2206'!B164:H370,5,false)="","Y","N")</f>
        <v>Y</v>
      </c>
      <c r="L213" s="12" t="str">
        <f>if(vlookup(B:B,'ILC2303'!B216:F8655,5,false)="","Y","N")</f>
        <v>N</v>
      </c>
      <c r="M213" s="12" t="str">
        <f>if(vlookup(B:B,'ILC2307'!B216:F9171,5,false)="","Y","N")</f>
        <v>Y</v>
      </c>
      <c r="N213" s="12" t="str">
        <f>if(vlookup(B:B,'ILC2313'!B216:F8810,5,false)="","Y","N")</f>
        <v>Y</v>
      </c>
      <c r="O213" s="12" t="str">
        <f>if(vlookup(B:B,'ILC2412'!B216:F8655,5,false)="","Y","N")</f>
        <v>Y</v>
      </c>
      <c r="P213" s="12" t="str">
        <f>if(vlookup(B:B,'ILC2413'!B216:F9153,5,false)="","Y","N")</f>
        <v>Y</v>
      </c>
      <c r="Q213" s="12" t="str">
        <f>if(vlookup(B:B,'ILC3104'!B216:F8698,5,false)="","Y","N")</f>
        <v>Y</v>
      </c>
      <c r="R213" s="12" t="str">
        <f>if(vlookup(B:B,'ILC3310'!B48:F8637,5,false)="","Y","N")</f>
        <v>Y</v>
      </c>
      <c r="S213" s="12" t="str">
        <f>if(vlookup(B:B,'ILC3312'!B216:F8655,5,false)="","Y","N")</f>
        <v>Y</v>
      </c>
      <c r="T213" s="12" t="str">
        <f>if(vlookup(B:B,'ILC3413'!B185:F8580,5,false)="","Y","N")</f>
        <v>Y</v>
      </c>
      <c r="U213" s="12" t="str">
        <f>if(vlookup(B:B,'ILC3415'!B213:F8605,5,false)="","Y","N")</f>
        <v>Y</v>
      </c>
      <c r="V213" s="12" t="str">
        <f>if(vlookup(B:B,'ILC4406'!B148:F8574,5,false)="","Y","N")</f>
        <v>Y</v>
      </c>
      <c r="W213" s="12" t="str">
        <f>if(vlookup(B:B,'ILC4410'!B216:F8822,5,false)="","Y","N")</f>
        <v>Y</v>
      </c>
      <c r="X213" s="12" t="str">
        <f>if(vlookup(B:B,'JBV455'!B216:F9162,5,false)="","Y","N")</f>
        <v>Y</v>
      </c>
      <c r="Y213" s="12" t="str">
        <f>if(vlookup(B:B,'JBV462'!B216:F8655,5,false)="","Y","N")</f>
        <v>Y</v>
      </c>
      <c r="Z213" s="12" t="str">
        <f>if(vlookup(B:B,'JBV464'!B216:F8655,5,false)="","Y","N")</f>
        <v>Y</v>
      </c>
      <c r="AA213" s="12" t="str">
        <f>if(vlookup(B:B,'VDI208'!B148:F8655,5,false)="","Y","N")</f>
        <v>Y</v>
      </c>
      <c r="AB213" s="76" t="str">
        <f>if(vlookup(B:B,'STO2206'!B148:F8655,5,false)="","Y","N")</f>
        <v>Y</v>
      </c>
    </row>
    <row r="214">
      <c r="A214" s="67" t="str">
        <f t="shared" si="2"/>
        <v>Sat</v>
      </c>
      <c r="B214" s="69">
        <v>43659.0</v>
      </c>
      <c r="C214" s="12" t="str">
        <f>if(vlookup(B:B,'ILC1110'!$B79:F8656,5,false)="","Y","N")</f>
        <v>Y</v>
      </c>
      <c r="D214" s="12" t="str">
        <f>if(vlookup(B:B,'ILC1111'!$B79:F8663,5,false)="","Y","N")</f>
        <v>Y</v>
      </c>
      <c r="E214" s="12" t="str">
        <f>if(vlookup(B:B,'ILC1112'!$B79:F8656,5,false)="","Y","N")</f>
        <v>N</v>
      </c>
      <c r="F214" s="12" t="str">
        <f>if(vlookup(B:B,'ILC1211'!B217:F8656,5,false)="","Y","N")</f>
        <v>Y</v>
      </c>
      <c r="G214" s="12" t="str">
        <f>if(vlookup(B:B,'ILC1213'!$B144:G8656,5,false)="","Y","N")</f>
        <v>Y</v>
      </c>
      <c r="H214" s="12" t="str">
        <f>if(vlookup(B:B,'ILC1314'!$B143:G956,5,false)="","Y","N")</f>
        <v>Y</v>
      </c>
      <c r="I214" s="12" t="str">
        <f>if(vlookup(B:B,'ILC1404'!B217:F8379,5,false)="","Y","N")</f>
        <v>Y</v>
      </c>
      <c r="J214" s="12" t="str">
        <f>if(vlookup(B:B,'ILC2203'!B180:F8379,5,false)="","Y","N")</f>
        <v>Y</v>
      </c>
      <c r="K214" s="12" t="str">
        <f>if(vlookup(B:B,'ILC2206'!B165:H370,5,false)="","Y","N")</f>
        <v>Y</v>
      </c>
      <c r="L214" s="12" t="str">
        <f>if(vlookup(B:B,'ILC2303'!B217:F8656,5,false)="","Y","N")</f>
        <v>N</v>
      </c>
      <c r="M214" s="12" t="str">
        <f>if(vlookup(B:B,'ILC2307'!B217:F9172,5,false)="","Y","N")</f>
        <v>Y</v>
      </c>
      <c r="N214" s="12" t="str">
        <f>if(vlookup(B:B,'ILC2313'!B217:F8811,5,false)="","Y","N")</f>
        <v>Y</v>
      </c>
      <c r="O214" s="12" t="str">
        <f>if(vlookup(B:B,'ILC2412'!B217:F8656,5,false)="","Y","N")</f>
        <v>Y</v>
      </c>
      <c r="P214" s="12" t="str">
        <f>if(vlookup(B:B,'ILC2413'!B217:F9154,5,false)="","Y","N")</f>
        <v>Y</v>
      </c>
      <c r="Q214" s="12" t="str">
        <f>if(vlookup(B:B,'ILC3104'!B217:F8699,5,false)="","Y","N")</f>
        <v>Y</v>
      </c>
      <c r="R214" s="12" t="str">
        <f>if(vlookup(B:B,'ILC3310'!B49:F8638,5,false)="","Y","N")</f>
        <v>Y</v>
      </c>
      <c r="S214" s="12" t="str">
        <f>if(vlookup(B:B,'ILC3312'!B217:F8656,5,false)="","Y","N")</f>
        <v>Y</v>
      </c>
      <c r="T214" s="12" t="str">
        <f>if(vlookup(B:B,'ILC3413'!B186:F8581,5,false)="","Y","N")</f>
        <v>Y</v>
      </c>
      <c r="U214" s="12" t="str">
        <f>if(vlookup(B:B,'ILC3415'!B214:F8606,5,false)="","Y","N")</f>
        <v>Y</v>
      </c>
      <c r="V214" s="12" t="str">
        <f>if(vlookup(B:B,'ILC4406'!B149:F8575,5,false)="","Y","N")</f>
        <v>Y</v>
      </c>
      <c r="W214" s="12" t="str">
        <f>if(vlookup(B:B,'ILC4410'!B217:F8823,5,false)="","Y","N")</f>
        <v>Y</v>
      </c>
      <c r="X214" s="12" t="str">
        <f>if(vlookup(B:B,'JBV455'!B217:F9163,5,false)="","Y","N")</f>
        <v>Y</v>
      </c>
      <c r="Y214" s="12" t="str">
        <f>if(vlookup(B:B,'JBV462'!B217:F8656,5,false)="","Y","N")</f>
        <v>Y</v>
      </c>
      <c r="Z214" s="12" t="str">
        <f>if(vlookup(B:B,'JBV464'!B217:F8656,5,false)="","Y","N")</f>
        <v>Y</v>
      </c>
      <c r="AA214" s="12" t="str">
        <f>if(vlookup(B:B,'VDI208'!B149:F8656,5,false)="","Y","N")</f>
        <v>Y</v>
      </c>
      <c r="AB214" s="76" t="str">
        <f>if(vlookup(B:B,'STO2206'!B149:F8656,5,false)="","Y","N")</f>
        <v>Y</v>
      </c>
    </row>
    <row r="215">
      <c r="A215" s="67" t="str">
        <f t="shared" si="2"/>
        <v>Sun</v>
      </c>
      <c r="B215" s="69">
        <v>43660.0</v>
      </c>
      <c r="C215" s="12" t="str">
        <f>if(vlookup(B:B,'ILC1110'!$B80:F8657,5,false)="","Y","N")</f>
        <v>Y</v>
      </c>
      <c r="D215" s="12" t="str">
        <f>if(vlookup(B:B,'ILC1111'!$B80:F8664,5,false)="","Y","N")</f>
        <v>Y</v>
      </c>
      <c r="E215" s="12" t="str">
        <f>if(vlookup(B:B,'ILC1112'!$B80:F8657,5,false)="","Y","N")</f>
        <v>N</v>
      </c>
      <c r="F215" s="12" t="str">
        <f>if(vlookup(B:B,'ILC1211'!B218:F8657,5,false)="","Y","N")</f>
        <v>Y</v>
      </c>
      <c r="G215" s="12" t="str">
        <f>if(vlookup(B:B,'ILC1213'!$B145:G8657,5,false)="","Y","N")</f>
        <v>Y</v>
      </c>
      <c r="H215" s="12" t="str">
        <f>if(vlookup(B:B,'ILC1314'!$B144:G957,5,false)="","Y","N")</f>
        <v>Y</v>
      </c>
      <c r="I215" s="12" t="str">
        <f>if(vlookup(B:B,'ILC1404'!B218:F8380,5,false)="","Y","N")</f>
        <v>N</v>
      </c>
      <c r="J215" s="12" t="str">
        <f>if(vlookup(B:B,'ILC2203'!B181:F8380,5,false)="","Y","N")</f>
        <v>Y</v>
      </c>
      <c r="K215" s="12" t="str">
        <f>if(vlookup(B:B,'ILC2206'!B166:H370,5,false)="","Y","N")</f>
        <v>Y</v>
      </c>
      <c r="L215" s="12" t="str">
        <f>if(vlookup(B:B,'ILC2303'!B218:F8657,5,false)="","Y","N")</f>
        <v>N</v>
      </c>
      <c r="M215" s="12" t="str">
        <f>if(vlookup(B:B,'ILC2307'!B218:F9173,5,false)="","Y","N")</f>
        <v>Y</v>
      </c>
      <c r="N215" s="12" t="str">
        <f>if(vlookup(B:B,'ILC2313'!B218:F8812,5,false)="","Y","N")</f>
        <v>Y</v>
      </c>
      <c r="O215" s="12" t="str">
        <f>if(vlookup(B:B,'ILC2412'!B218:F8657,5,false)="","Y","N")</f>
        <v>Y</v>
      </c>
      <c r="P215" s="12" t="str">
        <f>if(vlookup(B:B,'ILC2413'!B218:F9155,5,false)="","Y","N")</f>
        <v>Y</v>
      </c>
      <c r="Q215" s="12" t="str">
        <f>if(vlookup(B:B,'ILC3104'!B218:F8700,5,false)="","Y","N")</f>
        <v>Y</v>
      </c>
      <c r="R215" s="12" t="str">
        <f>if(vlookup(B:B,'ILC3310'!B50:F8639,5,false)="","Y","N")</f>
        <v>Y</v>
      </c>
      <c r="S215" s="12" t="str">
        <f>if(vlookup(B:B,'ILC3312'!B218:F8657,5,false)="","Y","N")</f>
        <v>Y</v>
      </c>
      <c r="T215" s="12" t="str">
        <f>if(vlookup(B:B,'ILC3413'!B187:F8582,5,false)="","Y","N")</f>
        <v>Y</v>
      </c>
      <c r="U215" s="12" t="str">
        <f>if(vlookup(B:B,'ILC3415'!B215:F8607,5,false)="","Y","N")</f>
        <v>Y</v>
      </c>
      <c r="V215" s="12" t="str">
        <f>if(vlookup(B:B,'ILC4406'!B150:F8576,5,false)="","Y","N")</f>
        <v>Y</v>
      </c>
      <c r="W215" s="12" t="str">
        <f>if(vlookup(B:B,'ILC4410'!B218:F8824,5,false)="","Y","N")</f>
        <v>Y</v>
      </c>
      <c r="X215" s="12" t="str">
        <f>if(vlookup(B:B,'JBV455'!B218:F9164,5,false)="","Y","N")</f>
        <v>Y</v>
      </c>
      <c r="Y215" s="12" t="str">
        <f>if(vlookup(B:B,'JBV462'!B218:F8657,5,false)="","Y","N")</f>
        <v>Y</v>
      </c>
      <c r="Z215" s="12" t="str">
        <f>if(vlookup(B:B,'JBV464'!B218:F8657,5,false)="","Y","N")</f>
        <v>Y</v>
      </c>
      <c r="AA215" s="12" t="str">
        <f>if(vlookup(B:B,'VDI208'!B150:F8657,5,false)="","Y","N")</f>
        <v>Y</v>
      </c>
      <c r="AB215" s="76" t="str">
        <f>if(vlookup(B:B,'STO2206'!B150:F8657,5,false)="","Y","N")</f>
        <v>Y</v>
      </c>
    </row>
    <row r="216">
      <c r="A216" s="67" t="str">
        <f t="shared" si="2"/>
        <v>Mon</v>
      </c>
      <c r="B216" s="69">
        <v>43661.0</v>
      </c>
      <c r="C216" s="12" t="str">
        <f>if(vlookup(B:B,'ILC1110'!$B81:F8658,5,false)="","Y","N")</f>
        <v>Y</v>
      </c>
      <c r="D216" s="12" t="str">
        <f>if(vlookup(B:B,'ILC1111'!$B81:F8665,5,false)="","Y","N")</f>
        <v>Y</v>
      </c>
      <c r="E216" s="12" t="str">
        <f>if(vlookup(B:B,'ILC1112'!$B81:F8658,5,false)="","Y","N")</f>
        <v>N</v>
      </c>
      <c r="F216" s="12" t="str">
        <f>if(vlookup(B:B,'ILC1211'!B219:F8658,5,false)="","Y","N")</f>
        <v>Y</v>
      </c>
      <c r="G216" s="12" t="str">
        <f>if(vlookup(B:B,'ILC1213'!$B146:G8658,5,false)="","Y","N")</f>
        <v>Y</v>
      </c>
      <c r="H216" s="12" t="str">
        <f>if(vlookup(B:B,'ILC1314'!$B145:G958,5,false)="","Y","N")</f>
        <v>Y</v>
      </c>
      <c r="I216" s="12" t="str">
        <f>if(vlookup(B:B,'ILC1404'!B219:F8381,5,false)="","Y","N")</f>
        <v>N</v>
      </c>
      <c r="J216" s="12" t="str">
        <f>if(vlookup(B:B,'ILC2203'!B182:F8381,5,false)="","Y","N")</f>
        <v>Y</v>
      </c>
      <c r="K216" s="12" t="str">
        <f>if(vlookup(B:B,'ILC2206'!B167:H370,5,false)="","Y","N")</f>
        <v>Y</v>
      </c>
      <c r="L216" s="12" t="str">
        <f>if(vlookup(B:B,'ILC2303'!B219:F8658,5,false)="","Y","N")</f>
        <v>N</v>
      </c>
      <c r="M216" s="12" t="str">
        <f>if(vlookup(B:B,'ILC2307'!B219:F9174,5,false)="","Y","N")</f>
        <v>Y</v>
      </c>
      <c r="N216" s="12" t="str">
        <f>if(vlookup(B:B,'ILC2313'!B219:F8813,5,false)="","Y","N")</f>
        <v>Y</v>
      </c>
      <c r="O216" s="12" t="str">
        <f>if(vlookup(B:B,'ILC2412'!B219:F8658,5,false)="","Y","N")</f>
        <v>Y</v>
      </c>
      <c r="P216" s="12" t="str">
        <f>if(vlookup(B:B,'ILC2413'!B219:F9156,5,false)="","Y","N")</f>
        <v>Y</v>
      </c>
      <c r="Q216" s="12" t="str">
        <f>if(vlookup(B:B,'ILC3104'!B219:F8701,5,false)="","Y","N")</f>
        <v>Y</v>
      </c>
      <c r="R216" s="12" t="str">
        <f>if(vlookup(B:B,'ILC3310'!B51:F8640,5,false)="","Y","N")</f>
        <v>Y</v>
      </c>
      <c r="S216" s="12" t="str">
        <f>if(vlookup(B:B,'ILC3312'!B219:F8658,5,false)="","Y","N")</f>
        <v>Y</v>
      </c>
      <c r="T216" s="12" t="str">
        <f>if(vlookup(B:B,'ILC3413'!B188:F8583,5,false)="","Y","N")</f>
        <v>Y</v>
      </c>
      <c r="U216" s="12" t="str">
        <f>if(vlookup(B:B,'ILC3415'!B216:F8608,5,false)="","Y","N")</f>
        <v>Y</v>
      </c>
      <c r="V216" s="12" t="str">
        <f>if(vlookup(B:B,'ILC4406'!B151:F8577,5,false)="","Y","N")</f>
        <v>Y</v>
      </c>
      <c r="W216" s="12" t="str">
        <f>if(vlookup(B:B,'ILC4410'!B219:F8825,5,false)="","Y","N")</f>
        <v>Y</v>
      </c>
      <c r="X216" s="12" t="str">
        <f>if(vlookup(B:B,'JBV455'!B219:F9165,5,false)="","Y","N")</f>
        <v>Y</v>
      </c>
      <c r="Y216" s="12" t="str">
        <f>if(vlookup(B:B,'JBV462'!B219:F8658,5,false)="","Y","N")</f>
        <v>Y</v>
      </c>
      <c r="Z216" s="12" t="str">
        <f>if(vlookup(B:B,'JBV464'!B219:F8658,5,false)="","Y","N")</f>
        <v>Y</v>
      </c>
      <c r="AA216" s="12" t="str">
        <f>if(vlookup(B:B,'VDI208'!B151:F8658,5,false)="","Y","N")</f>
        <v>Y</v>
      </c>
      <c r="AB216" s="76" t="str">
        <f>if(vlookup(B:B,'STO2206'!B151:F8658,5,false)="","Y","N")</f>
        <v>Y</v>
      </c>
    </row>
    <row r="217">
      <c r="A217" s="67" t="str">
        <f t="shared" si="2"/>
        <v>Tue</v>
      </c>
      <c r="B217" s="69">
        <v>43662.0</v>
      </c>
      <c r="C217" s="12" t="str">
        <f>if(vlookup(B:B,'ILC1110'!$B82:F8659,5,false)="","Y","N")</f>
        <v>Y</v>
      </c>
      <c r="D217" s="12" t="str">
        <f>if(vlookup(B:B,'ILC1111'!$B82:F8666,5,false)="","Y","N")</f>
        <v>Y</v>
      </c>
      <c r="E217" s="12" t="str">
        <f>if(vlookup(B:B,'ILC1112'!$B82:F8659,5,false)="","Y","N")</f>
        <v>Y</v>
      </c>
      <c r="F217" s="12" t="str">
        <f>if(vlookup(B:B,'ILC1211'!B220:F8659,5,false)="","Y","N")</f>
        <v>Y</v>
      </c>
      <c r="G217" s="12" t="str">
        <f>if(vlookup(B:B,'ILC1213'!$B147:G8659,5,false)="","Y","N")</f>
        <v>Y</v>
      </c>
      <c r="H217" s="12" t="str">
        <f>if(vlookup(B:B,'ILC1314'!$B146:G959,5,false)="","Y","N")</f>
        <v>Y</v>
      </c>
      <c r="I217" s="12" t="str">
        <f>if(vlookup(B:B,'ILC1404'!B220:F8382,5,false)="","Y","N")</f>
        <v>Y</v>
      </c>
      <c r="J217" s="12" t="str">
        <f>if(vlookup(B:B,'ILC2203'!B183:F8382,5,false)="","Y","N")</f>
        <v>Y</v>
      </c>
      <c r="K217" s="12" t="str">
        <f>if(vlookup(B:B,'ILC2206'!B168:H370,5,false)="","Y","N")</f>
        <v>Y</v>
      </c>
      <c r="L217" s="12" t="str">
        <f>if(vlookup(B:B,'ILC2303'!B220:F8659,5,false)="","Y","N")</f>
        <v>N</v>
      </c>
      <c r="M217" s="12" t="str">
        <f>if(vlookup(B:B,'ILC2307'!B220:F9175,5,false)="","Y","N")</f>
        <v>Y</v>
      </c>
      <c r="N217" s="12" t="str">
        <f>if(vlookup(B:B,'ILC2313'!B220:F8814,5,false)="","Y","N")</f>
        <v>Y</v>
      </c>
      <c r="O217" s="12" t="str">
        <f>if(vlookup(B:B,'ILC2412'!B220:F8659,5,false)="","Y","N")</f>
        <v>Y</v>
      </c>
      <c r="P217" s="12" t="str">
        <f>if(vlookup(B:B,'ILC2413'!B220:F9157,5,false)="","Y","N")</f>
        <v>Y</v>
      </c>
      <c r="Q217" s="12" t="str">
        <f>if(vlookup(B:B,'ILC3104'!B220:F8702,5,false)="","Y","N")</f>
        <v>Y</v>
      </c>
      <c r="R217" s="12" t="str">
        <f>if(vlookup(B:B,'ILC3310'!B52:F8641,5,false)="","Y","N")</f>
        <v>Y</v>
      </c>
      <c r="S217" s="12" t="str">
        <f>if(vlookup(B:B,'ILC3312'!B220:F8659,5,false)="","Y","N")</f>
        <v>Y</v>
      </c>
      <c r="T217" s="12" t="str">
        <f>if(vlookup(B:B,'ILC3413'!B189:F8584,5,false)="","Y","N")</f>
        <v>Y</v>
      </c>
      <c r="U217" s="12" t="str">
        <f>if(vlookup(B:B,'ILC3415'!B217:F8609,5,false)="","Y","N")</f>
        <v>Y</v>
      </c>
      <c r="V217" s="12" t="str">
        <f>if(vlookup(B:B,'ILC4406'!B152:F8578,5,false)="","Y","N")</f>
        <v>Y</v>
      </c>
      <c r="W217" s="12" t="str">
        <f>if(vlookup(B:B,'ILC4410'!B220:F8826,5,false)="","Y","N")</f>
        <v>Y</v>
      </c>
      <c r="X217" s="12" t="str">
        <f>if(vlookup(B:B,'JBV455'!B220:F9166,5,false)="","Y","N")</f>
        <v>Y</v>
      </c>
      <c r="Y217" s="12" t="str">
        <f>if(vlookup(B:B,'JBV462'!B220:F8659,5,false)="","Y","N")</f>
        <v>Y</v>
      </c>
      <c r="Z217" s="12" t="str">
        <f>if(vlookup(B:B,'JBV464'!B220:F8659,5,false)="","Y","N")</f>
        <v>Y</v>
      </c>
      <c r="AA217" s="12" t="str">
        <f>if(vlookup(B:B,'VDI208'!B152:F8659,5,false)="","Y","N")</f>
        <v>Y</v>
      </c>
      <c r="AB217" s="76" t="str">
        <f>if(vlookup(B:B,'STO2206'!B152:F8659,5,false)="","Y","N")</f>
        <v>Y</v>
      </c>
    </row>
    <row r="218">
      <c r="A218" s="67" t="str">
        <f t="shared" si="2"/>
        <v>Wed</v>
      </c>
      <c r="B218" s="69">
        <v>43663.0</v>
      </c>
      <c r="C218" s="12" t="str">
        <f>if(vlookup(B:B,'ILC1110'!$B83:F8660,5,false)="","Y","N")</f>
        <v>Y</v>
      </c>
      <c r="D218" s="12" t="str">
        <f>if(vlookup(B:B,'ILC1111'!$B83:F8667,5,false)="","Y","N")</f>
        <v>Y</v>
      </c>
      <c r="E218" s="12" t="str">
        <f>if(vlookup(B:B,'ILC1112'!$B83:F8660,5,false)="","Y","N")</f>
        <v>Y</v>
      </c>
      <c r="F218" s="12" t="str">
        <f>if(vlookup(B:B,'ILC1211'!B221:F8660,5,false)="","Y","N")</f>
        <v>Y</v>
      </c>
      <c r="G218" s="12" t="str">
        <f>if(vlookup(B:B,'ILC1213'!$B148:G8660,5,false)="","Y","N")</f>
        <v>Y</v>
      </c>
      <c r="H218" s="12" t="str">
        <f>if(vlookup(B:B,'ILC1314'!$B147:G960,5,false)="","Y","N")</f>
        <v>Y</v>
      </c>
      <c r="I218" s="12" t="str">
        <f>if(vlookup(B:B,'ILC1404'!B221:F8383,5,false)="","Y","N")</f>
        <v>Y</v>
      </c>
      <c r="J218" s="12" t="str">
        <f>if(vlookup(B:B,'ILC2203'!B184:F8383,5,false)="","Y","N")</f>
        <v>Y</v>
      </c>
      <c r="K218" s="12" t="str">
        <f>if(vlookup(B:B,'ILC2206'!B169:H370,5,false)="","Y","N")</f>
        <v>Y</v>
      </c>
      <c r="L218" s="12" t="str">
        <f>if(vlookup(B:B,'ILC2303'!B221:F8660,5,false)="","Y","N")</f>
        <v>N</v>
      </c>
      <c r="M218" s="12" t="str">
        <f>if(vlookup(B:B,'ILC2307'!B221:F9176,5,false)="","Y","N")</f>
        <v>Y</v>
      </c>
      <c r="N218" s="12" t="str">
        <f>if(vlookup(B:B,'ILC2313'!B221:F8815,5,false)="","Y","N")</f>
        <v>Y</v>
      </c>
      <c r="O218" s="12" t="str">
        <f>if(vlookup(B:B,'ILC2412'!B221:F8660,5,false)="","Y","N")</f>
        <v>Y</v>
      </c>
      <c r="P218" s="12" t="str">
        <f>if(vlookup(B:B,'ILC2413'!B221:F9158,5,false)="","Y","N")</f>
        <v>Y</v>
      </c>
      <c r="Q218" s="12" t="str">
        <f>if(vlookup(B:B,'ILC3104'!B221:F8703,5,false)="","Y","N")</f>
        <v>Y</v>
      </c>
      <c r="R218" s="12" t="str">
        <f>if(vlookup(B:B,'ILC3310'!B53:F8642,5,false)="","Y","N")</f>
        <v>Y</v>
      </c>
      <c r="S218" s="12" t="str">
        <f>if(vlookup(B:B,'ILC3312'!B221:F8660,5,false)="","Y","N")</f>
        <v>Y</v>
      </c>
      <c r="T218" s="12" t="str">
        <f>if(vlookup(B:B,'ILC3413'!B190:F8585,5,false)="","Y","N")</f>
        <v>Y</v>
      </c>
      <c r="U218" s="12" t="str">
        <f>if(vlookup(B:B,'ILC3415'!B218:F8610,5,false)="","Y","N")</f>
        <v>Y</v>
      </c>
      <c r="V218" s="12" t="str">
        <f>if(vlookup(B:B,'ILC4406'!B153:F8579,5,false)="","Y","N")</f>
        <v>Y</v>
      </c>
      <c r="W218" s="12" t="str">
        <f>if(vlookup(B:B,'ILC4410'!B221:F8827,5,false)="","Y","N")</f>
        <v>Y</v>
      </c>
      <c r="X218" s="12" t="str">
        <f>if(vlookup(B:B,'JBV455'!B221:F9167,5,false)="","Y","N")</f>
        <v>Y</v>
      </c>
      <c r="Y218" s="12" t="str">
        <f>if(vlookup(B:B,'JBV462'!B221:F8660,5,false)="","Y","N")</f>
        <v>Y</v>
      </c>
      <c r="Z218" s="12" t="str">
        <f>if(vlookup(B:B,'JBV464'!B221:F8660,5,false)="","Y","N")</f>
        <v>Y</v>
      </c>
      <c r="AA218" s="12" t="str">
        <f>if(vlookup(B:B,'VDI208'!B153:F8660,5,false)="","Y","N")</f>
        <v>Y</v>
      </c>
      <c r="AB218" s="76" t="str">
        <f>if(vlookup(B:B,'STO2206'!B153:F8660,5,false)="","Y","N")</f>
        <v>Y</v>
      </c>
    </row>
    <row r="219">
      <c r="A219" s="67" t="str">
        <f t="shared" si="2"/>
        <v>Thu</v>
      </c>
      <c r="B219" s="69">
        <v>43664.0</v>
      </c>
      <c r="C219" s="12" t="str">
        <f>if(vlookup(B:B,'ILC1110'!$B84:F8661,5,false)="","Y","N")</f>
        <v>Y</v>
      </c>
      <c r="D219" s="12" t="str">
        <f>if(vlookup(B:B,'ILC1111'!$B84:F8668,5,false)="","Y","N")</f>
        <v>Y</v>
      </c>
      <c r="E219" s="12" t="str">
        <f>if(vlookup(B:B,'ILC1112'!$B84:F8661,5,false)="","Y","N")</f>
        <v>Y</v>
      </c>
      <c r="F219" s="12" t="str">
        <f>if(vlookup(B:B,'ILC1211'!B222:F8661,5,false)="","Y","N")</f>
        <v>Y</v>
      </c>
      <c r="G219" s="12" t="str">
        <f>if(vlookup(B:B,'ILC1213'!$B149:G8661,5,false)="","Y","N")</f>
        <v>Y</v>
      </c>
      <c r="H219" s="12" t="str">
        <f>if(vlookup(B:B,'ILC1314'!$B148:G961,5,false)="","Y","N")</f>
        <v>Y</v>
      </c>
      <c r="I219" s="12" t="str">
        <f>if(vlookup(B:B,'ILC1404'!B222:F8384,5,false)="","Y","N")</f>
        <v>Y</v>
      </c>
      <c r="J219" s="12" t="str">
        <f>if(vlookup(B:B,'ILC2203'!B185:F8384,5,false)="","Y","N")</f>
        <v>Y</v>
      </c>
      <c r="K219" s="12" t="str">
        <f>if(vlookup(B:B,'ILC2206'!B170:H370,5,false)="","Y","N")</f>
        <v>Y</v>
      </c>
      <c r="L219" s="12" t="str">
        <f>if(vlookup(B:B,'ILC2303'!B222:F8661,5,false)="","Y","N")</f>
        <v>N</v>
      </c>
      <c r="M219" s="12" t="str">
        <f>if(vlookup(B:B,'ILC2307'!B222:F9177,5,false)="","Y","N")</f>
        <v>Y</v>
      </c>
      <c r="N219" s="12" t="str">
        <f>if(vlookup(B:B,'ILC2313'!B222:F8816,5,false)="","Y","N")</f>
        <v>Y</v>
      </c>
      <c r="O219" s="12" t="str">
        <f>if(vlookup(B:B,'ILC2412'!B222:F8661,5,false)="","Y","N")</f>
        <v>Y</v>
      </c>
      <c r="P219" s="12" t="str">
        <f>if(vlookup(B:B,'ILC2413'!B222:F9159,5,false)="","Y","N")</f>
        <v>Y</v>
      </c>
      <c r="Q219" s="12" t="str">
        <f>if(vlookup(B:B,'ILC3104'!B222:F8704,5,false)="","Y","N")</f>
        <v>Y</v>
      </c>
      <c r="R219" s="12" t="str">
        <f>if(vlookup(B:B,'ILC3310'!B54:F8643,5,false)="","Y","N")</f>
        <v>Y</v>
      </c>
      <c r="S219" s="12" t="str">
        <f>if(vlookup(B:B,'ILC3312'!B222:F8661,5,false)="","Y","N")</f>
        <v>Y</v>
      </c>
      <c r="T219" s="12" t="str">
        <f>if(vlookup(B:B,'ILC3413'!B191:F8586,5,false)="","Y","N")</f>
        <v>Y</v>
      </c>
      <c r="U219" s="12" t="str">
        <f>if(vlookup(B:B,'ILC3415'!B219:F8611,5,false)="","Y","N")</f>
        <v>Y</v>
      </c>
      <c r="V219" s="12" t="str">
        <f>if(vlookup(B:B,'ILC4406'!B154:F8580,5,false)="","Y","N")</f>
        <v>Y</v>
      </c>
      <c r="W219" s="12" t="str">
        <f>if(vlookup(B:B,'ILC4410'!B222:F8828,5,false)="","Y","N")</f>
        <v>Y</v>
      </c>
      <c r="X219" s="12" t="str">
        <f>if(vlookup(B:B,'JBV455'!B222:F9168,5,false)="","Y","N")</f>
        <v>Y</v>
      </c>
      <c r="Y219" s="12" t="str">
        <f>if(vlookup(B:B,'JBV462'!B222:F8661,5,false)="","Y","N")</f>
        <v>Y</v>
      </c>
      <c r="Z219" s="12" t="str">
        <f>if(vlookup(B:B,'JBV464'!B222:F8661,5,false)="","Y","N")</f>
        <v>Y</v>
      </c>
      <c r="AA219" s="12" t="str">
        <f>if(vlookup(B:B,'VDI208'!B154:F8661,5,false)="","Y","N")</f>
        <v>Y</v>
      </c>
      <c r="AB219" s="76" t="str">
        <f>if(vlookup(B:B,'STO2206'!B154:F8661,5,false)="","Y","N")</f>
        <v>Y</v>
      </c>
    </row>
    <row r="220">
      <c r="A220" s="67" t="str">
        <f t="shared" si="2"/>
        <v>Fri</v>
      </c>
      <c r="B220" s="69">
        <v>43665.0</v>
      </c>
      <c r="C220" s="12" t="str">
        <f>if(vlookup(B:B,'ILC1110'!$B85:F8662,5,false)="","Y","N")</f>
        <v>Y</v>
      </c>
      <c r="D220" s="12" t="str">
        <f>if(vlookup(B:B,'ILC1111'!$B85:F8669,5,false)="","Y","N")</f>
        <v>Y</v>
      </c>
      <c r="E220" s="12" t="str">
        <f>if(vlookup(B:B,'ILC1112'!$B85:F8662,5,false)="","Y","N")</f>
        <v>Y</v>
      </c>
      <c r="F220" s="12" t="str">
        <f>if(vlookup(B:B,'ILC1211'!B223:F8662,5,false)="","Y","N")</f>
        <v>Y</v>
      </c>
      <c r="G220" s="12" t="str">
        <f>if(vlookup(B:B,'ILC1213'!$B150:G8662,5,false)="","Y","N")</f>
        <v>Y</v>
      </c>
      <c r="H220" s="12" t="str">
        <f>if(vlookup(B:B,'ILC1314'!$B149:G962,5,false)="","Y","N")</f>
        <v>Y</v>
      </c>
      <c r="I220" s="12" t="str">
        <f>if(vlookup(B:B,'ILC1404'!B223:F8385,5,false)="","Y","N")</f>
        <v>Y</v>
      </c>
      <c r="J220" s="12" t="str">
        <f>if(vlookup(B:B,'ILC2203'!B186:F8385,5,false)="","Y","N")</f>
        <v>Y</v>
      </c>
      <c r="K220" s="12" t="str">
        <f>if(vlookup(B:B,'ILC2206'!B171:H370,5,false)="","Y","N")</f>
        <v>Y</v>
      </c>
      <c r="L220" s="12" t="str">
        <f>if(vlookup(B:B,'ILC2303'!B223:F8662,5,false)="","Y","N")</f>
        <v>N</v>
      </c>
      <c r="M220" s="12" t="str">
        <f>if(vlookup(B:B,'ILC2307'!B223:F9178,5,false)="","Y","N")</f>
        <v>Y</v>
      </c>
      <c r="N220" s="12" t="str">
        <f>if(vlookup(B:B,'ILC2313'!B223:F8817,5,false)="","Y","N")</f>
        <v>Y</v>
      </c>
      <c r="O220" s="12" t="str">
        <f>if(vlookup(B:B,'ILC2412'!B223:F8662,5,false)="","Y","N")</f>
        <v>Y</v>
      </c>
      <c r="P220" s="12" t="str">
        <f>if(vlookup(B:B,'ILC2413'!B223:F9160,5,false)="","Y","N")</f>
        <v>Y</v>
      </c>
      <c r="Q220" s="12" t="str">
        <f>if(vlookup(B:B,'ILC3104'!B223:F8705,5,false)="","Y","N")</f>
        <v>Y</v>
      </c>
      <c r="R220" s="12" t="str">
        <f>if(vlookup(B:B,'ILC3310'!B55:F8644,5,false)="","Y","N")</f>
        <v>Y</v>
      </c>
      <c r="S220" s="12" t="str">
        <f>if(vlookup(B:B,'ILC3312'!B223:F8662,5,false)="","Y","N")</f>
        <v>N</v>
      </c>
      <c r="T220" s="12" t="str">
        <f>if(vlookup(B:B,'ILC3413'!B192:F8587,5,false)="","Y","N")</f>
        <v>Y</v>
      </c>
      <c r="U220" s="12" t="str">
        <f>if(vlookup(B:B,'ILC3415'!B220:F8612,5,false)="","Y","N")</f>
        <v>Y</v>
      </c>
      <c r="V220" s="12" t="str">
        <f>if(vlookup(B:B,'ILC4406'!B155:F8581,5,false)="","Y","N")</f>
        <v>Y</v>
      </c>
      <c r="W220" s="12" t="str">
        <f>if(vlookup(B:B,'ILC4410'!B223:F8829,5,false)="","Y","N")</f>
        <v>Y</v>
      </c>
      <c r="X220" s="12" t="str">
        <f>if(vlookup(B:B,'JBV455'!B223:F9169,5,false)="","Y","N")</f>
        <v>Y</v>
      </c>
      <c r="Y220" s="12" t="str">
        <f>if(vlookup(B:B,'JBV462'!B223:F8662,5,false)="","Y","N")</f>
        <v>Y</v>
      </c>
      <c r="Z220" s="12" t="str">
        <f>if(vlookup(B:B,'JBV464'!B223:F8662,5,false)="","Y","N")</f>
        <v>Y</v>
      </c>
      <c r="AA220" s="12" t="str">
        <f>if(vlookup(B:B,'VDI208'!B155:F8662,5,false)="","Y","N")</f>
        <v>Y</v>
      </c>
      <c r="AB220" s="76" t="str">
        <f>if(vlookup(B:B,'STO2206'!B155:F8662,5,false)="","Y","N")</f>
        <v>Y</v>
      </c>
    </row>
    <row r="221">
      <c r="A221" s="67" t="str">
        <f t="shared" si="2"/>
        <v>Sat</v>
      </c>
      <c r="B221" s="69">
        <v>43666.0</v>
      </c>
      <c r="C221" s="12" t="str">
        <f>if(vlookup(B:B,'ILC1110'!$B86:F8663,5,false)="","Y","N")</f>
        <v>Y</v>
      </c>
      <c r="D221" s="12" t="str">
        <f>if(vlookup(B:B,'ILC1111'!$B86:F8670,5,false)="","Y","N")</f>
        <v>Y</v>
      </c>
      <c r="E221" s="12" t="str">
        <f>if(vlookup(B:B,'ILC1112'!$B86:F8663,5,false)="","Y","N")</f>
        <v>Y</v>
      </c>
      <c r="F221" s="12" t="str">
        <f>if(vlookup(B:B,'ILC1211'!B224:F8663,5,false)="","Y","N")</f>
        <v>Y</v>
      </c>
      <c r="G221" s="12" t="str">
        <f>if(vlookup(B:B,'ILC1213'!$B151:G8663,5,false)="","Y","N")</f>
        <v>Y</v>
      </c>
      <c r="H221" s="12" t="str">
        <f>if(vlookup(B:B,'ILC1314'!$B150:G963,5,false)="","Y","N")</f>
        <v>Y</v>
      </c>
      <c r="I221" s="12" t="str">
        <f>if(vlookup(B:B,'ILC1404'!B224:F8386,5,false)="","Y","N")</f>
        <v>Y</v>
      </c>
      <c r="J221" s="12" t="str">
        <f>if(vlookup(B:B,'ILC2203'!B187:F8386,5,false)="","Y","N")</f>
        <v>Y</v>
      </c>
      <c r="K221" s="12" t="str">
        <f>if(vlookup(B:B,'ILC2206'!B172:H370,5,false)="","Y","N")</f>
        <v>Y</v>
      </c>
      <c r="L221" s="12" t="str">
        <f>if(vlookup(B:B,'ILC2303'!B224:F8663,5,false)="","Y","N")</f>
        <v>N</v>
      </c>
      <c r="M221" s="12" t="str">
        <f>if(vlookup(B:B,'ILC2307'!B224:F9179,5,false)="","Y","N")</f>
        <v>Y</v>
      </c>
      <c r="N221" s="12" t="str">
        <f>if(vlookup(B:B,'ILC2313'!B224:F8818,5,false)="","Y","N")</f>
        <v>N</v>
      </c>
      <c r="O221" s="12" t="str">
        <f>if(vlookup(B:B,'ILC2412'!B224:F8663,5,false)="","Y","N")</f>
        <v>Y</v>
      </c>
      <c r="P221" s="12" t="str">
        <f>if(vlookup(B:B,'ILC2413'!B224:F9161,5,false)="","Y","N")</f>
        <v>Y</v>
      </c>
      <c r="Q221" s="12" t="str">
        <f>if(vlookup(B:B,'ILC3104'!B224:F8706,5,false)="","Y","N")</f>
        <v>Y</v>
      </c>
      <c r="R221" s="12" t="str">
        <f>if(vlookup(B:B,'ILC3310'!B56:F8645,5,false)="","Y","N")</f>
        <v>Y</v>
      </c>
      <c r="S221" s="12" t="str">
        <f>if(vlookup(B:B,'ILC3312'!B224:F8663,5,false)="","Y","N")</f>
        <v>N</v>
      </c>
      <c r="T221" s="12" t="str">
        <f>if(vlookup(B:B,'ILC3413'!B193:F8588,5,false)="","Y","N")</f>
        <v>Y</v>
      </c>
      <c r="U221" s="12" t="str">
        <f>if(vlookup(B:B,'ILC3415'!B221:F8613,5,false)="","Y","N")</f>
        <v>Y</v>
      </c>
      <c r="V221" s="12" t="str">
        <f>if(vlookup(B:B,'ILC4406'!B156:F8582,5,false)="","Y","N")</f>
        <v>Y</v>
      </c>
      <c r="W221" s="12" t="str">
        <f>if(vlookup(B:B,'ILC4410'!B224:F8830,5,false)="","Y","N")</f>
        <v>Y</v>
      </c>
      <c r="X221" s="12" t="str">
        <f>if(vlookup(B:B,'JBV455'!B224:F9170,5,false)="","Y","N")</f>
        <v>Y</v>
      </c>
      <c r="Y221" s="12" t="str">
        <f>if(vlookup(B:B,'JBV462'!B224:F8663,5,false)="","Y","N")</f>
        <v>Y</v>
      </c>
      <c r="Z221" s="12" t="str">
        <f>if(vlookup(B:B,'JBV464'!B224:F8663,5,false)="","Y","N")</f>
        <v>Y</v>
      </c>
      <c r="AA221" s="12" t="str">
        <f>if(vlookup(B:B,'VDI208'!B156:F8663,5,false)="","Y","N")</f>
        <v>Y</v>
      </c>
      <c r="AB221" s="76" t="str">
        <f>if(vlookup(B:B,'STO2206'!B156:F8663,5,false)="","Y","N")</f>
        <v>Y</v>
      </c>
    </row>
    <row r="222">
      <c r="A222" s="67" t="str">
        <f t="shared" si="2"/>
        <v>Sun</v>
      </c>
      <c r="B222" s="69">
        <v>43667.0</v>
      </c>
      <c r="C222" s="12" t="str">
        <f>if(vlookup(B:B,'ILC1110'!$B87:F8664,5,false)="","Y","N")</f>
        <v>Y</v>
      </c>
      <c r="D222" s="12" t="str">
        <f>if(vlookup(B:B,'ILC1111'!$B87:F8671,5,false)="","Y","N")</f>
        <v>Y</v>
      </c>
      <c r="E222" s="12" t="str">
        <f>if(vlookup(B:B,'ILC1112'!$B87:F8664,5,false)="","Y","N")</f>
        <v>Y</v>
      </c>
      <c r="F222" s="12" t="str">
        <f>if(vlookup(B:B,'ILC1211'!B225:F8664,5,false)="","Y","N")</f>
        <v>Y</v>
      </c>
      <c r="G222" s="12" t="str">
        <f>if(vlookup(B:B,'ILC1213'!$B152:G8664,5,false)="","Y","N")</f>
        <v>Y</v>
      </c>
      <c r="H222" s="12" t="str">
        <f>if(vlookup(B:B,'ILC1314'!$B151:G964,5,false)="","Y","N")</f>
        <v>Y</v>
      </c>
      <c r="I222" s="12" t="str">
        <f>if(vlookup(B:B,'ILC1404'!B225:F8387,5,false)="","Y","N")</f>
        <v>Y</v>
      </c>
      <c r="J222" s="12" t="str">
        <f>if(vlookup(B:B,'ILC2203'!B188:F8387,5,false)="","Y","N")</f>
        <v>Y</v>
      </c>
      <c r="K222" s="12" t="str">
        <f>if(vlookup(B:B,'ILC2206'!B173:H370,5,false)="","Y","N")</f>
        <v>Y</v>
      </c>
      <c r="L222" s="12" t="str">
        <f>if(vlookup(B:B,'ILC2303'!B225:F8664,5,false)="","Y","N")</f>
        <v>N</v>
      </c>
      <c r="M222" s="12" t="str">
        <f>if(vlookup(B:B,'ILC2307'!B225:F9180,5,false)="","Y","N")</f>
        <v>Y</v>
      </c>
      <c r="N222" s="12" t="str">
        <f>if(vlookup(B:B,'ILC2313'!B225:F8819,5,false)="","Y","N")</f>
        <v>N</v>
      </c>
      <c r="O222" s="12" t="str">
        <f>if(vlookup(B:B,'ILC2412'!B225:F8664,5,false)="","Y","N")</f>
        <v>Y</v>
      </c>
      <c r="P222" s="12" t="str">
        <f>if(vlookup(B:B,'ILC2413'!B225:F9162,5,false)="","Y","N")</f>
        <v>Y</v>
      </c>
      <c r="Q222" s="12" t="str">
        <f>if(vlookup(B:B,'ILC3104'!B225:F8707,5,false)="","Y","N")</f>
        <v>Y</v>
      </c>
      <c r="R222" s="12" t="str">
        <f>if(vlookup(B:B,'ILC3310'!B57:F8646,5,false)="","Y","N")</f>
        <v>Y</v>
      </c>
      <c r="S222" s="12" t="str">
        <f>if(vlookup(B:B,'ILC3312'!B225:F8664,5,false)="","Y","N")</f>
        <v>N</v>
      </c>
      <c r="T222" s="12" t="str">
        <f>if(vlookup(B:B,'ILC3413'!B194:F8589,5,false)="","Y","N")</f>
        <v>Y</v>
      </c>
      <c r="U222" s="12" t="str">
        <f>if(vlookup(B:B,'ILC3415'!B222:F8614,5,false)="","Y","N")</f>
        <v>Y</v>
      </c>
      <c r="V222" s="12" t="str">
        <f>if(vlookup(B:B,'ILC4406'!B157:F8583,5,false)="","Y","N")</f>
        <v>Y</v>
      </c>
      <c r="W222" s="12" t="str">
        <f>if(vlookup(B:B,'ILC4410'!B225:F8831,5,false)="","Y","N")</f>
        <v>Y</v>
      </c>
      <c r="X222" s="12" t="str">
        <f>if(vlookup(B:B,'JBV455'!B225:F9171,5,false)="","Y","N")</f>
        <v>Y</v>
      </c>
      <c r="Y222" s="12" t="str">
        <f>if(vlookup(B:B,'JBV462'!B225:F8664,5,false)="","Y","N")</f>
        <v>Y</v>
      </c>
      <c r="Z222" s="12" t="str">
        <f>if(vlookup(B:B,'JBV464'!B225:F8664,5,false)="","Y","N")</f>
        <v>Y</v>
      </c>
      <c r="AA222" s="12" t="str">
        <f>if(vlookup(B:B,'VDI208'!B157:F8664,5,false)="","Y","N")</f>
        <v>Y</v>
      </c>
      <c r="AB222" s="76" t="str">
        <f>if(vlookup(B:B,'STO2206'!B157:F8664,5,false)="","Y","N")</f>
        <v>Y</v>
      </c>
    </row>
    <row r="223">
      <c r="A223" s="67" t="str">
        <f t="shared" si="2"/>
        <v>Mon</v>
      </c>
      <c r="B223" s="69">
        <v>43668.0</v>
      </c>
      <c r="C223" s="12" t="str">
        <f>if(vlookup(B:B,'ILC1110'!$B88:F8665,5,false)="","Y","N")</f>
        <v>Y</v>
      </c>
      <c r="D223" s="12" t="str">
        <f>if(vlookup(B:B,'ILC1111'!$B88:F8672,5,false)="","Y","N")</f>
        <v>Y</v>
      </c>
      <c r="E223" s="12" t="str">
        <f>if(vlookup(B:B,'ILC1112'!$B88:F8665,5,false)="","Y","N")</f>
        <v>Y</v>
      </c>
      <c r="F223" s="12" t="str">
        <f>if(vlookup(B:B,'ILC1211'!B226:F8665,5,false)="","Y","N")</f>
        <v>Y</v>
      </c>
      <c r="G223" s="12" t="str">
        <f>if(vlookup(B:B,'ILC1213'!$B153:G8665,5,false)="","Y","N")</f>
        <v>Y</v>
      </c>
      <c r="H223" s="12" t="str">
        <f>if(vlookup(B:B,'ILC1314'!$B152:G965,5,false)="","Y","N")</f>
        <v>Y</v>
      </c>
      <c r="I223" s="12" t="str">
        <f>if(vlookup(B:B,'ILC1404'!B226:F8388,5,false)="","Y","N")</f>
        <v>Y</v>
      </c>
      <c r="J223" s="12" t="str">
        <f>if(vlookup(B:B,'ILC2203'!B189:F8388,5,false)="","Y","N")</f>
        <v>Y</v>
      </c>
      <c r="K223" s="12" t="str">
        <f>if(vlookup(B:B,'ILC2206'!B174:H370,5,false)="","Y","N")</f>
        <v>Y</v>
      </c>
      <c r="L223" s="12" t="str">
        <f>if(vlookup(B:B,'ILC2303'!B226:F8665,5,false)="","Y","N")</f>
        <v>N</v>
      </c>
      <c r="M223" s="12" t="str">
        <f>if(vlookup(B:B,'ILC2307'!B226:F9181,5,false)="","Y","N")</f>
        <v>Y</v>
      </c>
      <c r="N223" s="12" t="str">
        <f>if(vlookup(B:B,'ILC2313'!B226:F8820,5,false)="","Y","N")</f>
        <v>N</v>
      </c>
      <c r="O223" s="12" t="str">
        <f>if(vlookup(B:B,'ILC2412'!B226:F8665,5,false)="","Y","N")</f>
        <v>Y</v>
      </c>
      <c r="P223" s="12" t="str">
        <f>if(vlookup(B:B,'ILC2413'!B226:F9163,5,false)="","Y","N")</f>
        <v>Y</v>
      </c>
      <c r="Q223" s="12" t="str">
        <f>if(vlookup(B:B,'ILC3104'!B226:F8708,5,false)="","Y","N")</f>
        <v>Y</v>
      </c>
      <c r="R223" s="12" t="str">
        <f>if(vlookup(B:B,'ILC3310'!B58:F8647,5,false)="","Y","N")</f>
        <v>N</v>
      </c>
      <c r="S223" s="12" t="str">
        <f>if(vlookup(B:B,'ILC3312'!B226:F8665,5,false)="","Y","N")</f>
        <v>N</v>
      </c>
      <c r="T223" s="12" t="str">
        <f>if(vlookup(B:B,'ILC3413'!B195:F8590,5,false)="","Y","N")</f>
        <v>Y</v>
      </c>
      <c r="U223" s="12" t="str">
        <f>if(vlookup(B:B,'ILC3415'!B223:F8615,5,false)="","Y","N")</f>
        <v>Y</v>
      </c>
      <c r="V223" s="12" t="str">
        <f>if(vlookup(B:B,'ILC4406'!B158:F8584,5,false)="","Y","N")</f>
        <v>Y</v>
      </c>
      <c r="W223" s="12" t="str">
        <f>if(vlookup(B:B,'ILC4410'!B226:F8832,5,false)="","Y","N")</f>
        <v>Y</v>
      </c>
      <c r="X223" s="12" t="str">
        <f>if(vlookup(B:B,'JBV455'!B226:F9172,5,false)="","Y","N")</f>
        <v>Y</v>
      </c>
      <c r="Y223" s="12" t="str">
        <f>if(vlookup(B:B,'JBV462'!B226:F8665,5,false)="","Y","N")</f>
        <v>Y</v>
      </c>
      <c r="Z223" s="12" t="str">
        <f>if(vlookup(B:B,'JBV464'!B226:F8665,5,false)="","Y","N")</f>
        <v>Y</v>
      </c>
      <c r="AA223" s="12" t="str">
        <f>if(vlookup(B:B,'VDI208'!B158:F8665,5,false)="","Y","N")</f>
        <v>Y</v>
      </c>
      <c r="AB223" s="76" t="str">
        <f>if(vlookup(B:B,'STO2206'!B158:F8665,5,false)="","Y","N")</f>
        <v>Y</v>
      </c>
    </row>
    <row r="224">
      <c r="A224" s="67" t="str">
        <f t="shared" si="2"/>
        <v>Tue</v>
      </c>
      <c r="B224" s="69">
        <v>43669.0</v>
      </c>
      <c r="C224" s="12" t="str">
        <f>if(vlookup(B:B,'ILC1110'!$B89:F8666,5,false)="","Y","N")</f>
        <v>Y</v>
      </c>
      <c r="D224" s="12" t="str">
        <f>if(vlookup(B:B,'ILC1111'!$B89:F8673,5,false)="","Y","N")</f>
        <v>Y</v>
      </c>
      <c r="E224" s="12" t="str">
        <f>if(vlookup(B:B,'ILC1112'!$B89:F8666,5,false)="","Y","N")</f>
        <v>Y</v>
      </c>
      <c r="F224" s="12" t="str">
        <f>if(vlookup(B:B,'ILC1211'!B227:F8666,5,false)="","Y","N")</f>
        <v>Y</v>
      </c>
      <c r="G224" s="12" t="str">
        <f>if(vlookup(B:B,'ILC1213'!$B154:G8666,5,false)="","Y","N")</f>
        <v>Y</v>
      </c>
      <c r="H224" s="12" t="str">
        <f>if(vlookup(B:B,'ILC1314'!$B153:G966,5,false)="","Y","N")</f>
        <v>Y</v>
      </c>
      <c r="I224" s="12" t="str">
        <f>if(vlookup(B:B,'ILC1404'!B227:F8389,5,false)="","Y","N")</f>
        <v>Y</v>
      </c>
      <c r="J224" s="12" t="str">
        <f>if(vlookup(B:B,'ILC2203'!B190:F8389,5,false)="","Y","N")</f>
        <v>Y</v>
      </c>
      <c r="K224" s="12" t="str">
        <f>if(vlookup(B:B,'ILC2206'!B175:H370,5,false)="","Y","N")</f>
        <v>Y</v>
      </c>
      <c r="L224" s="12" t="str">
        <f>if(vlookup(B:B,'ILC2303'!B227:F8666,5,false)="","Y","N")</f>
        <v>N</v>
      </c>
      <c r="M224" s="12" t="str">
        <f>if(vlookup(B:B,'ILC2307'!B227:F9182,5,false)="","Y","N")</f>
        <v>Y</v>
      </c>
      <c r="N224" s="12" t="str">
        <f>if(vlookup(B:B,'ILC2313'!B227:F8821,5,false)="","Y","N")</f>
        <v>N</v>
      </c>
      <c r="O224" s="12" t="str">
        <f>if(vlookup(B:B,'ILC2412'!B227:F8666,5,false)="","Y","N")</f>
        <v>Y</v>
      </c>
      <c r="P224" s="12" t="str">
        <f>if(vlookup(B:B,'ILC2413'!B227:F9164,5,false)="","Y","N")</f>
        <v>Y</v>
      </c>
      <c r="Q224" s="12" t="str">
        <f>if(vlookup(B:B,'ILC3104'!B227:F8709,5,false)="","Y","N")</f>
        <v>Y</v>
      </c>
      <c r="R224" s="12" t="str">
        <f>if(vlookup(B:B,'ILC3310'!B59:F8648,5,false)="","Y","N")</f>
        <v>N</v>
      </c>
      <c r="S224" s="12" t="str">
        <f>if(vlookup(B:B,'ILC3312'!B227:F8666,5,false)="","Y","N")</f>
        <v>N</v>
      </c>
      <c r="T224" s="12" t="str">
        <f>if(vlookup(B:B,'ILC3413'!B196:F8591,5,false)="","Y","N")</f>
        <v>Y</v>
      </c>
      <c r="U224" s="12" t="str">
        <f>if(vlookup(B:B,'ILC3415'!B224:F8616,5,false)="","Y","N")</f>
        <v>Y</v>
      </c>
      <c r="V224" s="12" t="str">
        <f>if(vlookup(B:B,'ILC4406'!B159:F8585,5,false)="","Y","N")</f>
        <v>Y</v>
      </c>
      <c r="W224" s="12" t="str">
        <f>if(vlookup(B:B,'ILC4410'!B227:F8833,5,false)="","Y","N")</f>
        <v>Y</v>
      </c>
      <c r="X224" s="12" t="str">
        <f>if(vlookup(B:B,'JBV455'!B227:F9173,5,false)="","Y","N")</f>
        <v>Y</v>
      </c>
      <c r="Y224" s="12" t="str">
        <f>if(vlookup(B:B,'JBV462'!B227:F8666,5,false)="","Y","N")</f>
        <v>Y</v>
      </c>
      <c r="Z224" s="12" t="str">
        <f>if(vlookup(B:B,'JBV464'!B227:F8666,5,false)="","Y","N")</f>
        <v>Y</v>
      </c>
      <c r="AA224" s="12" t="str">
        <f>if(vlookup(B:B,'VDI208'!B159:F8666,5,false)="","Y","N")</f>
        <v>Y</v>
      </c>
      <c r="AB224" s="76" t="str">
        <f>if(vlookup(B:B,'STO2206'!B159:F8666,5,false)="","Y","N")</f>
        <v>Y</v>
      </c>
    </row>
    <row r="225">
      <c r="A225" s="67" t="str">
        <f t="shared" si="2"/>
        <v>Wed</v>
      </c>
      <c r="B225" s="69">
        <v>43670.0</v>
      </c>
      <c r="C225" s="12" t="str">
        <f>if(vlookup(B:B,'ILC1110'!$B90:F8667,5,false)="","Y","N")</f>
        <v>Y</v>
      </c>
      <c r="D225" s="12" t="str">
        <f>if(vlookup(B:B,'ILC1111'!$B90:F8674,5,false)="","Y","N")</f>
        <v>Y</v>
      </c>
      <c r="E225" s="12" t="str">
        <f>if(vlookup(B:B,'ILC1112'!$B90:F8667,5,false)="","Y","N")</f>
        <v>N</v>
      </c>
      <c r="F225" s="12" t="str">
        <f>if(vlookup(B:B,'ILC1211'!B228:F8667,5,false)="","Y","N")</f>
        <v>Y</v>
      </c>
      <c r="G225" s="12" t="str">
        <f>if(vlookup(B:B,'ILC1213'!$B155:G8667,5,false)="","Y","N")</f>
        <v>Y</v>
      </c>
      <c r="H225" s="12" t="str">
        <f>if(vlookup(B:B,'ILC1314'!$B154:G967,5,false)="","Y","N")</f>
        <v>Y</v>
      </c>
      <c r="I225" s="12" t="str">
        <f>if(vlookup(B:B,'ILC1404'!B228:F8390,5,false)="","Y","N")</f>
        <v>Y</v>
      </c>
      <c r="J225" s="12" t="str">
        <f>if(vlookup(B:B,'ILC2203'!B191:F8390,5,false)="","Y","N")</f>
        <v>Y</v>
      </c>
      <c r="K225" s="12" t="str">
        <f>if(vlookup(B:B,'ILC2206'!B176:H370,5,false)="","Y","N")</f>
        <v>Y</v>
      </c>
      <c r="L225" s="12" t="str">
        <f>if(vlookup(B:B,'ILC2303'!B228:F8667,5,false)="","Y","N")</f>
        <v>N</v>
      </c>
      <c r="M225" s="12" t="str">
        <f>if(vlookup(B:B,'ILC2307'!B228:F9183,5,false)="","Y","N")</f>
        <v>Y</v>
      </c>
      <c r="N225" s="12" t="str">
        <f>if(vlookup(B:B,'ILC2313'!B228:F8822,5,false)="","Y","N")</f>
        <v>N</v>
      </c>
      <c r="O225" s="12" t="str">
        <f>if(vlookup(B:B,'ILC2412'!B228:F8667,5,false)="","Y","N")</f>
        <v>Y</v>
      </c>
      <c r="P225" s="12" t="str">
        <f>if(vlookup(B:B,'ILC2413'!B228:F9165,5,false)="","Y","N")</f>
        <v>Y</v>
      </c>
      <c r="Q225" s="12" t="str">
        <f>if(vlookup(B:B,'ILC3104'!B228:F8710,5,false)="","Y","N")</f>
        <v>Y</v>
      </c>
      <c r="R225" s="12" t="str">
        <f>if(vlookup(B:B,'ILC3310'!B60:F8649,5,false)="","Y","N")</f>
        <v>N</v>
      </c>
      <c r="S225" s="12" t="str">
        <f>if(vlookup(B:B,'ILC3312'!B228:F8667,5,false)="","Y","N")</f>
        <v>N</v>
      </c>
      <c r="T225" s="12" t="str">
        <f>if(vlookup(B:B,'ILC3413'!B197:F8592,5,false)="","Y","N")</f>
        <v>Y</v>
      </c>
      <c r="U225" s="12" t="str">
        <f>if(vlookup(B:B,'ILC3415'!B225:F8617,5,false)="","Y","N")</f>
        <v>Y</v>
      </c>
      <c r="V225" s="12" t="str">
        <f>if(vlookup(B:B,'ILC4406'!B160:F8586,5,false)="","Y","N")</f>
        <v>Y</v>
      </c>
      <c r="W225" s="12" t="str">
        <f>if(vlookup(B:B,'ILC4410'!B228:F8834,5,false)="","Y","N")</f>
        <v>Y</v>
      </c>
      <c r="X225" s="12" t="str">
        <f>if(vlookup(B:B,'JBV455'!B228:F9174,5,false)="","Y","N")</f>
        <v>Y</v>
      </c>
      <c r="Y225" s="12" t="str">
        <f>if(vlookup(B:B,'JBV462'!B228:F8667,5,false)="","Y","N")</f>
        <v>Y</v>
      </c>
      <c r="Z225" s="12" t="str">
        <f>if(vlookup(B:B,'JBV464'!B228:F8667,5,false)="","Y","N")</f>
        <v>Y</v>
      </c>
      <c r="AA225" s="12" t="str">
        <f>if(vlookup(B:B,'VDI208'!B160:F8667,5,false)="","Y","N")</f>
        <v>Y</v>
      </c>
      <c r="AB225" s="76" t="str">
        <f>if(vlookup(B:B,'STO2206'!B160:F8667,5,false)="","Y","N")</f>
        <v>Y</v>
      </c>
    </row>
    <row r="226">
      <c r="A226" s="67" t="str">
        <f t="shared" si="2"/>
        <v>Thu</v>
      </c>
      <c r="B226" s="69">
        <v>43671.0</v>
      </c>
      <c r="C226" s="12" t="str">
        <f>if(vlookup(B:B,'ILC1110'!$B91:F8668,5,false)="","Y","N")</f>
        <v>Y</v>
      </c>
      <c r="D226" s="12" t="str">
        <f>if(vlookup(B:B,'ILC1111'!$B91:F8675,5,false)="","Y","N")</f>
        <v>Y</v>
      </c>
      <c r="E226" s="12" t="str">
        <f>if(vlookup(B:B,'ILC1112'!$B91:F8668,5,false)="","Y","N")</f>
        <v>N</v>
      </c>
      <c r="F226" s="12" t="str">
        <f>if(vlookup(B:B,'ILC1211'!B229:F8668,5,false)="","Y","N")</f>
        <v>Y</v>
      </c>
      <c r="G226" s="12" t="str">
        <f>if(vlookup(B:B,'ILC1213'!$B156:G8668,5,false)="","Y","N")</f>
        <v>Y</v>
      </c>
      <c r="H226" s="12" t="str">
        <f>if(vlookup(B:B,'ILC1314'!$B155:G968,5,false)="","Y","N")</f>
        <v>Y</v>
      </c>
      <c r="I226" s="12" t="str">
        <f>if(vlookup(B:B,'ILC1404'!B229:F8391,5,false)="","Y","N")</f>
        <v>Y</v>
      </c>
      <c r="J226" s="12" t="str">
        <f>if(vlookup(B:B,'ILC2203'!B192:F8391,5,false)="","Y","N")</f>
        <v>Y</v>
      </c>
      <c r="K226" s="12" t="str">
        <f>if(vlookup(B:B,'ILC2206'!B177:H370,5,false)="","Y","N")</f>
        <v>Y</v>
      </c>
      <c r="L226" s="12" t="str">
        <f>if(vlookup(B:B,'ILC2303'!B229:F8668,5,false)="","Y","N")</f>
        <v>N</v>
      </c>
      <c r="M226" s="12" t="str">
        <f>if(vlookup(B:B,'ILC2307'!B229:F9184,5,false)="","Y","N")</f>
        <v>Y</v>
      </c>
      <c r="N226" s="12" t="str">
        <f>if(vlookup(B:B,'ILC2313'!B229:F8823,5,false)="","Y","N")</f>
        <v>N</v>
      </c>
      <c r="O226" s="12" t="str">
        <f>if(vlookup(B:B,'ILC2412'!B229:F8668,5,false)="","Y","N")</f>
        <v>Y</v>
      </c>
      <c r="P226" s="12" t="str">
        <f>if(vlookup(B:B,'ILC2413'!B229:F9166,5,false)="","Y","N")</f>
        <v>Y</v>
      </c>
      <c r="Q226" s="12" t="str">
        <f>if(vlookup(B:B,'ILC3104'!B229:F8711,5,false)="","Y","N")</f>
        <v>Y</v>
      </c>
      <c r="R226" s="12" t="str">
        <f>if(vlookup(B:B,'ILC3310'!B61:F8650,5,false)="","Y","N")</f>
        <v>N</v>
      </c>
      <c r="S226" s="12" t="str">
        <f>if(vlookup(B:B,'ILC3312'!B229:F8668,5,false)="","Y","N")</f>
        <v>Y</v>
      </c>
      <c r="T226" s="12" t="str">
        <f>if(vlookup(B:B,'ILC3413'!B198:F8593,5,false)="","Y","N")</f>
        <v>Y</v>
      </c>
      <c r="U226" s="12" t="str">
        <f>if(vlookup(B:B,'ILC3415'!B226:F8618,5,false)="","Y","N")</f>
        <v>Y</v>
      </c>
      <c r="V226" s="12" t="str">
        <f>if(vlookup(B:B,'ILC4406'!B161:F8587,5,false)="","Y","N")</f>
        <v>Y</v>
      </c>
      <c r="W226" s="12" t="str">
        <f>if(vlookup(B:B,'ILC4410'!B229:F8835,5,false)="","Y","N")</f>
        <v>Y</v>
      </c>
      <c r="X226" s="12" t="str">
        <f>if(vlookup(B:B,'JBV455'!B229:F9175,5,false)="","Y","N")</f>
        <v>Y</v>
      </c>
      <c r="Y226" s="12" t="str">
        <f>if(vlookup(B:B,'JBV462'!B229:F8668,5,false)="","Y","N")</f>
        <v>Y</v>
      </c>
      <c r="Z226" s="12" t="str">
        <f>if(vlookup(B:B,'JBV464'!B229:F8668,5,false)="","Y","N")</f>
        <v>Y</v>
      </c>
      <c r="AA226" s="12" t="str">
        <f>if(vlookup(B:B,'VDI208'!B161:F8668,5,false)="","Y","N")</f>
        <v>Y</v>
      </c>
      <c r="AB226" s="76" t="str">
        <f>if(vlookup(B:B,'STO2206'!B161:F8668,5,false)="","Y","N")</f>
        <v>Y</v>
      </c>
    </row>
    <row r="227">
      <c r="A227" s="67" t="str">
        <f t="shared" si="2"/>
        <v>Fri</v>
      </c>
      <c r="B227" s="69">
        <v>43672.0</v>
      </c>
      <c r="C227" s="12" t="str">
        <f>if(vlookup(B:B,'ILC1110'!$B92:F8669,5,false)="","Y","N")</f>
        <v>Y</v>
      </c>
      <c r="D227" s="12" t="str">
        <f>if(vlookup(B:B,'ILC1111'!$B92:F8676,5,false)="","Y","N")</f>
        <v>Y</v>
      </c>
      <c r="E227" s="12" t="str">
        <f>if(vlookup(B:B,'ILC1112'!$B92:F8669,5,false)="","Y","N")</f>
        <v>N</v>
      </c>
      <c r="F227" s="12" t="str">
        <f>if(vlookup(B:B,'ILC1211'!B230:F8669,5,false)="","Y","N")</f>
        <v>Y</v>
      </c>
      <c r="G227" s="12" t="str">
        <f>if(vlookup(B:B,'ILC1213'!$B157:G8669,5,false)="","Y","N")</f>
        <v>Y</v>
      </c>
      <c r="H227" s="12" t="str">
        <f>if(vlookup(B:B,'ILC1314'!$B156:G969,5,false)="","Y","N")</f>
        <v>Y</v>
      </c>
      <c r="I227" s="12" t="str">
        <f>if(vlookup(B:B,'ILC1404'!B230:F8392,5,false)="","Y","N")</f>
        <v>Y</v>
      </c>
      <c r="J227" s="12" t="str">
        <f>if(vlookup(B:B,'ILC2203'!B193:F8392,5,false)="","Y","N")</f>
        <v>Y</v>
      </c>
      <c r="K227" s="12" t="str">
        <f>if(vlookup(B:B,'ILC2206'!B178:H370,5,false)="","Y","N")</f>
        <v>Y</v>
      </c>
      <c r="L227" s="12" t="str">
        <f>if(vlookup(B:B,'ILC2303'!B230:F8669,5,false)="","Y","N")</f>
        <v>N</v>
      </c>
      <c r="M227" s="12" t="str">
        <f>if(vlookup(B:B,'ILC2307'!B230:F9185,5,false)="","Y","N")</f>
        <v>Y</v>
      </c>
      <c r="N227" s="12" t="str">
        <f>if(vlookup(B:B,'ILC2313'!B230:F8824,5,false)="","Y","N")</f>
        <v>N</v>
      </c>
      <c r="O227" s="12" t="str">
        <f>if(vlookup(B:B,'ILC2412'!B230:F8669,5,false)="","Y","N")</f>
        <v>Y</v>
      </c>
      <c r="P227" s="12" t="str">
        <f>if(vlookup(B:B,'ILC2413'!B230:F9167,5,false)="","Y","N")</f>
        <v>Y</v>
      </c>
      <c r="Q227" s="12" t="str">
        <f>if(vlookup(B:B,'ILC3104'!B230:F8712,5,false)="","Y","N")</f>
        <v>Y</v>
      </c>
      <c r="R227" s="12" t="str">
        <f>if(vlookup(B:B,'ILC3310'!B62:F8651,5,false)="","Y","N")</f>
        <v>N</v>
      </c>
      <c r="S227" s="12" t="str">
        <f>if(vlookup(B:B,'ILC3312'!B230:F8669,5,false)="","Y","N")</f>
        <v>Y</v>
      </c>
      <c r="T227" s="12" t="str">
        <f>if(vlookup(B:B,'ILC3413'!B199:F8594,5,false)="","Y","N")</f>
        <v>Y</v>
      </c>
      <c r="U227" s="12" t="str">
        <f>if(vlookup(B:B,'ILC3415'!B227:F8619,5,false)="","Y","N")</f>
        <v>Y</v>
      </c>
      <c r="V227" s="12" t="str">
        <f>if(vlookup(B:B,'ILC4406'!B162:F8588,5,false)="","Y","N")</f>
        <v>Y</v>
      </c>
      <c r="W227" s="12" t="str">
        <f>if(vlookup(B:B,'ILC4410'!B230:F8836,5,false)="","Y","N")</f>
        <v>Y</v>
      </c>
      <c r="X227" s="12" t="str">
        <f>if(vlookup(B:B,'JBV455'!B230:F9176,5,false)="","Y","N")</f>
        <v>Y</v>
      </c>
      <c r="Y227" s="12" t="str">
        <f>if(vlookup(B:B,'JBV462'!B230:F8669,5,false)="","Y","N")</f>
        <v>Y</v>
      </c>
      <c r="Z227" s="12" t="str">
        <f>if(vlookup(B:B,'JBV464'!B230:F8669,5,false)="","Y","N")</f>
        <v>Y</v>
      </c>
      <c r="AA227" s="12" t="str">
        <f>if(vlookup(B:B,'VDI208'!B162:F8669,5,false)="","Y","N")</f>
        <v>Y</v>
      </c>
      <c r="AB227" s="76" t="str">
        <f>if(vlookup(B:B,'STO2206'!B162:F8669,5,false)="","Y","N")</f>
        <v>Y</v>
      </c>
    </row>
    <row r="228">
      <c r="A228" s="67" t="str">
        <f t="shared" si="2"/>
        <v>Sat</v>
      </c>
      <c r="B228" s="69">
        <v>43673.0</v>
      </c>
      <c r="C228" s="12" t="str">
        <f>if(vlookup(B:B,'ILC1110'!$B93:F8670,5,false)="","Y","N")</f>
        <v>Y</v>
      </c>
      <c r="D228" s="12" t="str">
        <f>if(vlookup(B:B,'ILC1111'!$B93:F8677,5,false)="","Y","N")</f>
        <v>Y</v>
      </c>
      <c r="E228" s="12" t="str">
        <f>if(vlookup(B:B,'ILC1112'!$B93:F8670,5,false)="","Y","N")</f>
        <v>Y</v>
      </c>
      <c r="F228" s="12" t="str">
        <f>if(vlookup(B:B,'ILC1211'!B231:F8670,5,false)="","Y","N")</f>
        <v>Y</v>
      </c>
      <c r="G228" s="12" t="str">
        <f>if(vlookup(B:B,'ILC1213'!$B158:G8670,5,false)="","Y","N")</f>
        <v>Y</v>
      </c>
      <c r="H228" s="12" t="str">
        <f>if(vlookup(B:B,'ILC1314'!$B157:G970,5,false)="","Y","N")</f>
        <v>Y</v>
      </c>
      <c r="I228" s="12" t="str">
        <f>if(vlookup(B:B,'ILC1404'!B231:F8393,5,false)="","Y","N")</f>
        <v>Y</v>
      </c>
      <c r="J228" s="12" t="str">
        <f>if(vlookup(B:B,'ILC2203'!B194:F8393,5,false)="","Y","N")</f>
        <v>Y</v>
      </c>
      <c r="K228" s="12" t="str">
        <f>if(vlookup(B:B,'ILC2206'!B179:H370,5,false)="","Y","N")</f>
        <v>Y</v>
      </c>
      <c r="L228" s="12" t="str">
        <f>if(vlookup(B:B,'ILC2303'!B231:F8670,5,false)="","Y","N")</f>
        <v>N</v>
      </c>
      <c r="M228" s="12" t="str">
        <f>if(vlookup(B:B,'ILC2307'!B231:F9186,5,false)="","Y","N")</f>
        <v>Y</v>
      </c>
      <c r="N228" s="12" t="str">
        <f>if(vlookup(B:B,'ILC2313'!B231:F8825,5,false)="","Y","N")</f>
        <v>N</v>
      </c>
      <c r="O228" s="12" t="str">
        <f>if(vlookup(B:B,'ILC2412'!B231:F8670,5,false)="","Y","N")</f>
        <v>Y</v>
      </c>
      <c r="P228" s="12" t="str">
        <f>if(vlookup(B:B,'ILC2413'!B231:F9168,5,false)="","Y","N")</f>
        <v>Y</v>
      </c>
      <c r="Q228" s="12" t="str">
        <f>if(vlookup(B:B,'ILC3104'!B231:F8713,5,false)="","Y","N")</f>
        <v>Y</v>
      </c>
      <c r="R228" s="12" t="str">
        <f>if(vlookup(B:B,'ILC3310'!B63:F8652,5,false)="","Y","N")</f>
        <v>N</v>
      </c>
      <c r="S228" s="12" t="str">
        <f>if(vlookup(B:B,'ILC3312'!B231:F8670,5,false)="","Y","N")</f>
        <v>Y</v>
      </c>
      <c r="T228" s="12" t="str">
        <f>if(vlookup(B:B,'ILC3413'!B200:F8595,5,false)="","Y","N")</f>
        <v>Y</v>
      </c>
      <c r="U228" s="12" t="str">
        <f>if(vlookup(B:B,'ILC3415'!B228:F8620,5,false)="","Y","N")</f>
        <v>Y</v>
      </c>
      <c r="V228" s="12" t="str">
        <f>if(vlookup(B:B,'ILC4406'!B163:F8589,5,false)="","Y","N")</f>
        <v>Y</v>
      </c>
      <c r="W228" s="12" t="str">
        <f>if(vlookup(B:B,'ILC4410'!B231:F8837,5,false)="","Y","N")</f>
        <v>Y</v>
      </c>
      <c r="X228" s="12" t="str">
        <f>if(vlookup(B:B,'JBV455'!B231:F9177,5,false)="","Y","N")</f>
        <v>Y</v>
      </c>
      <c r="Y228" s="12" t="str">
        <f>if(vlookup(B:B,'JBV462'!B231:F8670,5,false)="","Y","N")</f>
        <v>Y</v>
      </c>
      <c r="Z228" s="12" t="str">
        <f>if(vlookup(B:B,'JBV464'!B231:F8670,5,false)="","Y","N")</f>
        <v>Y</v>
      </c>
      <c r="AA228" s="12" t="str">
        <f>if(vlookup(B:B,'VDI208'!B163:F8670,5,false)="","Y","N")</f>
        <v>Y</v>
      </c>
      <c r="AB228" s="76" t="str">
        <f>if(vlookup(B:B,'STO2206'!B163:F8670,5,false)="","Y","N")</f>
        <v>Y</v>
      </c>
    </row>
    <row r="229">
      <c r="A229" s="67" t="str">
        <f t="shared" si="2"/>
        <v>Sun</v>
      </c>
      <c r="B229" s="69">
        <v>43674.0</v>
      </c>
      <c r="C229" s="12" t="str">
        <f>if(vlookup(B:B,'ILC1110'!$B94:F8671,5,false)="","Y","N")</f>
        <v>Y</v>
      </c>
      <c r="D229" s="12" t="str">
        <f>if(vlookup(B:B,'ILC1111'!$B94:F8678,5,false)="","Y","N")</f>
        <v>Y</v>
      </c>
      <c r="E229" s="12" t="str">
        <f>if(vlookup(B:B,'ILC1112'!$B94:F8671,5,false)="","Y","N")</f>
        <v>Y</v>
      </c>
      <c r="F229" s="12" t="str">
        <f>if(vlookup(B:B,'ILC1211'!B232:F8671,5,false)="","Y","N")</f>
        <v>Y</v>
      </c>
      <c r="G229" s="12" t="str">
        <f>if(vlookup(B:B,'ILC1213'!$B159:G8671,5,false)="","Y","N")</f>
        <v>Y</v>
      </c>
      <c r="H229" s="12" t="str">
        <f>if(vlookup(B:B,'ILC1314'!$B158:G971,5,false)="","Y","N")</f>
        <v>Y</v>
      </c>
      <c r="I229" s="12" t="str">
        <f>if(vlookup(B:B,'ILC1404'!B232:F8394,5,false)="","Y","N")</f>
        <v>Y</v>
      </c>
      <c r="J229" s="12" t="str">
        <f>if(vlookup(B:B,'ILC2203'!B195:F8394,5,false)="","Y","N")</f>
        <v>Y</v>
      </c>
      <c r="K229" s="12" t="str">
        <f>if(vlookup(B:B,'ILC2206'!B180:H370,5,false)="","Y","N")</f>
        <v>Y</v>
      </c>
      <c r="L229" s="12" t="str">
        <f>if(vlookup(B:B,'ILC2303'!B232:F8671,5,false)="","Y","N")</f>
        <v>N</v>
      </c>
      <c r="M229" s="12" t="str">
        <f>if(vlookup(B:B,'ILC2307'!B232:F9187,5,false)="","Y","N")</f>
        <v>Y</v>
      </c>
      <c r="N229" s="12" t="str">
        <f>if(vlookup(B:B,'ILC2313'!B232:F8826,5,false)="","Y","N")</f>
        <v>Y</v>
      </c>
      <c r="O229" s="12" t="str">
        <f>if(vlookup(B:B,'ILC2412'!B232:F8671,5,false)="","Y","N")</f>
        <v>Y</v>
      </c>
      <c r="P229" s="12" t="str">
        <f>if(vlookup(B:B,'ILC2413'!B232:F9169,5,false)="","Y","N")</f>
        <v>Y</v>
      </c>
      <c r="Q229" s="12" t="str">
        <f>if(vlookup(B:B,'ILC3104'!B232:F8714,5,false)="","Y","N")</f>
        <v>Y</v>
      </c>
      <c r="R229" s="12" t="str">
        <f>if(vlookup(B:B,'ILC3310'!B64:F8653,5,false)="","Y","N")</f>
        <v>N</v>
      </c>
      <c r="S229" s="12" t="str">
        <f>if(vlookup(B:B,'ILC3312'!B232:F8671,5,false)="","Y","N")</f>
        <v>Y</v>
      </c>
      <c r="T229" s="12" t="str">
        <f>if(vlookup(B:B,'ILC3413'!B201:F8596,5,false)="","Y","N")</f>
        <v>Y</v>
      </c>
      <c r="U229" s="12" t="str">
        <f>if(vlookup(B:B,'ILC3415'!B229:F8621,5,false)="","Y","N")</f>
        <v>Y</v>
      </c>
      <c r="V229" s="12" t="str">
        <f>if(vlookup(B:B,'ILC4406'!B164:F8590,5,false)="","Y","N")</f>
        <v>Y</v>
      </c>
      <c r="W229" s="12" t="str">
        <f>if(vlookup(B:B,'ILC4410'!B232:F8838,5,false)="","Y","N")</f>
        <v>Y</v>
      </c>
      <c r="X229" s="12" t="str">
        <f>if(vlookup(B:B,'JBV455'!B232:F9178,5,false)="","Y","N")</f>
        <v>Y</v>
      </c>
      <c r="Y229" s="12" t="str">
        <f>if(vlookup(B:B,'JBV462'!B232:F8671,5,false)="","Y","N")</f>
        <v>Y</v>
      </c>
      <c r="Z229" s="12" t="str">
        <f>if(vlookup(B:B,'JBV464'!B232:F8671,5,false)="","Y","N")</f>
        <v>Y</v>
      </c>
      <c r="AA229" s="12" t="str">
        <f>if(vlookup(B:B,'VDI208'!B164:F8671,5,false)="","Y","N")</f>
        <v>Y</v>
      </c>
      <c r="AB229" s="76" t="str">
        <f>if(vlookup(B:B,'STO2206'!B164:F8671,5,false)="","Y","N")</f>
        <v>Y</v>
      </c>
    </row>
    <row r="230">
      <c r="A230" s="67" t="str">
        <f t="shared" si="2"/>
        <v>Mon</v>
      </c>
      <c r="B230" s="69">
        <v>43675.0</v>
      </c>
      <c r="C230" s="12" t="str">
        <f>if(vlookup(B:B,'ILC1110'!$B95:F8672,5,false)="","Y","N")</f>
        <v>Y</v>
      </c>
      <c r="D230" s="12" t="str">
        <f>if(vlookup(B:B,'ILC1111'!$B95:F8679,5,false)="","Y","N")</f>
        <v>Y</v>
      </c>
      <c r="E230" s="12" t="str">
        <f>if(vlookup(B:B,'ILC1112'!$B95:F8672,5,false)="","Y","N")</f>
        <v>Y</v>
      </c>
      <c r="F230" s="12" t="str">
        <f>if(vlookup(B:B,'ILC1211'!B233:F8672,5,false)="","Y","N")</f>
        <v>Y</v>
      </c>
      <c r="G230" s="12" t="str">
        <f>if(vlookup(B:B,'ILC1213'!$B160:G8672,5,false)="","Y","N")</f>
        <v>Y</v>
      </c>
      <c r="H230" s="12" t="str">
        <f>if(vlookup(B:B,'ILC1314'!$B159:G972,5,false)="","Y","N")</f>
        <v>Y</v>
      </c>
      <c r="I230" s="12" t="str">
        <f>if(vlookup(B:B,'ILC1404'!B233:F8395,5,false)="","Y","N")</f>
        <v>Y</v>
      </c>
      <c r="J230" s="12" t="str">
        <f>if(vlookup(B:B,'ILC2203'!B196:F8395,5,false)="","Y","N")</f>
        <v>Y</v>
      </c>
      <c r="K230" s="12" t="str">
        <f>if(vlookup(B:B,'ILC2206'!B181:H370,5,false)="","Y","N")</f>
        <v>Y</v>
      </c>
      <c r="L230" s="12" t="str">
        <f>if(vlookup(B:B,'ILC2303'!B233:F8672,5,false)="","Y","N")</f>
        <v>N</v>
      </c>
      <c r="M230" s="12" t="str">
        <f>if(vlookup(B:B,'ILC2307'!B233:F9188,5,false)="","Y","N")</f>
        <v>Y</v>
      </c>
      <c r="N230" s="12" t="str">
        <f>if(vlookup(B:B,'ILC2313'!B233:F8827,5,false)="","Y","N")</f>
        <v>Y</v>
      </c>
      <c r="O230" s="12" t="str">
        <f>if(vlookup(B:B,'ILC2412'!B233:F8672,5,false)="","Y","N")</f>
        <v>Y</v>
      </c>
      <c r="P230" s="12" t="str">
        <f>if(vlookup(B:B,'ILC2413'!B233:F9170,5,false)="","Y","N")</f>
        <v>Y</v>
      </c>
      <c r="Q230" s="12" t="str">
        <f>if(vlookup(B:B,'ILC3104'!B233:F8715,5,false)="","Y","N")</f>
        <v>Y</v>
      </c>
      <c r="R230" s="12" t="str">
        <f>if(vlookup(B:B,'ILC3310'!B65:F8654,5,false)="","Y","N")</f>
        <v>Y</v>
      </c>
      <c r="S230" s="12" t="str">
        <f>if(vlookup(B:B,'ILC3312'!B233:F8672,5,false)="","Y","N")</f>
        <v>Y</v>
      </c>
      <c r="T230" s="12" t="str">
        <f>if(vlookup(B:B,'ILC3413'!B202:F8597,5,false)="","Y","N")</f>
        <v>Y</v>
      </c>
      <c r="U230" s="12" t="str">
        <f>if(vlookup(B:B,'ILC3415'!B230:F8622,5,false)="","Y","N")</f>
        <v>Y</v>
      </c>
      <c r="V230" s="12" t="str">
        <f>if(vlookup(B:B,'ILC4406'!B165:F8591,5,false)="","Y","N")</f>
        <v>Y</v>
      </c>
      <c r="W230" s="12" t="str">
        <f>if(vlookup(B:B,'ILC4410'!B233:F8839,5,false)="","Y","N")</f>
        <v>Y</v>
      </c>
      <c r="X230" s="12" t="str">
        <f>if(vlookup(B:B,'JBV455'!B233:F9179,5,false)="","Y","N")</f>
        <v>Y</v>
      </c>
      <c r="Y230" s="12" t="str">
        <f>if(vlookup(B:B,'JBV462'!B233:F8672,5,false)="","Y","N")</f>
        <v>Y</v>
      </c>
      <c r="Z230" s="12" t="str">
        <f>if(vlookup(B:B,'JBV464'!B233:F8672,5,false)="","Y","N")</f>
        <v>Y</v>
      </c>
      <c r="AA230" s="12" t="str">
        <f>if(vlookup(B:B,'VDI208'!B165:F8672,5,false)="","Y","N")</f>
        <v>Y</v>
      </c>
      <c r="AB230" s="76" t="str">
        <f>if(vlookup(B:B,'STO2206'!B165:F8672,5,false)="","Y","N")</f>
        <v>Y</v>
      </c>
    </row>
    <row r="231">
      <c r="A231" s="67" t="str">
        <f t="shared" si="2"/>
        <v>Tue</v>
      </c>
      <c r="B231" s="69">
        <v>43676.0</v>
      </c>
      <c r="C231" s="12" t="str">
        <f>if(vlookup(B:B,'ILC1110'!$B96:F8673,5,false)="","Y","N")</f>
        <v>Y</v>
      </c>
      <c r="D231" s="12" t="str">
        <f>if(vlookup(B:B,'ILC1111'!$B96:F8680,5,false)="","Y","N")</f>
        <v>Y</v>
      </c>
      <c r="E231" s="12" t="str">
        <f>if(vlookup(B:B,'ILC1112'!$B96:F8673,5,false)="","Y","N")</f>
        <v>Y</v>
      </c>
      <c r="F231" s="12" t="str">
        <f>if(vlookup(B:B,'ILC1211'!B234:F8673,5,false)="","Y","N")</f>
        <v>Y</v>
      </c>
      <c r="G231" s="12" t="str">
        <f>if(vlookup(B:B,'ILC1213'!$B161:G8673,5,false)="","Y","N")</f>
        <v>Y</v>
      </c>
      <c r="H231" s="12" t="str">
        <f>if(vlookup(B:B,'ILC1314'!$B160:G973,5,false)="","Y","N")</f>
        <v>Y</v>
      </c>
      <c r="I231" s="12" t="str">
        <f>if(vlookup(B:B,'ILC1404'!B234:F8396,5,false)="","Y","N")</f>
        <v>Y</v>
      </c>
      <c r="J231" s="12" t="str">
        <f>if(vlookup(B:B,'ILC2203'!B197:F8396,5,false)="","Y","N")</f>
        <v>Y</v>
      </c>
      <c r="K231" s="12" t="str">
        <f>if(vlookup(B:B,'ILC2206'!B182:H370,5,false)="","Y","N")</f>
        <v>Y</v>
      </c>
      <c r="L231" s="12" t="str">
        <f>if(vlookup(B:B,'ILC2303'!B234:F8673,5,false)="","Y","N")</f>
        <v>N</v>
      </c>
      <c r="M231" s="12" t="str">
        <f>if(vlookup(B:B,'ILC2307'!B234:F9189,5,false)="","Y","N")</f>
        <v>Y</v>
      </c>
      <c r="N231" s="12" t="str">
        <f>if(vlookup(B:B,'ILC2313'!B234:F8828,5,false)="","Y","N")</f>
        <v>Y</v>
      </c>
      <c r="O231" s="12" t="str">
        <f>if(vlookup(B:B,'ILC2412'!B234:F8673,5,false)="","Y","N")</f>
        <v>Y</v>
      </c>
      <c r="P231" s="12" t="str">
        <f>if(vlookup(B:B,'ILC2413'!B234:F9171,5,false)="","Y","N")</f>
        <v>Y</v>
      </c>
      <c r="Q231" s="12" t="str">
        <f>if(vlookup(B:B,'ILC3104'!B234:F8716,5,false)="","Y","N")</f>
        <v>Y</v>
      </c>
      <c r="R231" s="12" t="str">
        <f>if(vlookup(B:B,'ILC3310'!B66:F8655,5,false)="","Y","N")</f>
        <v>Y</v>
      </c>
      <c r="S231" s="12" t="str">
        <f>if(vlookup(B:B,'ILC3312'!B234:F8673,5,false)="","Y","N")</f>
        <v>Y</v>
      </c>
      <c r="T231" s="12" t="str">
        <f>if(vlookup(B:B,'ILC3413'!B203:F8598,5,false)="","Y","N")</f>
        <v>Y</v>
      </c>
      <c r="U231" s="12" t="str">
        <f>if(vlookup(B:B,'ILC3415'!B231:F8623,5,false)="","Y","N")</f>
        <v>Y</v>
      </c>
      <c r="V231" s="12" t="str">
        <f>if(vlookup(B:B,'ILC4406'!B166:F8592,5,false)="","Y","N")</f>
        <v>Y</v>
      </c>
      <c r="W231" s="12" t="str">
        <f>if(vlookup(B:B,'ILC4410'!B234:F8840,5,false)="","Y","N")</f>
        <v>Y</v>
      </c>
      <c r="X231" s="12" t="str">
        <f>if(vlookup(B:B,'JBV455'!B234:F9180,5,false)="","Y","N")</f>
        <v>Y</v>
      </c>
      <c r="Y231" s="12" t="str">
        <f>if(vlookup(B:B,'JBV462'!B234:F8673,5,false)="","Y","N")</f>
        <v>Y</v>
      </c>
      <c r="Z231" s="12" t="str">
        <f>if(vlookup(B:B,'JBV464'!B234:F8673,5,false)="","Y","N")</f>
        <v>Y</v>
      </c>
      <c r="AA231" s="12" t="str">
        <f>if(vlookup(B:B,'VDI208'!B166:F8673,5,false)="","Y","N")</f>
        <v>Y</v>
      </c>
      <c r="AB231" s="76" t="str">
        <f>if(vlookup(B:B,'STO2206'!B166:F8673,5,false)="","Y","N")</f>
        <v>Y</v>
      </c>
    </row>
    <row r="232">
      <c r="A232" s="67" t="str">
        <f t="shared" si="2"/>
        <v>Wed</v>
      </c>
      <c r="B232" s="69">
        <v>43677.0</v>
      </c>
      <c r="C232" s="12" t="str">
        <f>if(vlookup(B:B,'ILC1110'!$B97:F8674,5,false)="","Y","N")</f>
        <v>Y</v>
      </c>
      <c r="D232" s="12" t="str">
        <f>if(vlookup(B:B,'ILC1111'!$B97:F8681,5,false)="","Y","N")</f>
        <v>Y</v>
      </c>
      <c r="E232" s="12" t="str">
        <f>if(vlookup(B:B,'ILC1112'!$B97:F8674,5,false)="","Y","N")</f>
        <v>Y</v>
      </c>
      <c r="F232" s="12" t="str">
        <f>if(vlookup(B:B,'ILC1211'!B235:F8674,5,false)="","Y","N")</f>
        <v>Y</v>
      </c>
      <c r="G232" s="12" t="str">
        <f>if(vlookup(B:B,'ILC1213'!$B162:G8674,5,false)="","Y","N")</f>
        <v>Y</v>
      </c>
      <c r="H232" s="12" t="str">
        <f>if(vlookup(B:B,'ILC1314'!$B161:G974,5,false)="","Y","N")</f>
        <v>Y</v>
      </c>
      <c r="I232" s="12" t="str">
        <f>if(vlookup(B:B,'ILC1404'!B235:F8397,5,false)="","Y","N")</f>
        <v>Y</v>
      </c>
      <c r="J232" s="12" t="str">
        <f>if(vlookup(B:B,'ILC2203'!B198:F8397,5,false)="","Y","N")</f>
        <v>Y</v>
      </c>
      <c r="K232" s="12" t="str">
        <f>if(vlookup(B:B,'ILC2206'!B183:H370,5,false)="","Y","N")</f>
        <v>Y</v>
      </c>
      <c r="L232" s="12" t="str">
        <f>if(vlookup(B:B,'ILC2303'!B235:F8674,5,false)="","Y","N")</f>
        <v>N</v>
      </c>
      <c r="M232" s="12" t="str">
        <f>if(vlookup(B:B,'ILC2307'!B235:F9190,5,false)="","Y","N")</f>
        <v>Y</v>
      </c>
      <c r="N232" s="12" t="str">
        <f>if(vlookup(B:B,'ILC2313'!B235:F8829,5,false)="","Y","N")</f>
        <v>Y</v>
      </c>
      <c r="O232" s="12" t="str">
        <f>if(vlookup(B:B,'ILC2412'!B235:F8674,5,false)="","Y","N")</f>
        <v>Y</v>
      </c>
      <c r="P232" s="12" t="str">
        <f>if(vlookup(B:B,'ILC2413'!B235:F9172,5,false)="","Y","N")</f>
        <v>Y</v>
      </c>
      <c r="Q232" s="12" t="str">
        <f>if(vlookup(B:B,'ILC3104'!B235:F8717,5,false)="","Y","N")</f>
        <v>Y</v>
      </c>
      <c r="R232" s="12" t="str">
        <f>if(vlookup(B:B,'ILC3310'!B67:F8656,5,false)="","Y","N")</f>
        <v>Y</v>
      </c>
      <c r="S232" s="12" t="str">
        <f>if(vlookup(B:B,'ILC3312'!B235:F8674,5,false)="","Y","N")</f>
        <v>Y</v>
      </c>
      <c r="T232" s="12" t="str">
        <f>if(vlookup(B:B,'ILC3413'!B204:F8599,5,false)="","Y","N")</f>
        <v>Y</v>
      </c>
      <c r="U232" s="12" t="str">
        <f>if(vlookup(B:B,'ILC3415'!B232:F8624,5,false)="","Y","N")</f>
        <v>Y</v>
      </c>
      <c r="V232" s="12" t="str">
        <f>if(vlookup(B:B,'ILC4406'!B167:F8593,5,false)="","Y","N")</f>
        <v>Y</v>
      </c>
      <c r="W232" s="12" t="str">
        <f>if(vlookup(B:B,'ILC4410'!B235:F8841,5,false)="","Y","N")</f>
        <v>Y</v>
      </c>
      <c r="X232" s="12" t="str">
        <f>if(vlookup(B:B,'JBV455'!B235:F9181,5,false)="","Y","N")</f>
        <v>Y</v>
      </c>
      <c r="Y232" s="12" t="str">
        <f>if(vlookup(B:B,'JBV462'!B235:F8674,5,false)="","Y","N")</f>
        <v>Y</v>
      </c>
      <c r="Z232" s="12" t="str">
        <f>if(vlookup(B:B,'JBV464'!B235:F8674,5,false)="","Y","N")</f>
        <v>Y</v>
      </c>
      <c r="AA232" s="12" t="str">
        <f>if(vlookup(B:B,'VDI208'!B167:F8674,5,false)="","Y","N")</f>
        <v>Y</v>
      </c>
      <c r="AB232" s="76" t="str">
        <f>if(vlookup(B:B,'STO2206'!B167:F8674,5,false)="","Y","N")</f>
        <v>Y</v>
      </c>
    </row>
    <row r="233">
      <c r="A233" s="67" t="str">
        <f t="shared" si="2"/>
        <v>Thu</v>
      </c>
      <c r="B233" s="69">
        <v>43678.0</v>
      </c>
      <c r="C233" s="12" t="str">
        <f>if(vlookup(B:B,'ILC1110'!$B98:F8675,5,false)="","Y","N")</f>
        <v>Y</v>
      </c>
      <c r="D233" s="12" t="str">
        <f>if(vlookup(B:B,'ILC1111'!$B98:F8682,5,false)="","Y","N")</f>
        <v>Y</v>
      </c>
      <c r="E233" s="12" t="str">
        <f>if(vlookup(B:B,'ILC1112'!$B98:F8675,5,false)="","Y","N")</f>
        <v>Y</v>
      </c>
      <c r="F233" s="12" t="str">
        <f>if(vlookup(B:B,'ILC1211'!B236:F8675,5,false)="","Y","N")</f>
        <v>Y</v>
      </c>
      <c r="G233" s="12" t="str">
        <f>if(vlookup(B:B,'ILC1213'!$B163:G8675,5,false)="","Y","N")</f>
        <v>Y</v>
      </c>
      <c r="H233" s="12" t="str">
        <f>if(vlookup(B:B,'ILC1314'!$B162:G975,5,false)="","Y","N")</f>
        <v>Y</v>
      </c>
      <c r="I233" s="12" t="str">
        <f>if(vlookup(B:B,'ILC1404'!B236:F8398,5,false)="","Y","N")</f>
        <v>Y</v>
      </c>
      <c r="J233" s="12" t="str">
        <f>if(vlookup(B:B,'ILC2203'!B199:F8398,5,false)="","Y","N")</f>
        <v>Y</v>
      </c>
      <c r="K233" s="12" t="str">
        <f>if(vlookup(B:B,'ILC2206'!B184:H370,5,false)="","Y","N")</f>
        <v>Y</v>
      </c>
      <c r="L233" s="12" t="str">
        <f>if(vlookup(B:B,'ILC2303'!B236:F8675,5,false)="","Y","N")</f>
        <v>N</v>
      </c>
      <c r="M233" s="12" t="str">
        <f>if(vlookup(B:B,'ILC2307'!B236:F9191,5,false)="","Y","N")</f>
        <v>Y</v>
      </c>
      <c r="N233" s="12" t="str">
        <f>if(vlookup(B:B,'ILC2313'!B236:F8830,5,false)="","Y","N")</f>
        <v>Y</v>
      </c>
      <c r="O233" s="12" t="str">
        <f>if(vlookup(B:B,'ILC2412'!B236:F8675,5,false)="","Y","N")</f>
        <v>Y</v>
      </c>
      <c r="P233" s="12" t="str">
        <f>if(vlookup(B:B,'ILC2413'!B236:F9173,5,false)="","Y","N")</f>
        <v>Y</v>
      </c>
      <c r="Q233" s="12" t="str">
        <f>if(vlookup(B:B,'ILC3104'!B236:F8718,5,false)="","Y","N")</f>
        <v>Y</v>
      </c>
      <c r="R233" s="12" t="str">
        <f>if(vlookup(B:B,'ILC3310'!B68:F8657,5,false)="","Y","N")</f>
        <v>Y</v>
      </c>
      <c r="S233" s="12" t="str">
        <f>if(vlookup(B:B,'ILC3312'!B236:F8675,5,false)="","Y","N")</f>
        <v>Y</v>
      </c>
      <c r="T233" s="12" t="str">
        <f>if(vlookup(B:B,'ILC3413'!B205:F8600,5,false)="","Y","N")</f>
        <v>Y</v>
      </c>
      <c r="U233" s="12" t="str">
        <f>if(vlookup(B:B,'ILC3415'!B233:F8625,5,false)="","Y","N")</f>
        <v>Y</v>
      </c>
      <c r="V233" s="12" t="str">
        <f>if(vlookup(B:B,'ILC4406'!B168:F8594,5,false)="","Y","N")</f>
        <v>Y</v>
      </c>
      <c r="W233" s="12" t="str">
        <f>if(vlookup(B:B,'ILC4410'!B236:F8842,5,false)="","Y","N")</f>
        <v>Y</v>
      </c>
      <c r="X233" s="12" t="str">
        <f>if(vlookup(B:B,'JBV455'!B236:F9182,5,false)="","Y","N")</f>
        <v>Y</v>
      </c>
      <c r="Y233" s="12" t="str">
        <f>if(vlookup(B:B,'JBV462'!B236:F8675,5,false)="","Y","N")</f>
        <v>Y</v>
      </c>
      <c r="Z233" s="12" t="str">
        <f>if(vlookup(B:B,'JBV464'!B236:F8675,5,false)="","Y","N")</f>
        <v>N</v>
      </c>
      <c r="AA233" s="12" t="str">
        <f>if(vlookup(B:B,'VDI208'!B168:F8675,5,false)="","Y","N")</f>
        <v>Y</v>
      </c>
      <c r="AB233" s="76" t="str">
        <f>if(vlookup(B:B,'STO2206'!B168:F8675,5,false)="","Y","N")</f>
        <v>Y</v>
      </c>
    </row>
    <row r="234">
      <c r="A234" s="67" t="str">
        <f t="shared" si="2"/>
        <v>Fri</v>
      </c>
      <c r="B234" s="69">
        <v>43679.0</v>
      </c>
      <c r="C234" s="12" t="str">
        <f>if(vlookup(B:B,'ILC1110'!$B99:F8676,5,false)="","Y","N")</f>
        <v>Y</v>
      </c>
      <c r="D234" s="12" t="str">
        <f>if(vlookup(B:B,'ILC1111'!$B99:F8683,5,false)="","Y","N")</f>
        <v>Y</v>
      </c>
      <c r="E234" s="12" t="str">
        <f>if(vlookup(B:B,'ILC1112'!$B99:F8676,5,false)="","Y","N")</f>
        <v>Y</v>
      </c>
      <c r="F234" s="12" t="str">
        <f>if(vlookup(B:B,'ILC1211'!B237:F8676,5,false)="","Y","N")</f>
        <v>Y</v>
      </c>
      <c r="G234" s="12" t="str">
        <f>if(vlookup(B:B,'ILC1213'!$B164:G8676,5,false)="","Y","N")</f>
        <v>Y</v>
      </c>
      <c r="H234" s="12" t="str">
        <f>if(vlookup(B:B,'ILC1314'!$B163:G976,5,false)="","Y","N")</f>
        <v>Y</v>
      </c>
      <c r="I234" s="12" t="str">
        <f>if(vlookup(B:B,'ILC1404'!B237:F8399,5,false)="","Y","N")</f>
        <v>Y</v>
      </c>
      <c r="J234" s="12" t="str">
        <f>if(vlookup(B:B,'ILC2203'!B200:F8399,5,false)="","Y","N")</f>
        <v>Y</v>
      </c>
      <c r="K234" s="12" t="str">
        <f>if(vlookup(B:B,'ILC2206'!B185:H370,5,false)="","Y","N")</f>
        <v>Y</v>
      </c>
      <c r="L234" s="12" t="str">
        <f>if(vlookup(B:B,'ILC2303'!B237:F8676,5,false)="","Y","N")</f>
        <v>N</v>
      </c>
      <c r="M234" s="12" t="str">
        <f>if(vlookup(B:B,'ILC2307'!B237:F9192,5,false)="","Y","N")</f>
        <v>Y</v>
      </c>
      <c r="N234" s="12" t="str">
        <f>if(vlookup(B:B,'ILC2313'!B237:F8831,5,false)="","Y","N")</f>
        <v>Y</v>
      </c>
      <c r="O234" s="12" t="str">
        <f>if(vlookup(B:B,'ILC2412'!B237:F8676,5,false)="","Y","N")</f>
        <v>Y</v>
      </c>
      <c r="P234" s="12" t="str">
        <f>if(vlookup(B:B,'ILC2413'!B237:F9174,5,false)="","Y","N")</f>
        <v>Y</v>
      </c>
      <c r="Q234" s="12" t="str">
        <f>if(vlookup(B:B,'ILC3104'!B237:F8719,5,false)="","Y","N")</f>
        <v>Y</v>
      </c>
      <c r="R234" s="12" t="str">
        <f>if(vlookup(B:B,'ILC3310'!B69:F8658,5,false)="","Y","N")</f>
        <v>Y</v>
      </c>
      <c r="S234" s="12" t="str">
        <f>if(vlookup(B:B,'ILC3312'!B237:F8676,5,false)="","Y","N")</f>
        <v>Y</v>
      </c>
      <c r="T234" s="12" t="str">
        <f>if(vlookup(B:B,'ILC3413'!B206:F8601,5,false)="","Y","N")</f>
        <v>Y</v>
      </c>
      <c r="U234" s="12" t="str">
        <f>if(vlookup(B:B,'ILC3415'!B234:F8626,5,false)="","Y","N")</f>
        <v>Y</v>
      </c>
      <c r="V234" s="12" t="str">
        <f>if(vlookup(B:B,'ILC4406'!B169:F8595,5,false)="","Y","N")</f>
        <v>Y</v>
      </c>
      <c r="W234" s="12" t="str">
        <f>if(vlookup(B:B,'ILC4410'!B237:F8843,5,false)="","Y","N")</f>
        <v>Y</v>
      </c>
      <c r="X234" s="12" t="str">
        <f>if(vlookup(B:B,'JBV455'!B237:F9183,5,false)="","Y","N")</f>
        <v>Y</v>
      </c>
      <c r="Y234" s="12" t="str">
        <f>if(vlookup(B:B,'JBV462'!B237:F8676,5,false)="","Y","N")</f>
        <v>Y</v>
      </c>
      <c r="Z234" s="12" t="str">
        <f>if(vlookup(B:B,'JBV464'!B237:F8676,5,false)="","Y","N")</f>
        <v>N</v>
      </c>
      <c r="AA234" s="12" t="str">
        <f>if(vlookup(B:B,'VDI208'!B169:F8676,5,false)="","Y","N")</f>
        <v>Y</v>
      </c>
      <c r="AB234" s="76" t="str">
        <f>if(vlookup(B:B,'STO2206'!B169:F8676,5,false)="","Y","N")</f>
        <v>Y</v>
      </c>
    </row>
    <row r="235">
      <c r="A235" s="67" t="str">
        <f t="shared" si="2"/>
        <v>Sat</v>
      </c>
      <c r="B235" s="69">
        <v>43680.0</v>
      </c>
      <c r="C235" s="12" t="str">
        <f>if(vlookup(B:B,'ILC1110'!$B100:F8677,5,false)="","Y","N")</f>
        <v>Y</v>
      </c>
      <c r="D235" s="12" t="str">
        <f>if(vlookup(B:B,'ILC1111'!$B100:F8684,5,false)="","Y","N")</f>
        <v>Y</v>
      </c>
      <c r="E235" s="12" t="str">
        <f>if(vlookup(B:B,'ILC1112'!$B100:F8677,5,false)="","Y","N")</f>
        <v>Y</v>
      </c>
      <c r="F235" s="12" t="str">
        <f>if(vlookup(B:B,'ILC1211'!B238:F8677,5,false)="","Y","N")</f>
        <v>Y</v>
      </c>
      <c r="G235" s="12" t="str">
        <f>if(vlookup(B:B,'ILC1213'!$B165:G8677,5,false)="","Y","N")</f>
        <v>Y</v>
      </c>
      <c r="H235" s="12" t="str">
        <f>if(vlookup(B:B,'ILC1314'!$B164:G977,5,false)="","Y","N")</f>
        <v>Y</v>
      </c>
      <c r="I235" s="12" t="str">
        <f>if(vlookup(B:B,'ILC1404'!B238:F8400,5,false)="","Y","N")</f>
        <v>Y</v>
      </c>
      <c r="J235" s="12" t="str">
        <f>if(vlookup(B:B,'ILC2203'!B201:F8400,5,false)="","Y","N")</f>
        <v>Y</v>
      </c>
      <c r="K235" s="12" t="str">
        <f>if(vlookup(B:B,'ILC2206'!B186:H370,5,false)="","Y","N")</f>
        <v>Y</v>
      </c>
      <c r="L235" s="12" t="str">
        <f>if(vlookup(B:B,'ILC2303'!B238:F8677,5,false)="","Y","N")</f>
        <v>N</v>
      </c>
      <c r="M235" s="12" t="str">
        <f>if(vlookup(B:B,'ILC2307'!B238:F9193,5,false)="","Y","N")</f>
        <v>Y</v>
      </c>
      <c r="N235" s="12" t="str">
        <f>if(vlookup(B:B,'ILC2313'!B238:F8832,5,false)="","Y","N")</f>
        <v>Y</v>
      </c>
      <c r="O235" s="12" t="str">
        <f>if(vlookup(B:B,'ILC2412'!B238:F8677,5,false)="","Y","N")</f>
        <v>Y</v>
      </c>
      <c r="P235" s="12" t="str">
        <f>if(vlookup(B:B,'ILC2413'!B238:F9175,5,false)="","Y","N")</f>
        <v>Y</v>
      </c>
      <c r="Q235" s="12" t="str">
        <f>if(vlookup(B:B,'ILC3104'!B238:F8720,5,false)="","Y","N")</f>
        <v>Y</v>
      </c>
      <c r="R235" s="12" t="str">
        <f>if(vlookup(B:B,'ILC3310'!B70:F8659,5,false)="","Y","N")</f>
        <v>Y</v>
      </c>
      <c r="S235" s="12" t="str">
        <f>if(vlookup(B:B,'ILC3312'!B238:F8677,5,false)="","Y","N")</f>
        <v>Y</v>
      </c>
      <c r="T235" s="12" t="str">
        <f>if(vlookup(B:B,'ILC3413'!B207:F8602,5,false)="","Y","N")</f>
        <v>Y</v>
      </c>
      <c r="U235" s="12" t="str">
        <f>if(vlookup(B:B,'ILC3415'!B235:F8627,5,false)="","Y","N")</f>
        <v>Y</v>
      </c>
      <c r="V235" s="12" t="str">
        <f>if(vlookup(B:B,'ILC4406'!B170:F8596,5,false)="","Y","N")</f>
        <v>Y</v>
      </c>
      <c r="W235" s="12" t="str">
        <f>if(vlookup(B:B,'ILC4410'!B238:F8844,5,false)="","Y","N")</f>
        <v>Y</v>
      </c>
      <c r="X235" s="12" t="str">
        <f>if(vlookup(B:B,'JBV455'!B238:F9184,5,false)="","Y","N")</f>
        <v>Y</v>
      </c>
      <c r="Y235" s="12" t="str">
        <f>if(vlookup(B:B,'JBV462'!B238:F8677,5,false)="","Y","N")</f>
        <v>Y</v>
      </c>
      <c r="Z235" s="12" t="str">
        <f>if(vlookup(B:B,'JBV464'!B238:F8677,5,false)="","Y","N")</f>
        <v>N</v>
      </c>
      <c r="AA235" s="12" t="str">
        <f>if(vlookup(B:B,'VDI208'!B170:F8677,5,false)="","Y","N")</f>
        <v>Y</v>
      </c>
      <c r="AB235" s="76" t="str">
        <f>if(vlookup(B:B,'STO2206'!B170:F8677,5,false)="","Y","N")</f>
        <v>Y</v>
      </c>
    </row>
    <row r="236">
      <c r="A236" s="67" t="str">
        <f t="shared" si="2"/>
        <v>Sun</v>
      </c>
      <c r="B236" s="69">
        <v>43681.0</v>
      </c>
      <c r="C236" s="12" t="str">
        <f>if(vlookup(B:B,'ILC1110'!$B101:F8678,5,false)="","Y","N")</f>
        <v>Y</v>
      </c>
      <c r="D236" s="12" t="str">
        <f>if(vlookup(B:B,'ILC1111'!$B101:F8685,5,false)="","Y","N")</f>
        <v>Y</v>
      </c>
      <c r="E236" s="12" t="str">
        <f>if(vlookup(B:B,'ILC1112'!$B101:F8678,5,false)="","Y","N")</f>
        <v>Y</v>
      </c>
      <c r="F236" s="12" t="str">
        <f>if(vlookup(B:B,'ILC1211'!B239:F8678,5,false)="","Y","N")</f>
        <v>Y</v>
      </c>
      <c r="G236" s="12" t="str">
        <f>if(vlookup(B:B,'ILC1213'!$B166:G8678,5,false)="","Y","N")</f>
        <v>Y</v>
      </c>
      <c r="H236" s="12" t="str">
        <f>if(vlookup(B:B,'ILC1314'!$B165:G978,5,false)="","Y","N")</f>
        <v>Y</v>
      </c>
      <c r="I236" s="12" t="str">
        <f>if(vlookup(B:B,'ILC1404'!B239:F8401,5,false)="","Y","N")</f>
        <v>Y</v>
      </c>
      <c r="J236" s="12" t="str">
        <f>if(vlookup(B:B,'ILC2203'!B202:F8401,5,false)="","Y","N")</f>
        <v>Y</v>
      </c>
      <c r="K236" s="12" t="str">
        <f>if(vlookup(B:B,'ILC2206'!B187:H370,5,false)="","Y","N")</f>
        <v>Y</v>
      </c>
      <c r="L236" s="12" t="str">
        <f>if(vlookup(B:B,'ILC2303'!B239:F8678,5,false)="","Y","N")</f>
        <v>N</v>
      </c>
      <c r="M236" s="12" t="str">
        <f>if(vlookup(B:B,'ILC2307'!B239:F9194,5,false)="","Y","N")</f>
        <v>Y</v>
      </c>
      <c r="N236" s="12" t="str">
        <f>if(vlookup(B:B,'ILC2313'!B239:F8833,5,false)="","Y","N")</f>
        <v>Y</v>
      </c>
      <c r="O236" s="12" t="str">
        <f>if(vlookup(B:B,'ILC2412'!B239:F8678,5,false)="","Y","N")</f>
        <v>Y</v>
      </c>
      <c r="P236" s="12" t="str">
        <f>if(vlookup(B:B,'ILC2413'!B239:F9176,5,false)="","Y","N")</f>
        <v>Y</v>
      </c>
      <c r="Q236" s="12" t="str">
        <f>if(vlookup(B:B,'ILC3104'!B239:F8721,5,false)="","Y","N")</f>
        <v>Y</v>
      </c>
      <c r="R236" s="12" t="str">
        <f>if(vlookup(B:B,'ILC3310'!B71:F8660,5,false)="","Y","N")</f>
        <v>Y</v>
      </c>
      <c r="S236" s="12" t="str">
        <f>if(vlookup(B:B,'ILC3312'!B239:F8678,5,false)="","Y","N")</f>
        <v>Y</v>
      </c>
      <c r="T236" s="12" t="str">
        <f>if(vlookup(B:B,'ILC3413'!B208:F8603,5,false)="","Y","N")</f>
        <v>Y</v>
      </c>
      <c r="U236" s="12" t="str">
        <f>if(vlookup(B:B,'ILC3415'!B236:F8628,5,false)="","Y","N")</f>
        <v>Y</v>
      </c>
      <c r="V236" s="12" t="str">
        <f>if(vlookup(B:B,'ILC4406'!B171:F8597,5,false)="","Y","N")</f>
        <v>Y</v>
      </c>
      <c r="W236" s="12" t="str">
        <f>if(vlookup(B:B,'ILC4410'!B239:F8845,5,false)="","Y","N")</f>
        <v>Y</v>
      </c>
      <c r="X236" s="12" t="str">
        <f>if(vlookup(B:B,'JBV455'!B239:F9185,5,false)="","Y","N")</f>
        <v>Y</v>
      </c>
      <c r="Y236" s="12" t="str">
        <f>if(vlookup(B:B,'JBV462'!B239:F8678,5,false)="","Y","N")</f>
        <v>Y</v>
      </c>
      <c r="Z236" s="12" t="str">
        <f>if(vlookup(B:B,'JBV464'!B239:F8678,5,false)="","Y","N")</f>
        <v>N</v>
      </c>
      <c r="AA236" s="12" t="str">
        <f>if(vlookup(B:B,'VDI208'!B171:F8678,5,false)="","Y","N")</f>
        <v>Y</v>
      </c>
      <c r="AB236" s="76" t="str">
        <f>if(vlookup(B:B,'STO2206'!B171:F8678,5,false)="","Y","N")</f>
        <v>Y</v>
      </c>
    </row>
    <row r="237">
      <c r="A237" s="67" t="str">
        <f t="shared" si="2"/>
        <v>Mon</v>
      </c>
      <c r="B237" s="69">
        <v>43682.0</v>
      </c>
      <c r="C237" s="12" t="str">
        <f>if(vlookup(B:B,'ILC1110'!$B102:F8679,5,false)="","Y","N")</f>
        <v>Y</v>
      </c>
      <c r="D237" s="12" t="str">
        <f>if(vlookup(B:B,'ILC1111'!$B102:F8686,5,false)="","Y","N")</f>
        <v>Y</v>
      </c>
      <c r="E237" s="12" t="str">
        <f>if(vlookup(B:B,'ILC1112'!$B102:F8679,5,false)="","Y","N")</f>
        <v>Y</v>
      </c>
      <c r="F237" s="12" t="str">
        <f>if(vlookup(B:B,'ILC1211'!B240:F8679,5,false)="","Y","N")</f>
        <v>Y</v>
      </c>
      <c r="G237" s="12" t="str">
        <f>if(vlookup(B:B,'ILC1213'!$B167:G8679,5,false)="","Y","N")</f>
        <v>Y</v>
      </c>
      <c r="H237" s="12" t="str">
        <f>if(vlookup(B:B,'ILC1314'!$B166:G979,5,false)="","Y","N")</f>
        <v>Y</v>
      </c>
      <c r="I237" s="12" t="str">
        <f>if(vlookup(B:B,'ILC1404'!B240:F8402,5,false)="","Y","N")</f>
        <v>Y</v>
      </c>
      <c r="J237" s="12" t="str">
        <f>if(vlookup(B:B,'ILC2203'!B203:F8402,5,false)="","Y","N")</f>
        <v>Y</v>
      </c>
      <c r="K237" s="12" t="str">
        <f>if(vlookup(B:B,'ILC2206'!B188:H370,5,false)="","Y","N")</f>
        <v>Y</v>
      </c>
      <c r="L237" s="12" t="str">
        <f>if(vlookup(B:B,'ILC2303'!B240:F8679,5,false)="","Y","N")</f>
        <v>N</v>
      </c>
      <c r="M237" s="12" t="str">
        <f>if(vlookup(B:B,'ILC2307'!B240:F9195,5,false)="","Y","N")</f>
        <v>Y</v>
      </c>
      <c r="N237" s="12" t="str">
        <f>if(vlookup(B:B,'ILC2313'!B240:F8834,5,false)="","Y","N")</f>
        <v>Y</v>
      </c>
      <c r="O237" s="12" t="str">
        <f>if(vlookup(B:B,'ILC2412'!B240:F8679,5,false)="","Y","N")</f>
        <v>Y</v>
      </c>
      <c r="P237" s="12" t="str">
        <f>if(vlookup(B:B,'ILC2413'!B240:F9177,5,false)="","Y","N")</f>
        <v>Y</v>
      </c>
      <c r="Q237" s="12" t="str">
        <f>if(vlookup(B:B,'ILC3104'!B240:F8722,5,false)="","Y","N")</f>
        <v>Y</v>
      </c>
      <c r="R237" s="12" t="str">
        <f>if(vlookup(B:B,'ILC3310'!B72:F8661,5,false)="","Y","N")</f>
        <v>Y</v>
      </c>
      <c r="S237" s="12" t="str">
        <f>if(vlookup(B:B,'ILC3312'!B240:F8679,5,false)="","Y","N")</f>
        <v>Y</v>
      </c>
      <c r="T237" s="12" t="str">
        <f>if(vlookup(B:B,'ILC3413'!B209:F8604,5,false)="","Y","N")</f>
        <v>Y</v>
      </c>
      <c r="U237" s="12" t="str">
        <f>if(vlookup(B:B,'ILC3415'!B237:F8629,5,false)="","Y","N")</f>
        <v>Y</v>
      </c>
      <c r="V237" s="12" t="str">
        <f>if(vlookup(B:B,'ILC4406'!B172:F8598,5,false)="","Y","N")</f>
        <v>Y</v>
      </c>
      <c r="W237" s="12" t="str">
        <f>if(vlookup(B:B,'ILC4410'!B240:F8846,5,false)="","Y","N")</f>
        <v>Y</v>
      </c>
      <c r="X237" s="12" t="str">
        <f>if(vlookup(B:B,'JBV455'!B240:F9186,5,false)="","Y","N")</f>
        <v>Y</v>
      </c>
      <c r="Y237" s="12" t="str">
        <f>if(vlookup(B:B,'JBV462'!B240:F8679,5,false)="","Y","N")</f>
        <v>Y</v>
      </c>
      <c r="Z237" s="12" t="str">
        <f>if(vlookup(B:B,'JBV464'!B240:F8679,5,false)="","Y","N")</f>
        <v>N</v>
      </c>
      <c r="AA237" s="12" t="str">
        <f>if(vlookup(B:B,'VDI208'!B172:F8679,5,false)="","Y","N")</f>
        <v>Y</v>
      </c>
      <c r="AB237" s="76" t="str">
        <f>if(vlookup(B:B,'STO2206'!B172:F8679,5,false)="","Y","N")</f>
        <v>Y</v>
      </c>
    </row>
    <row r="238">
      <c r="A238" s="67" t="str">
        <f t="shared" si="2"/>
        <v>Tue</v>
      </c>
      <c r="B238" s="69">
        <v>43683.0</v>
      </c>
      <c r="C238" s="12" t="str">
        <f>if(vlookup(B:B,'ILC1110'!$B103:F8680,5,false)="","Y","N")</f>
        <v>Y</v>
      </c>
      <c r="D238" s="12" t="str">
        <f>if(vlookup(B:B,'ILC1111'!$B103:F8687,5,false)="","Y","N")</f>
        <v>Y</v>
      </c>
      <c r="E238" s="12" t="str">
        <f>if(vlookup(B:B,'ILC1112'!$B103:F8680,5,false)="","Y","N")</f>
        <v>Y</v>
      </c>
      <c r="F238" s="12" t="str">
        <f>if(vlookup(B:B,'ILC1211'!B241:F8680,5,false)="","Y","N")</f>
        <v>Y</v>
      </c>
      <c r="G238" s="12" t="str">
        <f>if(vlookup(B:B,'ILC1213'!$B168:G8680,5,false)="","Y","N")</f>
        <v>Y</v>
      </c>
      <c r="H238" s="12" t="str">
        <f>if(vlookup(B:B,'ILC1314'!$B167:G980,5,false)="","Y","N")</f>
        <v>Y</v>
      </c>
      <c r="I238" s="12" t="str">
        <f>if(vlookup(B:B,'ILC1404'!B241:F8403,5,false)="","Y","N")</f>
        <v>Y</v>
      </c>
      <c r="J238" s="12" t="str">
        <f>if(vlookup(B:B,'ILC2203'!B204:F8403,5,false)="","Y","N")</f>
        <v>Y</v>
      </c>
      <c r="K238" s="12" t="str">
        <f>if(vlookup(B:B,'ILC2206'!B189:H370,5,false)="","Y","N")</f>
        <v>Y</v>
      </c>
      <c r="L238" s="12" t="str">
        <f>if(vlookup(B:B,'ILC2303'!B241:F8680,5,false)="","Y","N")</f>
        <v>N</v>
      </c>
      <c r="M238" s="12" t="str">
        <f>if(vlookup(B:B,'ILC2307'!B241:F9196,5,false)="","Y","N")</f>
        <v>Y</v>
      </c>
      <c r="N238" s="12" t="str">
        <f>if(vlookup(B:B,'ILC2313'!B241:F8835,5,false)="","Y","N")</f>
        <v>Y</v>
      </c>
      <c r="O238" s="12" t="str">
        <f>if(vlookup(B:B,'ILC2412'!B241:F8680,5,false)="","Y","N")</f>
        <v>Y</v>
      </c>
      <c r="P238" s="12" t="str">
        <f>if(vlookup(B:B,'ILC2413'!B241:F9178,5,false)="","Y","N")</f>
        <v>Y</v>
      </c>
      <c r="Q238" s="12" t="str">
        <f>if(vlookup(B:B,'ILC3104'!B241:F8723,5,false)="","Y","N")</f>
        <v>Y</v>
      </c>
      <c r="R238" s="12" t="str">
        <f>if(vlookup(B:B,'ILC3310'!B73:F8662,5,false)="","Y","N")</f>
        <v>Y</v>
      </c>
      <c r="S238" s="12" t="str">
        <f>if(vlookup(B:B,'ILC3312'!B241:F8680,5,false)="","Y","N")</f>
        <v>Y</v>
      </c>
      <c r="T238" s="12" t="str">
        <f>if(vlookup(B:B,'ILC3413'!B210:F8605,5,false)="","Y","N")</f>
        <v>Y</v>
      </c>
      <c r="U238" s="12" t="str">
        <f>if(vlookup(B:B,'ILC3415'!B238:F8630,5,false)="","Y","N")</f>
        <v>Y</v>
      </c>
      <c r="V238" s="12" t="str">
        <f>if(vlookup(B:B,'ILC4406'!B173:F8599,5,false)="","Y","N")</f>
        <v>Y</v>
      </c>
      <c r="W238" s="12" t="str">
        <f>if(vlookup(B:B,'ILC4410'!B241:F8847,5,false)="","Y","N")</f>
        <v>Y</v>
      </c>
      <c r="X238" s="12" t="str">
        <f>if(vlookup(B:B,'JBV455'!B241:F9187,5,false)="","Y","N")</f>
        <v>Y</v>
      </c>
      <c r="Y238" s="12" t="str">
        <f>if(vlookup(B:B,'JBV462'!B241:F8680,5,false)="","Y","N")</f>
        <v>Y</v>
      </c>
      <c r="Z238" s="12" t="str">
        <f>if(vlookup(B:B,'JBV464'!B241:F8680,5,false)="","Y","N")</f>
        <v>Y</v>
      </c>
      <c r="AA238" s="12" t="str">
        <f>if(vlookup(B:B,'VDI208'!B173:F8680,5,false)="","Y","N")</f>
        <v>Y</v>
      </c>
      <c r="AB238" s="76" t="str">
        <f>if(vlookup(B:B,'STO2206'!B173:F8680,5,false)="","Y","N")</f>
        <v>Y</v>
      </c>
    </row>
    <row r="239">
      <c r="A239" s="67" t="str">
        <f t="shared" si="2"/>
        <v>Wed</v>
      </c>
      <c r="B239" s="69">
        <v>43684.0</v>
      </c>
      <c r="C239" s="12" t="str">
        <f>if(vlookup(B:B,'ILC1110'!$B104:F8681,5,false)="","Y","N")</f>
        <v>Y</v>
      </c>
      <c r="D239" s="12" t="str">
        <f>if(vlookup(B:B,'ILC1111'!$B104:F8688,5,false)="","Y","N")</f>
        <v>Y</v>
      </c>
      <c r="E239" s="12" t="str">
        <f>if(vlookup(B:B,'ILC1112'!$B104:F8681,5,false)="","Y","N")</f>
        <v>Y</v>
      </c>
      <c r="F239" s="12" t="str">
        <f>if(vlookup(B:B,'ILC1211'!B242:F8681,5,false)="","Y","N")</f>
        <v>Y</v>
      </c>
      <c r="G239" s="12" t="str">
        <f>if(vlookup(B:B,'ILC1213'!$B169:G8681,5,false)="","Y","N")</f>
        <v>Y</v>
      </c>
      <c r="H239" s="12" t="str">
        <f>if(vlookup(B:B,'ILC1314'!$B168:G981,5,false)="","Y","N")</f>
        <v>Y</v>
      </c>
      <c r="I239" s="12" t="str">
        <f>if(vlookup(B:B,'ILC1404'!B242:F8404,5,false)="","Y","N")</f>
        <v>Y</v>
      </c>
      <c r="J239" s="12" t="str">
        <f>if(vlookup(B:B,'ILC2203'!B205:F8404,5,false)="","Y","N")</f>
        <v>Y</v>
      </c>
      <c r="K239" s="12" t="str">
        <f>if(vlookup(B:B,'ILC2206'!B190:H370,5,false)="","Y","N")</f>
        <v>Y</v>
      </c>
      <c r="L239" s="12" t="str">
        <f>if(vlookup(B:B,'ILC2303'!B242:F8681,5,false)="","Y","N")</f>
        <v>N</v>
      </c>
      <c r="M239" s="12" t="str">
        <f>if(vlookup(B:B,'ILC2307'!B242:F9197,5,false)="","Y","N")</f>
        <v>Y</v>
      </c>
      <c r="N239" s="12" t="str">
        <f>if(vlookup(B:B,'ILC2313'!B242:F8836,5,false)="","Y","N")</f>
        <v>Y</v>
      </c>
      <c r="O239" s="12" t="str">
        <f>if(vlookup(B:B,'ILC2412'!B242:F8681,5,false)="","Y","N")</f>
        <v>Y</v>
      </c>
      <c r="P239" s="12" t="str">
        <f>if(vlookup(B:B,'ILC2413'!B242:F9179,5,false)="","Y","N")</f>
        <v>Y</v>
      </c>
      <c r="Q239" s="12" t="str">
        <f>if(vlookup(B:B,'ILC3104'!B242:F8724,5,false)="","Y","N")</f>
        <v>Y</v>
      </c>
      <c r="R239" s="12" t="str">
        <f>if(vlookup(B:B,'ILC3310'!B74:F8663,5,false)="","Y","N")</f>
        <v>Y</v>
      </c>
      <c r="S239" s="12" t="str">
        <f>if(vlookup(B:B,'ILC3312'!B242:F8681,5,false)="","Y","N")</f>
        <v>Y</v>
      </c>
      <c r="T239" s="12" t="str">
        <f>if(vlookup(B:B,'ILC3413'!B211:F8606,5,false)="","Y","N")</f>
        <v>Y</v>
      </c>
      <c r="U239" s="12" t="str">
        <f>if(vlookup(B:B,'ILC3415'!B239:F8631,5,false)="","Y","N")</f>
        <v>Y</v>
      </c>
      <c r="V239" s="12" t="str">
        <f>if(vlookup(B:B,'ILC4406'!B174:F8600,5,false)="","Y","N")</f>
        <v>Y</v>
      </c>
      <c r="W239" s="12" t="str">
        <f>if(vlookup(B:B,'ILC4410'!B242:F8848,5,false)="","Y","N")</f>
        <v>Y</v>
      </c>
      <c r="X239" s="12" t="str">
        <f>if(vlookup(B:B,'JBV455'!B242:F9188,5,false)="","Y","N")</f>
        <v>Y</v>
      </c>
      <c r="Y239" s="12" t="str">
        <f>if(vlookup(B:B,'JBV462'!B242:F8681,5,false)="","Y","N")</f>
        <v>Y</v>
      </c>
      <c r="Z239" s="12" t="str">
        <f>if(vlookup(B:B,'JBV464'!B242:F8681,5,false)="","Y","N")</f>
        <v>Y</v>
      </c>
      <c r="AA239" s="12" t="str">
        <f>if(vlookup(B:B,'VDI208'!B174:F8681,5,false)="","Y","N")</f>
        <v>Y</v>
      </c>
      <c r="AB239" s="76" t="str">
        <f>if(vlookup(B:B,'STO2206'!B174:F8681,5,false)="","Y","N")</f>
        <v>Y</v>
      </c>
    </row>
    <row r="240">
      <c r="A240" s="67" t="str">
        <f t="shared" si="2"/>
        <v>Thu</v>
      </c>
      <c r="B240" s="69">
        <v>43685.0</v>
      </c>
      <c r="C240" s="12" t="str">
        <f>if(vlookup(B:B,'ILC1110'!$B105:F8682,5,false)="","Y","N")</f>
        <v>N</v>
      </c>
      <c r="D240" s="12" t="str">
        <f>if(vlookup(B:B,'ILC1111'!$B105:F8689,5,false)="","Y","N")</f>
        <v>Y</v>
      </c>
      <c r="E240" s="12" t="str">
        <f>if(vlookup(B:B,'ILC1112'!$B105:F8682,5,false)="","Y","N")</f>
        <v>Y</v>
      </c>
      <c r="F240" s="12" t="str">
        <f>if(vlookup(B:B,'ILC1211'!B243:F8682,5,false)="","Y","N")</f>
        <v>Y</v>
      </c>
      <c r="G240" s="12" t="str">
        <f>if(vlookup(B:B,'ILC1213'!$B170:G8682,5,false)="","Y","N")</f>
        <v>Y</v>
      </c>
      <c r="H240" s="12" t="str">
        <f>if(vlookup(B:B,'ILC1314'!$B169:G982,5,false)="","Y","N")</f>
        <v>Y</v>
      </c>
      <c r="I240" s="12" t="str">
        <f>if(vlookup(B:B,'ILC1404'!B243:F8405,5,false)="","Y","N")</f>
        <v>Y</v>
      </c>
      <c r="J240" s="12" t="str">
        <f>if(vlookup(B:B,'ILC2203'!B206:F8405,5,false)="","Y","N")</f>
        <v>Y</v>
      </c>
      <c r="K240" s="12" t="str">
        <f>if(vlookup(B:B,'ILC2206'!B191:H370,5,false)="","Y","N")</f>
        <v>Y</v>
      </c>
      <c r="L240" s="12" t="str">
        <f>if(vlookup(B:B,'ILC2303'!B243:F8682,5,false)="","Y","N")</f>
        <v>N</v>
      </c>
      <c r="M240" s="12" t="str">
        <f>if(vlookup(B:B,'ILC2307'!B243:F9198,5,false)="","Y","N")</f>
        <v>Y</v>
      </c>
      <c r="N240" s="12" t="str">
        <f>if(vlookup(B:B,'ILC2313'!B243:F8837,5,false)="","Y","N")</f>
        <v>Y</v>
      </c>
      <c r="O240" s="12" t="str">
        <f>if(vlookup(B:B,'ILC2412'!B243:F8682,5,false)="","Y","N")</f>
        <v>Y</v>
      </c>
      <c r="P240" s="12" t="str">
        <f>if(vlookup(B:B,'ILC2413'!B243:F9180,5,false)="","Y","N")</f>
        <v>Y</v>
      </c>
      <c r="Q240" s="12" t="str">
        <f>if(vlookup(B:B,'ILC3104'!B243:F8725,5,false)="","Y","N")</f>
        <v>Y</v>
      </c>
      <c r="R240" s="12" t="str">
        <f>if(vlookup(B:B,'ILC3310'!B75:F8664,5,false)="","Y","N")</f>
        <v>Y</v>
      </c>
      <c r="S240" s="12" t="str">
        <f>if(vlookup(B:B,'ILC3312'!B243:F8682,5,false)="","Y","N")</f>
        <v>Y</v>
      </c>
      <c r="T240" s="12" t="str">
        <f>if(vlookup(B:B,'ILC3413'!B212:F8607,5,false)="","Y","N")</f>
        <v>Y</v>
      </c>
      <c r="U240" s="12" t="str">
        <f>if(vlookup(B:B,'ILC3415'!B240:F8632,5,false)="","Y","N")</f>
        <v>Y</v>
      </c>
      <c r="V240" s="12" t="str">
        <f>if(vlookup(B:B,'ILC4406'!B175:F8601,5,false)="","Y","N")</f>
        <v>Y</v>
      </c>
      <c r="W240" s="12" t="str">
        <f>if(vlookup(B:B,'ILC4410'!B243:F8849,5,false)="","Y","N")</f>
        <v>Y</v>
      </c>
      <c r="X240" s="12" t="str">
        <f>if(vlookup(B:B,'JBV455'!B243:F9189,5,false)="","Y","N")</f>
        <v>Y</v>
      </c>
      <c r="Y240" s="12" t="str">
        <f>if(vlookup(B:B,'JBV462'!B243:F8682,5,false)="","Y","N")</f>
        <v>Y</v>
      </c>
      <c r="Z240" s="12" t="str">
        <f>if(vlookup(B:B,'JBV464'!B243:F8682,5,false)="","Y","N")</f>
        <v>Y</v>
      </c>
      <c r="AA240" s="12" t="str">
        <f>if(vlookup(B:B,'VDI208'!B175:F8682,5,false)="","Y","N")</f>
        <v>Y</v>
      </c>
      <c r="AB240" s="76" t="str">
        <f>if(vlookup(B:B,'STO2206'!B175:F8682,5,false)="","Y","N")</f>
        <v>Y</v>
      </c>
    </row>
    <row r="241">
      <c r="A241" s="67" t="str">
        <f t="shared" si="2"/>
        <v>Fri</v>
      </c>
      <c r="B241" s="69">
        <v>43686.0</v>
      </c>
      <c r="C241" s="12" t="str">
        <f>if(vlookup(B:B,'ILC1110'!$B106:F8683,5,false)="","Y","N")</f>
        <v>N</v>
      </c>
      <c r="D241" s="12" t="str">
        <f>if(vlookup(B:B,'ILC1111'!$B106:F8690,5,false)="","Y","N")</f>
        <v>Y</v>
      </c>
      <c r="E241" s="12" t="str">
        <f>if(vlookup(B:B,'ILC1112'!$B106:F8683,5,false)="","Y","N")</f>
        <v>Y</v>
      </c>
      <c r="F241" s="12" t="str">
        <f>if(vlookup(B:B,'ILC1211'!B244:F8683,5,false)="","Y","N")</f>
        <v>Y</v>
      </c>
      <c r="G241" s="12" t="str">
        <f>if(vlookup(B:B,'ILC1213'!$B171:G8683,5,false)="","Y","N")</f>
        <v>Y</v>
      </c>
      <c r="H241" s="12" t="str">
        <f>if(vlookup(B:B,'ILC1314'!$B170:G983,5,false)="","Y","N")</f>
        <v>Y</v>
      </c>
      <c r="I241" s="12" t="str">
        <f>if(vlookup(B:B,'ILC1404'!B244:F8406,5,false)="","Y","N")</f>
        <v>Y</v>
      </c>
      <c r="J241" s="12" t="str">
        <f>if(vlookup(B:B,'ILC2203'!B207:F8406,5,false)="","Y","N")</f>
        <v>Y</v>
      </c>
      <c r="K241" s="12" t="str">
        <f>if(vlookup(B:B,'ILC2206'!B192:H370,5,false)="","Y","N")</f>
        <v>Y</v>
      </c>
      <c r="L241" s="12" t="str">
        <f>if(vlookup(B:B,'ILC2303'!B244:F8683,5,false)="","Y","N")</f>
        <v>N</v>
      </c>
      <c r="M241" s="12" t="str">
        <f>if(vlookup(B:B,'ILC2307'!B244:F9199,5,false)="","Y","N")</f>
        <v>Y</v>
      </c>
      <c r="N241" s="12" t="str">
        <f>if(vlookup(B:B,'ILC2313'!B244:F8838,5,false)="","Y","N")</f>
        <v>Y</v>
      </c>
      <c r="O241" s="12" t="str">
        <f>if(vlookup(B:B,'ILC2412'!B244:F8683,5,false)="","Y","N")</f>
        <v>Y</v>
      </c>
      <c r="P241" s="12" t="str">
        <f>if(vlookup(B:B,'ILC2413'!B244:F9181,5,false)="","Y","N")</f>
        <v>Y</v>
      </c>
      <c r="Q241" s="12" t="str">
        <f>if(vlookup(B:B,'ILC3104'!B244:F8726,5,false)="","Y","N")</f>
        <v>Y</v>
      </c>
      <c r="R241" s="12" t="str">
        <f>if(vlookup(B:B,'ILC3310'!B76:F8665,5,false)="","Y","N")</f>
        <v>Y</v>
      </c>
      <c r="S241" s="12" t="str">
        <f>if(vlookup(B:B,'ILC3312'!B244:F8683,5,false)="","Y","N")</f>
        <v>Y</v>
      </c>
      <c r="T241" s="12" t="str">
        <f>if(vlookup(B:B,'ILC3413'!B213:F8608,5,false)="","Y","N")</f>
        <v>Y</v>
      </c>
      <c r="U241" s="12" t="str">
        <f>if(vlookup(B:B,'ILC3415'!B241:F8633,5,false)="","Y","N")</f>
        <v>Y</v>
      </c>
      <c r="V241" s="12" t="str">
        <f>if(vlookup(B:B,'ILC4406'!B176:F8602,5,false)="","Y","N")</f>
        <v>Y</v>
      </c>
      <c r="W241" s="12" t="str">
        <f>if(vlookup(B:B,'ILC4410'!B244:F8850,5,false)="","Y","N")</f>
        <v>Y</v>
      </c>
      <c r="X241" s="12" t="str">
        <f>if(vlookup(B:B,'JBV455'!B244:F9190,5,false)="","Y","N")</f>
        <v>Y</v>
      </c>
      <c r="Y241" s="12" t="str">
        <f>if(vlookup(B:B,'JBV462'!B244:F8683,5,false)="","Y","N")</f>
        <v>Y</v>
      </c>
      <c r="Z241" s="12" t="str">
        <f>if(vlookup(B:B,'JBV464'!B244:F8683,5,false)="","Y","N")</f>
        <v>Y</v>
      </c>
      <c r="AA241" s="12" t="str">
        <f>if(vlookup(B:B,'VDI208'!B176:F8683,5,false)="","Y","N")</f>
        <v>Y</v>
      </c>
      <c r="AB241" s="76" t="str">
        <f>if(vlookup(B:B,'STO2206'!B176:F8683,5,false)="","Y","N")</f>
        <v>Y</v>
      </c>
    </row>
    <row r="242">
      <c r="A242" s="67" t="str">
        <f t="shared" si="2"/>
        <v>Sat</v>
      </c>
      <c r="B242" s="69">
        <v>43687.0</v>
      </c>
      <c r="C242" s="12" t="str">
        <f>if(vlookup(B:B,'ILC1110'!$B107:F8684,5,false)="","Y","N")</f>
        <v>N</v>
      </c>
      <c r="D242" s="12" t="str">
        <f>if(vlookup(B:B,'ILC1111'!$B107:F8691,5,false)="","Y","N")</f>
        <v>Y</v>
      </c>
      <c r="E242" s="12" t="str">
        <f>if(vlookup(B:B,'ILC1112'!$B107:F8684,5,false)="","Y","N")</f>
        <v>Y</v>
      </c>
      <c r="F242" s="12" t="str">
        <f>if(vlookup(B:B,'ILC1211'!B245:F8684,5,false)="","Y","N")</f>
        <v>Y</v>
      </c>
      <c r="G242" s="12" t="str">
        <f>if(vlookup(B:B,'ILC1213'!$B172:G8684,5,false)="","Y","N")</f>
        <v>Y</v>
      </c>
      <c r="H242" s="12" t="str">
        <f>if(vlookup(B:B,'ILC1314'!$B171:G984,5,false)="","Y","N")</f>
        <v>Y</v>
      </c>
      <c r="I242" s="12" t="str">
        <f>if(vlookup(B:B,'ILC1404'!B245:F8407,5,false)="","Y","N")</f>
        <v>Y</v>
      </c>
      <c r="J242" s="12" t="str">
        <f>if(vlookup(B:B,'ILC2203'!B208:F8407,5,false)="","Y","N")</f>
        <v>Y</v>
      </c>
      <c r="K242" s="12" t="str">
        <f>if(vlookup(B:B,'ILC2206'!B193:H370,5,false)="","Y","N")</f>
        <v>Y</v>
      </c>
      <c r="L242" s="12" t="str">
        <f>if(vlookup(B:B,'ILC2303'!B245:F8684,5,false)="","Y","N")</f>
        <v>N</v>
      </c>
      <c r="M242" s="12" t="str">
        <f>if(vlookup(B:B,'ILC2307'!B245:F9200,5,false)="","Y","N")</f>
        <v>Y</v>
      </c>
      <c r="N242" s="12" t="str">
        <f>if(vlookup(B:B,'ILC2313'!B245:F8839,5,false)="","Y","N")</f>
        <v>Y</v>
      </c>
      <c r="O242" s="12" t="str">
        <f>if(vlookup(B:B,'ILC2412'!B245:F8684,5,false)="","Y","N")</f>
        <v>Y</v>
      </c>
      <c r="P242" s="12" t="str">
        <f>if(vlookup(B:B,'ILC2413'!B245:F9182,5,false)="","Y","N")</f>
        <v>Y</v>
      </c>
      <c r="Q242" s="12" t="str">
        <f>if(vlookup(B:B,'ILC3104'!B245:F8727,5,false)="","Y","N")</f>
        <v>Y</v>
      </c>
      <c r="R242" s="12" t="str">
        <f>if(vlookup(B:B,'ILC3310'!B77:F8666,5,false)="","Y","N")</f>
        <v>Y</v>
      </c>
      <c r="S242" s="12" t="str">
        <f>if(vlookup(B:B,'ILC3312'!B245:F8684,5,false)="","Y","N")</f>
        <v>Y</v>
      </c>
      <c r="T242" s="12" t="str">
        <f>if(vlookup(B:B,'ILC3413'!B214:F8609,5,false)="","Y","N")</f>
        <v>Y</v>
      </c>
      <c r="U242" s="12" t="str">
        <f>if(vlookup(B:B,'ILC3415'!B242:F8634,5,false)="","Y","N")</f>
        <v>Y</v>
      </c>
      <c r="V242" s="12" t="str">
        <f>if(vlookup(B:B,'ILC4406'!B177:F8603,5,false)="","Y","N")</f>
        <v>Y</v>
      </c>
      <c r="W242" s="12" t="str">
        <f>if(vlookup(B:B,'ILC4410'!B245:F8851,5,false)="","Y","N")</f>
        <v>Y</v>
      </c>
      <c r="X242" s="12" t="str">
        <f>if(vlookup(B:B,'JBV455'!B245:F9191,5,false)="","Y","N")</f>
        <v>Y</v>
      </c>
      <c r="Y242" s="12" t="str">
        <f>if(vlookup(B:B,'JBV462'!B245:F8684,5,false)="","Y","N")</f>
        <v>Y</v>
      </c>
      <c r="Z242" s="12" t="str">
        <f>if(vlookup(B:B,'JBV464'!B245:F8684,5,false)="","Y","N")</f>
        <v>Y</v>
      </c>
      <c r="AA242" s="12" t="str">
        <f>if(vlookup(B:B,'VDI208'!B177:F8684,5,false)="","Y","N")</f>
        <v>Y</v>
      </c>
      <c r="AB242" s="76" t="str">
        <f>if(vlookup(B:B,'STO2206'!B177:F8684,5,false)="","Y","N")</f>
        <v>Y</v>
      </c>
    </row>
    <row r="243">
      <c r="A243" s="67" t="str">
        <f t="shared" si="2"/>
        <v>Sun</v>
      </c>
      <c r="B243" s="69">
        <v>43688.0</v>
      </c>
      <c r="C243" s="12" t="str">
        <f>if(vlookup(B:B,'ILC1110'!$B108:F8685,5,false)="","Y","N")</f>
        <v>N</v>
      </c>
      <c r="D243" s="12" t="str">
        <f>if(vlookup(B:B,'ILC1111'!$B108:F8692,5,false)="","Y","N")</f>
        <v>Y</v>
      </c>
      <c r="E243" s="12" t="str">
        <f>if(vlookup(B:B,'ILC1112'!$B108:F8685,5,false)="","Y","N")</f>
        <v>Y</v>
      </c>
      <c r="F243" s="12" t="str">
        <f>if(vlookup(B:B,'ILC1211'!B246:F8685,5,false)="","Y","N")</f>
        <v>Y</v>
      </c>
      <c r="G243" s="12" t="str">
        <f>if(vlookup(B:B,'ILC1213'!$B173:G8685,5,false)="","Y","N")</f>
        <v>Y</v>
      </c>
      <c r="H243" s="12" t="str">
        <f>if(vlookup(B:B,'ILC1314'!$B172:G985,5,false)="","Y","N")</f>
        <v>Y</v>
      </c>
      <c r="I243" s="12" t="str">
        <f>if(vlookup(B:B,'ILC1404'!B246:F8408,5,false)="","Y","N")</f>
        <v>Y</v>
      </c>
      <c r="J243" s="12" t="str">
        <f>if(vlookup(B:B,'ILC2203'!B209:F8408,5,false)="","Y","N")</f>
        <v>Y</v>
      </c>
      <c r="K243" s="12" t="str">
        <f>if(vlookup(B:B,'ILC2206'!B194:H370,5,false)="","Y","N")</f>
        <v>Y</v>
      </c>
      <c r="L243" s="12" t="str">
        <f>if(vlookup(B:B,'ILC2303'!B246:F8685,5,false)="","Y","N")</f>
        <v>N</v>
      </c>
      <c r="M243" s="12" t="str">
        <f>if(vlookup(B:B,'ILC2307'!B246:F9201,5,false)="","Y","N")</f>
        <v>Y</v>
      </c>
      <c r="N243" s="12" t="str">
        <f>if(vlookup(B:B,'ILC2313'!B246:F8840,5,false)="","Y","N")</f>
        <v>Y</v>
      </c>
      <c r="O243" s="12" t="str">
        <f>if(vlookup(B:B,'ILC2412'!B246:F8685,5,false)="","Y","N")</f>
        <v>Y</v>
      </c>
      <c r="P243" s="12" t="str">
        <f>if(vlookup(B:B,'ILC2413'!B246:F9183,5,false)="","Y","N")</f>
        <v>Y</v>
      </c>
      <c r="Q243" s="12" t="str">
        <f>if(vlookup(B:B,'ILC3104'!B246:F8728,5,false)="","Y","N")</f>
        <v>Y</v>
      </c>
      <c r="R243" s="12" t="str">
        <f>if(vlookup(B:B,'ILC3310'!B78:F8667,5,false)="","Y","N")</f>
        <v>Y</v>
      </c>
      <c r="S243" s="12" t="str">
        <f>if(vlookup(B:B,'ILC3312'!B246:F8685,5,false)="","Y","N")</f>
        <v>Y</v>
      </c>
      <c r="T243" s="12" t="str">
        <f>if(vlookup(B:B,'ILC3413'!B215:F8610,5,false)="","Y","N")</f>
        <v>Y</v>
      </c>
      <c r="U243" s="12" t="str">
        <f>if(vlookup(B:B,'ILC3415'!B243:F8635,5,false)="","Y","N")</f>
        <v>Y</v>
      </c>
      <c r="V243" s="12" t="str">
        <f>if(vlookup(B:B,'ILC4406'!B178:F8604,5,false)="","Y","N")</f>
        <v>Y</v>
      </c>
      <c r="W243" s="12" t="str">
        <f>if(vlookup(B:B,'ILC4410'!B246:F8852,5,false)="","Y","N")</f>
        <v>Y</v>
      </c>
      <c r="X243" s="12" t="str">
        <f>if(vlookup(B:B,'JBV455'!B246:F9192,5,false)="","Y","N")</f>
        <v>Y</v>
      </c>
      <c r="Y243" s="12" t="str">
        <f>if(vlookup(B:B,'JBV462'!B246:F8685,5,false)="","Y","N")</f>
        <v>Y</v>
      </c>
      <c r="Z243" s="12" t="str">
        <f>if(vlookup(B:B,'JBV464'!B246:F8685,5,false)="","Y","N")</f>
        <v>Y</v>
      </c>
      <c r="AA243" s="12" t="str">
        <f>if(vlookup(B:B,'VDI208'!B178:F8685,5,false)="","Y","N")</f>
        <v>Y</v>
      </c>
      <c r="AB243" s="76" t="str">
        <f>if(vlookup(B:B,'STO2206'!B178:F8685,5,false)="","Y","N")</f>
        <v>Y</v>
      </c>
    </row>
    <row r="244">
      <c r="A244" s="67" t="str">
        <f t="shared" si="2"/>
        <v>Mon</v>
      </c>
      <c r="B244" s="69">
        <v>43689.0</v>
      </c>
      <c r="C244" s="12" t="str">
        <f>if(vlookup(B:B,'ILC1110'!$B109:F8686,5,false)="","Y","N")</f>
        <v>N</v>
      </c>
      <c r="D244" s="12" t="str">
        <f>if(vlookup(B:B,'ILC1111'!$B109:F8693,5,false)="","Y","N")</f>
        <v>Y</v>
      </c>
      <c r="E244" s="12" t="str">
        <f>if(vlookup(B:B,'ILC1112'!$B109:F8686,5,false)="","Y","N")</f>
        <v>Y</v>
      </c>
      <c r="F244" s="12" t="str">
        <f>if(vlookup(B:B,'ILC1211'!B247:F8686,5,false)="","Y","N")</f>
        <v>Y</v>
      </c>
      <c r="G244" s="12" t="str">
        <f>if(vlookup(B:B,'ILC1213'!$B174:G8686,5,false)="","Y","N")</f>
        <v>Y</v>
      </c>
      <c r="H244" s="12" t="str">
        <f>if(vlookup(B:B,'ILC1314'!$B173:G986,5,false)="","Y","N")</f>
        <v>Y</v>
      </c>
      <c r="I244" s="12" t="str">
        <f>if(vlookup(B:B,'ILC1404'!B247:F8409,5,false)="","Y","N")</f>
        <v>Y</v>
      </c>
      <c r="J244" s="12" t="str">
        <f>if(vlookup(B:B,'ILC2203'!B210:F8409,5,false)="","Y","N")</f>
        <v>Y</v>
      </c>
      <c r="K244" s="12" t="str">
        <f>if(vlookup(B:B,'ILC2206'!B195:H370,5,false)="","Y","N")</f>
        <v>Y</v>
      </c>
      <c r="L244" s="12" t="str">
        <f>if(vlookup(B:B,'ILC2303'!B247:F8686,5,false)="","Y","N")</f>
        <v>N</v>
      </c>
      <c r="M244" s="12" t="str">
        <f>if(vlookup(B:B,'ILC2307'!B247:F9202,5,false)="","Y","N")</f>
        <v>Y</v>
      </c>
      <c r="N244" s="12" t="str">
        <f>if(vlookup(B:B,'ILC2313'!B247:F8841,5,false)="","Y","N")</f>
        <v>Y</v>
      </c>
      <c r="O244" s="12" t="str">
        <f>if(vlookup(B:B,'ILC2412'!B247:F8686,5,false)="","Y","N")</f>
        <v>Y</v>
      </c>
      <c r="P244" s="12" t="str">
        <f>if(vlookup(B:B,'ILC2413'!B247:F9184,5,false)="","Y","N")</f>
        <v>Y</v>
      </c>
      <c r="Q244" s="12" t="str">
        <f>if(vlookup(B:B,'ILC3104'!B247:F8729,5,false)="","Y","N")</f>
        <v>Y</v>
      </c>
      <c r="R244" s="12" t="str">
        <f>if(vlookup(B:B,'ILC3310'!B79:F8668,5,false)="","Y","N")</f>
        <v>Y</v>
      </c>
      <c r="S244" s="12" t="str">
        <f>if(vlookup(B:B,'ILC3312'!B247:F8686,5,false)="","Y","N")</f>
        <v>Y</v>
      </c>
      <c r="T244" s="12" t="str">
        <f>if(vlookup(B:B,'ILC3413'!B216:F8611,5,false)="","Y","N")</f>
        <v>Y</v>
      </c>
      <c r="U244" s="12" t="str">
        <f>if(vlookup(B:B,'ILC3415'!B244:F8636,5,false)="","Y","N")</f>
        <v>Y</v>
      </c>
      <c r="V244" s="12" t="str">
        <f>if(vlookup(B:B,'ILC4406'!B179:F8605,5,false)="","Y","N")</f>
        <v>Y</v>
      </c>
      <c r="W244" s="12" t="str">
        <f>if(vlookup(B:B,'ILC4410'!B247:F8853,5,false)="","Y","N")</f>
        <v>Y</v>
      </c>
      <c r="X244" s="12" t="str">
        <f>if(vlookup(B:B,'JBV455'!B247:F9193,5,false)="","Y","N")</f>
        <v>Y</v>
      </c>
      <c r="Y244" s="12" t="str">
        <f>if(vlookup(B:B,'JBV462'!B247:F8686,5,false)="","Y","N")</f>
        <v>Y</v>
      </c>
      <c r="Z244" s="12" t="str">
        <f>if(vlookup(B:B,'JBV464'!B247:F8686,5,false)="","Y","N")</f>
        <v>Y</v>
      </c>
      <c r="AA244" s="12" t="str">
        <f>if(vlookup(B:B,'VDI208'!B179:F8686,5,false)="","Y","N")</f>
        <v>Y</v>
      </c>
      <c r="AB244" s="76" t="str">
        <f>if(vlookup(B:B,'STO2206'!B179:F8686,5,false)="","Y","N")</f>
        <v>Y</v>
      </c>
    </row>
    <row r="245">
      <c r="A245" s="67" t="str">
        <f t="shared" si="2"/>
        <v>Tue</v>
      </c>
      <c r="B245" s="69">
        <v>43690.0</v>
      </c>
      <c r="C245" s="12" t="str">
        <f>if(vlookup(B:B,'ILC1110'!$B110:F8687,5,false)="","Y","N")</f>
        <v>N</v>
      </c>
      <c r="D245" s="12" t="str">
        <f>if(vlookup(B:B,'ILC1111'!$B110:F8694,5,false)="","Y","N")</f>
        <v>Y</v>
      </c>
      <c r="E245" s="12" t="str">
        <f>if(vlookup(B:B,'ILC1112'!$B110:F8687,5,false)="","Y","N")</f>
        <v>Y</v>
      </c>
      <c r="F245" s="12" t="str">
        <f>if(vlookup(B:B,'ILC1211'!B248:F8687,5,false)="","Y","N")</f>
        <v>Y</v>
      </c>
      <c r="G245" s="12" t="str">
        <f>if(vlookup(B:B,'ILC1213'!$B175:G8687,5,false)="","Y","N")</f>
        <v>Y</v>
      </c>
      <c r="H245" s="12" t="str">
        <f>if(vlookup(B:B,'ILC1314'!$B174:G987,5,false)="","Y","N")</f>
        <v>Y</v>
      </c>
      <c r="I245" s="12" t="str">
        <f>if(vlookup(B:B,'ILC1404'!B248:F8410,5,false)="","Y","N")</f>
        <v>Y</v>
      </c>
      <c r="J245" s="12" t="str">
        <f>if(vlookup(B:B,'ILC2203'!B211:F8410,5,false)="","Y","N")</f>
        <v>Y</v>
      </c>
      <c r="K245" s="12" t="str">
        <f>if(vlookup(B:B,'ILC2206'!B196:H370,5,false)="","Y","N")</f>
        <v>Y</v>
      </c>
      <c r="L245" s="12" t="str">
        <f>if(vlookup(B:B,'ILC2303'!B248:F8687,5,false)="","Y","N")</f>
        <v>N</v>
      </c>
      <c r="M245" s="12" t="str">
        <f>if(vlookup(B:B,'ILC2307'!B248:F9203,5,false)="","Y","N")</f>
        <v>Y</v>
      </c>
      <c r="N245" s="12" t="str">
        <f>if(vlookup(B:B,'ILC2313'!B248:F8842,5,false)="","Y","N")</f>
        <v>Y</v>
      </c>
      <c r="O245" s="12" t="str">
        <f>if(vlookup(B:B,'ILC2412'!B248:F8687,5,false)="","Y","N")</f>
        <v>Y</v>
      </c>
      <c r="P245" s="12" t="str">
        <f>if(vlookup(B:B,'ILC2413'!B248:F9185,5,false)="","Y","N")</f>
        <v>Y</v>
      </c>
      <c r="Q245" s="12" t="str">
        <f>if(vlookup(B:B,'ILC3104'!B248:F8730,5,false)="","Y","N")</f>
        <v>Y</v>
      </c>
      <c r="R245" s="12" t="str">
        <f>if(vlookup(B:B,'ILC3310'!B80:F8669,5,false)="","Y","N")</f>
        <v>Y</v>
      </c>
      <c r="S245" s="12" t="str">
        <f>if(vlookup(B:B,'ILC3312'!B248:F8687,5,false)="","Y","N")</f>
        <v>Y</v>
      </c>
      <c r="T245" s="12" t="str">
        <f>if(vlookup(B:B,'ILC3413'!B217:F8612,5,false)="","Y","N")</f>
        <v>Y</v>
      </c>
      <c r="U245" s="12" t="str">
        <f>if(vlookup(B:B,'ILC3415'!B245:F8637,5,false)="","Y","N")</f>
        <v>Y</v>
      </c>
      <c r="V245" s="12" t="str">
        <f>if(vlookup(B:B,'ILC4406'!B180:F8606,5,false)="","Y","N")</f>
        <v>Y</v>
      </c>
      <c r="W245" s="12" t="str">
        <f>if(vlookup(B:B,'ILC4410'!B248:F8854,5,false)="","Y","N")</f>
        <v>Y</v>
      </c>
      <c r="X245" s="12" t="str">
        <f>if(vlookup(B:B,'JBV455'!B248:F9194,5,false)="","Y","N")</f>
        <v>Y</v>
      </c>
      <c r="Y245" s="12" t="str">
        <f>if(vlookup(B:B,'JBV462'!B248:F8687,5,false)="","Y","N")</f>
        <v>Y</v>
      </c>
      <c r="Z245" s="12" t="str">
        <f>if(vlookup(B:B,'JBV464'!B248:F8687,5,false)="","Y","N")</f>
        <v>Y</v>
      </c>
      <c r="AA245" s="12" t="str">
        <f>if(vlookup(B:B,'VDI208'!B180:F8687,5,false)="","Y","N")</f>
        <v>Y</v>
      </c>
      <c r="AB245" s="76" t="str">
        <f>if(vlookup(B:B,'STO2206'!B180:F8687,5,false)="","Y","N")</f>
        <v>Y</v>
      </c>
    </row>
    <row r="246">
      <c r="A246" s="67" t="str">
        <f t="shared" si="2"/>
        <v>Wed</v>
      </c>
      <c r="B246" s="69">
        <v>43691.0</v>
      </c>
      <c r="C246" s="12" t="str">
        <f>if(vlookup(B:B,'ILC1110'!$B111:F8688,5,false)="","Y","N")</f>
        <v>N</v>
      </c>
      <c r="D246" s="12" t="str">
        <f>if(vlookup(B:B,'ILC1111'!$B111:F8695,5,false)="","Y","N")</f>
        <v>Y</v>
      </c>
      <c r="E246" s="12" t="str">
        <f>if(vlookup(B:B,'ILC1112'!$B111:F8688,5,false)="","Y","N")</f>
        <v>Y</v>
      </c>
      <c r="F246" s="12" t="str">
        <f>if(vlookup(B:B,'ILC1211'!B249:F8688,5,false)="","Y","N")</f>
        <v>Y</v>
      </c>
      <c r="G246" s="12" t="str">
        <f>if(vlookup(B:B,'ILC1213'!$B176:G8688,5,false)="","Y","N")</f>
        <v>Y</v>
      </c>
      <c r="H246" s="12" t="str">
        <f>if(vlookup(B:B,'ILC1314'!$B175:G988,5,false)="","Y","N")</f>
        <v>Y</v>
      </c>
      <c r="I246" s="12" t="str">
        <f>if(vlookup(B:B,'ILC1404'!B249:F8411,5,false)="","Y","N")</f>
        <v>Y</v>
      </c>
      <c r="J246" s="12" t="str">
        <f>if(vlookup(B:B,'ILC2203'!B212:F8411,5,false)="","Y","N")</f>
        <v>Y</v>
      </c>
      <c r="K246" s="12" t="str">
        <f>if(vlookup(B:B,'ILC2206'!B197:H370,5,false)="","Y","N")</f>
        <v>Y</v>
      </c>
      <c r="L246" s="12" t="str">
        <f>if(vlookup(B:B,'ILC2303'!B249:F8688,5,false)="","Y","N")</f>
        <v>N</v>
      </c>
      <c r="M246" s="12" t="str">
        <f>if(vlookup(B:B,'ILC2307'!B249:F9204,5,false)="","Y","N")</f>
        <v>Y</v>
      </c>
      <c r="N246" s="12" t="str">
        <f>if(vlookup(B:B,'ILC2313'!B249:F8843,5,false)="","Y","N")</f>
        <v>Y</v>
      </c>
      <c r="O246" s="12" t="str">
        <f>if(vlookup(B:B,'ILC2412'!B249:F8688,5,false)="","Y","N")</f>
        <v>Y</v>
      </c>
      <c r="P246" s="12" t="str">
        <f>if(vlookup(B:B,'ILC2413'!B249:F9186,5,false)="","Y","N")</f>
        <v>Y</v>
      </c>
      <c r="Q246" s="12" t="str">
        <f>if(vlookup(B:B,'ILC3104'!B249:F8731,5,false)="","Y","N")</f>
        <v>Y</v>
      </c>
      <c r="R246" s="12" t="str">
        <f>if(vlookup(B:B,'ILC3310'!B81:F8670,5,false)="","Y","N")</f>
        <v>Y</v>
      </c>
      <c r="S246" s="12" t="str">
        <f>if(vlookup(B:B,'ILC3312'!B249:F8688,5,false)="","Y","N")</f>
        <v>Y</v>
      </c>
      <c r="T246" s="12" t="str">
        <f>if(vlookup(B:B,'ILC3413'!B218:F8613,5,false)="","Y","N")</f>
        <v>Y</v>
      </c>
      <c r="U246" s="12" t="str">
        <f>if(vlookup(B:B,'ILC3415'!B246:F8638,5,false)="","Y","N")</f>
        <v>Y</v>
      </c>
      <c r="V246" s="12" t="str">
        <f>if(vlookup(B:B,'ILC4406'!B181:F8607,5,false)="","Y","N")</f>
        <v>Y</v>
      </c>
      <c r="W246" s="12" t="str">
        <f>if(vlookup(B:B,'ILC4410'!B249:F8855,5,false)="","Y","N")</f>
        <v>Y</v>
      </c>
      <c r="X246" s="12" t="str">
        <f>if(vlookup(B:B,'JBV455'!B249:F9195,5,false)="","Y","N")</f>
        <v>Y</v>
      </c>
      <c r="Y246" s="12" t="str">
        <f>if(vlookup(B:B,'JBV462'!B249:F8688,5,false)="","Y","N")</f>
        <v>Y</v>
      </c>
      <c r="Z246" s="12" t="str">
        <f>if(vlookup(B:B,'JBV464'!B249:F8688,5,false)="","Y","N")</f>
        <v>Y</v>
      </c>
      <c r="AA246" s="12" t="str">
        <f>if(vlookup(B:B,'VDI208'!B181:F8688,5,false)="","Y","N")</f>
        <v>Y</v>
      </c>
      <c r="AB246" s="76" t="str">
        <f>if(vlookup(B:B,'STO2206'!B181:F8688,5,false)="","Y","N")</f>
        <v>Y</v>
      </c>
    </row>
    <row r="247">
      <c r="A247" s="67" t="str">
        <f t="shared" si="2"/>
        <v>Thu</v>
      </c>
      <c r="B247" s="69">
        <v>43692.0</v>
      </c>
      <c r="C247" s="12" t="str">
        <f>if(vlookup(B:B,'ILC1110'!$B112:F8689,5,false)="","Y","N")</f>
        <v>Y</v>
      </c>
      <c r="D247" s="12" t="str">
        <f>if(vlookup(B:B,'ILC1111'!$B112:F8696,5,false)="","Y","N")</f>
        <v>Y</v>
      </c>
      <c r="E247" s="12" t="str">
        <f>if(vlookup(B:B,'ILC1112'!$B112:F8689,5,false)="","Y","N")</f>
        <v>Y</v>
      </c>
      <c r="F247" s="12" t="str">
        <f>if(vlookup(B:B,'ILC1211'!B250:F8689,5,false)="","Y","N")</f>
        <v>Y</v>
      </c>
      <c r="G247" s="12" t="str">
        <f>if(vlookup(B:B,'ILC1213'!$B177:G8689,5,false)="","Y","N")</f>
        <v>Y</v>
      </c>
      <c r="H247" s="12" t="str">
        <f>if(vlookup(B:B,'ILC1314'!$B176:G989,5,false)="","Y","N")</f>
        <v>Y</v>
      </c>
      <c r="I247" s="12" t="str">
        <f>if(vlookup(B:B,'ILC1404'!B250:F8412,5,false)="","Y","N")</f>
        <v>Y</v>
      </c>
      <c r="J247" s="12" t="str">
        <f>if(vlookup(B:B,'ILC2203'!B213:F8412,5,false)="","Y","N")</f>
        <v>Y</v>
      </c>
      <c r="K247" s="12" t="str">
        <f>if(vlookup(B:B,'ILC2206'!B198:H370,5,false)="","Y","N")</f>
        <v>Y</v>
      </c>
      <c r="L247" s="12" t="str">
        <f>if(vlookup(B:B,'ILC2303'!B250:F8689,5,false)="","Y","N")</f>
        <v>N</v>
      </c>
      <c r="M247" s="12" t="str">
        <f>if(vlookup(B:B,'ILC2307'!B250:F9205,5,false)="","Y","N")</f>
        <v>Y</v>
      </c>
      <c r="N247" s="12" t="str">
        <f>if(vlookup(B:B,'ILC2313'!B250:F8844,5,false)="","Y","N")</f>
        <v>Y</v>
      </c>
      <c r="O247" s="12" t="str">
        <f>if(vlookup(B:B,'ILC2412'!B250:F8689,5,false)="","Y","N")</f>
        <v>Y</v>
      </c>
      <c r="P247" s="12" t="str">
        <f>if(vlookup(B:B,'ILC2413'!B250:F9187,5,false)="","Y","N")</f>
        <v>Y</v>
      </c>
      <c r="Q247" s="12" t="str">
        <f>if(vlookup(B:B,'ILC3104'!B250:F8732,5,false)="","Y","N")</f>
        <v>Y</v>
      </c>
      <c r="R247" s="12" t="str">
        <f>if(vlookup(B:B,'ILC3310'!B82:F8671,5,false)="","Y","N")</f>
        <v>Y</v>
      </c>
      <c r="S247" s="12" t="str">
        <f>if(vlookup(B:B,'ILC3312'!B250:F8689,5,false)="","Y","N")</f>
        <v>Y</v>
      </c>
      <c r="T247" s="12" t="str">
        <f>if(vlookup(B:B,'ILC3413'!B219:F8614,5,false)="","Y","N")</f>
        <v>Y</v>
      </c>
      <c r="U247" s="12" t="str">
        <f>if(vlookup(B:B,'ILC3415'!B247:F8639,5,false)="","Y","N")</f>
        <v>Y</v>
      </c>
      <c r="V247" s="12" t="str">
        <f>if(vlookup(B:B,'ILC4406'!B182:F8608,5,false)="","Y","N")</f>
        <v>Y</v>
      </c>
      <c r="W247" s="12" t="str">
        <f>if(vlookup(B:B,'ILC4410'!B250:F8856,5,false)="","Y","N")</f>
        <v>Y</v>
      </c>
      <c r="X247" s="12" t="str">
        <f>if(vlookup(B:B,'JBV455'!B250:F9196,5,false)="","Y","N")</f>
        <v>Y</v>
      </c>
      <c r="Y247" s="12" t="str">
        <f>if(vlookup(B:B,'JBV462'!B250:F8689,5,false)="","Y","N")</f>
        <v>Y</v>
      </c>
      <c r="Z247" s="12" t="str">
        <f>if(vlookup(B:B,'JBV464'!B250:F8689,5,false)="","Y","N")</f>
        <v>Y</v>
      </c>
      <c r="AA247" s="12" t="str">
        <f>if(vlookup(B:B,'VDI208'!B182:F8689,5,false)="","Y","N")</f>
        <v>Y</v>
      </c>
      <c r="AB247" s="76" t="str">
        <f>if(vlookup(B:B,'STO2206'!B182:F8689,5,false)="","Y","N")</f>
        <v>Y</v>
      </c>
    </row>
    <row r="248">
      <c r="A248" s="67" t="str">
        <f t="shared" si="2"/>
        <v>Fri</v>
      </c>
      <c r="B248" s="69">
        <v>43693.0</v>
      </c>
      <c r="C248" s="12" t="str">
        <f>if(vlookup(B:B,'ILC1110'!$B113:F8690,5,false)="","Y","N")</f>
        <v>Y</v>
      </c>
      <c r="D248" s="12" t="str">
        <f>if(vlookup(B:B,'ILC1111'!$B113:F8697,5,false)="","Y","N")</f>
        <v>Y</v>
      </c>
      <c r="E248" s="12" t="str">
        <f>if(vlookup(B:B,'ILC1112'!$B113:F8690,5,false)="","Y","N")</f>
        <v>Y</v>
      </c>
      <c r="F248" s="12" t="str">
        <f>if(vlookup(B:B,'ILC1211'!B251:F8690,5,false)="","Y","N")</f>
        <v>Y</v>
      </c>
      <c r="G248" s="12" t="str">
        <f>if(vlookup(B:B,'ILC1213'!$B178:G8690,5,false)="","Y","N")</f>
        <v>Y</v>
      </c>
      <c r="H248" s="12" t="str">
        <f>if(vlookup(B:B,'ILC1314'!$B177:G990,5,false)="","Y","N")</f>
        <v>Y</v>
      </c>
      <c r="I248" s="12" t="str">
        <f>if(vlookup(B:B,'ILC1404'!B251:F8413,5,false)="","Y","N")</f>
        <v>Y</v>
      </c>
      <c r="J248" s="12" t="str">
        <f>if(vlookup(B:B,'ILC2203'!B214:F8413,5,false)="","Y","N")</f>
        <v>Y</v>
      </c>
      <c r="K248" s="12" t="str">
        <f>if(vlookup(B:B,'ILC2206'!B199:H370,5,false)="","Y","N")</f>
        <v>Y</v>
      </c>
      <c r="L248" s="12" t="str">
        <f>if(vlookup(B:B,'ILC2303'!B251:F8690,5,false)="","Y","N")</f>
        <v>N</v>
      </c>
      <c r="M248" s="12" t="str">
        <f>if(vlookup(B:B,'ILC2307'!B251:F9206,5,false)="","Y","N")</f>
        <v>Y</v>
      </c>
      <c r="N248" s="12" t="str">
        <f>if(vlookup(B:B,'ILC2313'!B251:F8845,5,false)="","Y","N")</f>
        <v>Y</v>
      </c>
      <c r="O248" s="12" t="str">
        <f>if(vlookup(B:B,'ILC2412'!B251:F8690,5,false)="","Y","N")</f>
        <v>Y</v>
      </c>
      <c r="P248" s="12" t="str">
        <f>if(vlookup(B:B,'ILC2413'!B251:F9188,5,false)="","Y","N")</f>
        <v>Y</v>
      </c>
      <c r="Q248" s="12" t="str">
        <f>if(vlookup(B:B,'ILC3104'!B251:F8733,5,false)="","Y","N")</f>
        <v>Y</v>
      </c>
      <c r="R248" s="12" t="str">
        <f>if(vlookup(B:B,'ILC3310'!B83:F8672,5,false)="","Y","N")</f>
        <v>Y</v>
      </c>
      <c r="S248" s="12" t="str">
        <f>if(vlookup(B:B,'ILC3312'!B251:F8690,5,false)="","Y","N")</f>
        <v>Y</v>
      </c>
      <c r="T248" s="12" t="str">
        <f>if(vlookup(B:B,'ILC3413'!B220:F8615,5,false)="","Y","N")</f>
        <v>Y</v>
      </c>
      <c r="U248" s="12" t="str">
        <f>if(vlookup(B:B,'ILC3415'!B248:F8640,5,false)="","Y","N")</f>
        <v>Y</v>
      </c>
      <c r="V248" s="12" t="str">
        <f>if(vlookup(B:B,'ILC4406'!B183:F8609,5,false)="","Y","N")</f>
        <v>Y</v>
      </c>
      <c r="W248" s="12" t="str">
        <f>if(vlookup(B:B,'ILC4410'!B251:F8857,5,false)="","Y","N")</f>
        <v>Y</v>
      </c>
      <c r="X248" s="12" t="str">
        <f>if(vlookup(B:B,'JBV455'!B251:F9197,5,false)="","Y","N")</f>
        <v>Y</v>
      </c>
      <c r="Y248" s="12" t="str">
        <f>if(vlookup(B:B,'JBV462'!B251:F8690,5,false)="","Y","N")</f>
        <v>Y</v>
      </c>
      <c r="Z248" s="12" t="str">
        <f>if(vlookup(B:B,'JBV464'!B251:F8690,5,false)="","Y","N")</f>
        <v>Y</v>
      </c>
      <c r="AA248" s="12" t="str">
        <f>if(vlookup(B:B,'VDI208'!B183:F8690,5,false)="","Y","N")</f>
        <v>Y</v>
      </c>
      <c r="AB248" s="76" t="str">
        <f>if(vlookup(B:B,'STO2206'!B183:F8690,5,false)="","Y","N")</f>
        <v>Y</v>
      </c>
    </row>
    <row r="249">
      <c r="A249" s="67" t="str">
        <f t="shared" si="2"/>
        <v>Sat</v>
      </c>
      <c r="B249" s="69">
        <v>43694.0</v>
      </c>
      <c r="C249" s="12" t="str">
        <f>if(vlookup(B:B,'ILC1110'!$B114:F8691,5,false)="","Y","N")</f>
        <v>Y</v>
      </c>
      <c r="D249" s="12" t="str">
        <f>if(vlookup(B:B,'ILC1111'!$B114:F8698,5,false)="","Y","N")</f>
        <v>Y</v>
      </c>
      <c r="E249" s="12" t="str">
        <f>if(vlookup(B:B,'ILC1112'!$B114:F8691,5,false)="","Y","N")</f>
        <v>Y</v>
      </c>
      <c r="F249" s="12" t="str">
        <f>if(vlookup(B:B,'ILC1211'!B252:F8691,5,false)="","Y","N")</f>
        <v>Y</v>
      </c>
      <c r="G249" s="12" t="str">
        <f>if(vlookup(B:B,'ILC1213'!$B179:G8691,5,false)="","Y","N")</f>
        <v>Y</v>
      </c>
      <c r="H249" s="12" t="str">
        <f>if(vlookup(B:B,'ILC1314'!$B178:G991,5,false)="","Y","N")</f>
        <v>Y</v>
      </c>
      <c r="I249" s="12" t="str">
        <f>if(vlookup(B:B,'ILC1404'!B252:F8414,5,false)="","Y","N")</f>
        <v>Y</v>
      </c>
      <c r="J249" s="12" t="str">
        <f>if(vlookup(B:B,'ILC2203'!B215:F8414,5,false)="","Y","N")</f>
        <v>Y</v>
      </c>
      <c r="K249" s="12" t="str">
        <f>if(vlookup(B:B,'ILC2206'!B200:H370,5,false)="","Y","N")</f>
        <v>Y</v>
      </c>
      <c r="L249" s="12" t="str">
        <f>if(vlookup(B:B,'ILC2303'!B252:F8691,5,false)="","Y","N")</f>
        <v>N</v>
      </c>
      <c r="M249" s="12" t="str">
        <f>if(vlookup(B:B,'ILC2307'!B252:F9207,5,false)="","Y","N")</f>
        <v>Y</v>
      </c>
      <c r="N249" s="12" t="str">
        <f>if(vlookup(B:B,'ILC2313'!B252:F8846,5,false)="","Y","N")</f>
        <v>Y</v>
      </c>
      <c r="O249" s="12" t="str">
        <f>if(vlookup(B:B,'ILC2412'!B252:F8691,5,false)="","Y","N")</f>
        <v>Y</v>
      </c>
      <c r="P249" s="12" t="str">
        <f>if(vlookup(B:B,'ILC2413'!B252:F9189,5,false)="","Y","N")</f>
        <v>Y</v>
      </c>
      <c r="Q249" s="12" t="str">
        <f>if(vlookup(B:B,'ILC3104'!B252:F8734,5,false)="","Y","N")</f>
        <v>Y</v>
      </c>
      <c r="R249" s="12" t="str">
        <f>if(vlookup(B:B,'ILC3310'!B84:F8673,5,false)="","Y","N")</f>
        <v>Y</v>
      </c>
      <c r="S249" s="12" t="str">
        <f>if(vlookup(B:B,'ILC3312'!B252:F8691,5,false)="","Y","N")</f>
        <v>Y</v>
      </c>
      <c r="T249" s="12" t="str">
        <f>if(vlookup(B:B,'ILC3413'!B221:F8616,5,false)="","Y","N")</f>
        <v>Y</v>
      </c>
      <c r="U249" s="12" t="str">
        <f>if(vlookup(B:B,'ILC3415'!B249:F8641,5,false)="","Y","N")</f>
        <v>Y</v>
      </c>
      <c r="V249" s="12" t="str">
        <f>if(vlookup(B:B,'ILC4406'!B184:F8610,5,false)="","Y","N")</f>
        <v>Y</v>
      </c>
      <c r="W249" s="12" t="str">
        <f>if(vlookup(B:B,'ILC4410'!B252:F8858,5,false)="","Y","N")</f>
        <v>Y</v>
      </c>
      <c r="X249" s="12" t="str">
        <f>if(vlookup(B:B,'JBV455'!B252:F9198,5,false)="","Y","N")</f>
        <v>Y</v>
      </c>
      <c r="Y249" s="12" t="str">
        <f>if(vlookup(B:B,'JBV462'!B252:F8691,5,false)="","Y","N")</f>
        <v>Y</v>
      </c>
      <c r="Z249" s="12" t="str">
        <f>if(vlookup(B:B,'JBV464'!B252:F8691,5,false)="","Y","N")</f>
        <v>Y</v>
      </c>
      <c r="AA249" s="12" t="str">
        <f>if(vlookup(B:B,'VDI208'!B184:F8691,5,false)="","Y","N")</f>
        <v>Y</v>
      </c>
      <c r="AB249" s="76" t="str">
        <f>if(vlookup(B:B,'STO2206'!B184:F8691,5,false)="","Y","N")</f>
        <v>Y</v>
      </c>
    </row>
    <row r="250">
      <c r="A250" s="67" t="str">
        <f t="shared" si="2"/>
        <v>Sun</v>
      </c>
      <c r="B250" s="69">
        <v>43695.0</v>
      </c>
      <c r="C250" s="12" t="str">
        <f>if(vlookup(B:B,'ILC1110'!$B115:F8692,5,false)="","Y","N")</f>
        <v>Y</v>
      </c>
      <c r="D250" s="12" t="str">
        <f>if(vlookup(B:B,'ILC1111'!$B115:F8699,5,false)="","Y","N")</f>
        <v>Y</v>
      </c>
      <c r="E250" s="12" t="str">
        <f>if(vlookup(B:B,'ILC1112'!$B115:F8692,5,false)="","Y","N")</f>
        <v>Y</v>
      </c>
      <c r="F250" s="12" t="str">
        <f>if(vlookup(B:B,'ILC1211'!B253:F8692,5,false)="","Y","N")</f>
        <v>Y</v>
      </c>
      <c r="G250" s="12" t="str">
        <f>if(vlookup(B:B,'ILC1213'!$B180:G8692,5,false)="","Y","N")</f>
        <v>Y</v>
      </c>
      <c r="H250" s="12" t="str">
        <f>if(vlookup(B:B,'ILC1314'!$B179:G992,5,false)="","Y","N")</f>
        <v>Y</v>
      </c>
      <c r="I250" s="12" t="str">
        <f>if(vlookup(B:B,'ILC1404'!B253:F8415,5,false)="","Y","N")</f>
        <v>Y</v>
      </c>
      <c r="J250" s="12" t="str">
        <f>if(vlookup(B:B,'ILC2203'!B216:F8415,5,false)="","Y","N")</f>
        <v>Y</v>
      </c>
      <c r="K250" s="12" t="str">
        <f>if(vlookup(B:B,'ILC2206'!B201:H370,5,false)="","Y","N")</f>
        <v>Y</v>
      </c>
      <c r="L250" s="12" t="str">
        <f>if(vlookup(B:B,'ILC2303'!B253:F8692,5,false)="","Y","N")</f>
        <v>N</v>
      </c>
      <c r="M250" s="12" t="str">
        <f>if(vlookup(B:B,'ILC2307'!B253:F9208,5,false)="","Y","N")</f>
        <v>Y</v>
      </c>
      <c r="N250" s="12" t="str">
        <f>if(vlookup(B:B,'ILC2313'!B253:F8847,5,false)="","Y","N")</f>
        <v>Y</v>
      </c>
      <c r="O250" s="12" t="str">
        <f>if(vlookup(B:B,'ILC2412'!B253:F8692,5,false)="","Y","N")</f>
        <v>Y</v>
      </c>
      <c r="P250" s="12" t="str">
        <f>if(vlookup(B:B,'ILC2413'!B253:F9190,5,false)="","Y","N")</f>
        <v>Y</v>
      </c>
      <c r="Q250" s="12" t="str">
        <f>if(vlookup(B:B,'ILC3104'!B253:F8735,5,false)="","Y","N")</f>
        <v>Y</v>
      </c>
      <c r="R250" s="12" t="str">
        <f>if(vlookup(B:B,'ILC3310'!B85:F8674,5,false)="","Y","N")</f>
        <v>Y</v>
      </c>
      <c r="S250" s="12" t="str">
        <f>if(vlookup(B:B,'ILC3312'!B253:F8692,5,false)="","Y","N")</f>
        <v>Y</v>
      </c>
      <c r="T250" s="12" t="str">
        <f>if(vlookup(B:B,'ILC3413'!B222:F8617,5,false)="","Y","N")</f>
        <v>Y</v>
      </c>
      <c r="U250" s="12" t="str">
        <f>if(vlookup(B:B,'ILC3415'!B250:F8642,5,false)="","Y","N")</f>
        <v>Y</v>
      </c>
      <c r="V250" s="12" t="str">
        <f>if(vlookup(B:B,'ILC4406'!B185:F8611,5,false)="","Y","N")</f>
        <v>Y</v>
      </c>
      <c r="W250" s="12" t="str">
        <f>if(vlookup(B:B,'ILC4410'!B253:F8859,5,false)="","Y","N")</f>
        <v>Y</v>
      </c>
      <c r="X250" s="12" t="str">
        <f>if(vlookup(B:B,'JBV455'!B253:F9199,5,false)="","Y","N")</f>
        <v>Y</v>
      </c>
      <c r="Y250" s="12" t="str">
        <f>if(vlookup(B:B,'JBV462'!B253:F8692,5,false)="","Y","N")</f>
        <v>Y</v>
      </c>
      <c r="Z250" s="12" t="str">
        <f>if(vlookup(B:B,'JBV464'!B253:F8692,5,false)="","Y","N")</f>
        <v>Y</v>
      </c>
      <c r="AA250" s="12" t="str">
        <f>if(vlookup(B:B,'VDI208'!B185:F8692,5,false)="","Y","N")</f>
        <v>Y</v>
      </c>
      <c r="AB250" s="76" t="str">
        <f>if(vlookup(B:B,'STO2206'!B185:F8692,5,false)="","Y","N")</f>
        <v>Y</v>
      </c>
    </row>
    <row r="251">
      <c r="A251" s="67" t="str">
        <f t="shared" si="2"/>
        <v>Mon</v>
      </c>
      <c r="B251" s="69">
        <v>43696.0</v>
      </c>
      <c r="C251" s="12" t="str">
        <f>if(vlookup(B:B,'ILC1110'!$B116:F8693,5,false)="","Y","N")</f>
        <v>Y</v>
      </c>
      <c r="D251" s="12" t="str">
        <f>if(vlookup(B:B,'ILC1111'!$B116:F8700,5,false)="","Y","N")</f>
        <v>Y</v>
      </c>
      <c r="E251" s="12" t="str">
        <f>if(vlookup(B:B,'ILC1112'!$B116:F8693,5,false)="","Y","N")</f>
        <v>Y</v>
      </c>
      <c r="F251" s="12" t="str">
        <f>if(vlookup(B:B,'ILC1211'!B254:F8693,5,false)="","Y","N")</f>
        <v>Y</v>
      </c>
      <c r="G251" s="12" t="str">
        <f>if(vlookup(B:B,'ILC1213'!$B181:G8693,5,false)="","Y","N")</f>
        <v>Y</v>
      </c>
      <c r="H251" s="12" t="str">
        <f>if(vlookup(B:B,'ILC1314'!$B180:G993,5,false)="","Y","N")</f>
        <v>Y</v>
      </c>
      <c r="I251" s="12" t="str">
        <f>if(vlookup(B:B,'ILC1404'!B254:F8416,5,false)="","Y","N")</f>
        <v>Y</v>
      </c>
      <c r="J251" s="12" t="str">
        <f>if(vlookup(B:B,'ILC2203'!B217:F8416,5,false)="","Y","N")</f>
        <v>Y</v>
      </c>
      <c r="K251" s="12" t="str">
        <f>if(vlookup(B:B,'ILC2206'!B202:H370,5,false)="","Y","N")</f>
        <v>Y</v>
      </c>
      <c r="L251" s="12" t="str">
        <f>if(vlookup(B:B,'ILC2303'!B254:F8693,5,false)="","Y","N")</f>
        <v>N</v>
      </c>
      <c r="M251" s="12" t="str">
        <f>if(vlookup(B:B,'ILC2307'!B254:F9209,5,false)="","Y","N")</f>
        <v>Y</v>
      </c>
      <c r="N251" s="12" t="str">
        <f>if(vlookup(B:B,'ILC2313'!B254:F8848,5,false)="","Y","N")</f>
        <v>Y</v>
      </c>
      <c r="O251" s="12" t="str">
        <f>if(vlookup(B:B,'ILC2412'!B254:F8693,5,false)="","Y","N")</f>
        <v>Y</v>
      </c>
      <c r="P251" s="12" t="str">
        <f>if(vlookup(B:B,'ILC2413'!B254:F9191,5,false)="","Y","N")</f>
        <v>Y</v>
      </c>
      <c r="Q251" s="12" t="str">
        <f>if(vlookup(B:B,'ILC3104'!B254:F8736,5,false)="","Y","N")</f>
        <v>Y</v>
      </c>
      <c r="R251" s="12" t="str">
        <f>if(vlookup(B:B,'ILC3310'!B86:F8675,5,false)="","Y","N")</f>
        <v>Y</v>
      </c>
      <c r="S251" s="12" t="str">
        <f>if(vlookup(B:B,'ILC3312'!B254:F8693,5,false)="","Y","N")</f>
        <v>Y</v>
      </c>
      <c r="T251" s="12" t="str">
        <f>if(vlookup(B:B,'ILC3413'!B223:F8618,5,false)="","Y","N")</f>
        <v>Y</v>
      </c>
      <c r="U251" s="12" t="str">
        <f>if(vlookup(B:B,'ILC3415'!B251:F8643,5,false)="","Y","N")</f>
        <v>Y</v>
      </c>
      <c r="V251" s="12" t="str">
        <f>if(vlookup(B:B,'ILC4406'!B186:F8612,5,false)="","Y","N")</f>
        <v>Y</v>
      </c>
      <c r="W251" s="12" t="str">
        <f>if(vlookup(B:B,'ILC4410'!B254:F8860,5,false)="","Y","N")</f>
        <v>Y</v>
      </c>
      <c r="X251" s="12" t="str">
        <f>if(vlookup(B:B,'JBV455'!B254:F9200,5,false)="","Y","N")</f>
        <v>Y</v>
      </c>
      <c r="Y251" s="12" t="str">
        <f>if(vlookup(B:B,'JBV462'!B254:F8693,5,false)="","Y","N")</f>
        <v>Y</v>
      </c>
      <c r="Z251" s="12" t="str">
        <f>if(vlookup(B:B,'JBV464'!B254:F8693,5,false)="","Y","N")</f>
        <v>Y</v>
      </c>
      <c r="AA251" s="12" t="str">
        <f>if(vlookup(B:B,'VDI208'!B186:F8693,5,false)="","Y","N")</f>
        <v>Y</v>
      </c>
      <c r="AB251" s="76" t="str">
        <f>if(vlookup(B:B,'STO2206'!B186:F8693,5,false)="","Y","N")</f>
        <v>Y</v>
      </c>
    </row>
    <row r="252">
      <c r="A252" s="67" t="str">
        <f t="shared" si="2"/>
        <v>Tue</v>
      </c>
      <c r="B252" s="69">
        <v>43697.0</v>
      </c>
      <c r="C252" s="12" t="str">
        <f>if(vlookup(B:B,'ILC1110'!$B117:F8694,5,false)="","Y","N")</f>
        <v>Y</v>
      </c>
      <c r="D252" s="12" t="str">
        <f>if(vlookup(B:B,'ILC1111'!$B117:F8701,5,false)="","Y","N")</f>
        <v>Y</v>
      </c>
      <c r="E252" s="12" t="str">
        <f>if(vlookup(B:B,'ILC1112'!$B117:F8694,5,false)="","Y","N")</f>
        <v>Y</v>
      </c>
      <c r="F252" s="12" t="str">
        <f>if(vlookup(B:B,'ILC1211'!B255:F8694,5,false)="","Y","N")</f>
        <v>Y</v>
      </c>
      <c r="G252" s="12" t="str">
        <f>if(vlookup(B:B,'ILC1213'!$B182:G8694,5,false)="","Y","N")</f>
        <v>Y</v>
      </c>
      <c r="H252" s="12" t="str">
        <f>if(vlookup(B:B,'ILC1314'!$B181:G994,5,false)="","Y","N")</f>
        <v>Y</v>
      </c>
      <c r="I252" s="12" t="str">
        <f>if(vlookup(B:B,'ILC1404'!B255:F8417,5,false)="","Y","N")</f>
        <v>Y</v>
      </c>
      <c r="J252" s="12" t="str">
        <f>if(vlookup(B:B,'ILC2203'!B218:F8417,5,false)="","Y","N")</f>
        <v>Y</v>
      </c>
      <c r="K252" s="12" t="str">
        <f>if(vlookup(B:B,'ILC2206'!B203:H370,5,false)="","Y","N")</f>
        <v>Y</v>
      </c>
      <c r="L252" s="12" t="str">
        <f>if(vlookup(B:B,'ILC2303'!B255:F8694,5,false)="","Y","N")</f>
        <v>N</v>
      </c>
      <c r="M252" s="12" t="str">
        <f>if(vlookup(B:B,'ILC2307'!B255:F9210,5,false)="","Y","N")</f>
        <v>Y</v>
      </c>
      <c r="N252" s="12" t="str">
        <f>if(vlookup(B:B,'ILC2313'!B255:F8849,5,false)="","Y","N")</f>
        <v>Y</v>
      </c>
      <c r="O252" s="12" t="str">
        <f>if(vlookup(B:B,'ILC2412'!B255:F8694,5,false)="","Y","N")</f>
        <v>Y</v>
      </c>
      <c r="P252" s="12" t="str">
        <f>if(vlookup(B:B,'ILC2413'!B255:F9192,5,false)="","Y","N")</f>
        <v>Y</v>
      </c>
      <c r="Q252" s="12" t="str">
        <f>if(vlookup(B:B,'ILC3104'!B255:F8737,5,false)="","Y","N")</f>
        <v>Y</v>
      </c>
      <c r="R252" s="12" t="str">
        <f>if(vlookup(B:B,'ILC3310'!B87:F8676,5,false)="","Y","N")</f>
        <v>Y</v>
      </c>
      <c r="S252" s="12" t="str">
        <f>if(vlookup(B:B,'ILC3312'!B255:F8694,5,false)="","Y","N")</f>
        <v>Y</v>
      </c>
      <c r="T252" s="12" t="str">
        <f>if(vlookup(B:B,'ILC3413'!B224:F8619,5,false)="","Y","N")</f>
        <v>Y</v>
      </c>
      <c r="U252" s="12" t="str">
        <f>if(vlookup(B:B,'ILC3415'!B252:F8644,5,false)="","Y","N")</f>
        <v>Y</v>
      </c>
      <c r="V252" s="12" t="str">
        <f>if(vlookup(B:B,'ILC4406'!B187:F8613,5,false)="","Y","N")</f>
        <v>Y</v>
      </c>
      <c r="W252" s="12" t="str">
        <f>if(vlookup(B:B,'ILC4410'!B255:F8861,5,false)="","Y","N")</f>
        <v>Y</v>
      </c>
      <c r="X252" s="12" t="str">
        <f>if(vlookup(B:B,'JBV455'!B255:F9201,5,false)="","Y","N")</f>
        <v>Y</v>
      </c>
      <c r="Y252" s="12" t="str">
        <f>if(vlookup(B:B,'JBV462'!B255:F8694,5,false)="","Y","N")</f>
        <v>Y</v>
      </c>
      <c r="Z252" s="12" t="str">
        <f>if(vlookup(B:B,'JBV464'!B255:F8694,5,false)="","Y","N")</f>
        <v>Y</v>
      </c>
      <c r="AA252" s="12" t="str">
        <f>if(vlookup(B:B,'VDI208'!B187:F8694,5,false)="","Y","N")</f>
        <v>Y</v>
      </c>
      <c r="AB252" s="76" t="str">
        <f>if(vlookup(B:B,'STO2206'!B187:F8694,5,false)="","Y","N")</f>
        <v>Y</v>
      </c>
    </row>
    <row r="253">
      <c r="A253" s="67" t="str">
        <f t="shared" si="2"/>
        <v>Wed</v>
      </c>
      <c r="B253" s="69">
        <v>43698.0</v>
      </c>
      <c r="C253" s="12" t="str">
        <f>if(vlookup(B:B,'ILC1110'!$B118:F8695,5,false)="","Y","N")</f>
        <v>Y</v>
      </c>
      <c r="D253" s="12" t="str">
        <f>if(vlookup(B:B,'ILC1111'!$B118:F8702,5,false)="","Y","N")</f>
        <v>Y</v>
      </c>
      <c r="E253" s="12" t="str">
        <f>if(vlookup(B:B,'ILC1112'!$B118:F8695,5,false)="","Y","N")</f>
        <v>Y</v>
      </c>
      <c r="F253" s="12" t="str">
        <f>if(vlookup(B:B,'ILC1211'!B256:F8695,5,false)="","Y","N")</f>
        <v>Y</v>
      </c>
      <c r="G253" s="12" t="str">
        <f>if(vlookup(B:B,'ILC1213'!$B183:G8695,5,false)="","Y","N")</f>
        <v>Y</v>
      </c>
      <c r="H253" s="12" t="str">
        <f>if(vlookup(B:B,'ILC1314'!$B182:G995,5,false)="","Y","N")</f>
        <v>Y</v>
      </c>
      <c r="I253" s="12" t="str">
        <f>if(vlookup(B:B,'ILC1404'!B256:F8418,5,false)="","Y","N")</f>
        <v>Y</v>
      </c>
      <c r="J253" s="12" t="str">
        <f>if(vlookup(B:B,'ILC2203'!B219:F8418,5,false)="","Y","N")</f>
        <v>Y</v>
      </c>
      <c r="K253" s="12" t="str">
        <f>if(vlookup(B:B,'ILC2206'!B204:H370,5,false)="","Y","N")</f>
        <v>Y</v>
      </c>
      <c r="L253" s="12" t="str">
        <f>if(vlookup(B:B,'ILC2303'!B256:F8695,5,false)="","Y","N")</f>
        <v>N</v>
      </c>
      <c r="M253" s="12" t="str">
        <f>if(vlookup(B:B,'ILC2307'!B256:F9211,5,false)="","Y","N")</f>
        <v>Y</v>
      </c>
      <c r="N253" s="12" t="str">
        <f>if(vlookup(B:B,'ILC2313'!B256:F8850,5,false)="","Y","N")</f>
        <v>Y</v>
      </c>
      <c r="O253" s="12" t="str">
        <f>if(vlookup(B:B,'ILC2412'!B256:F8695,5,false)="","Y","N")</f>
        <v>Y</v>
      </c>
      <c r="P253" s="12" t="str">
        <f>if(vlookup(B:B,'ILC2413'!B256:F9193,5,false)="","Y","N")</f>
        <v>Y</v>
      </c>
      <c r="Q253" s="12" t="str">
        <f>if(vlookup(B:B,'ILC3104'!B256:F8738,5,false)="","Y","N")</f>
        <v>Y</v>
      </c>
      <c r="R253" s="12" t="str">
        <f>if(vlookup(B:B,'ILC3310'!B88:F8677,5,false)="","Y","N")</f>
        <v>Y</v>
      </c>
      <c r="S253" s="12" t="str">
        <f>if(vlookup(B:B,'ILC3312'!B256:F8695,5,false)="","Y","N")</f>
        <v>Y</v>
      </c>
      <c r="T253" s="12" t="str">
        <f>if(vlookup(B:B,'ILC3413'!B225:F8620,5,false)="","Y","N")</f>
        <v>Y</v>
      </c>
      <c r="U253" s="12" t="str">
        <f>if(vlookup(B:B,'ILC3415'!B253:F8645,5,false)="","Y","N")</f>
        <v>Y</v>
      </c>
      <c r="V253" s="12" t="str">
        <f>if(vlookup(B:B,'ILC4406'!B188:F8614,5,false)="","Y","N")</f>
        <v>Y</v>
      </c>
      <c r="W253" s="12" t="str">
        <f>if(vlookup(B:B,'ILC4410'!B256:F8862,5,false)="","Y","N")</f>
        <v>Y</v>
      </c>
      <c r="X253" s="12" t="str">
        <f>if(vlookup(B:B,'JBV455'!B256:F9202,5,false)="","Y","N")</f>
        <v>Y</v>
      </c>
      <c r="Y253" s="12" t="str">
        <f>if(vlookup(B:B,'JBV462'!B256:F8695,5,false)="","Y","N")</f>
        <v>Y</v>
      </c>
      <c r="Z253" s="12" t="str">
        <f>if(vlookup(B:B,'JBV464'!B256:F8695,5,false)="","Y","N")</f>
        <v>Y</v>
      </c>
      <c r="AA253" s="12" t="str">
        <f>if(vlookup(B:B,'VDI208'!B188:F8695,5,false)="","Y","N")</f>
        <v>Y</v>
      </c>
      <c r="AB253" s="76" t="str">
        <f>if(vlookup(B:B,'STO2206'!B188:F8695,5,false)="","Y","N")</f>
        <v>Y</v>
      </c>
    </row>
    <row r="254">
      <c r="A254" s="67" t="str">
        <f t="shared" si="2"/>
        <v>Thu</v>
      </c>
      <c r="B254" s="69">
        <v>43699.0</v>
      </c>
      <c r="C254" s="12" t="str">
        <f>if(vlookup(B:B,'ILC1110'!$B119:F8696,5,false)="","Y","N")</f>
        <v>N</v>
      </c>
      <c r="D254" s="12" t="str">
        <f>if(vlookup(B:B,'ILC1111'!$B119:F8703,5,false)="","Y","N")</f>
        <v>Y</v>
      </c>
      <c r="E254" s="12" t="str">
        <f>if(vlookup(B:B,'ILC1112'!$B119:F8696,5,false)="","Y","N")</f>
        <v>N</v>
      </c>
      <c r="F254" s="12" t="str">
        <f>if(vlookup(B:B,'ILC1211'!B257:F8696,5,false)="","Y","N")</f>
        <v>Y</v>
      </c>
      <c r="G254" s="12" t="str">
        <f>if(vlookup(B:B,'ILC1213'!$B184:G8696,5,false)="","Y","N")</f>
        <v>Y</v>
      </c>
      <c r="H254" s="12" t="str">
        <f>if(vlookup(B:B,'ILC1314'!$B183:G996,5,false)="","Y","N")</f>
        <v>Y</v>
      </c>
      <c r="I254" s="12" t="str">
        <f>if(vlookup(B:B,'ILC1404'!B257:F8419,5,false)="","Y","N")</f>
        <v>N</v>
      </c>
      <c r="J254" s="12" t="str">
        <f>if(vlookup(B:B,'ILC2203'!B220:F8419,5,false)="","Y","N")</f>
        <v>Y</v>
      </c>
      <c r="K254" s="12" t="str">
        <f>if(vlookup(B:B,'ILC2206'!B205:H370,5,false)="","Y","N")</f>
        <v>Y</v>
      </c>
      <c r="L254" s="12" t="str">
        <f>if(vlookup(B:B,'ILC2303'!B257:F8696,5,false)="","Y","N")</f>
        <v>N</v>
      </c>
      <c r="M254" s="12" t="str">
        <f>if(vlookup(B:B,'ILC2307'!B257:F9212,5,false)="","Y","N")</f>
        <v>Y</v>
      </c>
      <c r="N254" s="12" t="str">
        <f>if(vlookup(B:B,'ILC2313'!B257:F8851,5,false)="","Y","N")</f>
        <v>Y</v>
      </c>
      <c r="O254" s="12" t="str">
        <f>if(vlookup(B:B,'ILC2412'!B257:F8696,5,false)="","Y","N")</f>
        <v>Y</v>
      </c>
      <c r="P254" s="12" t="str">
        <f>if(vlookup(B:B,'ILC2413'!B257:F9194,5,false)="","Y","N")</f>
        <v>Y</v>
      </c>
      <c r="Q254" s="12" t="str">
        <f>if(vlookup(B:B,'ILC3104'!B257:F8739,5,false)="","Y","N")</f>
        <v>Y</v>
      </c>
      <c r="R254" s="12" t="str">
        <f>if(vlookup(B:B,'ILC3310'!B89:F8678,5,false)="","Y","N")</f>
        <v>Y</v>
      </c>
      <c r="S254" s="12" t="str">
        <f>if(vlookup(B:B,'ILC3312'!B257:F8696,5,false)="","Y","N")</f>
        <v>N</v>
      </c>
      <c r="T254" s="12" t="str">
        <f>if(vlookup(B:B,'ILC3413'!B226:F8621,5,false)="","Y","N")</f>
        <v>Y</v>
      </c>
      <c r="U254" s="12" t="str">
        <f>if(vlookup(B:B,'ILC3415'!B254:F8646,5,false)="","Y","N")</f>
        <v>Y</v>
      </c>
      <c r="V254" s="12" t="str">
        <f>if(vlookup(B:B,'ILC4406'!B189:F8615,5,false)="","Y","N")</f>
        <v>Y</v>
      </c>
      <c r="W254" s="12" t="str">
        <f>if(vlookup(B:B,'ILC4410'!B257:F8863,5,false)="","Y","N")</f>
        <v>Y</v>
      </c>
      <c r="X254" s="12" t="str">
        <f>if(vlookup(B:B,'JBV455'!B257:F9203,5,false)="","Y","N")</f>
        <v>Y</v>
      </c>
      <c r="Y254" s="12" t="str">
        <f>if(vlookup(B:B,'JBV462'!B257:F8696,5,false)="","Y","N")</f>
        <v>Y</v>
      </c>
      <c r="Z254" s="12" t="str">
        <f>if(vlookup(B:B,'JBV464'!B257:F8696,5,false)="","Y","N")</f>
        <v>Y</v>
      </c>
      <c r="AA254" s="12" t="str">
        <f>if(vlookup(B:B,'VDI208'!B189:F8696,5,false)="","Y","N")</f>
        <v>Y</v>
      </c>
      <c r="AB254" s="76" t="str">
        <f>if(vlookup(B:B,'STO2206'!B189:F8696,5,false)="","Y","N")</f>
        <v>Y</v>
      </c>
    </row>
    <row r="255">
      <c r="A255" s="67" t="str">
        <f t="shared" si="2"/>
        <v>Fri</v>
      </c>
      <c r="B255" s="69">
        <v>43700.0</v>
      </c>
      <c r="C255" s="12" t="str">
        <f>if(vlookup(B:B,'ILC1110'!$B120:F8697,5,false)="","Y","N")</f>
        <v>N</v>
      </c>
      <c r="D255" s="12" t="str">
        <f>if(vlookup(B:B,'ILC1111'!$B120:F8704,5,false)="","Y","N")</f>
        <v>Y</v>
      </c>
      <c r="E255" s="12" t="str">
        <f>if(vlookup(B:B,'ILC1112'!$B120:F8697,5,false)="","Y","N")</f>
        <v>N</v>
      </c>
      <c r="F255" s="12" t="str">
        <f>if(vlookup(B:B,'ILC1211'!B258:F8697,5,false)="","Y","N")</f>
        <v>Y</v>
      </c>
      <c r="G255" s="12" t="str">
        <f>if(vlookup(B:B,'ILC1213'!$B185:G8697,5,false)="","Y","N")</f>
        <v>Y</v>
      </c>
      <c r="H255" s="12" t="str">
        <f>if(vlookup(B:B,'ILC1314'!$B184:G997,5,false)="","Y","N")</f>
        <v>Y</v>
      </c>
      <c r="I255" s="12" t="str">
        <f>if(vlookup(B:B,'ILC1404'!B258:F8420,5,false)="","Y","N")</f>
        <v>N</v>
      </c>
      <c r="J255" s="12" t="str">
        <f>if(vlookup(B:B,'ILC2203'!B221:F8420,5,false)="","Y","N")</f>
        <v>Y</v>
      </c>
      <c r="K255" s="12" t="str">
        <f>if(vlookup(B:B,'ILC2206'!B206:H370,5,false)="","Y","N")</f>
        <v>Y</v>
      </c>
      <c r="L255" s="12" t="str">
        <f>if(vlookup(B:B,'ILC2303'!B258:F8697,5,false)="","Y","N")</f>
        <v>N</v>
      </c>
      <c r="M255" s="12" t="str">
        <f>if(vlookup(B:B,'ILC2307'!B258:F9213,5,false)="","Y","N")</f>
        <v>Y</v>
      </c>
      <c r="N255" s="12" t="str">
        <f>if(vlookup(B:B,'ILC2313'!B258:F8852,5,false)="","Y","N")</f>
        <v>Y</v>
      </c>
      <c r="O255" s="12" t="str">
        <f>if(vlookup(B:B,'ILC2412'!B258:F8697,5,false)="","Y","N")</f>
        <v>Y</v>
      </c>
      <c r="P255" s="12" t="str">
        <f>if(vlookup(B:B,'ILC2413'!B258:F9195,5,false)="","Y","N")</f>
        <v>Y</v>
      </c>
      <c r="Q255" s="12" t="str">
        <f>if(vlookup(B:B,'ILC3104'!B258:F8740,5,false)="","Y","N")</f>
        <v>Y</v>
      </c>
      <c r="R255" s="12" t="str">
        <f>if(vlookup(B:B,'ILC3310'!B90:F8679,5,false)="","Y","N")</f>
        <v>Y</v>
      </c>
      <c r="S255" s="12" t="str">
        <f>if(vlookup(B:B,'ILC3312'!B258:F8697,5,false)="","Y","N")</f>
        <v>N</v>
      </c>
      <c r="T255" s="12" t="str">
        <f>if(vlookup(B:B,'ILC3413'!B227:F8622,5,false)="","Y","N")</f>
        <v>Y</v>
      </c>
      <c r="U255" s="12" t="str">
        <f>if(vlookup(B:B,'ILC3415'!B255:F8647,5,false)="","Y","N")</f>
        <v>Y</v>
      </c>
      <c r="V255" s="12" t="str">
        <f>if(vlookup(B:B,'ILC4406'!B190:F8616,5,false)="","Y","N")</f>
        <v>Y</v>
      </c>
      <c r="W255" s="12" t="str">
        <f>if(vlookup(B:B,'ILC4410'!B258:F8864,5,false)="","Y","N")</f>
        <v>Y</v>
      </c>
      <c r="X255" s="12" t="str">
        <f>if(vlookup(B:B,'JBV455'!B258:F9204,5,false)="","Y","N")</f>
        <v>Y</v>
      </c>
      <c r="Y255" s="12" t="str">
        <f>if(vlookup(B:B,'JBV462'!B258:F8697,5,false)="","Y","N")</f>
        <v>Y</v>
      </c>
      <c r="Z255" s="12" t="str">
        <f>if(vlookup(B:B,'JBV464'!B258:F8697,5,false)="","Y","N")</f>
        <v>Y</v>
      </c>
      <c r="AA255" s="12" t="str">
        <f>if(vlookup(B:B,'VDI208'!B190:F8697,5,false)="","Y","N")</f>
        <v>Y</v>
      </c>
      <c r="AB255" s="76" t="str">
        <f>if(vlookup(B:B,'STO2206'!B190:F8697,5,false)="","Y","N")</f>
        <v>Y</v>
      </c>
    </row>
    <row r="256">
      <c r="A256" s="67" t="str">
        <f t="shared" si="2"/>
        <v>Sat</v>
      </c>
      <c r="B256" s="69">
        <v>43701.0</v>
      </c>
      <c r="C256" s="12" t="str">
        <f>if(vlookup(B:B,'ILC1110'!$B121:F8698,5,false)="","Y","N")</f>
        <v>N</v>
      </c>
      <c r="D256" s="12" t="str">
        <f>if(vlookup(B:B,'ILC1111'!$B121:F8705,5,false)="","Y","N")</f>
        <v>Y</v>
      </c>
      <c r="E256" s="12" t="str">
        <f>if(vlookup(B:B,'ILC1112'!$B121:F8698,5,false)="","Y","N")</f>
        <v>N</v>
      </c>
      <c r="F256" s="12" t="str">
        <f>if(vlookup(B:B,'ILC1211'!B259:F8698,5,false)="","Y","N")</f>
        <v>Y</v>
      </c>
      <c r="G256" s="12" t="str">
        <f>if(vlookup(B:B,'ILC1213'!$B186:G8698,5,false)="","Y","N")</f>
        <v>Y</v>
      </c>
      <c r="H256" s="12" t="str">
        <f>if(vlookup(B:B,'ILC1314'!$B185:G998,5,false)="","Y","N")</f>
        <v>Y</v>
      </c>
      <c r="I256" s="12" t="str">
        <f>if(vlookup(B:B,'ILC1404'!B259:F8421,5,false)="","Y","N")</f>
        <v>N</v>
      </c>
      <c r="J256" s="12" t="str">
        <f>if(vlookup(B:B,'ILC2203'!B222:F8421,5,false)="","Y","N")</f>
        <v>Y</v>
      </c>
      <c r="K256" s="12" t="str">
        <f>if(vlookup(B:B,'ILC2206'!B207:H370,5,false)="","Y","N")</f>
        <v>Y</v>
      </c>
      <c r="L256" s="12" t="str">
        <f>if(vlookup(B:B,'ILC2303'!B259:F8698,5,false)="","Y","N")</f>
        <v>N</v>
      </c>
      <c r="M256" s="12" t="str">
        <f>if(vlookup(B:B,'ILC2307'!B259:F9214,5,false)="","Y","N")</f>
        <v>Y</v>
      </c>
      <c r="N256" s="12" t="str">
        <f>if(vlookup(B:B,'ILC2313'!B259:F8853,5,false)="","Y","N")</f>
        <v>Y</v>
      </c>
      <c r="O256" s="12" t="str">
        <f>if(vlookup(B:B,'ILC2412'!B259:F8698,5,false)="","Y","N")</f>
        <v>Y</v>
      </c>
      <c r="P256" s="12" t="str">
        <f>if(vlookup(B:B,'ILC2413'!B259:F9196,5,false)="","Y","N")</f>
        <v>Y</v>
      </c>
      <c r="Q256" s="12" t="str">
        <f>if(vlookup(B:B,'ILC3104'!B259:F8741,5,false)="","Y","N")</f>
        <v>Y</v>
      </c>
      <c r="R256" s="12" t="str">
        <f>if(vlookup(B:B,'ILC3310'!B91:F8680,5,false)="","Y","N")</f>
        <v>Y</v>
      </c>
      <c r="S256" s="12" t="str">
        <f>if(vlookup(B:B,'ILC3312'!B259:F8698,5,false)="","Y","N")</f>
        <v>N</v>
      </c>
      <c r="T256" s="12" t="str">
        <f>if(vlookup(B:B,'ILC3413'!B228:F8623,5,false)="","Y","N")</f>
        <v>Y</v>
      </c>
      <c r="U256" s="12" t="str">
        <f>if(vlookup(B:B,'ILC3415'!B256:F8648,5,false)="","Y","N")</f>
        <v>Y</v>
      </c>
      <c r="V256" s="12" t="str">
        <f>if(vlookup(B:B,'ILC4406'!B191:F8617,5,false)="","Y","N")</f>
        <v>Y</v>
      </c>
      <c r="W256" s="12" t="str">
        <f>if(vlookup(B:B,'ILC4410'!B259:F8865,5,false)="","Y","N")</f>
        <v>Y</v>
      </c>
      <c r="X256" s="12" t="str">
        <f>if(vlookup(B:B,'JBV455'!B259:F9205,5,false)="","Y","N")</f>
        <v>Y</v>
      </c>
      <c r="Y256" s="12" t="str">
        <f>if(vlookup(B:B,'JBV462'!B259:F8698,5,false)="","Y","N")</f>
        <v>Y</v>
      </c>
      <c r="Z256" s="12" t="str">
        <f>if(vlookup(B:B,'JBV464'!B259:F8698,5,false)="","Y","N")</f>
        <v>Y</v>
      </c>
      <c r="AA256" s="12" t="str">
        <f>if(vlookup(B:B,'VDI208'!B191:F8698,5,false)="","Y","N")</f>
        <v>Y</v>
      </c>
      <c r="AB256" s="76" t="str">
        <f>if(vlookup(B:B,'STO2206'!B191:F8698,5,false)="","Y","N")</f>
        <v>Y</v>
      </c>
    </row>
    <row r="257">
      <c r="A257" s="67" t="str">
        <f t="shared" si="2"/>
        <v>Sun</v>
      </c>
      <c r="B257" s="69">
        <v>43702.0</v>
      </c>
      <c r="C257" s="12" t="str">
        <f>if(vlookup(B:B,'ILC1110'!$B122:F8699,5,false)="","Y","N")</f>
        <v>N</v>
      </c>
      <c r="D257" s="12" t="str">
        <f>if(vlookup(B:B,'ILC1111'!$B122:F8706,5,false)="","Y","N")</f>
        <v>Y</v>
      </c>
      <c r="E257" s="12" t="str">
        <f>if(vlookup(B:B,'ILC1112'!$B122:F8699,5,false)="","Y","N")</f>
        <v>N</v>
      </c>
      <c r="F257" s="12" t="str">
        <f>if(vlookup(B:B,'ILC1211'!B260:F8699,5,false)="","Y","N")</f>
        <v>Y</v>
      </c>
      <c r="G257" s="12" t="str">
        <f>if(vlookup(B:B,'ILC1213'!$B187:G8699,5,false)="","Y","N")</f>
        <v>Y</v>
      </c>
      <c r="H257" s="12" t="str">
        <f>if(vlookup(B:B,'ILC1314'!$B186:G999,5,false)="","Y","N")</f>
        <v>Y</v>
      </c>
      <c r="I257" s="12" t="str">
        <f>if(vlookup(B:B,'ILC1404'!B260:F8422,5,false)="","Y","N")</f>
        <v>Y</v>
      </c>
      <c r="J257" s="12" t="str">
        <f>if(vlookup(B:B,'ILC2203'!B223:F8422,5,false)="","Y","N")</f>
        <v>Y</v>
      </c>
      <c r="K257" s="12" t="str">
        <f>if(vlookup(B:B,'ILC2206'!B208:H370,5,false)="","Y","N")</f>
        <v>Y</v>
      </c>
      <c r="L257" s="12" t="str">
        <f>if(vlookup(B:B,'ILC2303'!B260:F8699,5,false)="","Y","N")</f>
        <v>N</v>
      </c>
      <c r="M257" s="12" t="str">
        <f>if(vlookup(B:B,'ILC2307'!B260:F9215,5,false)="","Y","N")</f>
        <v>Y</v>
      </c>
      <c r="N257" s="12" t="str">
        <f>if(vlookup(B:B,'ILC2313'!B260:F8854,5,false)="","Y","N")</f>
        <v>Y</v>
      </c>
      <c r="O257" s="12" t="str">
        <f>if(vlookup(B:B,'ILC2412'!B260:F8699,5,false)="","Y","N")</f>
        <v>Y</v>
      </c>
      <c r="P257" s="12" t="str">
        <f>if(vlookup(B:B,'ILC2413'!B260:F9197,5,false)="","Y","N")</f>
        <v>Y</v>
      </c>
      <c r="Q257" s="12" t="str">
        <f>if(vlookup(B:B,'ILC3104'!B260:F8742,5,false)="","Y","N")</f>
        <v>Y</v>
      </c>
      <c r="R257" s="12" t="str">
        <f>if(vlookup(B:B,'ILC3310'!B92:F8681,5,false)="","Y","N")</f>
        <v>Y</v>
      </c>
      <c r="S257" s="12" t="str">
        <f>if(vlookup(B:B,'ILC3312'!B260:F8699,5,false)="","Y","N")</f>
        <v>Y</v>
      </c>
      <c r="T257" s="12" t="str">
        <f>if(vlookup(B:B,'ILC3413'!B229:F8624,5,false)="","Y","N")</f>
        <v>Y</v>
      </c>
      <c r="U257" s="12" t="str">
        <f>if(vlookup(B:B,'ILC3415'!B257:F8649,5,false)="","Y","N")</f>
        <v>Y</v>
      </c>
      <c r="V257" s="12" t="str">
        <f>if(vlookup(B:B,'ILC4406'!B192:F8618,5,false)="","Y","N")</f>
        <v>Y</v>
      </c>
      <c r="W257" s="12" t="str">
        <f>if(vlookup(B:B,'ILC4410'!B260:F8866,5,false)="","Y","N")</f>
        <v>Y</v>
      </c>
      <c r="X257" s="12" t="str">
        <f>if(vlookup(B:B,'JBV455'!B260:F9206,5,false)="","Y","N")</f>
        <v>Y</v>
      </c>
      <c r="Y257" s="12" t="str">
        <f>if(vlookup(B:B,'JBV462'!B260:F8699,5,false)="","Y","N")</f>
        <v>Y</v>
      </c>
      <c r="Z257" s="12" t="str">
        <f>if(vlookup(B:B,'JBV464'!B260:F8699,5,false)="","Y","N")</f>
        <v>Y</v>
      </c>
      <c r="AA257" s="12" t="str">
        <f>if(vlookup(B:B,'VDI208'!B192:F8699,5,false)="","Y","N")</f>
        <v>Y</v>
      </c>
      <c r="AB257" s="76" t="str">
        <f>if(vlookup(B:B,'STO2206'!B192:F8699,5,false)="","Y","N")</f>
        <v>Y</v>
      </c>
    </row>
    <row r="258">
      <c r="A258" s="67" t="str">
        <f t="shared" si="2"/>
        <v>Mon</v>
      </c>
      <c r="B258" s="69">
        <v>43703.0</v>
      </c>
      <c r="C258" s="12" t="str">
        <f>if(vlookup(B:B,'ILC1110'!$B123:F8700,5,false)="","Y","N")</f>
        <v>N</v>
      </c>
      <c r="D258" s="12" t="str">
        <f>if(vlookup(B:B,'ILC1111'!$B123:F8707,5,false)="","Y","N")</f>
        <v>Y</v>
      </c>
      <c r="E258" s="12" t="str">
        <f>if(vlookup(B:B,'ILC1112'!$B123:F8700,5,false)="","Y","N")</f>
        <v>N</v>
      </c>
      <c r="F258" s="12" t="str">
        <f>if(vlookup(B:B,'ILC1211'!B261:F8700,5,false)="","Y","N")</f>
        <v>Y</v>
      </c>
      <c r="G258" s="12" t="str">
        <f>if(vlookup(B:B,'ILC1213'!$B188:G8700,5,false)="","Y","N")</f>
        <v>Y</v>
      </c>
      <c r="H258" s="12" t="str">
        <f>if(vlookup(B:B,'ILC1314'!$B187:G1000,5,false)="","Y","N")</f>
        <v>Y</v>
      </c>
      <c r="I258" s="12" t="str">
        <f>if(vlookup(B:B,'ILC1404'!B261:F8423,5,false)="","Y","N")</f>
        <v>Y</v>
      </c>
      <c r="J258" s="12" t="str">
        <f>if(vlookup(B:B,'ILC2203'!B224:F8423,5,false)="","Y","N")</f>
        <v>Y</v>
      </c>
      <c r="K258" s="12" t="str">
        <f>if(vlookup(B:B,'ILC2206'!B209:H370,5,false)="","Y","N")</f>
        <v>Y</v>
      </c>
      <c r="L258" s="12" t="str">
        <f>if(vlookup(B:B,'ILC2303'!B261:F8700,5,false)="","Y","N")</f>
        <v>N</v>
      </c>
      <c r="M258" s="12" t="str">
        <f>if(vlookup(B:B,'ILC2307'!B261:F9216,5,false)="","Y","N")</f>
        <v>Y</v>
      </c>
      <c r="N258" s="12" t="str">
        <f>if(vlookup(B:B,'ILC2313'!B261:F8855,5,false)="","Y","N")</f>
        <v>Y</v>
      </c>
      <c r="O258" s="12" t="str">
        <f>if(vlookup(B:B,'ILC2412'!B261:F8700,5,false)="","Y","N")</f>
        <v>Y</v>
      </c>
      <c r="P258" s="12" t="str">
        <f>if(vlookup(B:B,'ILC2413'!B261:F9198,5,false)="","Y","N")</f>
        <v>Y</v>
      </c>
      <c r="Q258" s="12" t="str">
        <f>if(vlookup(B:B,'ILC3104'!B261:F8743,5,false)="","Y","N")</f>
        <v>Y</v>
      </c>
      <c r="R258" s="12" t="str">
        <f>if(vlookup(B:B,'ILC3310'!B93:F8682,5,false)="","Y","N")</f>
        <v>Y</v>
      </c>
      <c r="S258" s="12" t="str">
        <f>if(vlookup(B:B,'ILC3312'!B261:F8700,5,false)="","Y","N")</f>
        <v>Y</v>
      </c>
      <c r="T258" s="12" t="str">
        <f>if(vlookup(B:B,'ILC3413'!B230:F8625,5,false)="","Y","N")</f>
        <v>Y</v>
      </c>
      <c r="U258" s="12" t="str">
        <f>if(vlookup(B:B,'ILC3415'!B258:F8650,5,false)="","Y","N")</f>
        <v>Y</v>
      </c>
      <c r="V258" s="12" t="str">
        <f>if(vlookup(B:B,'ILC4406'!B193:F8619,5,false)="","Y","N")</f>
        <v>Y</v>
      </c>
      <c r="W258" s="12" t="str">
        <f>if(vlookup(B:B,'ILC4410'!B261:F8867,5,false)="","Y","N")</f>
        <v>Y</v>
      </c>
      <c r="X258" s="12" t="str">
        <f>if(vlookup(B:B,'JBV455'!B261:F9207,5,false)="","Y","N")</f>
        <v>Y</v>
      </c>
      <c r="Y258" s="12" t="str">
        <f>if(vlookup(B:B,'JBV462'!B261:F8700,5,false)="","Y","N")</f>
        <v>Y</v>
      </c>
      <c r="Z258" s="12" t="str">
        <f>if(vlookup(B:B,'JBV464'!B261:F8700,5,false)="","Y","N")</f>
        <v>Y</v>
      </c>
      <c r="AA258" s="12" t="str">
        <f>if(vlookup(B:B,'VDI208'!B193:F8700,5,false)="","Y","N")</f>
        <v>Y</v>
      </c>
      <c r="AB258" s="76" t="str">
        <f>if(vlookup(B:B,'STO2206'!B193:F8700,5,false)="","Y","N")</f>
        <v>Y</v>
      </c>
    </row>
    <row r="259">
      <c r="A259" s="67" t="str">
        <f t="shared" si="2"/>
        <v>Tue</v>
      </c>
      <c r="B259" s="69">
        <v>43704.0</v>
      </c>
      <c r="C259" s="12" t="str">
        <f>if(vlookup(B:B,'ILC1110'!$B124:F8701,5,false)="","Y","N")</f>
        <v>N</v>
      </c>
      <c r="D259" s="12" t="str">
        <f>if(vlookup(B:B,'ILC1111'!$B124:F8708,5,false)="","Y","N")</f>
        <v>Y</v>
      </c>
      <c r="E259" s="12" t="str">
        <f>if(vlookup(B:B,'ILC1112'!$B124:F8701,5,false)="","Y","N")</f>
        <v>N</v>
      </c>
      <c r="F259" s="12" t="str">
        <f>if(vlookup(B:B,'ILC1211'!B262:F8701,5,false)="","Y","N")</f>
        <v>Y</v>
      </c>
      <c r="G259" s="12" t="str">
        <f>if(vlookup(B:B,'ILC1213'!$B189:G8701,5,false)="","Y","N")</f>
        <v>Y</v>
      </c>
      <c r="H259" s="12" t="str">
        <f>if(vlookup(B:B,'ILC1314'!$B188:G1001,5,false)="","Y","N")</f>
        <v>Y</v>
      </c>
      <c r="I259" s="12" t="str">
        <f>if(vlookup(B:B,'ILC1404'!B262:F8424,5,false)="","Y","N")</f>
        <v>Y</v>
      </c>
      <c r="J259" s="12" t="str">
        <f>if(vlookup(B:B,'ILC2203'!B225:F8424,5,false)="","Y","N")</f>
        <v>Y</v>
      </c>
      <c r="K259" s="12" t="str">
        <f>if(vlookup(B:B,'ILC2206'!B210:H370,5,false)="","Y","N")</f>
        <v>Y</v>
      </c>
      <c r="L259" s="12" t="str">
        <f>if(vlookup(B:B,'ILC2303'!B262:F8701,5,false)="","Y","N")</f>
        <v>N</v>
      </c>
      <c r="M259" s="12" t="str">
        <f>if(vlookup(B:B,'ILC2307'!B262:F9217,5,false)="","Y","N")</f>
        <v>Y</v>
      </c>
      <c r="N259" s="12" t="str">
        <f>if(vlookup(B:B,'ILC2313'!B262:F8856,5,false)="","Y","N")</f>
        <v>Y</v>
      </c>
      <c r="O259" s="12" t="str">
        <f>if(vlookup(B:B,'ILC2412'!B262:F8701,5,false)="","Y","N")</f>
        <v>Y</v>
      </c>
      <c r="P259" s="12" t="str">
        <f>if(vlookup(B:B,'ILC2413'!B262:F9199,5,false)="","Y","N")</f>
        <v>Y</v>
      </c>
      <c r="Q259" s="12" t="str">
        <f>if(vlookup(B:B,'ILC3104'!B262:F8744,5,false)="","Y","N")</f>
        <v>Y</v>
      </c>
      <c r="R259" s="12" t="str">
        <f>if(vlookup(B:B,'ILC3310'!B94:F8683,5,false)="","Y","N")</f>
        <v>Y</v>
      </c>
      <c r="S259" s="12" t="str">
        <f>if(vlookup(B:B,'ILC3312'!B262:F8701,5,false)="","Y","N")</f>
        <v>Y</v>
      </c>
      <c r="T259" s="12" t="str">
        <f>if(vlookup(B:B,'ILC3413'!B231:F8626,5,false)="","Y","N")</f>
        <v>Y</v>
      </c>
      <c r="U259" s="12" t="str">
        <f>if(vlookup(B:B,'ILC3415'!B259:F8651,5,false)="","Y","N")</f>
        <v>Y</v>
      </c>
      <c r="V259" s="12" t="str">
        <f>if(vlookup(B:B,'ILC4406'!B194:F8620,5,false)="","Y","N")</f>
        <v>Y</v>
      </c>
      <c r="W259" s="12" t="str">
        <f>if(vlookup(B:B,'ILC4410'!B262:F8868,5,false)="","Y","N")</f>
        <v>Y</v>
      </c>
      <c r="X259" s="12" t="str">
        <f>if(vlookup(B:B,'JBV455'!B262:F9208,5,false)="","Y","N")</f>
        <v>Y</v>
      </c>
      <c r="Y259" s="12" t="str">
        <f>if(vlookup(B:B,'JBV462'!B262:F8701,5,false)="","Y","N")</f>
        <v>Y</v>
      </c>
      <c r="Z259" s="12" t="str">
        <f>if(vlookup(B:B,'JBV464'!B262:F8701,5,false)="","Y","N")</f>
        <v>Y</v>
      </c>
      <c r="AA259" s="12" t="str">
        <f>if(vlookup(B:B,'VDI208'!B194:F8701,5,false)="","Y","N")</f>
        <v>Y</v>
      </c>
      <c r="AB259" s="76" t="str">
        <f>if(vlookup(B:B,'STO2206'!B194:F8701,5,false)="","Y","N")</f>
        <v>Y</v>
      </c>
    </row>
    <row r="260">
      <c r="A260" s="67" t="str">
        <f t="shared" si="2"/>
        <v>Wed</v>
      </c>
      <c r="B260" s="69">
        <v>43705.0</v>
      </c>
      <c r="C260" s="12" t="str">
        <f>if(vlookup(B:B,'ILC1110'!$B125:F8702,5,false)="","Y","N")</f>
        <v>Y</v>
      </c>
      <c r="D260" s="12" t="str">
        <f>if(vlookup(B:B,'ILC1111'!$B125:F8709,5,false)="","Y","N")</f>
        <v>Y</v>
      </c>
      <c r="E260" s="12" t="str">
        <f>if(vlookup(B:B,'ILC1112'!$B125:F8702,5,false)="","Y","N")</f>
        <v>Y</v>
      </c>
      <c r="F260" s="12" t="str">
        <f>if(vlookup(B:B,'ILC1211'!B263:F8702,5,false)="","Y","N")</f>
        <v>Y</v>
      </c>
      <c r="G260" s="12" t="str">
        <f>if(vlookup(B:B,'ILC1213'!$B190:G8702,5,false)="","Y","N")</f>
        <v>Y</v>
      </c>
      <c r="H260" s="12" t="str">
        <f>if(vlookup(B:B,'ILC1314'!$B189:G1002,5,false)="","Y","N")</f>
        <v>Y</v>
      </c>
      <c r="I260" s="12" t="str">
        <f>if(vlookup(B:B,'ILC1404'!B263:F8425,5,false)="","Y","N")</f>
        <v>Y</v>
      </c>
      <c r="J260" s="12" t="str">
        <f>if(vlookup(B:B,'ILC2203'!B226:F8425,5,false)="","Y","N")</f>
        <v>Y</v>
      </c>
      <c r="K260" s="12" t="str">
        <f>if(vlookup(B:B,'ILC2206'!B211:H370,5,false)="","Y","N")</f>
        <v>Y</v>
      </c>
      <c r="L260" s="12" t="str">
        <f>if(vlookup(B:B,'ILC2303'!B263:F8702,5,false)="","Y","N")</f>
        <v>N</v>
      </c>
      <c r="M260" s="12" t="str">
        <f>if(vlookup(B:B,'ILC2307'!B263:F9218,5,false)="","Y","N")</f>
        <v>Y</v>
      </c>
      <c r="N260" s="12" t="str">
        <f>if(vlookup(B:B,'ILC2313'!B263:F8857,5,false)="","Y","N")</f>
        <v>Y</v>
      </c>
      <c r="O260" s="12" t="str">
        <f>if(vlookup(B:B,'ILC2412'!B263:F8702,5,false)="","Y","N")</f>
        <v>Y</v>
      </c>
      <c r="P260" s="12" t="str">
        <f>if(vlookup(B:B,'ILC2413'!B263:F9200,5,false)="","Y","N")</f>
        <v>Y</v>
      </c>
      <c r="Q260" s="12" t="str">
        <f>if(vlookup(B:B,'ILC3104'!B263:F8745,5,false)="","Y","N")</f>
        <v>Y</v>
      </c>
      <c r="R260" s="12" t="str">
        <f>if(vlookup(B:B,'ILC3310'!B95:F8684,5,false)="","Y","N")</f>
        <v>Y</v>
      </c>
      <c r="S260" s="12" t="str">
        <f>if(vlookup(B:B,'ILC3312'!B263:F8702,5,false)="","Y","N")</f>
        <v>Y</v>
      </c>
      <c r="T260" s="12" t="str">
        <f>if(vlookup(B:B,'ILC3413'!B232:F8627,5,false)="","Y","N")</f>
        <v>Y</v>
      </c>
      <c r="U260" s="12" t="str">
        <f>if(vlookup(B:B,'ILC3415'!B260:F8652,5,false)="","Y","N")</f>
        <v>Y</v>
      </c>
      <c r="V260" s="12" t="str">
        <f>if(vlookup(B:B,'ILC4406'!B195:F8621,5,false)="","Y","N")</f>
        <v>Y</v>
      </c>
      <c r="W260" s="12" t="str">
        <f>if(vlookup(B:B,'ILC4410'!B263:F8869,5,false)="","Y","N")</f>
        <v>Y</v>
      </c>
      <c r="X260" s="12" t="str">
        <f>if(vlookup(B:B,'JBV455'!B263:F9209,5,false)="","Y","N")</f>
        <v>Y</v>
      </c>
      <c r="Y260" s="12" t="str">
        <f>if(vlookup(B:B,'JBV462'!B263:F8702,5,false)="","Y","N")</f>
        <v>Y</v>
      </c>
      <c r="Z260" s="12" t="str">
        <f>if(vlookup(B:B,'JBV464'!B263:F8702,5,false)="","Y","N")</f>
        <v>Y</v>
      </c>
      <c r="AA260" s="12" t="str">
        <f>if(vlookup(B:B,'VDI208'!B195:F8702,5,false)="","Y","N")</f>
        <v>Y</v>
      </c>
      <c r="AB260" s="76" t="str">
        <f>if(vlookup(B:B,'STO2206'!B195:F8702,5,false)="","Y","N")</f>
        <v>Y</v>
      </c>
    </row>
    <row r="261">
      <c r="A261" s="67" t="str">
        <f t="shared" si="2"/>
        <v>Thu</v>
      </c>
      <c r="B261" s="69">
        <v>43706.0</v>
      </c>
      <c r="C261" s="12" t="str">
        <f>if(vlookup(B:B,'ILC1110'!$B126:F8703,5,false)="","Y","N")</f>
        <v>Y</v>
      </c>
      <c r="D261" s="12" t="str">
        <f>if(vlookup(B:B,'ILC1111'!$B126:F8710,5,false)="","Y","N")</f>
        <v>Y</v>
      </c>
      <c r="E261" s="12" t="str">
        <f>if(vlookup(B:B,'ILC1112'!$B126:F8703,5,false)="","Y","N")</f>
        <v>Y</v>
      </c>
      <c r="F261" s="12" t="str">
        <f>if(vlookup(B:B,'ILC1211'!B264:F8703,5,false)="","Y","N")</f>
        <v>Y</v>
      </c>
      <c r="G261" s="12" t="str">
        <f>if(vlookup(B:B,'ILC1213'!$B191:G8703,5,false)="","Y","N")</f>
        <v>Y</v>
      </c>
      <c r="H261" s="12" t="str">
        <f>if(vlookup(B:B,'ILC1314'!$B190:G1003,5,false)="","Y","N")</f>
        <v>Y</v>
      </c>
      <c r="I261" s="12" t="str">
        <f>if(vlookup(B:B,'ILC1404'!B264:F8426,5,false)="","Y","N")</f>
        <v>Y</v>
      </c>
      <c r="J261" s="12" t="str">
        <f>if(vlookup(B:B,'ILC2203'!B227:F8426,5,false)="","Y","N")</f>
        <v>Y</v>
      </c>
      <c r="K261" s="12" t="str">
        <f>if(vlookup(B:B,'ILC2206'!B212:H370,5,false)="","Y","N")</f>
        <v>Y</v>
      </c>
      <c r="L261" s="12" t="str">
        <f>if(vlookup(B:B,'ILC2303'!B264:F8703,5,false)="","Y","N")</f>
        <v>N</v>
      </c>
      <c r="M261" s="12" t="str">
        <f>if(vlookup(B:B,'ILC2307'!B264:F9219,5,false)="","Y","N")</f>
        <v>Y</v>
      </c>
      <c r="N261" s="12" t="str">
        <f>if(vlookup(B:B,'ILC2313'!B264:F8858,5,false)="","Y","N")</f>
        <v>Y</v>
      </c>
      <c r="O261" s="12" t="str">
        <f>if(vlookup(B:B,'ILC2412'!B264:F8703,5,false)="","Y","N")</f>
        <v>Y</v>
      </c>
      <c r="P261" s="12" t="str">
        <f>if(vlookup(B:B,'ILC2413'!B264:F9201,5,false)="","Y","N")</f>
        <v>Y</v>
      </c>
      <c r="Q261" s="12" t="str">
        <f>if(vlookup(B:B,'ILC3104'!B264:F8746,5,false)="","Y","N")</f>
        <v>Y</v>
      </c>
      <c r="R261" s="12" t="str">
        <f>if(vlookup(B:B,'ILC3310'!B96:F8685,5,false)="","Y","N")</f>
        <v>Y</v>
      </c>
      <c r="S261" s="12" t="str">
        <f>if(vlookup(B:B,'ILC3312'!B264:F8703,5,false)="","Y","N")</f>
        <v>Y</v>
      </c>
      <c r="T261" s="12" t="str">
        <f>if(vlookup(B:B,'ILC3413'!B233:F8628,5,false)="","Y","N")</f>
        <v>Y</v>
      </c>
      <c r="U261" s="12" t="str">
        <f>if(vlookup(B:B,'ILC3415'!B261:F8653,5,false)="","Y","N")</f>
        <v>Y</v>
      </c>
      <c r="V261" s="12" t="str">
        <f>if(vlookup(B:B,'ILC4406'!B196:F8622,5,false)="","Y","N")</f>
        <v>Y</v>
      </c>
      <c r="W261" s="12" t="str">
        <f>if(vlookup(B:B,'ILC4410'!B264:F8870,5,false)="","Y","N")</f>
        <v>Y</v>
      </c>
      <c r="X261" s="12" t="str">
        <f>if(vlookup(B:B,'JBV455'!B264:F9210,5,false)="","Y","N")</f>
        <v>Y</v>
      </c>
      <c r="Y261" s="12" t="str">
        <f>if(vlookup(B:B,'JBV462'!B264:F8703,5,false)="","Y","N")</f>
        <v>Y</v>
      </c>
      <c r="Z261" s="12" t="str">
        <f>if(vlookup(B:B,'JBV464'!B264:F8703,5,false)="","Y","N")</f>
        <v>Y</v>
      </c>
      <c r="AA261" s="12" t="str">
        <f>if(vlookup(B:B,'VDI208'!B196:F8703,5,false)="","Y","N")</f>
        <v>Y</v>
      </c>
      <c r="AB261" s="76" t="str">
        <f>if(vlookup(B:B,'STO2206'!B196:F8703,5,false)="","Y","N")</f>
        <v>Y</v>
      </c>
    </row>
    <row r="262">
      <c r="A262" s="67" t="str">
        <f t="shared" si="2"/>
        <v>Fri</v>
      </c>
      <c r="B262" s="69">
        <v>43707.0</v>
      </c>
      <c r="C262" s="12" t="str">
        <f>if(vlookup(B:B,'ILC1110'!$B127:F8704,5,false)="","Y","N")</f>
        <v>Y</v>
      </c>
      <c r="D262" s="12" t="str">
        <f>if(vlookup(B:B,'ILC1111'!$B127:F8711,5,false)="","Y","N")</f>
        <v>Y</v>
      </c>
      <c r="E262" s="12" t="str">
        <f>if(vlookup(B:B,'ILC1112'!$B127:F8704,5,false)="","Y","N")</f>
        <v>Y</v>
      </c>
      <c r="F262" s="12" t="str">
        <f>if(vlookup(B:B,'ILC1211'!B265:F8704,5,false)="","Y","N")</f>
        <v>Y</v>
      </c>
      <c r="G262" s="12" t="str">
        <f>if(vlookup(B:B,'ILC1213'!$B192:G8704,5,false)="","Y","N")</f>
        <v>Y</v>
      </c>
      <c r="H262" s="12" t="str">
        <f>if(vlookup(B:B,'ILC1314'!$B191:G1004,5,false)="","Y","N")</f>
        <v>Y</v>
      </c>
      <c r="I262" s="12" t="str">
        <f>if(vlookup(B:B,'ILC1404'!B265:F8427,5,false)="","Y","N")</f>
        <v>Y</v>
      </c>
      <c r="J262" s="12" t="str">
        <f>if(vlookup(B:B,'ILC2203'!B228:F8427,5,false)="","Y","N")</f>
        <v>Y</v>
      </c>
      <c r="K262" s="12" t="str">
        <f>if(vlookup(B:B,'ILC2206'!B213:H370,5,false)="","Y","N")</f>
        <v>Y</v>
      </c>
      <c r="L262" s="12" t="str">
        <f>if(vlookup(B:B,'ILC2303'!B265:F8704,5,false)="","Y","N")</f>
        <v>N</v>
      </c>
      <c r="M262" s="12" t="str">
        <f>if(vlookup(B:B,'ILC2307'!B265:F9220,5,false)="","Y","N")</f>
        <v>Y</v>
      </c>
      <c r="N262" s="12" t="str">
        <f>if(vlookup(B:B,'ILC2313'!B265:F8859,5,false)="","Y","N")</f>
        <v>Y</v>
      </c>
      <c r="O262" s="12" t="str">
        <f>if(vlookup(B:B,'ILC2412'!B265:F8704,5,false)="","Y","N")</f>
        <v>Y</v>
      </c>
      <c r="P262" s="12" t="str">
        <f>if(vlookup(B:B,'ILC2413'!B265:F9202,5,false)="","Y","N")</f>
        <v>Y</v>
      </c>
      <c r="Q262" s="12" t="str">
        <f>if(vlookup(B:B,'ILC3104'!B265:F8747,5,false)="","Y","N")</f>
        <v>Y</v>
      </c>
      <c r="R262" s="12" t="str">
        <f>if(vlookup(B:B,'ILC3310'!B97:F8686,5,false)="","Y","N")</f>
        <v>Y</v>
      </c>
      <c r="S262" s="12" t="str">
        <f>if(vlookup(B:B,'ILC3312'!B265:F8704,5,false)="","Y","N")</f>
        <v>Y</v>
      </c>
      <c r="T262" s="12" t="str">
        <f>if(vlookup(B:B,'ILC3413'!B234:F8629,5,false)="","Y","N")</f>
        <v>Y</v>
      </c>
      <c r="U262" s="12" t="str">
        <f>if(vlookup(B:B,'ILC3415'!B262:F8654,5,false)="","Y","N")</f>
        <v>Y</v>
      </c>
      <c r="V262" s="12" t="str">
        <f>if(vlookup(B:B,'ILC4406'!B197:F8623,5,false)="","Y","N")</f>
        <v>Y</v>
      </c>
      <c r="W262" s="12" t="str">
        <f>if(vlookup(B:B,'ILC4410'!B265:F8871,5,false)="","Y","N")</f>
        <v>Y</v>
      </c>
      <c r="X262" s="12" t="str">
        <f>if(vlookup(B:B,'JBV455'!B265:F9211,5,false)="","Y","N")</f>
        <v>Y</v>
      </c>
      <c r="Y262" s="12" t="str">
        <f>if(vlookup(B:B,'JBV462'!B265:F8704,5,false)="","Y","N")</f>
        <v>Y</v>
      </c>
      <c r="Z262" s="12" t="str">
        <f>if(vlookup(B:B,'JBV464'!B265:F8704,5,false)="","Y","N")</f>
        <v>Y</v>
      </c>
      <c r="AA262" s="12" t="str">
        <f>if(vlookup(B:B,'VDI208'!B197:F8704,5,false)="","Y","N")</f>
        <v>Y</v>
      </c>
      <c r="AB262" s="76" t="str">
        <f>if(vlookup(B:B,'STO2206'!B197:F8704,5,false)="","Y","N")</f>
        <v>Y</v>
      </c>
    </row>
    <row r="263">
      <c r="A263" s="67" t="str">
        <f t="shared" si="2"/>
        <v>Sat</v>
      </c>
      <c r="B263" s="69">
        <v>43708.0</v>
      </c>
      <c r="C263" s="12" t="str">
        <f>if(vlookup(B:B,'ILC1110'!$B128:F8705,5,false)="","Y","N")</f>
        <v>Y</v>
      </c>
      <c r="D263" s="12" t="str">
        <f>if(vlookup(B:B,'ILC1111'!$B128:F8712,5,false)="","Y","N")</f>
        <v>Y</v>
      </c>
      <c r="E263" s="12" t="str">
        <f>if(vlookup(B:B,'ILC1112'!$B128:F8705,5,false)="","Y","N")</f>
        <v>Y</v>
      </c>
      <c r="F263" s="12" t="str">
        <f>if(vlookup(B:B,'ILC1211'!B266:F8705,5,false)="","Y","N")</f>
        <v>Y</v>
      </c>
      <c r="G263" s="12" t="str">
        <f>if(vlookup(B:B,'ILC1213'!$B193:G8705,5,false)="","Y","N")</f>
        <v>Y</v>
      </c>
      <c r="H263" s="12" t="str">
        <f>if(vlookup(B:B,'ILC1314'!$B192:G1005,5,false)="","Y","N")</f>
        <v>Y</v>
      </c>
      <c r="I263" s="12" t="str">
        <f>if(vlookup(B:B,'ILC1404'!B266:F8428,5,false)="","Y","N")</f>
        <v>Y</v>
      </c>
      <c r="J263" s="12" t="str">
        <f>if(vlookup(B:B,'ILC2203'!B229:F8428,5,false)="","Y","N")</f>
        <v>Y</v>
      </c>
      <c r="K263" s="12" t="str">
        <f>if(vlookup(B:B,'ILC2206'!B214:H370,5,false)="","Y","N")</f>
        <v>Y</v>
      </c>
      <c r="L263" s="12" t="str">
        <f>if(vlookup(B:B,'ILC2303'!B266:F8705,5,false)="","Y","N")</f>
        <v>N</v>
      </c>
      <c r="M263" s="12" t="str">
        <f>if(vlookup(B:B,'ILC2307'!B266:F9221,5,false)="","Y","N")</f>
        <v>Y</v>
      </c>
      <c r="N263" s="12" t="str">
        <f>if(vlookup(B:B,'ILC2313'!B266:F8860,5,false)="","Y","N")</f>
        <v>Y</v>
      </c>
      <c r="O263" s="12" t="str">
        <f>if(vlookup(B:B,'ILC2412'!B266:F8705,5,false)="","Y","N")</f>
        <v>Y</v>
      </c>
      <c r="P263" s="12" t="str">
        <f>if(vlookup(B:B,'ILC2413'!B266:F9203,5,false)="","Y","N")</f>
        <v>Y</v>
      </c>
      <c r="Q263" s="12" t="str">
        <f>if(vlookup(B:B,'ILC3104'!B266:F8748,5,false)="","Y","N")</f>
        <v>Y</v>
      </c>
      <c r="R263" s="12" t="str">
        <f>if(vlookup(B:B,'ILC3310'!B98:F8687,5,false)="","Y","N")</f>
        <v>Y</v>
      </c>
      <c r="S263" s="12" t="str">
        <f>if(vlookup(B:B,'ILC3312'!B266:F8705,5,false)="","Y","N")</f>
        <v>Y</v>
      </c>
      <c r="T263" s="12" t="str">
        <f>if(vlookup(B:B,'ILC3413'!B235:F8630,5,false)="","Y","N")</f>
        <v>Y</v>
      </c>
      <c r="U263" s="12" t="str">
        <f>if(vlookup(B:B,'ILC3415'!B263:F8655,5,false)="","Y","N")</f>
        <v>Y</v>
      </c>
      <c r="V263" s="12" t="str">
        <f>if(vlookup(B:B,'ILC4406'!B198:F8624,5,false)="","Y","N")</f>
        <v>Y</v>
      </c>
      <c r="W263" s="12" t="str">
        <f>if(vlookup(B:B,'ILC4410'!B266:F8872,5,false)="","Y","N")</f>
        <v>Y</v>
      </c>
      <c r="X263" s="12" t="str">
        <f>if(vlookup(B:B,'JBV455'!B266:F9212,5,false)="","Y","N")</f>
        <v>Y</v>
      </c>
      <c r="Y263" s="12" t="str">
        <f>if(vlookup(B:B,'JBV462'!B266:F8705,5,false)="","Y","N")</f>
        <v>Y</v>
      </c>
      <c r="Z263" s="12" t="str">
        <f>if(vlookup(B:B,'JBV464'!B266:F8705,5,false)="","Y","N")</f>
        <v>Y</v>
      </c>
      <c r="AA263" s="12" t="str">
        <f>if(vlookup(B:B,'VDI208'!B198:F8705,5,false)="","Y","N")</f>
        <v>Y</v>
      </c>
      <c r="AB263" s="76" t="str">
        <f>if(vlookup(B:B,'STO2206'!B198:F8705,5,false)="","Y","N")</f>
        <v>Y</v>
      </c>
    </row>
    <row r="264">
      <c r="A264" s="67" t="str">
        <f t="shared" si="2"/>
        <v>Sun</v>
      </c>
      <c r="B264" s="69">
        <v>43709.0</v>
      </c>
      <c r="C264" s="12" t="str">
        <f>if(vlookup(B:B,'ILC1110'!$B129:F8706,5,false)="","Y","N")</f>
        <v>Y</v>
      </c>
      <c r="D264" s="12" t="str">
        <f>if(vlookup(B:B,'ILC1111'!$B129:F8713,5,false)="","Y","N")</f>
        <v>Y</v>
      </c>
      <c r="E264" s="12" t="str">
        <f>if(vlookup(B:B,'ILC1112'!$B129:F8706,5,false)="","Y","N")</f>
        <v>Y</v>
      </c>
      <c r="F264" s="12" t="str">
        <f>if(vlookup(B:B,'ILC1211'!B267:F8706,5,false)="","Y","N")</f>
        <v>Y</v>
      </c>
      <c r="G264" s="12" t="str">
        <f>if(vlookup(B:B,'ILC1213'!$B194:G8706,5,false)="","Y","N")</f>
        <v>Y</v>
      </c>
      <c r="H264" s="12" t="str">
        <f>if(vlookup(B:B,'ILC1314'!$B193:G1006,5,false)="","Y","N")</f>
        <v>Y</v>
      </c>
      <c r="I264" s="12" t="str">
        <f>if(vlookup(B:B,'ILC1404'!B267:F8429,5,false)="","Y","N")</f>
        <v>Y</v>
      </c>
      <c r="J264" s="12" t="str">
        <f>if(vlookup(B:B,'ILC2203'!B230:F8429,5,false)="","Y","N")</f>
        <v>Y</v>
      </c>
      <c r="K264" s="12" t="str">
        <f>if(vlookup(B:B,'ILC2206'!B215:H370,5,false)="","Y","N")</f>
        <v>Y</v>
      </c>
      <c r="L264" s="12" t="str">
        <f>if(vlookup(B:B,'ILC2303'!B267:F8706,5,false)="","Y","N")</f>
        <v>N</v>
      </c>
      <c r="M264" s="12" t="str">
        <f>if(vlookup(B:B,'ILC2307'!B267:F9222,5,false)="","Y","N")</f>
        <v>Y</v>
      </c>
      <c r="N264" s="12" t="str">
        <f>if(vlookup(B:B,'ILC2313'!B267:F8861,5,false)="","Y","N")</f>
        <v>Y</v>
      </c>
      <c r="O264" s="12" t="str">
        <f>if(vlookup(B:B,'ILC2412'!B267:F8706,5,false)="","Y","N")</f>
        <v>Y</v>
      </c>
      <c r="P264" s="12" t="str">
        <f>if(vlookup(B:B,'ILC2413'!B267:F9204,5,false)="","Y","N")</f>
        <v>Y</v>
      </c>
      <c r="Q264" s="12" t="str">
        <f>if(vlookup(B:B,'ILC3104'!B267:F8749,5,false)="","Y","N")</f>
        <v>Y</v>
      </c>
      <c r="R264" s="12" t="str">
        <f>if(vlookup(B:B,'ILC3310'!B99:F8688,5,false)="","Y","N")</f>
        <v>Y</v>
      </c>
      <c r="S264" s="12" t="str">
        <f>if(vlookup(B:B,'ILC3312'!B267:F8706,5,false)="","Y","N")</f>
        <v>Y</v>
      </c>
      <c r="T264" s="12" t="str">
        <f>if(vlookup(B:B,'ILC3413'!B236:F8631,5,false)="","Y","N")</f>
        <v>Y</v>
      </c>
      <c r="U264" s="12" t="str">
        <f>if(vlookup(B:B,'ILC3415'!B264:F8656,5,false)="","Y","N")</f>
        <v>Y</v>
      </c>
      <c r="V264" s="12" t="str">
        <f>if(vlookup(B:B,'ILC4406'!B199:F8625,5,false)="","Y","N")</f>
        <v>Y</v>
      </c>
      <c r="W264" s="12" t="str">
        <f>if(vlookup(B:B,'ILC4410'!B267:F8873,5,false)="","Y","N")</f>
        <v>Y</v>
      </c>
      <c r="X264" s="12" t="str">
        <f>if(vlookup(B:B,'JBV455'!B267:F9213,5,false)="","Y","N")</f>
        <v>Y</v>
      </c>
      <c r="Y264" s="12" t="str">
        <f>if(vlookup(B:B,'JBV462'!B267:F8706,5,false)="","Y","N")</f>
        <v>Y</v>
      </c>
      <c r="Z264" s="12" t="str">
        <f>if(vlookup(B:B,'JBV464'!B267:F8706,5,false)="","Y","N")</f>
        <v>Y</v>
      </c>
      <c r="AA264" s="12" t="str">
        <f>if(vlookup(B:B,'VDI208'!B199:F8706,5,false)="","Y","N")</f>
        <v>Y</v>
      </c>
      <c r="AB264" s="76" t="str">
        <f>if(vlookup(B:B,'STO2206'!B199:F8706,5,false)="","Y","N")</f>
        <v>Y</v>
      </c>
    </row>
    <row r="265">
      <c r="A265" s="67" t="str">
        <f t="shared" si="2"/>
        <v>Mon</v>
      </c>
      <c r="B265" s="69">
        <v>43710.0</v>
      </c>
      <c r="C265" s="12" t="str">
        <f>if(vlookup(B:B,'ILC1110'!$B130:F8707,5,false)="","Y","N")</f>
        <v>Y</v>
      </c>
      <c r="D265" s="12" t="str">
        <f>if(vlookup(B:B,'ILC1111'!$B130:F8714,5,false)="","Y","N")</f>
        <v>Y</v>
      </c>
      <c r="E265" s="12" t="str">
        <f>if(vlookup(B:B,'ILC1112'!$B130:F8707,5,false)="","Y","N")</f>
        <v>Y</v>
      </c>
      <c r="F265" s="12" t="str">
        <f>if(vlookup(B:B,'ILC1211'!B268:F8707,5,false)="","Y","N")</f>
        <v>Y</v>
      </c>
      <c r="G265" s="12" t="str">
        <f>if(vlookup(B:B,'ILC1213'!$B195:G8707,5,false)="","Y","N")</f>
        <v>Y</v>
      </c>
      <c r="H265" s="12" t="str">
        <f>if(vlookup(B:B,'ILC1314'!$B194:G1007,5,false)="","Y","N")</f>
        <v>Y</v>
      </c>
      <c r="I265" s="12" t="str">
        <f>if(vlookup(B:B,'ILC1404'!B268:F8430,5,false)="","Y","N")</f>
        <v>Y</v>
      </c>
      <c r="J265" s="12" t="str">
        <f>if(vlookup(B:B,'ILC2203'!B231:F8430,5,false)="","Y","N")</f>
        <v>Y</v>
      </c>
      <c r="K265" s="12" t="str">
        <f>if(vlookup(B:B,'ILC2206'!B216:H370,5,false)="","Y","N")</f>
        <v>Y</v>
      </c>
      <c r="L265" s="12" t="str">
        <f>if(vlookup(B:B,'ILC2303'!B268:F8707,5,false)="","Y","N")</f>
        <v>N</v>
      </c>
      <c r="M265" s="12" t="str">
        <f>if(vlookup(B:B,'ILC2307'!B268:F9223,5,false)="","Y","N")</f>
        <v>Y</v>
      </c>
      <c r="N265" s="12" t="str">
        <f>if(vlookup(B:B,'ILC2313'!B268:F8862,5,false)="","Y","N")</f>
        <v>Y</v>
      </c>
      <c r="O265" s="12" t="str">
        <f>if(vlookup(B:B,'ILC2412'!B268:F8707,5,false)="","Y","N")</f>
        <v>Y</v>
      </c>
      <c r="P265" s="12" t="str">
        <f>if(vlookup(B:B,'ILC2413'!B268:F9205,5,false)="","Y","N")</f>
        <v>Y</v>
      </c>
      <c r="Q265" s="12" t="str">
        <f>if(vlookup(B:B,'ILC3104'!B268:F8750,5,false)="","Y","N")</f>
        <v>Y</v>
      </c>
      <c r="R265" s="12" t="str">
        <f>if(vlookup(B:B,'ILC3310'!B100:F8689,5,false)="","Y","N")</f>
        <v>Y</v>
      </c>
      <c r="S265" s="12" t="str">
        <f>if(vlookup(B:B,'ILC3312'!B268:F8707,5,false)="","Y","N")</f>
        <v>Y</v>
      </c>
      <c r="T265" s="12" t="str">
        <f>if(vlookup(B:B,'ILC3413'!B237:F8632,5,false)="","Y","N")</f>
        <v>Y</v>
      </c>
      <c r="U265" s="12" t="str">
        <f>if(vlookup(B:B,'ILC3415'!B265:F8657,5,false)="","Y","N")</f>
        <v>Y</v>
      </c>
      <c r="V265" s="12" t="str">
        <f>if(vlookup(B:B,'ILC4406'!B200:F8626,5,false)="","Y","N")</f>
        <v>Y</v>
      </c>
      <c r="W265" s="12" t="str">
        <f>if(vlookup(B:B,'ILC4410'!B268:F8874,5,false)="","Y","N")</f>
        <v>Y</v>
      </c>
      <c r="X265" s="12" t="str">
        <f>if(vlookup(B:B,'JBV455'!B268:F9214,5,false)="","Y","N")</f>
        <v>Y</v>
      </c>
      <c r="Y265" s="12" t="str">
        <f>if(vlookup(B:B,'JBV462'!B268:F8707,5,false)="","Y","N")</f>
        <v>Y</v>
      </c>
      <c r="Z265" s="12" t="str">
        <f>if(vlookup(B:B,'JBV464'!B268:F8707,5,false)="","Y","N")</f>
        <v>Y</v>
      </c>
      <c r="AA265" s="12" t="str">
        <f>if(vlookup(B:B,'VDI208'!B200:F8707,5,false)="","Y","N")</f>
        <v>Y</v>
      </c>
      <c r="AB265" s="76" t="str">
        <f>if(vlookup(B:B,'STO2206'!B200:F8707,5,false)="","Y","N")</f>
        <v>Y</v>
      </c>
    </row>
    <row r="266">
      <c r="A266" s="67" t="str">
        <f t="shared" si="2"/>
        <v>Tue</v>
      </c>
      <c r="B266" s="69">
        <v>43711.0</v>
      </c>
      <c r="C266" s="12" t="str">
        <f>if(vlookup(B:B,'ILC1110'!$B131:F8708,5,false)="","Y","N")</f>
        <v>Y</v>
      </c>
      <c r="D266" s="12" t="str">
        <f>if(vlookup(B:B,'ILC1111'!$B131:F8715,5,false)="","Y","N")</f>
        <v>Y</v>
      </c>
      <c r="E266" s="12" t="str">
        <f>if(vlookup(B:B,'ILC1112'!$B131:F8708,5,false)="","Y","N")</f>
        <v>Y</v>
      </c>
      <c r="F266" s="12" t="str">
        <f>if(vlookup(B:B,'ILC1211'!B269:F8708,5,false)="","Y","N")</f>
        <v>Y</v>
      </c>
      <c r="G266" s="12" t="str">
        <f>if(vlookup(B:B,'ILC1213'!$B196:G8708,5,false)="","Y","N")</f>
        <v>Y</v>
      </c>
      <c r="H266" s="12" t="str">
        <f>if(vlookup(B:B,'ILC1314'!$B195:G1008,5,false)="","Y","N")</f>
        <v>Y</v>
      </c>
      <c r="I266" s="12" t="str">
        <f>if(vlookup(B:B,'ILC1404'!B269:F8431,5,false)="","Y","N")</f>
        <v>Y</v>
      </c>
      <c r="J266" s="12" t="str">
        <f>if(vlookup(B:B,'ILC2203'!B232:F8431,5,false)="","Y","N")</f>
        <v>N</v>
      </c>
      <c r="K266" s="12" t="str">
        <f>if(vlookup(B:B,'ILC2206'!B217:H370,5,false)="","Y","N")</f>
        <v>Y</v>
      </c>
      <c r="L266" s="12" t="str">
        <f>if(vlookup(B:B,'ILC2303'!B269:F8708,5,false)="","Y","N")</f>
        <v>N</v>
      </c>
      <c r="M266" s="12" t="str">
        <f>if(vlookup(B:B,'ILC2307'!B269:F9224,5,false)="","Y","N")</f>
        <v>Y</v>
      </c>
      <c r="N266" s="12" t="str">
        <f>if(vlookup(B:B,'ILC2313'!B269:F8863,5,false)="","Y","N")</f>
        <v>Y</v>
      </c>
      <c r="O266" s="12" t="str">
        <f>if(vlookup(B:B,'ILC2412'!B269:F8708,5,false)="","Y","N")</f>
        <v>Y</v>
      </c>
      <c r="P266" s="12" t="str">
        <f>if(vlookup(B:B,'ILC2413'!B269:F9206,5,false)="","Y","N")</f>
        <v>Y</v>
      </c>
      <c r="Q266" s="12" t="str">
        <f>if(vlookup(B:B,'ILC3104'!B269:F8751,5,false)="","Y","N")</f>
        <v>Y</v>
      </c>
      <c r="R266" s="12" t="str">
        <f>if(vlookup(B:B,'ILC3310'!B101:F8690,5,false)="","Y","N")</f>
        <v>Y</v>
      </c>
      <c r="S266" s="12" t="str">
        <f>if(vlookup(B:B,'ILC3312'!B269:F8708,5,false)="","Y","N")</f>
        <v>Y</v>
      </c>
      <c r="T266" s="12" t="str">
        <f>if(vlookup(B:B,'ILC3413'!B238:F8633,5,false)="","Y","N")</f>
        <v>Y</v>
      </c>
      <c r="U266" s="12" t="str">
        <f>if(vlookup(B:B,'ILC3415'!B266:F8658,5,false)="","Y","N")</f>
        <v>Y</v>
      </c>
      <c r="V266" s="12" t="str">
        <f>if(vlookup(B:B,'ILC4406'!B201:F8627,5,false)="","Y","N")</f>
        <v>Y</v>
      </c>
      <c r="W266" s="12" t="str">
        <f>if(vlookup(B:B,'ILC4410'!B269:F8875,5,false)="","Y","N")</f>
        <v>Y</v>
      </c>
      <c r="X266" s="12" t="str">
        <f>if(vlookup(B:B,'JBV455'!B269:F9215,5,false)="","Y","N")</f>
        <v>Y</v>
      </c>
      <c r="Y266" s="12" t="str">
        <f>if(vlookup(B:B,'JBV462'!B269:F8708,5,false)="","Y","N")</f>
        <v>Y</v>
      </c>
      <c r="Z266" s="12" t="str">
        <f>if(vlookup(B:B,'JBV464'!B269:F8708,5,false)="","Y","N")</f>
        <v>Y</v>
      </c>
      <c r="AA266" s="12" t="str">
        <f>if(vlookup(B:B,'VDI208'!B201:F8708,5,false)="","Y","N")</f>
        <v>Y</v>
      </c>
      <c r="AB266" s="76" t="str">
        <f>if(vlookup(B:B,'STO2206'!B201:F8708,5,false)="","Y","N")</f>
        <v>Y</v>
      </c>
    </row>
    <row r="267">
      <c r="A267" s="67" t="str">
        <f t="shared" si="2"/>
        <v>Wed</v>
      </c>
      <c r="B267" s="69">
        <v>43712.0</v>
      </c>
      <c r="C267" s="12" t="str">
        <f>if(vlookup(B:B,'ILC1110'!$B132:F8709,5,false)="","Y","N")</f>
        <v>Y</v>
      </c>
      <c r="D267" s="12" t="str">
        <f>if(vlookup(B:B,'ILC1111'!$B132:F8716,5,false)="","Y","N")</f>
        <v>Y</v>
      </c>
      <c r="E267" s="12" t="str">
        <f>if(vlookup(B:B,'ILC1112'!$B132:F8709,5,false)="","Y","N")</f>
        <v>Y</v>
      </c>
      <c r="F267" s="12" t="str">
        <f>if(vlookup(B:B,'ILC1211'!B270:F8709,5,false)="","Y","N")</f>
        <v>Y</v>
      </c>
      <c r="G267" s="12" t="str">
        <f>if(vlookup(B:B,'ILC1213'!$B197:G8709,5,false)="","Y","N")</f>
        <v>Y</v>
      </c>
      <c r="H267" s="12" t="str">
        <f>if(vlookup(B:B,'ILC1314'!$B196:G1009,5,false)="","Y","N")</f>
        <v>Y</v>
      </c>
      <c r="I267" s="12" t="str">
        <f>if(vlookup(B:B,'ILC1404'!B270:F8432,5,false)="","Y","N")</f>
        <v>Y</v>
      </c>
      <c r="J267" s="12" t="str">
        <f>if(vlookup(B:B,'ILC2203'!B233:F8432,5,false)="","Y","N")</f>
        <v>N</v>
      </c>
      <c r="K267" s="12" t="str">
        <f>if(vlookup(B:B,'ILC2206'!B218:H370,5,false)="","Y","N")</f>
        <v>Y</v>
      </c>
      <c r="L267" s="12" t="str">
        <f>if(vlookup(B:B,'ILC2303'!B270:F8709,5,false)="","Y","N")</f>
        <v>N</v>
      </c>
      <c r="M267" s="12" t="str">
        <f>if(vlookup(B:B,'ILC2307'!B270:F9225,5,false)="","Y","N")</f>
        <v>Y</v>
      </c>
      <c r="N267" s="12" t="str">
        <f>if(vlookup(B:B,'ILC2313'!B270:F8864,5,false)="","Y","N")</f>
        <v>Y</v>
      </c>
      <c r="O267" s="12" t="str">
        <f>if(vlookup(B:B,'ILC2412'!B270:F8709,5,false)="","Y","N")</f>
        <v>Y</v>
      </c>
      <c r="P267" s="12" t="str">
        <f>if(vlookup(B:B,'ILC2413'!B270:F9207,5,false)="","Y","N")</f>
        <v>Y</v>
      </c>
      <c r="Q267" s="12" t="str">
        <f>if(vlookup(B:B,'ILC3104'!B270:F8752,5,false)="","Y","N")</f>
        <v>Y</v>
      </c>
      <c r="R267" s="12" t="str">
        <f>if(vlookup(B:B,'ILC3310'!B102:F8691,5,false)="","Y","N")</f>
        <v>Y</v>
      </c>
      <c r="S267" s="12" t="str">
        <f>if(vlookup(B:B,'ILC3312'!B270:F8709,5,false)="","Y","N")</f>
        <v>Y</v>
      </c>
      <c r="T267" s="12" t="str">
        <f>if(vlookup(B:B,'ILC3413'!B239:F8634,5,false)="","Y","N")</f>
        <v>Y</v>
      </c>
      <c r="U267" s="12" t="str">
        <f>if(vlookup(B:B,'ILC3415'!B267:F8659,5,false)="","Y","N")</f>
        <v>Y</v>
      </c>
      <c r="V267" s="12" t="str">
        <f>if(vlookup(B:B,'ILC4406'!B202:F8628,5,false)="","Y","N")</f>
        <v>Y</v>
      </c>
      <c r="W267" s="12" t="str">
        <f>if(vlookup(B:B,'ILC4410'!B270:F8876,5,false)="","Y","N")</f>
        <v>Y</v>
      </c>
      <c r="X267" s="12" t="str">
        <f>if(vlookup(B:B,'JBV455'!B270:F9216,5,false)="","Y","N")</f>
        <v>Y</v>
      </c>
      <c r="Y267" s="12" t="str">
        <f>if(vlookup(B:B,'JBV462'!B270:F8709,5,false)="","Y","N")</f>
        <v>Y</v>
      </c>
      <c r="Z267" s="12" t="str">
        <f>if(vlookup(B:B,'JBV464'!B270:F8709,5,false)="","Y","N")</f>
        <v>Y</v>
      </c>
      <c r="AA267" s="12" t="str">
        <f>if(vlookup(B:B,'VDI208'!B202:F8709,5,false)="","Y","N")</f>
        <v>Y</v>
      </c>
      <c r="AB267" s="76" t="str">
        <f>if(vlookup(B:B,'STO2206'!B202:F8709,5,false)="","Y","N")</f>
        <v>Y</v>
      </c>
    </row>
    <row r="268">
      <c r="A268" s="67" t="str">
        <f t="shared" si="2"/>
        <v>Thu</v>
      </c>
      <c r="B268" s="69">
        <v>43713.0</v>
      </c>
      <c r="C268" s="12" t="str">
        <f>if(vlookup(B:B,'ILC1110'!$B133:F8710,5,false)="","Y","N")</f>
        <v>Y</v>
      </c>
      <c r="D268" s="12" t="str">
        <f>if(vlookup(B:B,'ILC1111'!$B133:F8717,5,false)="","Y","N")</f>
        <v>Y</v>
      </c>
      <c r="E268" s="12" t="str">
        <f>if(vlookup(B:B,'ILC1112'!$B133:F8710,5,false)="","Y","N")</f>
        <v>Y</v>
      </c>
      <c r="F268" s="12" t="str">
        <f>if(vlookup(B:B,'ILC1211'!B271:F8710,5,false)="","Y","N")</f>
        <v>Y</v>
      </c>
      <c r="G268" s="12" t="str">
        <f>if(vlookup(B:B,'ILC1213'!$B198:G8710,5,false)="","Y","N")</f>
        <v>Y</v>
      </c>
      <c r="H268" s="12" t="str">
        <f>if(vlookup(B:B,'ILC1314'!$B197:G1010,5,false)="","Y","N")</f>
        <v>Y</v>
      </c>
      <c r="I268" s="12" t="str">
        <f>if(vlookup(B:B,'ILC1404'!B271:F8433,5,false)="","Y","N")</f>
        <v>Y</v>
      </c>
      <c r="J268" s="12" t="str">
        <f>if(vlookup(B:B,'ILC2203'!B234:F8433,5,false)="","Y","N")</f>
        <v>N</v>
      </c>
      <c r="K268" s="12" t="str">
        <f>if(vlookup(B:B,'ILC2206'!B219:H370,5,false)="","Y","N")</f>
        <v>Y</v>
      </c>
      <c r="L268" s="12" t="str">
        <f>if(vlookup(B:B,'ILC2303'!B271:F8710,5,false)="","Y","N")</f>
        <v>N</v>
      </c>
      <c r="M268" s="12" t="str">
        <f>if(vlookup(B:B,'ILC2307'!B271:F9226,5,false)="","Y","N")</f>
        <v>Y</v>
      </c>
      <c r="N268" s="12" t="str">
        <f>if(vlookup(B:B,'ILC2313'!B271:F8865,5,false)="","Y","N")</f>
        <v>Y</v>
      </c>
      <c r="O268" s="12" t="str">
        <f>if(vlookup(B:B,'ILC2412'!B271:F8710,5,false)="","Y","N")</f>
        <v>Y</v>
      </c>
      <c r="P268" s="12" t="str">
        <f>if(vlookup(B:B,'ILC2413'!B271:F9208,5,false)="","Y","N")</f>
        <v>Y</v>
      </c>
      <c r="Q268" s="12" t="str">
        <f>if(vlookup(B:B,'ILC3104'!B271:F8753,5,false)="","Y","N")</f>
        <v>Y</v>
      </c>
      <c r="R268" s="12" t="str">
        <f>if(vlookup(B:B,'ILC3310'!B103:F8692,5,false)="","Y","N")</f>
        <v>Y</v>
      </c>
      <c r="S268" s="12" t="str">
        <f>if(vlookup(B:B,'ILC3312'!B271:F8710,5,false)="","Y","N")</f>
        <v>Y</v>
      </c>
      <c r="T268" s="12" t="str">
        <f>if(vlookup(B:B,'ILC3413'!B240:F8635,5,false)="","Y","N")</f>
        <v>Y</v>
      </c>
      <c r="U268" s="12" t="str">
        <f>if(vlookup(B:B,'ILC3415'!B268:F8660,5,false)="","Y","N")</f>
        <v>Y</v>
      </c>
      <c r="V268" s="12" t="str">
        <f>if(vlookup(B:B,'ILC4406'!B203:F8629,5,false)="","Y","N")</f>
        <v>Y</v>
      </c>
      <c r="W268" s="12" t="str">
        <f>if(vlookup(B:B,'ILC4410'!B271:F8877,5,false)="","Y","N")</f>
        <v>Y</v>
      </c>
      <c r="X268" s="12" t="str">
        <f>if(vlookup(B:B,'JBV455'!B271:F9217,5,false)="","Y","N")</f>
        <v>Y</v>
      </c>
      <c r="Y268" s="12" t="str">
        <f>if(vlookup(B:B,'JBV462'!B271:F8710,5,false)="","Y","N")</f>
        <v>Y</v>
      </c>
      <c r="Z268" s="12" t="str">
        <f>if(vlookup(B:B,'JBV464'!B271:F8710,5,false)="","Y","N")</f>
        <v>Y</v>
      </c>
      <c r="AA268" s="12" t="str">
        <f>if(vlookup(B:B,'VDI208'!B203:F8710,5,false)="","Y","N")</f>
        <v>Y</v>
      </c>
      <c r="AB268" s="76" t="str">
        <f>if(vlookup(B:B,'STO2206'!B203:F8710,5,false)="","Y","N")</f>
        <v>Y</v>
      </c>
    </row>
    <row r="269">
      <c r="A269" s="67" t="str">
        <f t="shared" si="2"/>
        <v>Fri</v>
      </c>
      <c r="B269" s="69">
        <v>43714.0</v>
      </c>
      <c r="C269" s="12" t="str">
        <f>if(vlookup(B:B,'ILC1110'!$B134:F8711,5,false)="","Y","N")</f>
        <v>Y</v>
      </c>
      <c r="D269" s="12" t="str">
        <f>if(vlookup(B:B,'ILC1111'!$B134:F8718,5,false)="","Y","N")</f>
        <v>Y</v>
      </c>
      <c r="E269" s="12" t="str">
        <f>if(vlookup(B:B,'ILC1112'!$B134:F8711,5,false)="","Y","N")</f>
        <v>Y</v>
      </c>
      <c r="F269" s="12" t="str">
        <f>if(vlookup(B:B,'ILC1211'!B272:F8711,5,false)="","Y","N")</f>
        <v>Y</v>
      </c>
      <c r="G269" s="12" t="str">
        <f>if(vlookup(B:B,'ILC1213'!$B199:G8711,5,false)="","Y","N")</f>
        <v>Y</v>
      </c>
      <c r="H269" s="12" t="str">
        <f>if(vlookup(B:B,'ILC1314'!$B198:G1011,5,false)="","Y","N")</f>
        <v>Y</v>
      </c>
      <c r="I269" s="12" t="str">
        <f>if(vlookup(B:B,'ILC1404'!B272:F8434,5,false)="","Y","N")</f>
        <v>Y</v>
      </c>
      <c r="J269" s="12" t="str">
        <f>if(vlookup(B:B,'ILC2203'!B235:F8434,5,false)="","Y","N")</f>
        <v>N</v>
      </c>
      <c r="K269" s="12" t="str">
        <f>if(vlookup(B:B,'ILC2206'!B220:H370,5,false)="","Y","N")</f>
        <v>Y</v>
      </c>
      <c r="L269" s="12" t="str">
        <f>if(vlookup(B:B,'ILC2303'!B272:F8711,5,false)="","Y","N")</f>
        <v>N</v>
      </c>
      <c r="M269" s="12" t="str">
        <f>if(vlookup(B:B,'ILC2307'!B272:F9227,5,false)="","Y","N")</f>
        <v>Y</v>
      </c>
      <c r="N269" s="12" t="str">
        <f>if(vlookup(B:B,'ILC2313'!B272:F8866,5,false)="","Y","N")</f>
        <v>Y</v>
      </c>
      <c r="O269" s="12" t="str">
        <f>if(vlookup(B:B,'ILC2412'!B272:F8711,5,false)="","Y","N")</f>
        <v>Y</v>
      </c>
      <c r="P269" s="12" t="str">
        <f>if(vlookup(B:B,'ILC2413'!B272:F9209,5,false)="","Y","N")</f>
        <v>Y</v>
      </c>
      <c r="Q269" s="12" t="str">
        <f>if(vlookup(B:B,'ILC3104'!B272:F8754,5,false)="","Y","N")</f>
        <v>Y</v>
      </c>
      <c r="R269" s="12" t="str">
        <f>if(vlookup(B:B,'ILC3310'!B104:F8693,5,false)="","Y","N")</f>
        <v>Y</v>
      </c>
      <c r="S269" s="12" t="str">
        <f>if(vlookup(B:B,'ILC3312'!B272:F8711,5,false)="","Y","N")</f>
        <v>Y</v>
      </c>
      <c r="T269" s="12" t="str">
        <f>if(vlookup(B:B,'ILC3413'!B241:F8636,5,false)="","Y","N")</f>
        <v>Y</v>
      </c>
      <c r="U269" s="12" t="str">
        <f>if(vlookup(B:B,'ILC3415'!B269:F8661,5,false)="","Y","N")</f>
        <v>Y</v>
      </c>
      <c r="V269" s="12" t="str">
        <f>if(vlookup(B:B,'ILC4406'!B204:F8630,5,false)="","Y","N")</f>
        <v>Y</v>
      </c>
      <c r="W269" s="12" t="str">
        <f>if(vlookup(B:B,'ILC4410'!B272:F8878,5,false)="","Y","N")</f>
        <v>Y</v>
      </c>
      <c r="X269" s="12" t="str">
        <f>if(vlookup(B:B,'JBV455'!B272:F9218,5,false)="","Y","N")</f>
        <v>Y</v>
      </c>
      <c r="Y269" s="12" t="str">
        <f>if(vlookup(B:B,'JBV462'!B272:F8711,5,false)="","Y","N")</f>
        <v>N</v>
      </c>
      <c r="Z269" s="12" t="str">
        <f>if(vlookup(B:B,'JBV464'!B272:F8711,5,false)="","Y","N")</f>
        <v>Y</v>
      </c>
      <c r="AA269" s="12" t="str">
        <f>if(vlookup(B:B,'VDI208'!B204:F8711,5,false)="","Y","N")</f>
        <v>Y</v>
      </c>
      <c r="AB269" s="76" t="str">
        <f>if(vlookup(B:B,'STO2206'!B204:F8711,5,false)="","Y","N")</f>
        <v>Y</v>
      </c>
    </row>
    <row r="270">
      <c r="A270" s="67" t="str">
        <f t="shared" si="2"/>
        <v>Sat</v>
      </c>
      <c r="B270" s="69">
        <v>43715.0</v>
      </c>
      <c r="C270" s="12" t="str">
        <f>if(vlookup(B:B,'ILC1110'!$B135:F8712,5,false)="","Y","N")</f>
        <v>Y</v>
      </c>
      <c r="D270" s="12" t="str">
        <f>if(vlookup(B:B,'ILC1111'!$B135:F8719,5,false)="","Y","N")</f>
        <v>Y</v>
      </c>
      <c r="E270" s="12" t="str">
        <f>if(vlookup(B:B,'ILC1112'!$B135:F8712,5,false)="","Y","N")</f>
        <v>Y</v>
      </c>
      <c r="F270" s="12" t="str">
        <f>if(vlookup(B:B,'ILC1211'!B273:F8712,5,false)="","Y","N")</f>
        <v>Y</v>
      </c>
      <c r="G270" s="12" t="str">
        <f>if(vlookup(B:B,'ILC1213'!$B200:G8712,5,false)="","Y","N")</f>
        <v>Y</v>
      </c>
      <c r="H270" s="12" t="str">
        <f>if(vlookup(B:B,'ILC1314'!$B199:G1012,5,false)="","Y","N")</f>
        <v>Y</v>
      </c>
      <c r="I270" s="12" t="str">
        <f>if(vlookup(B:B,'ILC1404'!B273:F8435,5,false)="","Y","N")</f>
        <v>Y</v>
      </c>
      <c r="J270" s="12" t="str">
        <f>if(vlookup(B:B,'ILC2203'!B236:F8435,5,false)="","Y","N")</f>
        <v>N</v>
      </c>
      <c r="K270" s="12" t="str">
        <f>if(vlookup(B:B,'ILC2206'!B221:H370,5,false)="","Y","N")</f>
        <v>Y</v>
      </c>
      <c r="L270" s="12" t="str">
        <f>if(vlookup(B:B,'ILC2303'!B273:F8712,5,false)="","Y","N")</f>
        <v>N</v>
      </c>
      <c r="M270" s="12" t="str">
        <f>if(vlookup(B:B,'ILC2307'!B273:F9228,5,false)="","Y","N")</f>
        <v>Y</v>
      </c>
      <c r="N270" s="12" t="str">
        <f>if(vlookup(B:B,'ILC2313'!B273:F8867,5,false)="","Y","N")</f>
        <v>Y</v>
      </c>
      <c r="O270" s="12" t="str">
        <f>if(vlookup(B:B,'ILC2412'!B273:F8712,5,false)="","Y","N")</f>
        <v>Y</v>
      </c>
      <c r="P270" s="12" t="str">
        <f>if(vlookup(B:B,'ILC2413'!B273:F9210,5,false)="","Y","N")</f>
        <v>Y</v>
      </c>
      <c r="Q270" s="12" t="str">
        <f>if(vlookup(B:B,'ILC3104'!B273:F8755,5,false)="","Y","N")</f>
        <v>Y</v>
      </c>
      <c r="R270" s="12" t="str">
        <f>if(vlookup(B:B,'ILC3310'!B105:F8694,5,false)="","Y","N")</f>
        <v>Y</v>
      </c>
      <c r="S270" s="12" t="str">
        <f>if(vlookup(B:B,'ILC3312'!B273:F8712,5,false)="","Y","N")</f>
        <v>Y</v>
      </c>
      <c r="T270" s="12" t="str">
        <f>if(vlookup(B:B,'ILC3413'!B242:F8637,5,false)="","Y","N")</f>
        <v>Y</v>
      </c>
      <c r="U270" s="12" t="str">
        <f>if(vlookup(B:B,'ILC3415'!B270:F8662,5,false)="","Y","N")</f>
        <v>Y</v>
      </c>
      <c r="V270" s="12" t="str">
        <f>if(vlookup(B:B,'ILC4406'!B205:F8631,5,false)="","Y","N")</f>
        <v>Y</v>
      </c>
      <c r="W270" s="12" t="str">
        <f>if(vlookup(B:B,'ILC4410'!B273:F8879,5,false)="","Y","N")</f>
        <v>Y</v>
      </c>
      <c r="X270" s="12" t="str">
        <f>if(vlookup(B:B,'JBV455'!B273:F9219,5,false)="","Y","N")</f>
        <v>Y</v>
      </c>
      <c r="Y270" s="12" t="str">
        <f>if(vlookup(B:B,'JBV462'!B273:F8712,5,false)="","Y","N")</f>
        <v>N</v>
      </c>
      <c r="Z270" s="12" t="str">
        <f>if(vlookup(B:B,'JBV464'!B273:F8712,5,false)="","Y","N")</f>
        <v>Y</v>
      </c>
      <c r="AA270" s="12" t="str">
        <f>if(vlookup(B:B,'VDI208'!B205:F8712,5,false)="","Y","N")</f>
        <v>Y</v>
      </c>
      <c r="AB270" s="76" t="str">
        <f>if(vlookup(B:B,'STO2206'!B205:F8712,5,false)="","Y","N")</f>
        <v>Y</v>
      </c>
    </row>
    <row r="271">
      <c r="A271" s="67" t="str">
        <f t="shared" si="2"/>
        <v>Sun</v>
      </c>
      <c r="B271" s="69">
        <v>43716.0</v>
      </c>
      <c r="C271" s="12" t="str">
        <f>if(vlookup(B:B,'ILC1110'!$B136:F8713,5,false)="","Y","N")</f>
        <v>Y</v>
      </c>
      <c r="D271" s="12" t="str">
        <f>if(vlookup(B:B,'ILC1111'!$B136:F8720,5,false)="","Y","N")</f>
        <v>Y</v>
      </c>
      <c r="E271" s="12" t="str">
        <f>if(vlookup(B:B,'ILC1112'!$B136:F8713,5,false)="","Y","N")</f>
        <v>Y</v>
      </c>
      <c r="F271" s="12" t="str">
        <f>if(vlookup(B:B,'ILC1211'!B274:F8713,5,false)="","Y","N")</f>
        <v>Y</v>
      </c>
      <c r="G271" s="12" t="str">
        <f>if(vlookup(B:B,'ILC1213'!$B201:G8713,5,false)="","Y","N")</f>
        <v>Y</v>
      </c>
      <c r="H271" s="12" t="str">
        <f>if(vlookup(B:B,'ILC1314'!$B200:G1013,5,false)="","Y","N")</f>
        <v>Y</v>
      </c>
      <c r="I271" s="12" t="str">
        <f>if(vlookup(B:B,'ILC1404'!B274:F8436,5,false)="","Y","N")</f>
        <v>Y</v>
      </c>
      <c r="J271" s="12" t="str">
        <f>if(vlookup(B:B,'ILC2203'!B237:F8436,5,false)="","Y","N")</f>
        <v>Y</v>
      </c>
      <c r="K271" s="12" t="str">
        <f>if(vlookup(B:B,'ILC2206'!B222:H370,5,false)="","Y","N")</f>
        <v>Y</v>
      </c>
      <c r="L271" s="12" t="str">
        <f>if(vlookup(B:B,'ILC2303'!B274:F8713,5,false)="","Y","N")</f>
        <v>N</v>
      </c>
      <c r="M271" s="12" t="str">
        <f>if(vlookup(B:B,'ILC2307'!B274:F9229,5,false)="","Y","N")</f>
        <v>Y</v>
      </c>
      <c r="N271" s="12" t="str">
        <f>if(vlookup(B:B,'ILC2313'!B274:F8868,5,false)="","Y","N")</f>
        <v>Y</v>
      </c>
      <c r="O271" s="12" t="str">
        <f>if(vlookup(B:B,'ILC2412'!B274:F8713,5,false)="","Y","N")</f>
        <v>Y</v>
      </c>
      <c r="P271" s="12" t="str">
        <f>if(vlookup(B:B,'ILC2413'!B274:F9211,5,false)="","Y","N")</f>
        <v>Y</v>
      </c>
      <c r="Q271" s="12" t="str">
        <f>if(vlookup(B:B,'ILC3104'!B274:F8756,5,false)="","Y","N")</f>
        <v>Y</v>
      </c>
      <c r="R271" s="12" t="str">
        <f>if(vlookup(B:B,'ILC3310'!B106:F8695,5,false)="","Y","N")</f>
        <v>Y</v>
      </c>
      <c r="S271" s="12" t="str">
        <f>if(vlookup(B:B,'ILC3312'!B274:F8713,5,false)="","Y","N")</f>
        <v>Y</v>
      </c>
      <c r="T271" s="12" t="str">
        <f>if(vlookup(B:B,'ILC3413'!B243:F8638,5,false)="","Y","N")</f>
        <v>Y</v>
      </c>
      <c r="U271" s="12" t="str">
        <f>if(vlookup(B:B,'ILC3415'!B271:F8663,5,false)="","Y","N")</f>
        <v>Y</v>
      </c>
      <c r="V271" s="12" t="str">
        <f>if(vlookup(B:B,'ILC4406'!B206:F8632,5,false)="","Y","N")</f>
        <v>Y</v>
      </c>
      <c r="W271" s="12" t="str">
        <f>if(vlookup(B:B,'ILC4410'!B274:F8880,5,false)="","Y","N")</f>
        <v>Y</v>
      </c>
      <c r="X271" s="12" t="str">
        <f>if(vlookup(B:B,'JBV455'!B274:F9220,5,false)="","Y","N")</f>
        <v>Y</v>
      </c>
      <c r="Y271" s="12" t="str">
        <f>if(vlookup(B:B,'JBV462'!B274:F8713,5,false)="","Y","N")</f>
        <v>Y</v>
      </c>
      <c r="Z271" s="12" t="str">
        <f>if(vlookup(B:B,'JBV464'!B274:F8713,5,false)="","Y","N")</f>
        <v>Y</v>
      </c>
      <c r="AA271" s="12" t="str">
        <f>if(vlookup(B:B,'VDI208'!B206:F8713,5,false)="","Y","N")</f>
        <v>Y</v>
      </c>
      <c r="AB271" s="76" t="str">
        <f>if(vlookup(B:B,'STO2206'!B206:F8713,5,false)="","Y","N")</f>
        <v>Y</v>
      </c>
    </row>
    <row r="272">
      <c r="A272" s="67" t="str">
        <f t="shared" si="2"/>
        <v>Mon</v>
      </c>
      <c r="B272" s="69">
        <v>43717.0</v>
      </c>
      <c r="C272" s="12" t="str">
        <f>if(vlookup(B:B,'ILC1110'!$B137:F8714,5,false)="","Y","N")</f>
        <v>Y</v>
      </c>
      <c r="D272" s="12" t="str">
        <f>if(vlookup(B:B,'ILC1111'!$B137:F8721,5,false)="","Y","N")</f>
        <v>Y</v>
      </c>
      <c r="E272" s="12" t="str">
        <f>if(vlookup(B:B,'ILC1112'!$B137:F8714,5,false)="","Y","N")</f>
        <v>Y</v>
      </c>
      <c r="F272" s="12" t="str">
        <f>if(vlookup(B:B,'ILC1211'!B275:F8714,5,false)="","Y","N")</f>
        <v>Y</v>
      </c>
      <c r="G272" s="12" t="str">
        <f>if(vlookup(B:B,'ILC1213'!$B202:G8714,5,false)="","Y","N")</f>
        <v>Y</v>
      </c>
      <c r="H272" s="12" t="str">
        <f>if(vlookup(B:B,'ILC1314'!$B201:G1014,5,false)="","Y","N")</f>
        <v>Y</v>
      </c>
      <c r="I272" s="12" t="str">
        <f>if(vlookup(B:B,'ILC1404'!B275:F8437,5,false)="","Y","N")</f>
        <v>Y</v>
      </c>
      <c r="J272" s="12" t="str">
        <f>if(vlookup(B:B,'ILC2203'!B238:F8437,5,false)="","Y","N")</f>
        <v>Y</v>
      </c>
      <c r="K272" s="12" t="str">
        <f>if(vlookup(B:B,'ILC2206'!B223:H370,5,false)="","Y","N")</f>
        <v>Y</v>
      </c>
      <c r="L272" s="12" t="str">
        <f>if(vlookup(B:B,'ILC2303'!B275:F8714,5,false)="","Y","N")</f>
        <v>N</v>
      </c>
      <c r="M272" s="12" t="str">
        <f>if(vlookup(B:B,'ILC2307'!B275:F9230,5,false)="","Y","N")</f>
        <v>Y</v>
      </c>
      <c r="N272" s="12" t="str">
        <f>if(vlookup(B:B,'ILC2313'!B275:F8869,5,false)="","Y","N")</f>
        <v>Y</v>
      </c>
      <c r="O272" s="12" t="str">
        <f>if(vlookup(B:B,'ILC2412'!B275:F8714,5,false)="","Y","N")</f>
        <v>Y</v>
      </c>
      <c r="P272" s="12" t="str">
        <f>if(vlookup(B:B,'ILC2413'!B275:F9212,5,false)="","Y","N")</f>
        <v>Y</v>
      </c>
      <c r="Q272" s="12" t="str">
        <f>if(vlookup(B:B,'ILC3104'!B275:F8757,5,false)="","Y","N")</f>
        <v>Y</v>
      </c>
      <c r="R272" s="12" t="str">
        <f>if(vlookup(B:B,'ILC3310'!B107:F8696,5,false)="","Y","N")</f>
        <v>Y</v>
      </c>
      <c r="S272" s="12" t="str">
        <f>if(vlookup(B:B,'ILC3312'!B275:F8714,5,false)="","Y","N")</f>
        <v>Y</v>
      </c>
      <c r="T272" s="12" t="str">
        <f>if(vlookup(B:B,'ILC3413'!B244:F8639,5,false)="","Y","N")</f>
        <v>Y</v>
      </c>
      <c r="U272" s="12" t="str">
        <f>if(vlookup(B:B,'ILC3415'!B272:F8664,5,false)="","Y","N")</f>
        <v>Y</v>
      </c>
      <c r="V272" s="12" t="str">
        <f>if(vlookup(B:B,'ILC4406'!B207:F8633,5,false)="","Y","N")</f>
        <v>Y</v>
      </c>
      <c r="W272" s="12" t="str">
        <f>if(vlookup(B:B,'ILC4410'!B275:F8881,5,false)="","Y","N")</f>
        <v>Y</v>
      </c>
      <c r="X272" s="12" t="str">
        <f>if(vlookup(B:B,'JBV455'!B275:F9221,5,false)="","Y","N")</f>
        <v>Y</v>
      </c>
      <c r="Y272" s="12" t="str">
        <f>if(vlookup(B:B,'JBV462'!B275:F8714,5,false)="","Y","N")</f>
        <v>Y</v>
      </c>
      <c r="Z272" s="12" t="str">
        <f>if(vlookup(B:B,'JBV464'!B275:F8714,5,false)="","Y","N")</f>
        <v>Y</v>
      </c>
      <c r="AA272" s="12" t="str">
        <f>if(vlookup(B:B,'VDI208'!B207:F8714,5,false)="","Y","N")</f>
        <v>Y</v>
      </c>
      <c r="AB272" s="76" t="str">
        <f>if(vlookup(B:B,'STO2206'!B207:F8714,5,false)="","Y","N")</f>
        <v>Y</v>
      </c>
    </row>
    <row r="273">
      <c r="A273" s="67" t="str">
        <f t="shared" si="2"/>
        <v>Tue</v>
      </c>
      <c r="B273" s="69">
        <v>43718.0</v>
      </c>
      <c r="C273" s="12" t="str">
        <f>if(vlookup(B:B,'ILC1110'!$B138:F8715,5,false)="","Y","N")</f>
        <v>Y</v>
      </c>
      <c r="D273" s="12" t="str">
        <f>if(vlookup(B:B,'ILC1111'!$B138:F8722,5,false)="","Y","N")</f>
        <v>Y</v>
      </c>
      <c r="E273" s="12" t="str">
        <f>if(vlookup(B:B,'ILC1112'!$B138:F8715,5,false)="","Y","N")</f>
        <v>Y</v>
      </c>
      <c r="F273" s="12" t="str">
        <f>if(vlookup(B:B,'ILC1211'!B276:F8715,5,false)="","Y","N")</f>
        <v>Y</v>
      </c>
      <c r="G273" s="12" t="str">
        <f>if(vlookup(B:B,'ILC1213'!$B203:G8715,5,false)="","Y","N")</f>
        <v>Y</v>
      </c>
      <c r="H273" s="12" t="str">
        <f>if(vlookup(B:B,'ILC1314'!$B202:G1015,5,false)="","Y","N")</f>
        <v>Y</v>
      </c>
      <c r="I273" s="12" t="str">
        <f>if(vlookup(B:B,'ILC1404'!B276:F8438,5,false)="","Y","N")</f>
        <v>Y</v>
      </c>
      <c r="J273" s="12" t="str">
        <f>if(vlookup(B:B,'ILC2203'!B239:F8438,5,false)="","Y","N")</f>
        <v>Y</v>
      </c>
      <c r="K273" s="12" t="str">
        <f>if(vlookup(B:B,'ILC2206'!B224:H370,5,false)="","Y","N")</f>
        <v>Y</v>
      </c>
      <c r="L273" s="12" t="str">
        <f>if(vlookup(B:B,'ILC2303'!B276:F8715,5,false)="","Y","N")</f>
        <v>N</v>
      </c>
      <c r="M273" s="12" t="str">
        <f>if(vlookup(B:B,'ILC2307'!B276:F9231,5,false)="","Y","N")</f>
        <v>Y</v>
      </c>
      <c r="N273" s="12" t="str">
        <f>if(vlookup(B:B,'ILC2313'!B276:F8870,5,false)="","Y","N")</f>
        <v>Y</v>
      </c>
      <c r="O273" s="12" t="str">
        <f>if(vlookup(B:B,'ILC2412'!B276:F8715,5,false)="","Y","N")</f>
        <v>Y</v>
      </c>
      <c r="P273" s="12" t="str">
        <f>if(vlookup(B:B,'ILC2413'!B276:F9213,5,false)="","Y","N")</f>
        <v>Y</v>
      </c>
      <c r="Q273" s="12" t="str">
        <f>if(vlookup(B:B,'ILC3104'!B276:F8758,5,false)="","Y","N")</f>
        <v>Y</v>
      </c>
      <c r="R273" s="12" t="str">
        <f>if(vlookup(B:B,'ILC3310'!B108:F8697,5,false)="","Y","N")</f>
        <v>Y</v>
      </c>
      <c r="S273" s="12" t="str">
        <f>if(vlookup(B:B,'ILC3312'!B276:F8715,5,false)="","Y","N")</f>
        <v>Y</v>
      </c>
      <c r="T273" s="12" t="str">
        <f>if(vlookup(B:B,'ILC3413'!B245:F8640,5,false)="","Y","N")</f>
        <v>Y</v>
      </c>
      <c r="U273" s="12" t="str">
        <f>if(vlookup(B:B,'ILC3415'!B273:F8665,5,false)="","Y","N")</f>
        <v>Y</v>
      </c>
      <c r="V273" s="12" t="str">
        <f>if(vlookup(B:B,'ILC4406'!B208:F8634,5,false)="","Y","N")</f>
        <v>Y</v>
      </c>
      <c r="W273" s="12" t="str">
        <f>if(vlookup(B:B,'ILC4410'!B276:F8882,5,false)="","Y","N")</f>
        <v>Y</v>
      </c>
      <c r="X273" s="12" t="str">
        <f>if(vlookup(B:B,'JBV455'!B276:F9222,5,false)="","Y","N")</f>
        <v>Y</v>
      </c>
      <c r="Y273" s="12" t="str">
        <f>if(vlookup(B:B,'JBV462'!B276:F8715,5,false)="","Y","N")</f>
        <v>Y</v>
      </c>
      <c r="Z273" s="12" t="str">
        <f>if(vlookup(B:B,'JBV464'!B276:F8715,5,false)="","Y","N")</f>
        <v>Y</v>
      </c>
      <c r="AA273" s="12" t="str">
        <f>if(vlookup(B:B,'VDI208'!B208:F8715,5,false)="","Y","N")</f>
        <v>Y</v>
      </c>
      <c r="AB273" s="76" t="str">
        <f>if(vlookup(B:B,'STO2206'!B208:F8715,5,false)="","Y","N")</f>
        <v>Y</v>
      </c>
    </row>
    <row r="274">
      <c r="A274" s="67" t="str">
        <f t="shared" si="2"/>
        <v>Wed</v>
      </c>
      <c r="B274" s="69">
        <v>43719.0</v>
      </c>
      <c r="C274" s="12" t="str">
        <f>if(vlookup(B:B,'ILC1110'!$B139:F8716,5,false)="","Y","N")</f>
        <v>Y</v>
      </c>
      <c r="D274" s="12" t="str">
        <f>if(vlookup(B:B,'ILC1111'!$B139:F8723,5,false)="","Y","N")</f>
        <v>Y</v>
      </c>
      <c r="E274" s="12" t="str">
        <f>if(vlookup(B:B,'ILC1112'!$B139:F8716,5,false)="","Y","N")</f>
        <v>Y</v>
      </c>
      <c r="F274" s="12" t="str">
        <f>if(vlookup(B:B,'ILC1211'!B277:F8716,5,false)="","Y","N")</f>
        <v>Y</v>
      </c>
      <c r="G274" s="12" t="str">
        <f>if(vlookup(B:B,'ILC1213'!$B204:G8716,5,false)="","Y","N")</f>
        <v>Y</v>
      </c>
      <c r="H274" s="12" t="str">
        <f>if(vlookup(B:B,'ILC1314'!$B203:G1016,5,false)="","Y","N")</f>
        <v>Y</v>
      </c>
      <c r="I274" s="12" t="str">
        <f>if(vlookup(B:B,'ILC1404'!B277:F8439,5,false)="","Y","N")</f>
        <v>Y</v>
      </c>
      <c r="J274" s="12" t="str">
        <f>if(vlookup(B:B,'ILC2203'!B240:F8439,5,false)="","Y","N")</f>
        <v>Y</v>
      </c>
      <c r="K274" s="12" t="str">
        <f>if(vlookup(B:B,'ILC2206'!B225:H370,5,false)="","Y","N")</f>
        <v>Y</v>
      </c>
      <c r="L274" s="12" t="str">
        <f>if(vlookup(B:B,'ILC2303'!B277:F8716,5,false)="","Y","N")</f>
        <v>N</v>
      </c>
      <c r="M274" s="12" t="str">
        <f>if(vlookup(B:B,'ILC2307'!B277:F9232,5,false)="","Y","N")</f>
        <v>Y</v>
      </c>
      <c r="N274" s="12" t="str">
        <f>if(vlookup(B:B,'ILC2313'!B277:F8871,5,false)="","Y","N")</f>
        <v>Y</v>
      </c>
      <c r="O274" s="12" t="str">
        <f>if(vlookup(B:B,'ILC2412'!B277:F8716,5,false)="","Y","N")</f>
        <v>Y</v>
      </c>
      <c r="P274" s="12" t="str">
        <f>if(vlookup(B:B,'ILC2413'!B277:F9214,5,false)="","Y","N")</f>
        <v>Y</v>
      </c>
      <c r="Q274" s="12" t="str">
        <f>if(vlookup(B:B,'ILC3104'!B277:F8759,5,false)="","Y","N")</f>
        <v>Y</v>
      </c>
      <c r="R274" s="12" t="str">
        <f>if(vlookup(B:B,'ILC3310'!B109:F8698,5,false)="","Y","N")</f>
        <v>Y</v>
      </c>
      <c r="S274" s="12" t="str">
        <f>if(vlookup(B:B,'ILC3312'!B277:F8716,5,false)="","Y","N")</f>
        <v>Y</v>
      </c>
      <c r="T274" s="12" t="str">
        <f>if(vlookup(B:B,'ILC3413'!B246:F8641,5,false)="","Y","N")</f>
        <v>Y</v>
      </c>
      <c r="U274" s="12" t="str">
        <f>if(vlookup(B:B,'ILC3415'!B274:F8666,5,false)="","Y","N")</f>
        <v>Y</v>
      </c>
      <c r="V274" s="12" t="str">
        <f>if(vlookup(B:B,'ILC4406'!B209:F8635,5,false)="","Y","N")</f>
        <v>Y</v>
      </c>
      <c r="W274" s="12" t="str">
        <f>if(vlookup(B:B,'ILC4410'!B277:F8883,5,false)="","Y","N")</f>
        <v>Y</v>
      </c>
      <c r="X274" s="12" t="str">
        <f>if(vlookup(B:B,'JBV455'!B277:F9223,5,false)="","Y","N")</f>
        <v>Y</v>
      </c>
      <c r="Y274" s="12" t="str">
        <f>if(vlookup(B:B,'JBV462'!B277:F8716,5,false)="","Y","N")</f>
        <v>Y</v>
      </c>
      <c r="Z274" s="12" t="str">
        <f>if(vlookup(B:B,'JBV464'!B277:F8716,5,false)="","Y","N")</f>
        <v>Y</v>
      </c>
      <c r="AA274" s="12" t="str">
        <f>if(vlookup(B:B,'VDI208'!B209:F8716,5,false)="","Y","N")</f>
        <v>Y</v>
      </c>
      <c r="AB274" s="76" t="str">
        <f>if(vlookup(B:B,'STO2206'!B209:F8716,5,false)="","Y","N")</f>
        <v>Y</v>
      </c>
    </row>
    <row r="275">
      <c r="A275" s="67" t="str">
        <f t="shared" si="2"/>
        <v>Thu</v>
      </c>
      <c r="B275" s="69">
        <v>43720.0</v>
      </c>
      <c r="C275" s="12" t="str">
        <f>if(vlookup(B:B,'ILC1110'!$B140:F8717,5,false)="","Y","N")</f>
        <v>N</v>
      </c>
      <c r="D275" s="12" t="str">
        <f>if(vlookup(B:B,'ILC1111'!$B140:F8724,5,false)="","Y","N")</f>
        <v>Y</v>
      </c>
      <c r="E275" s="12" t="str">
        <f>if(vlookup(B:B,'ILC1112'!$B140:F8717,5,false)="","Y","N")</f>
        <v>Y</v>
      </c>
      <c r="F275" s="12" t="str">
        <f>if(vlookup(B:B,'ILC1211'!B278:F8717,5,false)="","Y","N")</f>
        <v>Y</v>
      </c>
      <c r="G275" s="12" t="str">
        <f>if(vlookup(B:B,'ILC1213'!$B205:G8717,5,false)="","Y","N")</f>
        <v>Y</v>
      </c>
      <c r="H275" s="12" t="str">
        <f>if(vlookup(B:B,'ILC1314'!$B204:G1017,5,false)="","Y","N")</f>
        <v>Y</v>
      </c>
      <c r="I275" s="12" t="str">
        <f>if(vlookup(B:B,'ILC1404'!B278:F8440,5,false)="","Y","N")</f>
        <v>N</v>
      </c>
      <c r="J275" s="12" t="str">
        <f>if(vlookup(B:B,'ILC2203'!B241:F8440,5,false)="","Y","N")</f>
        <v>Y</v>
      </c>
      <c r="K275" s="12" t="str">
        <f>if(vlookup(B:B,'ILC2206'!B226:H370,5,false)="","Y","N")</f>
        <v>Y</v>
      </c>
      <c r="L275" s="12" t="str">
        <f>if(vlookup(B:B,'ILC2303'!B278:F8717,5,false)="","Y","N")</f>
        <v>N</v>
      </c>
      <c r="M275" s="12" t="str">
        <f>if(vlookup(B:B,'ILC2307'!B278:F9233,5,false)="","Y","N")</f>
        <v>Y</v>
      </c>
      <c r="N275" s="12" t="str">
        <f>if(vlookup(B:B,'ILC2313'!B278:F8872,5,false)="","Y","N")</f>
        <v>Y</v>
      </c>
      <c r="O275" s="12" t="str">
        <f>if(vlookup(B:B,'ILC2412'!B278:F8717,5,false)="","Y","N")</f>
        <v>Y</v>
      </c>
      <c r="P275" s="12" t="str">
        <f>if(vlookup(B:B,'ILC2413'!B278:F9215,5,false)="","Y","N")</f>
        <v>Y</v>
      </c>
      <c r="Q275" s="12" t="str">
        <f>if(vlookup(B:B,'ILC3104'!B278:F8760,5,false)="","Y","N")</f>
        <v>Y</v>
      </c>
      <c r="R275" s="12" t="str">
        <f>if(vlookup(B:B,'ILC3310'!B110:F8699,5,false)="","Y","N")</f>
        <v>Y</v>
      </c>
      <c r="S275" s="12" t="str">
        <f>if(vlookup(B:B,'ILC3312'!B278:F8717,5,false)="","Y","N")</f>
        <v>Y</v>
      </c>
      <c r="T275" s="12" t="str">
        <f>if(vlookup(B:B,'ILC3413'!B247:F8642,5,false)="","Y","N")</f>
        <v>Y</v>
      </c>
      <c r="U275" s="12" t="str">
        <f>if(vlookup(B:B,'ILC3415'!B275:F8667,5,false)="","Y","N")</f>
        <v>Y</v>
      </c>
      <c r="V275" s="12" t="str">
        <f>if(vlookup(B:B,'ILC4406'!B210:F8636,5,false)="","Y","N")</f>
        <v>Y</v>
      </c>
      <c r="W275" s="12" t="str">
        <f>if(vlookup(B:B,'ILC4410'!B278:F8884,5,false)="","Y","N")</f>
        <v>Y</v>
      </c>
      <c r="X275" s="12" t="str">
        <f>if(vlookup(B:B,'JBV455'!B278:F9224,5,false)="","Y","N")</f>
        <v>Y</v>
      </c>
      <c r="Y275" s="12" t="str">
        <f>if(vlookup(B:B,'JBV462'!B278:F8717,5,false)="","Y","N")</f>
        <v>Y</v>
      </c>
      <c r="Z275" s="12" t="str">
        <f>if(vlookup(B:B,'JBV464'!B278:F8717,5,false)="","Y","N")</f>
        <v>Y</v>
      </c>
      <c r="AA275" s="12" t="str">
        <f>if(vlookup(B:B,'VDI208'!B210:F8717,5,false)="","Y","N")</f>
        <v>Y</v>
      </c>
      <c r="AB275" s="76" t="str">
        <f>if(vlookup(B:B,'STO2206'!B210:F8717,5,false)="","Y","N")</f>
        <v>Y</v>
      </c>
    </row>
    <row r="276">
      <c r="A276" s="67" t="str">
        <f t="shared" si="2"/>
        <v>Fri</v>
      </c>
      <c r="B276" s="69">
        <v>43721.0</v>
      </c>
      <c r="C276" s="12" t="str">
        <f>if(vlookup(B:B,'ILC1110'!$B141:F8718,5,false)="","Y","N")</f>
        <v>N</v>
      </c>
      <c r="D276" s="12" t="str">
        <f>if(vlookup(B:B,'ILC1111'!$B141:F8725,5,false)="","Y","N")</f>
        <v>N</v>
      </c>
      <c r="E276" s="12" t="str">
        <f>if(vlookup(B:B,'ILC1112'!$B141:F8718,5,false)="","Y","N")</f>
        <v>N</v>
      </c>
      <c r="F276" s="12" t="str">
        <f>if(vlookup(B:B,'ILC1211'!B279:F8718,5,false)="","Y","N")</f>
        <v>Y</v>
      </c>
      <c r="G276" s="12" t="str">
        <f>if(vlookup(B:B,'ILC1213'!$B206:G8718,5,false)="","Y","N")</f>
        <v>N</v>
      </c>
      <c r="H276" s="12" t="str">
        <f>if(vlookup(B:B,'ILC1314'!$B205:G1018,5,false)="","Y","N")</f>
        <v>Y</v>
      </c>
      <c r="I276" s="12" t="str">
        <f>if(vlookup(B:B,'ILC1404'!B279:F8441,5,false)="","Y","N")</f>
        <v>N</v>
      </c>
      <c r="J276" s="12" t="str">
        <f>if(vlookup(B:B,'ILC2203'!B242:F8441,5,false)="","Y","N")</f>
        <v>Y</v>
      </c>
      <c r="K276" s="12" t="str">
        <f>if(vlookup(B:B,'ILC2206'!B227:H370,5,false)="","Y","N")</f>
        <v>Y</v>
      </c>
      <c r="L276" s="12" t="str">
        <f>if(vlookup(B:B,'ILC2303'!B279:F8718,5,false)="","Y","N")</f>
        <v>N</v>
      </c>
      <c r="M276" s="12" t="str">
        <f>if(vlookup(B:B,'ILC2307'!B279:F9234,5,false)="","Y","N")</f>
        <v>Y</v>
      </c>
      <c r="N276" s="12" t="str">
        <f>if(vlookup(B:B,'ILC2313'!B279:F8873,5,false)="","Y","N")</f>
        <v>Y</v>
      </c>
      <c r="O276" s="12" t="str">
        <f>if(vlookup(B:B,'ILC2412'!B279:F8718,5,false)="","Y","N")</f>
        <v>N</v>
      </c>
      <c r="P276" s="12" t="str">
        <f>if(vlookup(B:B,'ILC2413'!B279:F9216,5,false)="","Y","N")</f>
        <v>Y</v>
      </c>
      <c r="Q276" s="12" t="str">
        <f>if(vlookup(B:B,'ILC3104'!B279:F8761,5,false)="","Y","N")</f>
        <v>Y</v>
      </c>
      <c r="R276" s="12" t="str">
        <f>if(vlookup(B:B,'ILC3310'!B111:F8700,5,false)="","Y","N")</f>
        <v>Y</v>
      </c>
      <c r="S276" s="12" t="str">
        <f>if(vlookup(B:B,'ILC3312'!B279:F8718,5,false)="","Y","N")</f>
        <v>Y</v>
      </c>
      <c r="T276" s="12" t="str">
        <f>if(vlookup(B:B,'ILC3413'!B248:F8643,5,false)="","Y","N")</f>
        <v>Y</v>
      </c>
      <c r="U276" s="12" t="str">
        <f>if(vlookup(B:B,'ILC3415'!B276:F8668,5,false)="","Y","N")</f>
        <v>Y</v>
      </c>
      <c r="V276" s="12" t="str">
        <f>if(vlookup(B:B,'ILC4406'!B211:F8637,5,false)="","Y","N")</f>
        <v>Y</v>
      </c>
      <c r="W276" s="12" t="str">
        <f>if(vlookup(B:B,'ILC4410'!B279:F8885,5,false)="","Y","N")</f>
        <v>Y</v>
      </c>
      <c r="X276" s="12" t="str">
        <f>if(vlookup(B:B,'JBV455'!B279:F9225,5,false)="","Y","N")</f>
        <v>Y</v>
      </c>
      <c r="Y276" s="12" t="str">
        <f>if(vlookup(B:B,'JBV462'!B279:F8718,5,false)="","Y","N")</f>
        <v>Y</v>
      </c>
      <c r="Z276" s="12" t="str">
        <f>if(vlookup(B:B,'JBV464'!B279:F8718,5,false)="","Y","N")</f>
        <v>Y</v>
      </c>
      <c r="AA276" s="12" t="str">
        <f>if(vlookup(B:B,'VDI208'!B211:F8718,5,false)="","Y","N")</f>
        <v>Y</v>
      </c>
      <c r="AB276" s="76" t="str">
        <f>if(vlookup(B:B,'STO2206'!B211:F8718,5,false)="","Y","N")</f>
        <v>Y</v>
      </c>
    </row>
    <row r="277">
      <c r="A277" s="67" t="str">
        <f t="shared" si="2"/>
        <v>Sat</v>
      </c>
      <c r="B277" s="69">
        <v>43722.0</v>
      </c>
      <c r="C277" s="12" t="str">
        <f>if(vlookup(B:B,'ILC1110'!$B142:F8719,5,false)="","Y","N")</f>
        <v>N</v>
      </c>
      <c r="D277" s="12" t="str">
        <f>if(vlookup(B:B,'ILC1111'!$B142:F8726,5,false)="","Y","N")</f>
        <v>N</v>
      </c>
      <c r="E277" s="12" t="str">
        <f>if(vlookup(B:B,'ILC1112'!$B142:F8719,5,false)="","Y","N")</f>
        <v>N</v>
      </c>
      <c r="F277" s="12" t="str">
        <f>if(vlookup(B:B,'ILC1211'!B280:F8719,5,false)="","Y","N")</f>
        <v>Y</v>
      </c>
      <c r="G277" s="12" t="str">
        <f>if(vlookup(B:B,'ILC1213'!$B207:G8719,5,false)="","Y","N")</f>
        <v>N</v>
      </c>
      <c r="H277" s="12" t="str">
        <f>if(vlookup(B:B,'ILC1314'!$B206:G1019,5,false)="","Y","N")</f>
        <v>Y</v>
      </c>
      <c r="I277" s="12" t="str">
        <f>if(vlookup(B:B,'ILC1404'!B280:F8442,5,false)="","Y","N")</f>
        <v>N</v>
      </c>
      <c r="J277" s="12" t="str">
        <f>if(vlookup(B:B,'ILC2203'!B243:F8442,5,false)="","Y","N")</f>
        <v>Y</v>
      </c>
      <c r="K277" s="12" t="str">
        <f>if(vlookup(B:B,'ILC2206'!B228:H370,5,false)="","Y","N")</f>
        <v>Y</v>
      </c>
      <c r="L277" s="12" t="str">
        <f>if(vlookup(B:B,'ILC2303'!B280:F8719,5,false)="","Y","N")</f>
        <v>N</v>
      </c>
      <c r="M277" s="12" t="str">
        <f>if(vlookup(B:B,'ILC2307'!B280:F9235,5,false)="","Y","N")</f>
        <v>Y</v>
      </c>
      <c r="N277" s="12" t="str">
        <f>if(vlookup(B:B,'ILC2313'!B280:F8874,5,false)="","Y","N")</f>
        <v>Y</v>
      </c>
      <c r="O277" s="12" t="str">
        <f>if(vlookup(B:B,'ILC2412'!B280:F8719,5,false)="","Y","N")</f>
        <v>N</v>
      </c>
      <c r="P277" s="12" t="str">
        <f>if(vlookup(B:B,'ILC2413'!B280:F9217,5,false)="","Y","N")</f>
        <v>Y</v>
      </c>
      <c r="Q277" s="12" t="str">
        <f>if(vlookup(B:B,'ILC3104'!B280:F8762,5,false)="","Y","N")</f>
        <v>Y</v>
      </c>
      <c r="R277" s="12" t="str">
        <f>if(vlookup(B:B,'ILC3310'!B112:F8701,5,false)="","Y","N")</f>
        <v>Y</v>
      </c>
      <c r="S277" s="12" t="str">
        <f>if(vlookup(B:B,'ILC3312'!B280:F8719,5,false)="","Y","N")</f>
        <v>Y</v>
      </c>
      <c r="T277" s="12" t="str">
        <f>if(vlookup(B:B,'ILC3413'!B249:F8644,5,false)="","Y","N")</f>
        <v>Y</v>
      </c>
      <c r="U277" s="12" t="str">
        <f>if(vlookup(B:B,'ILC3415'!B277:F8669,5,false)="","Y","N")</f>
        <v>Y</v>
      </c>
      <c r="V277" s="12" t="str">
        <f>if(vlookup(B:B,'ILC4406'!B212:F8638,5,false)="","Y","N")</f>
        <v>Y</v>
      </c>
      <c r="W277" s="12" t="str">
        <f>if(vlookup(B:B,'ILC4410'!B280:F8886,5,false)="","Y","N")</f>
        <v>Y</v>
      </c>
      <c r="X277" s="12" t="str">
        <f>if(vlookup(B:B,'JBV455'!B280:F9226,5,false)="","Y","N")</f>
        <v>Y</v>
      </c>
      <c r="Y277" s="12" t="str">
        <f>if(vlookup(B:B,'JBV462'!B280:F8719,5,false)="","Y","N")</f>
        <v>Y</v>
      </c>
      <c r="Z277" s="12" t="str">
        <f>if(vlookup(B:B,'JBV464'!B280:F8719,5,false)="","Y","N")</f>
        <v>Y</v>
      </c>
      <c r="AA277" s="12" t="str">
        <f>if(vlookup(B:B,'VDI208'!B212:F8719,5,false)="","Y","N")</f>
        <v>Y</v>
      </c>
      <c r="AB277" s="76" t="str">
        <f>if(vlookup(B:B,'STO2206'!B212:F8719,5,false)="","Y","N")</f>
        <v>Y</v>
      </c>
    </row>
    <row r="278">
      <c r="A278" s="67" t="str">
        <f t="shared" si="2"/>
        <v>Sun</v>
      </c>
      <c r="B278" s="69">
        <v>43723.0</v>
      </c>
      <c r="C278" s="12" t="str">
        <f>if(vlookup(B:B,'ILC1110'!$B143:F8720,5,false)="","Y","N")</f>
        <v>N</v>
      </c>
      <c r="D278" s="12" t="str">
        <f>if(vlookup(B:B,'ILC1111'!$B143:F8727,5,false)="","Y","N")</f>
        <v>N</v>
      </c>
      <c r="E278" s="12" t="str">
        <f>if(vlookup(B:B,'ILC1112'!$B143:F8720,5,false)="","Y","N")</f>
        <v>N</v>
      </c>
      <c r="F278" s="12" t="str">
        <f>if(vlookup(B:B,'ILC1211'!B281:F8720,5,false)="","Y","N")</f>
        <v>Y</v>
      </c>
      <c r="G278" s="12" t="str">
        <f>if(vlookup(B:B,'ILC1213'!$B208:G8720,5,false)="","Y","N")</f>
        <v>N</v>
      </c>
      <c r="H278" s="12" t="str">
        <f>if(vlookup(B:B,'ILC1314'!$B207:G1020,5,false)="","Y","N")</f>
        <v>Y</v>
      </c>
      <c r="I278" s="12" t="str">
        <f>if(vlookup(B:B,'ILC1404'!B281:F8443,5,false)="","Y","N")</f>
        <v>N</v>
      </c>
      <c r="J278" s="12" t="str">
        <f>if(vlookup(B:B,'ILC2203'!B244:F8443,5,false)="","Y","N")</f>
        <v>Y</v>
      </c>
      <c r="K278" s="12" t="str">
        <f>if(vlookup(B:B,'ILC2206'!B229:H370,5,false)="","Y","N")</f>
        <v>Y</v>
      </c>
      <c r="L278" s="12" t="str">
        <f>if(vlookup(B:B,'ILC2303'!B281:F8720,5,false)="","Y","N")</f>
        <v>N</v>
      </c>
      <c r="M278" s="12" t="str">
        <f>if(vlookup(B:B,'ILC2307'!B281:F9236,5,false)="","Y","N")</f>
        <v>Y</v>
      </c>
      <c r="N278" s="12" t="str">
        <f>if(vlookup(B:B,'ILC2313'!B281:F8875,5,false)="","Y","N")</f>
        <v>Y</v>
      </c>
      <c r="O278" s="12" t="str">
        <f>if(vlookup(B:B,'ILC2412'!B281:F8720,5,false)="","Y","N")</f>
        <v>Y</v>
      </c>
      <c r="P278" s="12" t="str">
        <f>if(vlookup(B:B,'ILC2413'!B281:F9218,5,false)="","Y","N")</f>
        <v>Y</v>
      </c>
      <c r="Q278" s="12" t="str">
        <f>if(vlookup(B:B,'ILC3104'!B281:F8763,5,false)="","Y","N")</f>
        <v>Y</v>
      </c>
      <c r="R278" s="12" t="str">
        <f>if(vlookup(B:B,'ILC3310'!B113:F8702,5,false)="","Y","N")</f>
        <v>Y</v>
      </c>
      <c r="S278" s="12" t="str">
        <f>if(vlookup(B:B,'ILC3312'!B281:F8720,5,false)="","Y","N")</f>
        <v>Y</v>
      </c>
      <c r="T278" s="12" t="str">
        <f>if(vlookup(B:B,'ILC3413'!B250:F8645,5,false)="","Y","N")</f>
        <v>Y</v>
      </c>
      <c r="U278" s="12" t="str">
        <f>if(vlookup(B:B,'ILC3415'!B278:F8670,5,false)="","Y","N")</f>
        <v>Y</v>
      </c>
      <c r="V278" s="12" t="str">
        <f>if(vlookup(B:B,'ILC4406'!B213:F8639,5,false)="","Y","N")</f>
        <v>Y</v>
      </c>
      <c r="W278" s="12" t="str">
        <f>if(vlookup(B:B,'ILC4410'!B281:F8887,5,false)="","Y","N")</f>
        <v>Y</v>
      </c>
      <c r="X278" s="12" t="str">
        <f>if(vlookup(B:B,'JBV455'!B281:F9227,5,false)="","Y","N")</f>
        <v>Y</v>
      </c>
      <c r="Y278" s="12" t="str">
        <f>if(vlookup(B:B,'JBV462'!B281:F8720,5,false)="","Y","N")</f>
        <v>Y</v>
      </c>
      <c r="Z278" s="12" t="str">
        <f>if(vlookup(B:B,'JBV464'!B281:F8720,5,false)="","Y","N")</f>
        <v>Y</v>
      </c>
      <c r="AA278" s="12" t="str">
        <f>if(vlookup(B:B,'VDI208'!B213:F8720,5,false)="","Y","N")</f>
        <v>Y</v>
      </c>
      <c r="AB278" s="76" t="str">
        <f>if(vlookup(B:B,'STO2206'!B213:F8720,5,false)="","Y","N")</f>
        <v>Y</v>
      </c>
    </row>
    <row r="279">
      <c r="A279" s="67" t="str">
        <f t="shared" si="2"/>
        <v>Mon</v>
      </c>
      <c r="B279" s="69">
        <v>43724.0</v>
      </c>
      <c r="C279" s="12" t="str">
        <f>if(vlookup(B:B,'ILC1110'!$B144:F8721,5,false)="","Y","N")</f>
        <v>Y</v>
      </c>
      <c r="D279" s="12" t="str">
        <f>if(vlookup(B:B,'ILC1111'!$B144:F8728,5,false)="","Y","N")</f>
        <v>Y</v>
      </c>
      <c r="E279" s="12" t="str">
        <f>if(vlookup(B:B,'ILC1112'!$B144:F8721,5,false)="","Y","N")</f>
        <v>Y</v>
      </c>
      <c r="F279" s="12" t="str">
        <f>if(vlookup(B:B,'ILC1211'!B282:F8721,5,false)="","Y","N")</f>
        <v>Y</v>
      </c>
      <c r="G279" s="12" t="str">
        <f>if(vlookup(B:B,'ILC1213'!$B209:G8721,5,false)="","Y","N")</f>
        <v>Y</v>
      </c>
      <c r="H279" s="12" t="str">
        <f>if(vlookup(B:B,'ILC1314'!$B208:G1021,5,false)="","Y","N")</f>
        <v>Y</v>
      </c>
      <c r="I279" s="12" t="str">
        <f>if(vlookup(B:B,'ILC1404'!B282:F8444,5,false)="","Y","N")</f>
        <v>N</v>
      </c>
      <c r="J279" s="12" t="str">
        <f>if(vlookup(B:B,'ILC2203'!B245:F8444,5,false)="","Y","N")</f>
        <v>Y</v>
      </c>
      <c r="K279" s="12" t="str">
        <f>if(vlookup(B:B,'ILC2206'!B230:H370,5,false)="","Y","N")</f>
        <v>Y</v>
      </c>
      <c r="L279" s="12" t="str">
        <f>if(vlookup(B:B,'ILC2303'!B282:F8721,5,false)="","Y","N")</f>
        <v>N</v>
      </c>
      <c r="M279" s="12" t="str">
        <f>if(vlookup(B:B,'ILC2307'!B282:F9237,5,false)="","Y","N")</f>
        <v>Y</v>
      </c>
      <c r="N279" s="12" t="str">
        <f>if(vlookup(B:B,'ILC2313'!B282:F8876,5,false)="","Y","N")</f>
        <v>Y</v>
      </c>
      <c r="O279" s="12" t="str">
        <f>if(vlookup(B:B,'ILC2412'!B282:F8721,5,false)="","Y","N")</f>
        <v>Y</v>
      </c>
      <c r="P279" s="12" t="str">
        <f>if(vlookup(B:B,'ILC2413'!B282:F9219,5,false)="","Y","N")</f>
        <v>Y</v>
      </c>
      <c r="Q279" s="12" t="str">
        <f>if(vlookup(B:B,'ILC3104'!B282:F8764,5,false)="","Y","N")</f>
        <v>Y</v>
      </c>
      <c r="R279" s="12" t="str">
        <f>if(vlookup(B:B,'ILC3310'!B114:F8703,5,false)="","Y","N")</f>
        <v>Y</v>
      </c>
      <c r="S279" s="12" t="str">
        <f>if(vlookup(B:B,'ILC3312'!B282:F8721,5,false)="","Y","N")</f>
        <v>Y</v>
      </c>
      <c r="T279" s="12" t="str">
        <f>if(vlookup(B:B,'ILC3413'!B251:F8646,5,false)="","Y","N")</f>
        <v>Y</v>
      </c>
      <c r="U279" s="12" t="str">
        <f>if(vlookup(B:B,'ILC3415'!B279:F8671,5,false)="","Y","N")</f>
        <v>Y</v>
      </c>
      <c r="V279" s="12" t="str">
        <f>if(vlookup(B:B,'ILC4406'!B214:F8640,5,false)="","Y","N")</f>
        <v>Y</v>
      </c>
      <c r="W279" s="12" t="str">
        <f>if(vlookup(B:B,'ILC4410'!B282:F8888,5,false)="","Y","N")</f>
        <v>Y</v>
      </c>
      <c r="X279" s="12" t="str">
        <f>if(vlookup(B:B,'JBV455'!B282:F9228,5,false)="","Y","N")</f>
        <v>Y</v>
      </c>
      <c r="Y279" s="12" t="str">
        <f>if(vlookup(B:B,'JBV462'!B282:F8721,5,false)="","Y","N")</f>
        <v>Y</v>
      </c>
      <c r="Z279" s="12" t="str">
        <f>if(vlookup(B:B,'JBV464'!B282:F8721,5,false)="","Y","N")</f>
        <v>Y</v>
      </c>
      <c r="AA279" s="12" t="str">
        <f>if(vlookup(B:B,'VDI208'!B214:F8721,5,false)="","Y","N")</f>
        <v>Y</v>
      </c>
      <c r="AB279" s="76" t="str">
        <f>if(vlookup(B:B,'STO2206'!B214:F8721,5,false)="","Y","N")</f>
        <v>Y</v>
      </c>
    </row>
    <row r="280">
      <c r="A280" s="67" t="str">
        <f t="shared" si="2"/>
        <v>Tue</v>
      </c>
      <c r="B280" s="69">
        <v>43725.0</v>
      </c>
      <c r="C280" s="12" t="str">
        <f>if(vlookup(B:B,'ILC1110'!$B145:F8722,5,false)="","Y","N")</f>
        <v>Y</v>
      </c>
      <c r="D280" s="12" t="str">
        <f>if(vlookup(B:B,'ILC1111'!$B145:F8729,5,false)="","Y","N")</f>
        <v>Y</v>
      </c>
      <c r="E280" s="12" t="str">
        <f>if(vlookup(B:B,'ILC1112'!$B145:F8722,5,false)="","Y","N")</f>
        <v>Y</v>
      </c>
      <c r="F280" s="12" t="str">
        <f>if(vlookup(B:B,'ILC1211'!B283:F8722,5,false)="","Y","N")</f>
        <v>Y</v>
      </c>
      <c r="G280" s="12" t="str">
        <f>if(vlookup(B:B,'ILC1213'!$B210:G8722,5,false)="","Y","N")</f>
        <v>Y</v>
      </c>
      <c r="H280" s="12" t="str">
        <f>if(vlookup(B:B,'ILC1314'!$B209:G1022,5,false)="","Y","N")</f>
        <v>Y</v>
      </c>
      <c r="I280" s="12" t="str">
        <f>if(vlookup(B:B,'ILC1404'!B283:F8445,5,false)="","Y","N")</f>
        <v>Y</v>
      </c>
      <c r="J280" s="12" t="str">
        <f>if(vlookup(B:B,'ILC2203'!B246:F8445,5,false)="","Y","N")</f>
        <v>Y</v>
      </c>
      <c r="K280" s="12" t="str">
        <f>if(vlookup(B:B,'ILC2206'!B231:H370,5,false)="","Y","N")</f>
        <v>Y</v>
      </c>
      <c r="L280" s="12" t="str">
        <f>if(vlookup(B:B,'ILC2303'!B283:F8722,5,false)="","Y","N")</f>
        <v>N</v>
      </c>
      <c r="M280" s="12" t="str">
        <f>if(vlookup(B:B,'ILC2307'!B283:F9238,5,false)="","Y","N")</f>
        <v>Y</v>
      </c>
      <c r="N280" s="12" t="str">
        <f>if(vlookup(B:B,'ILC2313'!B283:F8877,5,false)="","Y","N")</f>
        <v>Y</v>
      </c>
      <c r="O280" s="12" t="str">
        <f>if(vlookup(B:B,'ILC2412'!B283:F8722,5,false)="","Y","N")</f>
        <v>Y</v>
      </c>
      <c r="P280" s="12" t="str">
        <f>if(vlookup(B:B,'ILC2413'!B283:F9220,5,false)="","Y","N")</f>
        <v>Y</v>
      </c>
      <c r="Q280" s="12" t="str">
        <f>if(vlookup(B:B,'ILC3104'!B283:F8765,5,false)="","Y","N")</f>
        <v>Y</v>
      </c>
      <c r="R280" s="12" t="str">
        <f>if(vlookup(B:B,'ILC3310'!B115:F8704,5,false)="","Y","N")</f>
        <v>Y</v>
      </c>
      <c r="S280" s="12" t="str">
        <f>if(vlookup(B:B,'ILC3312'!B283:F8722,5,false)="","Y","N")</f>
        <v>Y</v>
      </c>
      <c r="T280" s="12" t="str">
        <f>if(vlookup(B:B,'ILC3413'!B252:F8647,5,false)="","Y","N")</f>
        <v>Y</v>
      </c>
      <c r="U280" s="12" t="str">
        <f>if(vlookup(B:B,'ILC3415'!B280:F8672,5,false)="","Y","N")</f>
        <v>Y</v>
      </c>
      <c r="V280" s="12" t="str">
        <f>if(vlookup(B:B,'ILC4406'!B215:F8641,5,false)="","Y","N")</f>
        <v>Y</v>
      </c>
      <c r="W280" s="12" t="str">
        <f>if(vlookup(B:B,'ILC4410'!B283:F8889,5,false)="","Y","N")</f>
        <v>Y</v>
      </c>
      <c r="X280" s="12" t="str">
        <f>if(vlookup(B:B,'JBV455'!B283:F9229,5,false)="","Y","N")</f>
        <v>Y</v>
      </c>
      <c r="Y280" s="12" t="str">
        <f>if(vlookup(B:B,'JBV462'!B283:F8722,5,false)="","Y","N")</f>
        <v>Y</v>
      </c>
      <c r="Z280" s="12" t="str">
        <f>if(vlookup(B:B,'JBV464'!B283:F8722,5,false)="","Y","N")</f>
        <v>Y</v>
      </c>
      <c r="AA280" s="12" t="str">
        <f>if(vlookup(B:B,'VDI208'!B215:F8722,5,false)="","Y","N")</f>
        <v>Y</v>
      </c>
      <c r="AB280" s="76" t="str">
        <f>if(vlookup(B:B,'STO2206'!B215:F8722,5,false)="","Y","N")</f>
        <v>Y</v>
      </c>
    </row>
    <row r="281">
      <c r="A281" s="67" t="str">
        <f t="shared" si="2"/>
        <v>Wed</v>
      </c>
      <c r="B281" s="69">
        <v>43726.0</v>
      </c>
      <c r="C281" s="12" t="str">
        <f>if(vlookup(B:B,'ILC1110'!$B146:F8723,5,false)="","Y","N")</f>
        <v>Y</v>
      </c>
      <c r="D281" s="12" t="str">
        <f>if(vlookup(B:B,'ILC1111'!$B146:F8730,5,false)="","Y","N")</f>
        <v>Y</v>
      </c>
      <c r="E281" s="12" t="str">
        <f>if(vlookup(B:B,'ILC1112'!$B146:F8723,5,false)="","Y","N")</f>
        <v>Y</v>
      </c>
      <c r="F281" s="12" t="str">
        <f>if(vlookup(B:B,'ILC1211'!B284:F8723,5,false)="","Y","N")</f>
        <v>Y</v>
      </c>
      <c r="G281" s="12" t="str">
        <f>if(vlookup(B:B,'ILC1213'!$B211:G8723,5,false)="","Y","N")</f>
        <v>Y</v>
      </c>
      <c r="H281" s="12" t="str">
        <f>if(vlookup(B:B,'ILC1314'!$B210:G1023,5,false)="","Y","N")</f>
        <v>Y</v>
      </c>
      <c r="I281" s="12" t="str">
        <f>if(vlookup(B:B,'ILC1404'!B284:F8446,5,false)="","Y","N")</f>
        <v>Y</v>
      </c>
      <c r="J281" s="12" t="str">
        <f>if(vlookup(B:B,'ILC2203'!B247:F8446,5,false)="","Y","N")</f>
        <v>Y</v>
      </c>
      <c r="K281" s="12" t="str">
        <f>if(vlookup(B:B,'ILC2206'!B232:H370,5,false)="","Y","N")</f>
        <v>Y</v>
      </c>
      <c r="L281" s="12" t="str">
        <f>if(vlookup(B:B,'ILC2303'!B284:F8723,5,false)="","Y","N")</f>
        <v>N</v>
      </c>
      <c r="M281" s="12" t="str">
        <f>if(vlookup(B:B,'ILC2307'!B284:F9239,5,false)="","Y","N")</f>
        <v>Y</v>
      </c>
      <c r="N281" s="12" t="str">
        <f>if(vlookup(B:B,'ILC2313'!B284:F8878,5,false)="","Y","N")</f>
        <v>Y</v>
      </c>
      <c r="O281" s="12" t="str">
        <f>if(vlookup(B:B,'ILC2412'!B284:F8723,5,false)="","Y","N")</f>
        <v>Y</v>
      </c>
      <c r="P281" s="12" t="str">
        <f>if(vlookup(B:B,'ILC2413'!B284:F9221,5,false)="","Y","N")</f>
        <v>Y</v>
      </c>
      <c r="Q281" s="12" t="str">
        <f>if(vlookup(B:B,'ILC3104'!B284:F8766,5,false)="","Y","N")</f>
        <v>Y</v>
      </c>
      <c r="R281" s="12" t="str">
        <f>if(vlookup(B:B,'ILC3310'!B116:F8705,5,false)="","Y","N")</f>
        <v>Y</v>
      </c>
      <c r="S281" s="12" t="str">
        <f>if(vlookup(B:B,'ILC3312'!B284:F8723,5,false)="","Y","N")</f>
        <v>Y</v>
      </c>
      <c r="T281" s="12" t="str">
        <f>if(vlookup(B:B,'ILC3413'!B253:F8648,5,false)="","Y","N")</f>
        <v>Y</v>
      </c>
      <c r="U281" s="12" t="str">
        <f>if(vlookup(B:B,'ILC3415'!B281:F8673,5,false)="","Y","N")</f>
        <v>Y</v>
      </c>
      <c r="V281" s="12" t="str">
        <f>if(vlookup(B:B,'ILC4406'!B216:F8642,5,false)="","Y","N")</f>
        <v>Y</v>
      </c>
      <c r="W281" s="12" t="str">
        <f>if(vlookup(B:B,'ILC4410'!B284:F8890,5,false)="","Y","N")</f>
        <v>Y</v>
      </c>
      <c r="X281" s="12" t="str">
        <f>if(vlookup(B:B,'JBV455'!B284:F9230,5,false)="","Y","N")</f>
        <v>Y</v>
      </c>
      <c r="Y281" s="12" t="str">
        <f>if(vlookup(B:B,'JBV462'!B284:F8723,5,false)="","Y","N")</f>
        <v>Y</v>
      </c>
      <c r="Z281" s="12" t="str">
        <f>if(vlookup(B:B,'JBV464'!B284:F8723,5,false)="","Y","N")</f>
        <v>Y</v>
      </c>
      <c r="AA281" s="12" t="str">
        <f>if(vlookup(B:B,'VDI208'!B216:F8723,5,false)="","Y","N")</f>
        <v>Y</v>
      </c>
      <c r="AB281" s="76" t="str">
        <f>if(vlookup(B:B,'STO2206'!B216:F8723,5,false)="","Y","N")</f>
        <v>Y</v>
      </c>
    </row>
    <row r="282">
      <c r="A282" s="67" t="str">
        <f t="shared" si="2"/>
        <v>Thu</v>
      </c>
      <c r="B282" s="69">
        <v>43727.0</v>
      </c>
      <c r="C282" s="12" t="str">
        <f>if(vlookup(B:B,'ILC1110'!$B147:F8724,5,false)="","Y","N")</f>
        <v>Y</v>
      </c>
      <c r="D282" s="12" t="str">
        <f>if(vlookup(B:B,'ILC1111'!$B147:F8731,5,false)="","Y","N")</f>
        <v>Y</v>
      </c>
      <c r="E282" s="12" t="str">
        <f>if(vlookup(B:B,'ILC1112'!$B147:F8724,5,false)="","Y","N")</f>
        <v>Y</v>
      </c>
      <c r="F282" s="12" t="str">
        <f>if(vlookup(B:B,'ILC1211'!B285:F8724,5,false)="","Y","N")</f>
        <v>Y</v>
      </c>
      <c r="G282" s="12" t="str">
        <f>if(vlookup(B:B,'ILC1213'!$B212:G8724,5,false)="","Y","N")</f>
        <v>Y</v>
      </c>
      <c r="H282" s="12" t="str">
        <f>if(vlookup(B:B,'ILC1314'!$B211:G1024,5,false)="","Y","N")</f>
        <v>Y</v>
      </c>
      <c r="I282" s="12" t="str">
        <f>if(vlookup(B:B,'ILC1404'!B285:F8447,5,false)="","Y","N")</f>
        <v>Y</v>
      </c>
      <c r="J282" s="12" t="str">
        <f>if(vlookup(B:B,'ILC2203'!B248:F8447,5,false)="","Y","N")</f>
        <v>Y</v>
      </c>
      <c r="K282" s="12" t="str">
        <f>if(vlookup(B:B,'ILC2206'!B233:H370,5,false)="","Y","N")</f>
        <v>Y</v>
      </c>
      <c r="L282" s="12" t="str">
        <f>if(vlookup(B:B,'ILC2303'!B285:F8724,5,false)="","Y","N")</f>
        <v>N</v>
      </c>
      <c r="M282" s="12" t="str">
        <f>if(vlookup(B:B,'ILC2307'!B285:F9240,5,false)="","Y","N")</f>
        <v>Y</v>
      </c>
      <c r="N282" s="12" t="str">
        <f>if(vlookup(B:B,'ILC2313'!B285:F8879,5,false)="","Y","N")</f>
        <v>Y</v>
      </c>
      <c r="O282" s="12" t="str">
        <f>if(vlookup(B:B,'ILC2412'!B285:F8724,5,false)="","Y","N")</f>
        <v>Y</v>
      </c>
      <c r="P282" s="12" t="str">
        <f>if(vlookup(B:B,'ILC2413'!B285:F9222,5,false)="","Y","N")</f>
        <v>Y</v>
      </c>
      <c r="Q282" s="12" t="str">
        <f>if(vlookup(B:B,'ILC3104'!B285:F8767,5,false)="","Y","N")</f>
        <v>Y</v>
      </c>
      <c r="R282" s="12" t="str">
        <f>if(vlookup(B:B,'ILC3310'!B117:F8706,5,false)="","Y","N")</f>
        <v>Y</v>
      </c>
      <c r="S282" s="12" t="str">
        <f>if(vlookup(B:B,'ILC3312'!B285:F8724,5,false)="","Y","N")</f>
        <v>Y</v>
      </c>
      <c r="T282" s="12" t="str">
        <f>if(vlookup(B:B,'ILC3413'!B254:F8649,5,false)="","Y","N")</f>
        <v>Y</v>
      </c>
      <c r="U282" s="12" t="str">
        <f>if(vlookup(B:B,'ILC3415'!B282:F8674,5,false)="","Y","N")</f>
        <v>Y</v>
      </c>
      <c r="V282" s="12" t="str">
        <f>if(vlookup(B:B,'ILC4406'!B217:F8643,5,false)="","Y","N")</f>
        <v>Y</v>
      </c>
      <c r="W282" s="12" t="str">
        <f>if(vlookup(B:B,'ILC4410'!B285:F8891,5,false)="","Y","N")</f>
        <v>Y</v>
      </c>
      <c r="X282" s="12" t="str">
        <f>if(vlookup(B:B,'JBV455'!B285:F9231,5,false)="","Y","N")</f>
        <v>Y</v>
      </c>
      <c r="Y282" s="12" t="str">
        <f>if(vlookup(B:B,'JBV462'!B285:F8724,5,false)="","Y","N")</f>
        <v>Y</v>
      </c>
      <c r="Z282" s="12" t="str">
        <f>if(vlookup(B:B,'JBV464'!B285:F8724,5,false)="","Y","N")</f>
        <v>Y</v>
      </c>
      <c r="AA282" s="12" t="str">
        <f>if(vlookup(B:B,'VDI208'!B217:F8724,5,false)="","Y","N")</f>
        <v>Y</v>
      </c>
      <c r="AB282" s="76" t="str">
        <f>if(vlookup(B:B,'STO2206'!B217:F8724,5,false)="","Y","N")</f>
        <v>Y</v>
      </c>
    </row>
    <row r="283">
      <c r="A283" s="67" t="str">
        <f t="shared" si="2"/>
        <v>Fri</v>
      </c>
      <c r="B283" s="69">
        <v>43728.0</v>
      </c>
      <c r="C283" s="12" t="str">
        <f>if(vlookup(B:B,'ILC1110'!$B148:F8725,5,false)="","Y","N")</f>
        <v>Y</v>
      </c>
      <c r="D283" s="12" t="str">
        <f>if(vlookup(B:B,'ILC1111'!$B148:F8732,5,false)="","Y","N")</f>
        <v>Y</v>
      </c>
      <c r="E283" s="12" t="str">
        <f>if(vlookup(B:B,'ILC1112'!$B148:F8725,5,false)="","Y","N")</f>
        <v>Y</v>
      </c>
      <c r="F283" s="12" t="str">
        <f>if(vlookup(B:B,'ILC1211'!B286:F8725,5,false)="","Y","N")</f>
        <v>Y</v>
      </c>
      <c r="G283" s="12" t="str">
        <f>if(vlookup(B:B,'ILC1213'!$B213:G8725,5,false)="","Y","N")</f>
        <v>Y</v>
      </c>
      <c r="H283" s="12" t="str">
        <f>if(vlookup(B:B,'ILC1314'!$B212:G1025,5,false)="","Y","N")</f>
        <v>Y</v>
      </c>
      <c r="I283" s="12" t="str">
        <f>if(vlookup(B:B,'ILC1404'!B286:F8448,5,false)="","Y","N")</f>
        <v>Y</v>
      </c>
      <c r="J283" s="12" t="str">
        <f>if(vlookup(B:B,'ILC2203'!B249:F8448,5,false)="","Y","N")</f>
        <v>Y</v>
      </c>
      <c r="K283" s="12" t="str">
        <f>if(vlookup(B:B,'ILC2206'!B234:H370,5,false)="","Y","N")</f>
        <v>Y</v>
      </c>
      <c r="L283" s="12" t="str">
        <f>if(vlookup(B:B,'ILC2303'!B286:F8725,5,false)="","Y","N")</f>
        <v>N</v>
      </c>
      <c r="M283" s="12" t="str">
        <f>if(vlookup(B:B,'ILC2307'!B286:F9241,5,false)="","Y","N")</f>
        <v>Y</v>
      </c>
      <c r="N283" s="12" t="str">
        <f>if(vlookup(B:B,'ILC2313'!B286:F8880,5,false)="","Y","N")</f>
        <v>Y</v>
      </c>
      <c r="O283" s="12" t="str">
        <f>if(vlookup(B:B,'ILC2412'!B286:F8725,5,false)="","Y","N")</f>
        <v>Y</v>
      </c>
      <c r="P283" s="12" t="str">
        <f>if(vlookup(B:B,'ILC2413'!B286:F9223,5,false)="","Y","N")</f>
        <v>Y</v>
      </c>
      <c r="Q283" s="12" t="str">
        <f>if(vlookup(B:B,'ILC3104'!B286:F8768,5,false)="","Y","N")</f>
        <v>Y</v>
      </c>
      <c r="R283" s="12" t="str">
        <f>if(vlookup(B:B,'ILC3310'!B118:F8707,5,false)="","Y","N")</f>
        <v>Y</v>
      </c>
      <c r="S283" s="12" t="str">
        <f>if(vlookup(B:B,'ILC3312'!B286:F8725,5,false)="","Y","N")</f>
        <v>Y</v>
      </c>
      <c r="T283" s="12" t="str">
        <f>if(vlookup(B:B,'ILC3413'!B255:F8650,5,false)="","Y","N")</f>
        <v>Y</v>
      </c>
      <c r="U283" s="12" t="str">
        <f>if(vlookup(B:B,'ILC3415'!B283:F8675,5,false)="","Y","N")</f>
        <v>Y</v>
      </c>
      <c r="V283" s="12" t="str">
        <f>if(vlookup(B:B,'ILC4406'!B218:F8644,5,false)="","Y","N")</f>
        <v>Y</v>
      </c>
      <c r="W283" s="12" t="str">
        <f>if(vlookup(B:B,'ILC4410'!B286:F8892,5,false)="","Y","N")</f>
        <v>Y</v>
      </c>
      <c r="X283" s="12" t="str">
        <f>if(vlookup(B:B,'JBV455'!B286:F9232,5,false)="","Y","N")</f>
        <v>Y</v>
      </c>
      <c r="Y283" s="12" t="str">
        <f>if(vlookup(B:B,'JBV462'!B286:F8725,5,false)="","Y","N")</f>
        <v>Y</v>
      </c>
      <c r="Z283" s="12" t="str">
        <f>if(vlookup(B:B,'JBV464'!B286:F8725,5,false)="","Y","N")</f>
        <v>Y</v>
      </c>
      <c r="AA283" s="12" t="str">
        <f>if(vlookup(B:B,'VDI208'!B218:F8725,5,false)="","Y","N")</f>
        <v>Y</v>
      </c>
      <c r="AB283" s="76" t="str">
        <f>if(vlookup(B:B,'STO2206'!B218:F8725,5,false)="","Y","N")</f>
        <v>Y</v>
      </c>
    </row>
    <row r="284">
      <c r="A284" s="67" t="str">
        <f t="shared" si="2"/>
        <v>Sat</v>
      </c>
      <c r="B284" s="69">
        <v>43729.0</v>
      </c>
      <c r="C284" s="12" t="str">
        <f>if(vlookup(B:B,'ILC1110'!$B149:F8726,5,false)="","Y","N")</f>
        <v>Y</v>
      </c>
      <c r="D284" s="12" t="str">
        <f>if(vlookup(B:B,'ILC1111'!$B149:F8733,5,false)="","Y","N")</f>
        <v>Y</v>
      </c>
      <c r="E284" s="12" t="str">
        <f>if(vlookup(B:B,'ILC1112'!$B149:F8726,5,false)="","Y","N")</f>
        <v>Y</v>
      </c>
      <c r="F284" s="12" t="str">
        <f>if(vlookup(B:B,'ILC1211'!B287:F8726,5,false)="","Y","N")</f>
        <v>Y</v>
      </c>
      <c r="G284" s="12" t="str">
        <f>if(vlookup(B:B,'ILC1213'!$B214:G8726,5,false)="","Y","N")</f>
        <v>Y</v>
      </c>
      <c r="H284" s="12" t="str">
        <f>if(vlookup(B:B,'ILC1314'!$B213:G1026,5,false)="","Y","N")</f>
        <v>Y</v>
      </c>
      <c r="I284" s="12" t="str">
        <f>if(vlookup(B:B,'ILC1404'!B287:F8449,5,false)="","Y","N")</f>
        <v>Y</v>
      </c>
      <c r="J284" s="12" t="str">
        <f>if(vlookup(B:B,'ILC2203'!B250:F8449,5,false)="","Y","N")</f>
        <v>Y</v>
      </c>
      <c r="K284" s="12" t="str">
        <f>if(vlookup(B:B,'ILC2206'!B235:H370,5,false)="","Y","N")</f>
        <v>Y</v>
      </c>
      <c r="L284" s="12" t="str">
        <f>if(vlookup(B:B,'ILC2303'!B287:F8726,5,false)="","Y","N")</f>
        <v>N</v>
      </c>
      <c r="M284" s="12" t="str">
        <f>if(vlookup(B:B,'ILC2307'!B287:F9242,5,false)="","Y","N")</f>
        <v>Y</v>
      </c>
      <c r="N284" s="12" t="str">
        <f>if(vlookup(B:B,'ILC2313'!B287:F8881,5,false)="","Y","N")</f>
        <v>Y</v>
      </c>
      <c r="O284" s="12" t="str">
        <f>if(vlookup(B:B,'ILC2412'!B287:F8726,5,false)="","Y","N")</f>
        <v>Y</v>
      </c>
      <c r="P284" s="12" t="str">
        <f>if(vlookup(B:B,'ILC2413'!B287:F9224,5,false)="","Y","N")</f>
        <v>Y</v>
      </c>
      <c r="Q284" s="12" t="str">
        <f>if(vlookup(B:B,'ILC3104'!B287:F8769,5,false)="","Y","N")</f>
        <v>Y</v>
      </c>
      <c r="R284" s="12" t="str">
        <f>if(vlookup(B:B,'ILC3310'!B119:F8708,5,false)="","Y","N")</f>
        <v>Y</v>
      </c>
      <c r="S284" s="12" t="str">
        <f>if(vlookup(B:B,'ILC3312'!B287:F8726,5,false)="","Y","N")</f>
        <v>Y</v>
      </c>
      <c r="T284" s="12" t="str">
        <f>if(vlookup(B:B,'ILC3413'!B256:F8651,5,false)="","Y","N")</f>
        <v>Y</v>
      </c>
      <c r="U284" s="12" t="str">
        <f>if(vlookup(B:B,'ILC3415'!B284:F8676,5,false)="","Y","N")</f>
        <v>Y</v>
      </c>
      <c r="V284" s="12" t="str">
        <f>if(vlookup(B:B,'ILC4406'!B219:F8645,5,false)="","Y","N")</f>
        <v>Y</v>
      </c>
      <c r="W284" s="12" t="str">
        <f>if(vlookup(B:B,'ILC4410'!B287:F8893,5,false)="","Y","N")</f>
        <v>Y</v>
      </c>
      <c r="X284" s="12" t="str">
        <f>if(vlookup(B:B,'JBV455'!B287:F9233,5,false)="","Y","N")</f>
        <v>Y</v>
      </c>
      <c r="Y284" s="12" t="str">
        <f>if(vlookup(B:B,'JBV462'!B287:F8726,5,false)="","Y","N")</f>
        <v>Y</v>
      </c>
      <c r="Z284" s="12" t="str">
        <f>if(vlookup(B:B,'JBV464'!B287:F8726,5,false)="","Y","N")</f>
        <v>Y</v>
      </c>
      <c r="AA284" s="12" t="str">
        <f>if(vlookup(B:B,'VDI208'!B219:F8726,5,false)="","Y","N")</f>
        <v>Y</v>
      </c>
      <c r="AB284" s="76" t="str">
        <f>if(vlookup(B:B,'STO2206'!B219:F8726,5,false)="","Y","N")</f>
        <v>Y</v>
      </c>
    </row>
    <row r="285">
      <c r="A285" s="67" t="str">
        <f t="shared" si="2"/>
        <v>Sun</v>
      </c>
      <c r="B285" s="69">
        <v>43730.0</v>
      </c>
      <c r="C285" s="12" t="str">
        <f>if(vlookup(B:B,'ILC1110'!$B150:F8727,5,false)="","Y","N")</f>
        <v>Y</v>
      </c>
      <c r="D285" s="12" t="str">
        <f>if(vlookup(B:B,'ILC1111'!$B150:F8734,5,false)="","Y","N")</f>
        <v>Y</v>
      </c>
      <c r="E285" s="12" t="str">
        <f>if(vlookup(B:B,'ILC1112'!$B150:F8727,5,false)="","Y","N")</f>
        <v>Y</v>
      </c>
      <c r="F285" s="12" t="str">
        <f>if(vlookup(B:B,'ILC1211'!B288:F8727,5,false)="","Y","N")</f>
        <v>Y</v>
      </c>
      <c r="G285" s="12" t="str">
        <f>if(vlookup(B:B,'ILC1213'!$B215:G8727,5,false)="","Y","N")</f>
        <v>Y</v>
      </c>
      <c r="H285" s="12" t="str">
        <f>if(vlookup(B:B,'ILC1314'!$B214:G1027,5,false)="","Y","N")</f>
        <v>Y</v>
      </c>
      <c r="I285" s="12" t="str">
        <f>if(vlookup(B:B,'ILC1404'!B288:F8450,5,false)="","Y","N")</f>
        <v>Y</v>
      </c>
      <c r="J285" s="12" t="str">
        <f>if(vlookup(B:B,'ILC2203'!B251:F8450,5,false)="","Y","N")</f>
        <v>Y</v>
      </c>
      <c r="K285" s="12" t="str">
        <f>if(vlookup(B:B,'ILC2206'!B236:H370,5,false)="","Y","N")</f>
        <v>Y</v>
      </c>
      <c r="L285" s="12" t="str">
        <f>if(vlookup(B:B,'ILC2303'!B288:F8727,5,false)="","Y","N")</f>
        <v>N</v>
      </c>
      <c r="M285" s="12" t="str">
        <f>if(vlookup(B:B,'ILC2307'!B288:F9243,5,false)="","Y","N")</f>
        <v>Y</v>
      </c>
      <c r="N285" s="12" t="str">
        <f>if(vlookup(B:B,'ILC2313'!B288:F8882,5,false)="","Y","N")</f>
        <v>Y</v>
      </c>
      <c r="O285" s="12" t="str">
        <f>if(vlookup(B:B,'ILC2412'!B288:F8727,5,false)="","Y","N")</f>
        <v>Y</v>
      </c>
      <c r="P285" s="12" t="str">
        <f>if(vlookup(B:B,'ILC2413'!B288:F9225,5,false)="","Y","N")</f>
        <v>Y</v>
      </c>
      <c r="Q285" s="12" t="str">
        <f>if(vlookup(B:B,'ILC3104'!B288:F8770,5,false)="","Y","N")</f>
        <v>Y</v>
      </c>
      <c r="R285" s="12" t="str">
        <f>if(vlookup(B:B,'ILC3310'!B120:F8709,5,false)="","Y","N")</f>
        <v>Y</v>
      </c>
      <c r="S285" s="12" t="str">
        <f>if(vlookup(B:B,'ILC3312'!B288:F8727,5,false)="","Y","N")</f>
        <v>Y</v>
      </c>
      <c r="T285" s="12" t="str">
        <f>if(vlookup(B:B,'ILC3413'!B257:F8652,5,false)="","Y","N")</f>
        <v>Y</v>
      </c>
      <c r="U285" s="12" t="str">
        <f>if(vlookup(B:B,'ILC3415'!B285:F8677,5,false)="","Y","N")</f>
        <v>Y</v>
      </c>
      <c r="V285" s="12" t="str">
        <f>if(vlookup(B:B,'ILC4406'!B220:F8646,5,false)="","Y","N")</f>
        <v>Y</v>
      </c>
      <c r="W285" s="12" t="str">
        <f>if(vlookup(B:B,'ILC4410'!B288:F8894,5,false)="","Y","N")</f>
        <v>Y</v>
      </c>
      <c r="X285" s="12" t="str">
        <f>if(vlookup(B:B,'JBV455'!B288:F9234,5,false)="","Y","N")</f>
        <v>Y</v>
      </c>
      <c r="Y285" s="12" t="str">
        <f>if(vlookup(B:B,'JBV462'!B288:F8727,5,false)="","Y","N")</f>
        <v>Y</v>
      </c>
      <c r="Z285" s="12" t="str">
        <f>if(vlookup(B:B,'JBV464'!B288:F8727,5,false)="","Y","N")</f>
        <v>Y</v>
      </c>
      <c r="AA285" s="12" t="str">
        <f>if(vlookup(B:B,'VDI208'!B220:F8727,5,false)="","Y","N")</f>
        <v>Y</v>
      </c>
      <c r="AB285" s="76" t="str">
        <f>if(vlookup(B:B,'STO2206'!B220:F8727,5,false)="","Y","N")</f>
        <v>Y</v>
      </c>
    </row>
    <row r="286">
      <c r="A286" s="67" t="str">
        <f t="shared" si="2"/>
        <v>Mon</v>
      </c>
      <c r="B286" s="69">
        <v>43731.0</v>
      </c>
      <c r="C286" s="12" t="str">
        <f>if(vlookup(B:B,'ILC1110'!$B151:F8728,5,false)="","Y","N")</f>
        <v>Y</v>
      </c>
      <c r="D286" s="12" t="str">
        <f>if(vlookup(B:B,'ILC1111'!$B151:F8735,5,false)="","Y","N")</f>
        <v>Y</v>
      </c>
      <c r="E286" s="12" t="str">
        <f>if(vlookup(B:B,'ILC1112'!$B151:F8728,5,false)="","Y","N")</f>
        <v>Y</v>
      </c>
      <c r="F286" s="12" t="str">
        <f>if(vlookup(B:B,'ILC1211'!B289:F8728,5,false)="","Y","N")</f>
        <v>Y</v>
      </c>
      <c r="G286" s="12" t="str">
        <f>if(vlookup(B:B,'ILC1213'!$B216:G8728,5,false)="","Y","N")</f>
        <v>Y</v>
      </c>
      <c r="H286" s="12" t="str">
        <f>if(vlookup(B:B,'ILC1314'!$B215:G1028,5,false)="","Y","N")</f>
        <v>Y</v>
      </c>
      <c r="I286" s="12" t="str">
        <f>if(vlookup(B:B,'ILC1404'!B289:F8451,5,false)="","Y","N")</f>
        <v>Y</v>
      </c>
      <c r="J286" s="12" t="str">
        <f>if(vlookup(B:B,'ILC2203'!B252:F8451,5,false)="","Y","N")</f>
        <v>Y</v>
      </c>
      <c r="K286" s="12" t="str">
        <f>if(vlookup(B:B,'ILC2206'!B237:H370,5,false)="","Y","N")</f>
        <v>Y</v>
      </c>
      <c r="L286" s="12" t="str">
        <f>if(vlookup(B:B,'ILC2303'!B289:F8728,5,false)="","Y","N")</f>
        <v>N</v>
      </c>
      <c r="M286" s="12" t="str">
        <f>if(vlookup(B:B,'ILC2307'!B289:F9244,5,false)="","Y","N")</f>
        <v>Y</v>
      </c>
      <c r="N286" s="12" t="str">
        <f>if(vlookup(B:B,'ILC2313'!B289:F8883,5,false)="","Y","N")</f>
        <v>Y</v>
      </c>
      <c r="O286" s="12" t="str">
        <f>if(vlookup(B:B,'ILC2412'!B289:F8728,5,false)="","Y","N")</f>
        <v>Y</v>
      </c>
      <c r="P286" s="12" t="str">
        <f>if(vlookup(B:B,'ILC2413'!B289:F9226,5,false)="","Y","N")</f>
        <v>Y</v>
      </c>
      <c r="Q286" s="12" t="str">
        <f>if(vlookup(B:B,'ILC3104'!B289:F8771,5,false)="","Y","N")</f>
        <v>Y</v>
      </c>
      <c r="R286" s="12" t="str">
        <f>if(vlookup(B:B,'ILC3310'!B121:F8710,5,false)="","Y","N")</f>
        <v>Y</v>
      </c>
      <c r="S286" s="12" t="str">
        <f>if(vlookup(B:B,'ILC3312'!B289:F8728,5,false)="","Y","N")</f>
        <v>Y</v>
      </c>
      <c r="T286" s="12" t="str">
        <f>if(vlookup(B:B,'ILC3413'!B258:F8653,5,false)="","Y","N")</f>
        <v>Y</v>
      </c>
      <c r="U286" s="12" t="str">
        <f>if(vlookup(B:B,'ILC3415'!B286:F8678,5,false)="","Y","N")</f>
        <v>Y</v>
      </c>
      <c r="V286" s="12" t="str">
        <f>if(vlookup(B:B,'ILC4406'!B221:F8647,5,false)="","Y","N")</f>
        <v>Y</v>
      </c>
      <c r="W286" s="12" t="str">
        <f>if(vlookup(B:B,'ILC4410'!B289:F8895,5,false)="","Y","N")</f>
        <v>Y</v>
      </c>
      <c r="X286" s="12" t="str">
        <f>if(vlookup(B:B,'JBV455'!B289:F9235,5,false)="","Y","N")</f>
        <v>Y</v>
      </c>
      <c r="Y286" s="12" t="str">
        <f>if(vlookup(B:B,'JBV462'!B289:F8728,5,false)="","Y","N")</f>
        <v>Y</v>
      </c>
      <c r="Z286" s="12" t="str">
        <f>if(vlookup(B:B,'JBV464'!B289:F8728,5,false)="","Y","N")</f>
        <v>Y</v>
      </c>
      <c r="AA286" s="12" t="str">
        <f>if(vlookup(B:B,'VDI208'!B221:F8728,5,false)="","Y","N")</f>
        <v>Y</v>
      </c>
      <c r="AB286" s="76" t="str">
        <f>if(vlookup(B:B,'STO2206'!B221:F8728,5,false)="","Y","N")</f>
        <v>Y</v>
      </c>
    </row>
    <row r="287">
      <c r="A287" s="67" t="str">
        <f t="shared" si="2"/>
        <v>Tue</v>
      </c>
      <c r="B287" s="69">
        <v>43732.0</v>
      </c>
      <c r="C287" s="12" t="str">
        <f>if(vlookup(B:B,'ILC1110'!$B152:F8729,5,false)="","Y","N")</f>
        <v>Y</v>
      </c>
      <c r="D287" s="12" t="str">
        <f>if(vlookup(B:B,'ILC1111'!$B152:F8736,5,false)="","Y","N")</f>
        <v>Y</v>
      </c>
      <c r="E287" s="12" t="str">
        <f>if(vlookup(B:B,'ILC1112'!$B152:F8729,5,false)="","Y","N")</f>
        <v>Y</v>
      </c>
      <c r="F287" s="12" t="str">
        <f>if(vlookup(B:B,'ILC1211'!B290:F8729,5,false)="","Y","N")</f>
        <v>Y</v>
      </c>
      <c r="G287" s="12" t="str">
        <f>if(vlookup(B:B,'ILC1213'!$B217:G8729,5,false)="","Y","N")</f>
        <v>Y</v>
      </c>
      <c r="H287" s="12" t="str">
        <f>if(vlookup(B:B,'ILC1314'!$B216:G1029,5,false)="","Y","N")</f>
        <v>Y</v>
      </c>
      <c r="I287" s="12" t="str">
        <f>if(vlookup(B:B,'ILC1404'!B290:F8452,5,false)="","Y","N")</f>
        <v>Y</v>
      </c>
      <c r="J287" s="12" t="str">
        <f>if(vlookup(B:B,'ILC2203'!B253:F8452,5,false)="","Y","N")</f>
        <v>Y</v>
      </c>
      <c r="K287" s="12" t="str">
        <f>if(vlookup(B:B,'ILC2206'!B238:H370,5,false)="","Y","N")</f>
        <v>Y</v>
      </c>
      <c r="L287" s="12" t="str">
        <f>if(vlookup(B:B,'ILC2303'!B290:F8729,5,false)="","Y","N")</f>
        <v>N</v>
      </c>
      <c r="M287" s="12" t="str">
        <f>if(vlookup(B:B,'ILC2307'!B290:F9245,5,false)="","Y","N")</f>
        <v>Y</v>
      </c>
      <c r="N287" s="12" t="str">
        <f>if(vlookup(B:B,'ILC2313'!B290:F8884,5,false)="","Y","N")</f>
        <v>Y</v>
      </c>
      <c r="O287" s="12" t="str">
        <f>if(vlookup(B:B,'ILC2412'!B290:F8729,5,false)="","Y","N")</f>
        <v>Y</v>
      </c>
      <c r="P287" s="12" t="str">
        <f>if(vlookup(B:B,'ILC2413'!B290:F9227,5,false)="","Y","N")</f>
        <v>Y</v>
      </c>
      <c r="Q287" s="12" t="str">
        <f>if(vlookup(B:B,'ILC3104'!B290:F8772,5,false)="","Y","N")</f>
        <v>Y</v>
      </c>
      <c r="R287" s="12" t="str">
        <f>if(vlookup(B:B,'ILC3310'!B122:F8711,5,false)="","Y","N")</f>
        <v>Y</v>
      </c>
      <c r="S287" s="12" t="str">
        <f>if(vlookup(B:B,'ILC3312'!B290:F8729,5,false)="","Y","N")</f>
        <v>Y</v>
      </c>
      <c r="T287" s="12" t="str">
        <f>if(vlookup(B:B,'ILC3413'!B259:F8654,5,false)="","Y","N")</f>
        <v>Y</v>
      </c>
      <c r="U287" s="12" t="str">
        <f>if(vlookup(B:B,'ILC3415'!B287:F8679,5,false)="","Y","N")</f>
        <v>Y</v>
      </c>
      <c r="V287" s="12" t="str">
        <f>if(vlookup(B:B,'ILC4406'!B222:F8648,5,false)="","Y","N")</f>
        <v>Y</v>
      </c>
      <c r="W287" s="12" t="str">
        <f>if(vlookup(B:B,'ILC4410'!B290:F8896,5,false)="","Y","N")</f>
        <v>Y</v>
      </c>
      <c r="X287" s="12" t="str">
        <f>if(vlookup(B:B,'JBV455'!B290:F9236,5,false)="","Y","N")</f>
        <v>Y</v>
      </c>
      <c r="Y287" s="12" t="str">
        <f>if(vlookup(B:B,'JBV462'!B290:F8729,5,false)="","Y","N")</f>
        <v>Y</v>
      </c>
      <c r="Z287" s="12" t="str">
        <f>if(vlookup(B:B,'JBV464'!B290:F8729,5,false)="","Y","N")</f>
        <v>Y</v>
      </c>
      <c r="AA287" s="12" t="str">
        <f>if(vlookup(B:B,'VDI208'!B222:F8729,5,false)="","Y","N")</f>
        <v>Y</v>
      </c>
      <c r="AB287" s="76" t="str">
        <f>if(vlookup(B:B,'STO2206'!B222:F8729,5,false)="","Y","N")</f>
        <v>Y</v>
      </c>
    </row>
    <row r="288">
      <c r="A288" s="67" t="str">
        <f t="shared" si="2"/>
        <v>Wed</v>
      </c>
      <c r="B288" s="69">
        <v>43733.0</v>
      </c>
      <c r="C288" s="12" t="str">
        <f>if(vlookup(B:B,'ILC1110'!$B153:F8730,5,false)="","Y","N")</f>
        <v>Y</v>
      </c>
      <c r="D288" s="12" t="str">
        <f>if(vlookup(B:B,'ILC1111'!$B153:F8737,5,false)="","Y","N")</f>
        <v>Y</v>
      </c>
      <c r="E288" s="12" t="str">
        <f>if(vlookup(B:B,'ILC1112'!$B153:F8730,5,false)="","Y","N")</f>
        <v>Y</v>
      </c>
      <c r="F288" s="12" t="str">
        <f>if(vlookup(B:B,'ILC1211'!B291:F8730,5,false)="","Y","N")</f>
        <v>Y</v>
      </c>
      <c r="G288" s="12" t="str">
        <f>if(vlookup(B:B,'ILC1213'!$B218:G8730,5,false)="","Y","N")</f>
        <v>Y</v>
      </c>
      <c r="H288" s="12" t="str">
        <f>if(vlookup(B:B,'ILC1314'!$B217:G1030,5,false)="","Y","N")</f>
        <v>Y</v>
      </c>
      <c r="I288" s="12" t="str">
        <f>if(vlookup(B:B,'ILC1404'!B291:F8453,5,false)="","Y","N")</f>
        <v>Y</v>
      </c>
      <c r="J288" s="12" t="str">
        <f>if(vlookup(B:B,'ILC2203'!B254:F8453,5,false)="","Y","N")</f>
        <v>Y</v>
      </c>
      <c r="K288" s="12" t="str">
        <f>if(vlookup(B:B,'ILC2206'!B239:H370,5,false)="","Y","N")</f>
        <v>Y</v>
      </c>
      <c r="L288" s="12" t="str">
        <f>if(vlookup(B:B,'ILC2303'!B291:F8730,5,false)="","Y","N")</f>
        <v>N</v>
      </c>
      <c r="M288" s="12" t="str">
        <f>if(vlookup(B:B,'ILC2307'!B291:F9246,5,false)="","Y","N")</f>
        <v>Y</v>
      </c>
      <c r="N288" s="12" t="str">
        <f>if(vlookup(B:B,'ILC2313'!B291:F8885,5,false)="","Y","N")</f>
        <v>Y</v>
      </c>
      <c r="O288" s="12" t="str">
        <f>if(vlookup(B:B,'ILC2412'!B291:F8730,5,false)="","Y","N")</f>
        <v>Y</v>
      </c>
      <c r="P288" s="12" t="str">
        <f>if(vlookup(B:B,'ILC2413'!B291:F9228,5,false)="","Y","N")</f>
        <v>Y</v>
      </c>
      <c r="Q288" s="12" t="str">
        <f>if(vlookup(B:B,'ILC3104'!B291:F8773,5,false)="","Y","N")</f>
        <v>Y</v>
      </c>
      <c r="R288" s="12" t="str">
        <f>if(vlookup(B:B,'ILC3310'!B123:F8712,5,false)="","Y","N")</f>
        <v>Y</v>
      </c>
      <c r="S288" s="12" t="str">
        <f>if(vlookup(B:B,'ILC3312'!B291:F8730,5,false)="","Y","N")</f>
        <v>Y</v>
      </c>
      <c r="T288" s="12" t="str">
        <f>if(vlookup(B:B,'ILC3413'!B260:F8655,5,false)="","Y","N")</f>
        <v>Y</v>
      </c>
      <c r="U288" s="12" t="str">
        <f>if(vlookup(B:B,'ILC3415'!B288:F8680,5,false)="","Y","N")</f>
        <v>Y</v>
      </c>
      <c r="V288" s="12" t="str">
        <f>if(vlookup(B:B,'ILC4406'!B223:F8649,5,false)="","Y","N")</f>
        <v>Y</v>
      </c>
      <c r="W288" s="12" t="str">
        <f>if(vlookup(B:B,'ILC4410'!B291:F8897,5,false)="","Y","N")</f>
        <v>Y</v>
      </c>
      <c r="X288" s="12" t="str">
        <f>if(vlookup(B:B,'JBV455'!B291:F9237,5,false)="","Y","N")</f>
        <v>Y</v>
      </c>
      <c r="Y288" s="12" t="str">
        <f>if(vlookup(B:B,'JBV462'!B291:F8730,5,false)="","Y","N")</f>
        <v>Y</v>
      </c>
      <c r="Z288" s="12" t="str">
        <f>if(vlookup(B:B,'JBV464'!B291:F8730,5,false)="","Y","N")</f>
        <v>Y</v>
      </c>
      <c r="AA288" s="12" t="str">
        <f>if(vlookup(B:B,'VDI208'!B223:F8730,5,false)="","Y","N")</f>
        <v>Y</v>
      </c>
      <c r="AB288" s="76" t="str">
        <f>if(vlookup(B:B,'STO2206'!B223:F8730,5,false)="","Y","N")</f>
        <v>Y</v>
      </c>
    </row>
    <row r="289">
      <c r="A289" s="67" t="str">
        <f t="shared" si="2"/>
        <v>Thu</v>
      </c>
      <c r="B289" s="69">
        <v>43734.0</v>
      </c>
      <c r="C289" s="12" t="str">
        <f>if(vlookup(B:B,'ILC1110'!$B154:F8731,5,false)="","Y","N")</f>
        <v>Y</v>
      </c>
      <c r="D289" s="12" t="str">
        <f>if(vlookup(B:B,'ILC1111'!$B154:F8738,5,false)="","Y","N")</f>
        <v>Y</v>
      </c>
      <c r="E289" s="12" t="str">
        <f>if(vlookup(B:B,'ILC1112'!$B154:F8731,5,false)="","Y","N")</f>
        <v>Y</v>
      </c>
      <c r="F289" s="12" t="str">
        <f>if(vlookup(B:B,'ILC1211'!B292:F8731,5,false)="","Y","N")</f>
        <v>Y</v>
      </c>
      <c r="G289" s="12" t="str">
        <f>if(vlookup(B:B,'ILC1213'!$B219:G8731,5,false)="","Y","N")</f>
        <v>Y</v>
      </c>
      <c r="H289" s="12" t="str">
        <f>if(vlookup(B:B,'ILC1314'!$B218:G1031,5,false)="","Y","N")</f>
        <v>Y</v>
      </c>
      <c r="I289" s="12" t="str">
        <f>if(vlookup(B:B,'ILC1404'!B292:F8454,5,false)="","Y","N")</f>
        <v>Y</v>
      </c>
      <c r="J289" s="12" t="str">
        <f>if(vlookup(B:B,'ILC2203'!B255:F8454,5,false)="","Y","N")</f>
        <v>Y</v>
      </c>
      <c r="K289" s="12" t="str">
        <f>if(vlookup(B:B,'ILC2206'!B240:H370,5,false)="","Y","N")</f>
        <v>Y</v>
      </c>
      <c r="L289" s="12" t="str">
        <f>if(vlookup(B:B,'ILC2303'!B292:F8731,5,false)="","Y","N")</f>
        <v>N</v>
      </c>
      <c r="M289" s="12" t="str">
        <f>if(vlookup(B:B,'ILC2307'!B292:F9247,5,false)="","Y","N")</f>
        <v>Y</v>
      </c>
      <c r="N289" s="12" t="str">
        <f>if(vlookup(B:B,'ILC2313'!B292:F8886,5,false)="","Y","N")</f>
        <v>Y</v>
      </c>
      <c r="O289" s="12" t="str">
        <f>if(vlookup(B:B,'ILC2412'!B292:F8731,5,false)="","Y","N")</f>
        <v>Y</v>
      </c>
      <c r="P289" s="12" t="str">
        <f>if(vlookup(B:B,'ILC2413'!B292:F9229,5,false)="","Y","N")</f>
        <v>Y</v>
      </c>
      <c r="Q289" s="12" t="str">
        <f>if(vlookup(B:B,'ILC3104'!B292:F8774,5,false)="","Y","N")</f>
        <v>Y</v>
      </c>
      <c r="R289" s="12" t="str">
        <f>if(vlookup(B:B,'ILC3310'!B124:F8713,5,false)="","Y","N")</f>
        <v>Y</v>
      </c>
      <c r="S289" s="12" t="str">
        <f>if(vlookup(B:B,'ILC3312'!B292:F8731,5,false)="","Y","N")</f>
        <v>Y</v>
      </c>
      <c r="T289" s="12" t="str">
        <f>if(vlookup(B:B,'ILC3413'!B261:F8656,5,false)="","Y","N")</f>
        <v>Y</v>
      </c>
      <c r="U289" s="12" t="str">
        <f>if(vlookup(B:B,'ILC3415'!B289:F8681,5,false)="","Y","N")</f>
        <v>Y</v>
      </c>
      <c r="V289" s="12" t="str">
        <f>if(vlookup(B:B,'ILC4406'!B224:F8650,5,false)="","Y","N")</f>
        <v>Y</v>
      </c>
      <c r="W289" s="12" t="str">
        <f>if(vlookup(B:B,'ILC4410'!B292:F8898,5,false)="","Y","N")</f>
        <v>Y</v>
      </c>
      <c r="X289" s="12" t="str">
        <f>if(vlookup(B:B,'JBV455'!B292:F9238,5,false)="","Y","N")</f>
        <v>Y</v>
      </c>
      <c r="Y289" s="12" t="str">
        <f>if(vlookup(B:B,'JBV462'!B292:F8731,5,false)="","Y","N")</f>
        <v>Y</v>
      </c>
      <c r="Z289" s="12" t="str">
        <f>if(vlookup(B:B,'JBV464'!B292:F8731,5,false)="","Y","N")</f>
        <v>Y</v>
      </c>
      <c r="AA289" s="12" t="str">
        <f>if(vlookup(B:B,'VDI208'!B224:F8731,5,false)="","Y","N")</f>
        <v>Y</v>
      </c>
      <c r="AB289" s="76" t="str">
        <f>if(vlookup(B:B,'STO2206'!B224:F8731,5,false)="","Y","N")</f>
        <v>Y</v>
      </c>
    </row>
    <row r="290">
      <c r="A290" s="67" t="str">
        <f t="shared" si="2"/>
        <v>Fri</v>
      </c>
      <c r="B290" s="69">
        <v>43735.0</v>
      </c>
      <c r="C290" s="12" t="str">
        <f>if(vlookup(B:B,'ILC1110'!$B155:F8732,5,false)="","Y","N")</f>
        <v>N</v>
      </c>
      <c r="D290" s="12" t="str">
        <f>if(vlookup(B:B,'ILC1111'!$B155:F8739,5,false)="","Y","N")</f>
        <v>Y</v>
      </c>
      <c r="E290" s="12" t="str">
        <f>if(vlookup(B:B,'ILC1112'!$B155:F8732,5,false)="","Y","N")</f>
        <v>N</v>
      </c>
      <c r="F290" s="12" t="str">
        <f>if(vlookup(B:B,'ILC1211'!B293:F8732,5,false)="","Y","N")</f>
        <v>Y</v>
      </c>
      <c r="G290" s="12" t="str">
        <f>if(vlookup(B:B,'ILC1213'!$B220:G8732,5,false)="","Y","N")</f>
        <v>Y</v>
      </c>
      <c r="H290" s="12" t="str">
        <f>if(vlookup(B:B,'ILC1314'!$B219:G1032,5,false)="","Y","N")</f>
        <v>N</v>
      </c>
      <c r="I290" s="12" t="str">
        <f>if(vlookup(B:B,'ILC1404'!B293:F8455,5,false)="","Y","N")</f>
        <v>N</v>
      </c>
      <c r="J290" s="12" t="str">
        <f>if(vlookup(B:B,'ILC2203'!B256:F8455,5,false)="","Y","N")</f>
        <v>Y</v>
      </c>
      <c r="K290" s="12" t="str">
        <f>if(vlookup(B:B,'ILC2206'!B241:H370,5,false)="","Y","N")</f>
        <v>Y</v>
      </c>
      <c r="L290" s="12" t="str">
        <f>if(vlookup(B:B,'ILC2303'!B293:F8732,5,false)="","Y","N")</f>
        <v>N</v>
      </c>
      <c r="M290" s="12" t="str">
        <f>if(vlookup(B:B,'ILC2307'!B293:F9248,5,false)="","Y","N")</f>
        <v>Y</v>
      </c>
      <c r="N290" s="12" t="str">
        <f>if(vlookup(B:B,'ILC2313'!B293:F8887,5,false)="","Y","N")</f>
        <v>Y</v>
      </c>
      <c r="O290" s="12" t="str">
        <f>if(vlookup(B:B,'ILC2412'!B293:F8732,5,false)="","Y","N")</f>
        <v>Y</v>
      </c>
      <c r="P290" s="12" t="str">
        <f>if(vlookup(B:B,'ILC2413'!B293:F9230,5,false)="","Y","N")</f>
        <v>Y</v>
      </c>
      <c r="Q290" s="12" t="str">
        <f>if(vlookup(B:B,'ILC3104'!B293:F8775,5,false)="","Y","N")</f>
        <v>Y</v>
      </c>
      <c r="R290" s="12" t="str">
        <f>if(vlookup(B:B,'ILC3310'!B125:F8714,5,false)="","Y","N")</f>
        <v>Y</v>
      </c>
      <c r="S290" s="12" t="str">
        <f>if(vlookup(B:B,'ILC3312'!B293:F8732,5,false)="","Y","N")</f>
        <v>Y</v>
      </c>
      <c r="T290" s="12" t="str">
        <f>if(vlookup(B:B,'ILC3413'!B262:F8657,5,false)="","Y","N")</f>
        <v>Y</v>
      </c>
      <c r="U290" s="12" t="str">
        <f>if(vlookup(B:B,'ILC3415'!B290:F8682,5,false)="","Y","N")</f>
        <v>Y</v>
      </c>
      <c r="V290" s="12" t="str">
        <f>if(vlookup(B:B,'ILC4406'!B225:F8651,5,false)="","Y","N")</f>
        <v>Y</v>
      </c>
      <c r="W290" s="12" t="str">
        <f>if(vlookup(B:B,'ILC4410'!B293:F8899,5,false)="","Y","N")</f>
        <v>N</v>
      </c>
      <c r="X290" s="12" t="str">
        <f>if(vlookup(B:B,'JBV455'!B293:F9239,5,false)="","Y","N")</f>
        <v>Y</v>
      </c>
      <c r="Y290" s="12" t="str">
        <f>if(vlookup(B:B,'JBV462'!B293:F8732,5,false)="","Y","N")</f>
        <v>Y</v>
      </c>
      <c r="Z290" s="12" t="str">
        <f>if(vlookup(B:B,'JBV464'!B293:F8732,5,false)="","Y","N")</f>
        <v>Y</v>
      </c>
      <c r="AA290" s="12" t="str">
        <f>if(vlookup(B:B,'VDI208'!B225:F8732,5,false)="","Y","N")</f>
        <v>Y</v>
      </c>
      <c r="AB290" s="76" t="str">
        <f>if(vlookup(B:B,'STO2206'!B225:F8732,5,false)="","Y","N")</f>
        <v>Y</v>
      </c>
    </row>
    <row r="291">
      <c r="A291" s="67" t="str">
        <f t="shared" si="2"/>
        <v>Sat</v>
      </c>
      <c r="B291" s="69">
        <v>43736.0</v>
      </c>
      <c r="C291" s="12" t="str">
        <f>if(vlookup(B:B,'ILC1110'!$B156:F8733,5,false)="","Y","N")</f>
        <v>N</v>
      </c>
      <c r="D291" s="12" t="str">
        <f>if(vlookup(B:B,'ILC1111'!$B156:F8740,5,false)="","Y","N")</f>
        <v>Y</v>
      </c>
      <c r="E291" s="12" t="str">
        <f>if(vlookup(B:B,'ILC1112'!$B156:F8733,5,false)="","Y","N")</f>
        <v>N</v>
      </c>
      <c r="F291" s="12" t="str">
        <f>if(vlookup(B:B,'ILC1211'!B294:F8733,5,false)="","Y","N")</f>
        <v>Y</v>
      </c>
      <c r="G291" s="12" t="str">
        <f>if(vlookup(B:B,'ILC1213'!$B221:G8733,5,false)="","Y","N")</f>
        <v>Y</v>
      </c>
      <c r="H291" s="12" t="str">
        <f>if(vlookup(B:B,'ILC1314'!$B220:G1033,5,false)="","Y","N")</f>
        <v>N</v>
      </c>
      <c r="I291" s="12" t="str">
        <f>if(vlookup(B:B,'ILC1404'!B294:F8456,5,false)="","Y","N")</f>
        <v>N</v>
      </c>
      <c r="J291" s="12" t="str">
        <f>if(vlookup(B:B,'ILC2203'!B257:F8456,5,false)="","Y","N")</f>
        <v>Y</v>
      </c>
      <c r="K291" s="12" t="str">
        <f>if(vlookup(B:B,'ILC2206'!B242:H370,5,false)="","Y","N")</f>
        <v>Y</v>
      </c>
      <c r="L291" s="12" t="str">
        <f>if(vlookup(B:B,'ILC2303'!B294:F8733,5,false)="","Y","N")</f>
        <v>N</v>
      </c>
      <c r="M291" s="12" t="str">
        <f>if(vlookup(B:B,'ILC2307'!B294:F9249,5,false)="","Y","N")</f>
        <v>Y</v>
      </c>
      <c r="N291" s="12" t="str">
        <f>if(vlookup(B:B,'ILC2313'!B294:F8888,5,false)="","Y","N")</f>
        <v>Y</v>
      </c>
      <c r="O291" s="12" t="str">
        <f>if(vlookup(B:B,'ILC2412'!B294:F8733,5,false)="","Y","N")</f>
        <v>Y</v>
      </c>
      <c r="P291" s="12" t="str">
        <f>if(vlookup(B:B,'ILC2413'!B294:F9231,5,false)="","Y","N")</f>
        <v>Y</v>
      </c>
      <c r="Q291" s="12" t="str">
        <f>if(vlookup(B:B,'ILC3104'!B294:F8776,5,false)="","Y","N")</f>
        <v>Y</v>
      </c>
      <c r="R291" s="12" t="str">
        <f>if(vlookup(B:B,'ILC3310'!B126:F8715,5,false)="","Y","N")</f>
        <v>Y</v>
      </c>
      <c r="S291" s="12" t="str">
        <f>if(vlookup(B:B,'ILC3312'!B294:F8733,5,false)="","Y","N")</f>
        <v>Y</v>
      </c>
      <c r="T291" s="12" t="str">
        <f>if(vlookup(B:B,'ILC3413'!B263:F8658,5,false)="","Y","N")</f>
        <v>Y</v>
      </c>
      <c r="U291" s="12" t="str">
        <f>if(vlookup(B:B,'ILC3415'!B291:F8683,5,false)="","Y","N")</f>
        <v>Y</v>
      </c>
      <c r="V291" s="12" t="str">
        <f>if(vlookup(B:B,'ILC4406'!B226:F8652,5,false)="","Y","N")</f>
        <v>Y</v>
      </c>
      <c r="W291" s="12" t="str">
        <f>if(vlookup(B:B,'ILC4410'!B294:F8900,5,false)="","Y","N")</f>
        <v>N</v>
      </c>
      <c r="X291" s="12" t="str">
        <f>if(vlookup(B:B,'JBV455'!B294:F9240,5,false)="","Y","N")</f>
        <v>Y</v>
      </c>
      <c r="Y291" s="12" t="str">
        <f>if(vlookup(B:B,'JBV462'!B294:F8733,5,false)="","Y","N")</f>
        <v>Y</v>
      </c>
      <c r="Z291" s="12" t="str">
        <f>if(vlookup(B:B,'JBV464'!B294:F8733,5,false)="","Y","N")</f>
        <v>Y</v>
      </c>
      <c r="AA291" s="12" t="str">
        <f>if(vlookup(B:B,'VDI208'!B226:F8733,5,false)="","Y","N")</f>
        <v>Y</v>
      </c>
      <c r="AB291" s="76" t="str">
        <f>if(vlookup(B:B,'STO2206'!B226:F8733,5,false)="","Y","N")</f>
        <v>Y</v>
      </c>
    </row>
    <row r="292">
      <c r="A292" s="67" t="str">
        <f t="shared" si="2"/>
        <v>Sun</v>
      </c>
      <c r="B292" s="69">
        <v>43737.0</v>
      </c>
      <c r="C292" s="12" t="str">
        <f>if(vlookup(B:B,'ILC1110'!$B157:F8734,5,false)="","Y","N")</f>
        <v>Y</v>
      </c>
      <c r="D292" s="12" t="str">
        <f>if(vlookup(B:B,'ILC1111'!$B157:F8741,5,false)="","Y","N")</f>
        <v>Y</v>
      </c>
      <c r="E292" s="12" t="str">
        <f>if(vlookup(B:B,'ILC1112'!$B157:F8734,5,false)="","Y","N")</f>
        <v>Y</v>
      </c>
      <c r="F292" s="12" t="str">
        <f>if(vlookup(B:B,'ILC1211'!B295:F8734,5,false)="","Y","N")</f>
        <v>Y</v>
      </c>
      <c r="G292" s="12" t="str">
        <f>if(vlookup(B:B,'ILC1213'!$B222:G8734,5,false)="","Y","N")</f>
        <v>Y</v>
      </c>
      <c r="H292" s="12" t="str">
        <f>if(vlookup(B:B,'ILC1314'!$B221:G1034,5,false)="","Y","N")</f>
        <v>Y</v>
      </c>
      <c r="I292" s="12" t="str">
        <f>if(vlookup(B:B,'ILC1404'!B295:F8457,5,false)="","Y","N")</f>
        <v>Y</v>
      </c>
      <c r="J292" s="12" t="str">
        <f>if(vlookup(B:B,'ILC2203'!B258:F8457,5,false)="","Y","N")</f>
        <v>Y</v>
      </c>
      <c r="K292" s="12" t="str">
        <f>if(vlookup(B:B,'ILC2206'!B243:H370,5,false)="","Y","N")</f>
        <v>Y</v>
      </c>
      <c r="L292" s="12" t="str">
        <f>if(vlookup(B:B,'ILC2303'!B295:F8734,5,false)="","Y","N")</f>
        <v>N</v>
      </c>
      <c r="M292" s="12" t="str">
        <f>if(vlookup(B:B,'ILC2307'!B295:F9250,5,false)="","Y","N")</f>
        <v>Y</v>
      </c>
      <c r="N292" s="12" t="str">
        <f>if(vlookup(B:B,'ILC2313'!B295:F8889,5,false)="","Y","N")</f>
        <v>Y</v>
      </c>
      <c r="O292" s="12" t="str">
        <f>if(vlookup(B:B,'ILC2412'!B295:F8734,5,false)="","Y","N")</f>
        <v>Y</v>
      </c>
      <c r="P292" s="12" t="str">
        <f>if(vlookup(B:B,'ILC2413'!B295:F9232,5,false)="","Y","N")</f>
        <v>Y</v>
      </c>
      <c r="Q292" s="12" t="str">
        <f>if(vlookup(B:B,'ILC3104'!B295:F8777,5,false)="","Y","N")</f>
        <v>Y</v>
      </c>
      <c r="R292" s="12" t="str">
        <f>if(vlookup(B:B,'ILC3310'!B127:F8716,5,false)="","Y","N")</f>
        <v>Y</v>
      </c>
      <c r="S292" s="12" t="str">
        <f>if(vlookup(B:B,'ILC3312'!B295:F8734,5,false)="","Y","N")</f>
        <v>Y</v>
      </c>
      <c r="T292" s="12" t="str">
        <f>if(vlookup(B:B,'ILC3413'!B264:F8659,5,false)="","Y","N")</f>
        <v>Y</v>
      </c>
      <c r="U292" s="12" t="str">
        <f>if(vlookup(B:B,'ILC3415'!B292:F8684,5,false)="","Y","N")</f>
        <v>Y</v>
      </c>
      <c r="V292" s="12" t="str">
        <f>if(vlookup(B:B,'ILC4406'!B227:F8653,5,false)="","Y","N")</f>
        <v>Y</v>
      </c>
      <c r="W292" s="12" t="str">
        <f>if(vlookup(B:B,'ILC4410'!B295:F8901,5,false)="","Y","N")</f>
        <v>Y</v>
      </c>
      <c r="X292" s="12" t="str">
        <f>if(vlookup(B:B,'JBV455'!B295:F9241,5,false)="","Y","N")</f>
        <v>Y</v>
      </c>
      <c r="Y292" s="12" t="str">
        <f>if(vlookup(B:B,'JBV462'!B295:F8734,5,false)="","Y","N")</f>
        <v>Y</v>
      </c>
      <c r="Z292" s="12" t="str">
        <f>if(vlookup(B:B,'JBV464'!B295:F8734,5,false)="","Y","N")</f>
        <v>Y</v>
      </c>
      <c r="AA292" s="12" t="str">
        <f>if(vlookup(B:B,'VDI208'!B227:F8734,5,false)="","Y","N")</f>
        <v>Y</v>
      </c>
      <c r="AB292" s="76" t="str">
        <f>if(vlookup(B:B,'STO2206'!B227:F8734,5,false)="","Y","N")</f>
        <v>Y</v>
      </c>
    </row>
    <row r="293">
      <c r="A293" s="67" t="str">
        <f t="shared" si="2"/>
        <v>Mon</v>
      </c>
      <c r="B293" s="69">
        <v>43738.0</v>
      </c>
      <c r="C293" s="12" t="str">
        <f>if(vlookup(B:B,'ILC1110'!$B158:F8735,5,false)="","Y","N")</f>
        <v>Y</v>
      </c>
      <c r="D293" s="12" t="str">
        <f>if(vlookup(B:B,'ILC1111'!$B158:F8742,5,false)="","Y","N")</f>
        <v>Y</v>
      </c>
      <c r="E293" s="12" t="str">
        <f>if(vlookup(B:B,'ILC1112'!$B158:F8735,5,false)="","Y","N")</f>
        <v>Y</v>
      </c>
      <c r="F293" s="12" t="str">
        <f>if(vlookup(B:B,'ILC1211'!B296:F8735,5,false)="","Y","N")</f>
        <v>Y</v>
      </c>
      <c r="G293" s="12" t="str">
        <f>if(vlookup(B:B,'ILC1213'!$B223:G8735,5,false)="","Y","N")</f>
        <v>Y</v>
      </c>
      <c r="H293" s="12" t="str">
        <f>if(vlookup(B:B,'ILC1314'!$B222:G1035,5,false)="","Y","N")</f>
        <v>Y</v>
      </c>
      <c r="I293" s="12" t="str">
        <f>if(vlookup(B:B,'ILC1404'!B296:F8458,5,false)="","Y","N")</f>
        <v>Y</v>
      </c>
      <c r="J293" s="12" t="str">
        <f>if(vlookup(B:B,'ILC2203'!B259:F8458,5,false)="","Y","N")</f>
        <v>Y</v>
      </c>
      <c r="K293" s="12" t="str">
        <f>if(vlookup(B:B,'ILC2206'!B244:H370,5,false)="","Y","N")</f>
        <v>Y</v>
      </c>
      <c r="L293" s="12" t="str">
        <f>if(vlookup(B:B,'ILC2303'!B296:F8735,5,false)="","Y","N")</f>
        <v>N</v>
      </c>
      <c r="M293" s="12" t="str">
        <f>if(vlookup(B:B,'ILC2307'!B296:F9251,5,false)="","Y","N")</f>
        <v>Y</v>
      </c>
      <c r="N293" s="12" t="str">
        <f>if(vlookup(B:B,'ILC2313'!B296:F8890,5,false)="","Y","N")</f>
        <v>Y</v>
      </c>
      <c r="O293" s="12" t="str">
        <f>if(vlookup(B:B,'ILC2412'!B296:F8735,5,false)="","Y","N")</f>
        <v>Y</v>
      </c>
      <c r="P293" s="12" t="str">
        <f>if(vlookup(B:B,'ILC2413'!B296:F9233,5,false)="","Y","N")</f>
        <v>Y</v>
      </c>
      <c r="Q293" s="12" t="str">
        <f>if(vlookup(B:B,'ILC3104'!B296:F8778,5,false)="","Y","N")</f>
        <v>Y</v>
      </c>
      <c r="R293" s="12" t="str">
        <f>if(vlookup(B:B,'ILC3310'!B128:F8717,5,false)="","Y","N")</f>
        <v>Y</v>
      </c>
      <c r="S293" s="12" t="str">
        <f>if(vlookup(B:B,'ILC3312'!B296:F8735,5,false)="","Y","N")</f>
        <v>Y</v>
      </c>
      <c r="T293" s="12" t="str">
        <f>if(vlookup(B:B,'ILC3413'!B265:F8660,5,false)="","Y","N")</f>
        <v>Y</v>
      </c>
      <c r="U293" s="12" t="str">
        <f>if(vlookup(B:B,'ILC3415'!B293:F8685,5,false)="","Y","N")</f>
        <v>Y</v>
      </c>
      <c r="V293" s="12" t="str">
        <f>if(vlookup(B:B,'ILC4406'!B228:F8654,5,false)="","Y","N")</f>
        <v>Y</v>
      </c>
      <c r="W293" s="12" t="str">
        <f>if(vlookup(B:B,'ILC4410'!B296:F8902,5,false)="","Y","N")</f>
        <v>Y</v>
      </c>
      <c r="X293" s="12" t="str">
        <f>if(vlookup(B:B,'JBV455'!B296:F9242,5,false)="","Y","N")</f>
        <v>Y</v>
      </c>
      <c r="Y293" s="12" t="str">
        <f>if(vlookup(B:B,'JBV462'!B296:F8735,5,false)="","Y","N")</f>
        <v>Y</v>
      </c>
      <c r="Z293" s="12" t="str">
        <f>if(vlookup(B:B,'JBV464'!B296:F8735,5,false)="","Y","N")</f>
        <v>Y</v>
      </c>
      <c r="AA293" s="12" t="str">
        <f>if(vlookup(B:B,'VDI208'!B228:F8735,5,false)="","Y","N")</f>
        <v>Y</v>
      </c>
      <c r="AB293" s="76" t="str">
        <f>if(vlookup(B:B,'STO2206'!B228:F8735,5,false)="","Y","N")</f>
        <v>Y</v>
      </c>
    </row>
    <row r="294">
      <c r="A294" s="67" t="str">
        <f t="shared" si="2"/>
        <v>Tue</v>
      </c>
      <c r="B294" s="69">
        <v>43739.0</v>
      </c>
      <c r="C294" s="12" t="str">
        <f>if(vlookup(B:B,'ILC1110'!$B159:F8736,5,false)="","Y","N")</f>
        <v>Y</v>
      </c>
      <c r="D294" s="12" t="str">
        <f>if(vlookup(B:B,'ILC1111'!$B159:F8743,5,false)="","Y","N")</f>
        <v>Y</v>
      </c>
      <c r="E294" s="12" t="str">
        <f>if(vlookup(B:B,'ILC1112'!$B159:F8736,5,false)="","Y","N")</f>
        <v>Y</v>
      </c>
      <c r="F294" s="12" t="str">
        <f>if(vlookup(B:B,'ILC1211'!B297:F8736,5,false)="","Y","N")</f>
        <v>Y</v>
      </c>
      <c r="G294" s="12" t="str">
        <f>if(vlookup(B:B,'ILC1213'!$B224:G8736,5,false)="","Y","N")</f>
        <v>Y</v>
      </c>
      <c r="H294" s="12" t="str">
        <f>if(vlookup(B:B,'ILC1314'!$B223:G1036,5,false)="","Y","N")</f>
        <v>Y</v>
      </c>
      <c r="I294" s="12" t="str">
        <f>if(vlookup(B:B,'ILC1404'!B297:F8459,5,false)="","Y","N")</f>
        <v>Y</v>
      </c>
      <c r="J294" s="12" t="str">
        <f>if(vlookup(B:B,'ILC2203'!B260:F8459,5,false)="","Y","N")</f>
        <v>Y</v>
      </c>
      <c r="K294" s="12" t="str">
        <f>if(vlookup(B:B,'ILC2206'!B245:H370,5,false)="","Y","N")</f>
        <v>Y</v>
      </c>
      <c r="L294" s="12" t="str">
        <f>if(vlookup(B:B,'ILC2303'!B297:F8736,5,false)="","Y","N")</f>
        <v>N</v>
      </c>
      <c r="M294" s="12" t="str">
        <f>if(vlookup(B:B,'ILC2307'!B297:F9252,5,false)="","Y","N")</f>
        <v>Y</v>
      </c>
      <c r="N294" s="12" t="str">
        <f>if(vlookup(B:B,'ILC2313'!B297:F8891,5,false)="","Y","N")</f>
        <v>Y</v>
      </c>
      <c r="O294" s="12" t="str">
        <f>if(vlookup(B:B,'ILC2412'!B297:F8736,5,false)="","Y","N")</f>
        <v>Y</v>
      </c>
      <c r="P294" s="12" t="str">
        <f>if(vlookup(B:B,'ILC2413'!B297:F9234,5,false)="","Y","N")</f>
        <v>Y</v>
      </c>
      <c r="Q294" s="12" t="str">
        <f>if(vlookup(B:B,'ILC3104'!B297:F8779,5,false)="","Y","N")</f>
        <v>Y</v>
      </c>
      <c r="R294" s="12" t="str">
        <f>if(vlookup(B:B,'ILC3310'!B129:F8718,5,false)="","Y","N")</f>
        <v>Y</v>
      </c>
      <c r="S294" s="12" t="str">
        <f>if(vlookup(B:B,'ILC3312'!B297:F8736,5,false)="","Y","N")</f>
        <v>Y</v>
      </c>
      <c r="T294" s="12" t="str">
        <f>if(vlookup(B:B,'ILC3413'!B266:F8661,5,false)="","Y","N")</f>
        <v>Y</v>
      </c>
      <c r="U294" s="12" t="str">
        <f>if(vlookup(B:B,'ILC3415'!B294:F8686,5,false)="","Y","N")</f>
        <v>Y</v>
      </c>
      <c r="V294" s="12" t="str">
        <f>if(vlookup(B:B,'ILC4406'!B229:F8655,5,false)="","Y","N")</f>
        <v>Y</v>
      </c>
      <c r="W294" s="12" t="str">
        <f>if(vlookup(B:B,'ILC4410'!B297:F8903,5,false)="","Y","N")</f>
        <v>Y</v>
      </c>
      <c r="X294" s="12" t="str">
        <f>if(vlookup(B:B,'JBV455'!B297:F9243,5,false)="","Y","N")</f>
        <v>Y</v>
      </c>
      <c r="Y294" s="12" t="str">
        <f>if(vlookup(B:B,'JBV462'!B297:F8736,5,false)="","Y","N")</f>
        <v>Y</v>
      </c>
      <c r="Z294" s="12" t="str">
        <f>if(vlookup(B:B,'JBV464'!B297:F8736,5,false)="","Y","N")</f>
        <v>Y</v>
      </c>
      <c r="AA294" s="12" t="str">
        <f>if(vlookup(B:B,'VDI208'!B229:F8736,5,false)="","Y","N")</f>
        <v>Y</v>
      </c>
      <c r="AB294" s="76" t="str">
        <f>if(vlookup(B:B,'STO2206'!B229:F8736,5,false)="","Y","N")</f>
        <v>Y</v>
      </c>
    </row>
    <row r="295">
      <c r="A295" s="67" t="str">
        <f t="shared" si="2"/>
        <v>Wed</v>
      </c>
      <c r="B295" s="69">
        <v>43740.0</v>
      </c>
      <c r="C295" s="12" t="str">
        <f>if(vlookup(B:B,'ILC1110'!$B160:F8737,5,false)="","Y","N")</f>
        <v>Y</v>
      </c>
      <c r="D295" s="12" t="str">
        <f>if(vlookup(B:B,'ILC1111'!$B160:F8744,5,false)="","Y","N")</f>
        <v>Y</v>
      </c>
      <c r="E295" s="12" t="str">
        <f>if(vlookup(B:B,'ILC1112'!$B160:F8737,5,false)="","Y","N")</f>
        <v>Y</v>
      </c>
      <c r="F295" s="12" t="str">
        <f>if(vlookup(B:B,'ILC1211'!B298:F8737,5,false)="","Y","N")</f>
        <v>Y</v>
      </c>
      <c r="G295" s="12" t="str">
        <f>if(vlookup(B:B,'ILC1213'!$B225:G8737,5,false)="","Y","N")</f>
        <v>Y</v>
      </c>
      <c r="H295" s="12" t="str">
        <f>if(vlookup(B:B,'ILC1314'!$B224:G1037,5,false)="","Y","N")</f>
        <v>Y</v>
      </c>
      <c r="I295" s="12" t="str">
        <f>if(vlookup(B:B,'ILC1404'!B298:F8460,5,false)="","Y","N")</f>
        <v>Y</v>
      </c>
      <c r="J295" s="12" t="str">
        <f>if(vlookup(B:B,'ILC2203'!B261:F8460,5,false)="","Y","N")</f>
        <v>Y</v>
      </c>
      <c r="K295" s="12" t="str">
        <f>if(vlookup(B:B,'ILC2206'!B246:H370,5,false)="","Y","N")</f>
        <v>Y</v>
      </c>
      <c r="L295" s="12" t="str">
        <f>if(vlookup(B:B,'ILC2303'!B298:F8737,5,false)="","Y","N")</f>
        <v>N</v>
      </c>
      <c r="M295" s="12" t="str">
        <f>if(vlookup(B:B,'ILC2307'!B298:F9253,5,false)="","Y","N")</f>
        <v>Y</v>
      </c>
      <c r="N295" s="12" t="str">
        <f>if(vlookup(B:B,'ILC2313'!B298:F8892,5,false)="","Y","N")</f>
        <v>Y</v>
      </c>
      <c r="O295" s="12" t="str">
        <f>if(vlookup(B:B,'ILC2412'!B298:F8737,5,false)="","Y","N")</f>
        <v>Y</v>
      </c>
      <c r="P295" s="12" t="str">
        <f>if(vlookup(B:B,'ILC2413'!B298:F9235,5,false)="","Y","N")</f>
        <v>Y</v>
      </c>
      <c r="Q295" s="12" t="str">
        <f>if(vlookup(B:B,'ILC3104'!B298:F8780,5,false)="","Y","N")</f>
        <v>Y</v>
      </c>
      <c r="R295" s="12" t="str">
        <f>if(vlookup(B:B,'ILC3310'!B130:F8719,5,false)="","Y","N")</f>
        <v>Y</v>
      </c>
      <c r="S295" s="12" t="str">
        <f>if(vlookup(B:B,'ILC3312'!B298:F8737,5,false)="","Y","N")</f>
        <v>Y</v>
      </c>
      <c r="T295" s="12" t="str">
        <f>if(vlookup(B:B,'ILC3413'!B267:F8662,5,false)="","Y","N")</f>
        <v>Y</v>
      </c>
      <c r="U295" s="12" t="str">
        <f>if(vlookup(B:B,'ILC3415'!B295:F8687,5,false)="","Y","N")</f>
        <v>Y</v>
      </c>
      <c r="V295" s="12" t="str">
        <f>if(vlookup(B:B,'ILC4406'!B230:F8656,5,false)="","Y","N")</f>
        <v>Y</v>
      </c>
      <c r="W295" s="12" t="str">
        <f>if(vlookup(B:B,'ILC4410'!B298:F8904,5,false)="","Y","N")</f>
        <v>Y</v>
      </c>
      <c r="X295" s="12" t="str">
        <f>if(vlookup(B:B,'JBV455'!B298:F9244,5,false)="","Y","N")</f>
        <v>Y</v>
      </c>
      <c r="Y295" s="12" t="str">
        <f>if(vlookup(B:B,'JBV462'!B298:F8737,5,false)="","Y","N")</f>
        <v>Y</v>
      </c>
      <c r="Z295" s="12" t="str">
        <f>if(vlookup(B:B,'JBV464'!B298:F8737,5,false)="","Y","N")</f>
        <v>Y</v>
      </c>
      <c r="AA295" s="12" t="str">
        <f>if(vlookup(B:B,'VDI208'!B230:F8737,5,false)="","Y","N")</f>
        <v>Y</v>
      </c>
      <c r="AB295" s="76" t="str">
        <f>if(vlookup(B:B,'STO2206'!B230:F8737,5,false)="","Y","N")</f>
        <v>Y</v>
      </c>
    </row>
    <row r="296">
      <c r="A296" s="67" t="str">
        <f t="shared" si="2"/>
        <v>Thu</v>
      </c>
      <c r="B296" s="69">
        <v>43741.0</v>
      </c>
      <c r="C296" s="12" t="str">
        <f>if(vlookup(B:B,'ILC1110'!$B161:F8738,5,false)="","Y","N")</f>
        <v>Y</v>
      </c>
      <c r="D296" s="12" t="str">
        <f>if(vlookup(B:B,'ILC1111'!$B161:F8745,5,false)="","Y","N")</f>
        <v>Y</v>
      </c>
      <c r="E296" s="12" t="str">
        <f>if(vlookup(B:B,'ILC1112'!$B161:F8738,5,false)="","Y","N")</f>
        <v>Y</v>
      </c>
      <c r="F296" s="12" t="str">
        <f>if(vlookup(B:B,'ILC1211'!B299:F8738,5,false)="","Y","N")</f>
        <v>Y</v>
      </c>
      <c r="G296" s="12" t="str">
        <f>if(vlookup(B:B,'ILC1213'!$B226:G8738,5,false)="","Y","N")</f>
        <v>Y</v>
      </c>
      <c r="H296" s="12" t="str">
        <f>if(vlookup(B:B,'ILC1314'!$B225:G1038,5,false)="","Y","N")</f>
        <v>Y</v>
      </c>
      <c r="I296" s="12" t="str">
        <f>if(vlookup(B:B,'ILC1404'!B299:F8461,5,false)="","Y","N")</f>
        <v>Y</v>
      </c>
      <c r="J296" s="12" t="str">
        <f>if(vlookup(B:B,'ILC2203'!B262:F8461,5,false)="","Y","N")</f>
        <v>Y</v>
      </c>
      <c r="K296" s="12" t="str">
        <f>if(vlookup(B:B,'ILC2206'!B247:H370,5,false)="","Y","N")</f>
        <v>Y</v>
      </c>
      <c r="L296" s="12" t="str">
        <f>if(vlookup(B:B,'ILC2303'!B299:F8738,5,false)="","Y","N")</f>
        <v>N</v>
      </c>
      <c r="M296" s="12" t="str">
        <f>if(vlookup(B:B,'ILC2307'!B299:F9254,5,false)="","Y","N")</f>
        <v>Y</v>
      </c>
      <c r="N296" s="12" t="str">
        <f>if(vlookup(B:B,'ILC2313'!B299:F8893,5,false)="","Y","N")</f>
        <v>Y</v>
      </c>
      <c r="O296" s="12" t="str">
        <f>if(vlookup(B:B,'ILC2412'!B299:F8738,5,false)="","Y","N")</f>
        <v>Y</v>
      </c>
      <c r="P296" s="12" t="str">
        <f>if(vlookup(B:B,'ILC2413'!B299:F9236,5,false)="","Y","N")</f>
        <v>Y</v>
      </c>
      <c r="Q296" s="12" t="str">
        <f>if(vlookup(B:B,'ILC3104'!B299:F8781,5,false)="","Y","N")</f>
        <v>Y</v>
      </c>
      <c r="R296" s="12" t="str">
        <f>if(vlookup(B:B,'ILC3310'!B131:F8720,5,false)="","Y","N")</f>
        <v>Y</v>
      </c>
      <c r="S296" s="12" t="str">
        <f>if(vlookup(B:B,'ILC3312'!B299:F8738,5,false)="","Y","N")</f>
        <v>Y</v>
      </c>
      <c r="T296" s="12" t="str">
        <f>if(vlookup(B:B,'ILC3413'!B268:F8663,5,false)="","Y","N")</f>
        <v>Y</v>
      </c>
      <c r="U296" s="12" t="str">
        <f>if(vlookup(B:B,'ILC3415'!B296:F8688,5,false)="","Y","N")</f>
        <v>Y</v>
      </c>
      <c r="V296" s="12" t="str">
        <f>if(vlookup(B:B,'ILC4406'!B231:F8657,5,false)="","Y","N")</f>
        <v>Y</v>
      </c>
      <c r="W296" s="12" t="str">
        <f>if(vlookup(B:B,'ILC4410'!B299:F8905,5,false)="","Y","N")</f>
        <v>Y</v>
      </c>
      <c r="X296" s="12" t="str">
        <f>if(vlookup(B:B,'JBV455'!B299:F9245,5,false)="","Y","N")</f>
        <v>Y</v>
      </c>
      <c r="Y296" s="12" t="str">
        <f>if(vlookup(B:B,'JBV462'!B299:F8738,5,false)="","Y","N")</f>
        <v>Y</v>
      </c>
      <c r="Z296" s="12" t="str">
        <f>if(vlookup(B:B,'JBV464'!B299:F8738,5,false)="","Y","N")</f>
        <v>Y</v>
      </c>
      <c r="AA296" s="12" t="str">
        <f>if(vlookup(B:B,'VDI208'!B231:F8738,5,false)="","Y","N")</f>
        <v>Y</v>
      </c>
      <c r="AB296" s="76" t="str">
        <f>if(vlookup(B:B,'STO2206'!B231:F8738,5,false)="","Y","N")</f>
        <v>Y</v>
      </c>
    </row>
    <row r="297">
      <c r="A297" s="67" t="str">
        <f t="shared" si="2"/>
        <v>Fri</v>
      </c>
      <c r="B297" s="69">
        <v>43742.0</v>
      </c>
      <c r="C297" s="12" t="str">
        <f>if(vlookup(B:B,'ILC1110'!$B162:F8739,5,false)="","Y","N")</f>
        <v>Y</v>
      </c>
      <c r="D297" s="12" t="str">
        <f>if(vlookup(B:B,'ILC1111'!$B162:F8746,5,false)="","Y","N")</f>
        <v>Y</v>
      </c>
      <c r="E297" s="12" t="str">
        <f>if(vlookup(B:B,'ILC1112'!$B162:F8739,5,false)="","Y","N")</f>
        <v>Y</v>
      </c>
      <c r="F297" s="12" t="str">
        <f>if(vlookup(B:B,'ILC1211'!B300:F8739,5,false)="","Y","N")</f>
        <v>Y</v>
      </c>
      <c r="G297" s="12" t="str">
        <f>if(vlookup(B:B,'ILC1213'!$B227:G8739,5,false)="","Y","N")</f>
        <v>Y</v>
      </c>
      <c r="H297" s="12" t="str">
        <f>if(vlookup(B:B,'ILC1314'!$B226:G1039,5,false)="","Y","N")</f>
        <v>Y</v>
      </c>
      <c r="I297" s="12" t="str">
        <f>if(vlookup(B:B,'ILC1404'!B300:F8462,5,false)="","Y","N")</f>
        <v>Y</v>
      </c>
      <c r="J297" s="12" t="str">
        <f>if(vlookup(B:B,'ILC2203'!B263:F8462,5,false)="","Y","N")</f>
        <v>Y</v>
      </c>
      <c r="K297" s="12" t="str">
        <f>if(vlookup(B:B,'ILC2206'!B248:H370,5,false)="","Y","N")</f>
        <v>Y</v>
      </c>
      <c r="L297" s="12" t="str">
        <f>if(vlookup(B:B,'ILC2303'!B300:F8739,5,false)="","Y","N")</f>
        <v>N</v>
      </c>
      <c r="M297" s="12" t="str">
        <f>if(vlookup(B:B,'ILC2307'!B300:F9255,5,false)="","Y","N")</f>
        <v>Y</v>
      </c>
      <c r="N297" s="12" t="str">
        <f>if(vlookup(B:B,'ILC2313'!B300:F8894,5,false)="","Y","N")</f>
        <v>Y</v>
      </c>
      <c r="O297" s="12" t="str">
        <f>if(vlookup(B:B,'ILC2412'!B300:F8739,5,false)="","Y","N")</f>
        <v>Y</v>
      </c>
      <c r="P297" s="12" t="str">
        <f>if(vlookup(B:B,'ILC2413'!B300:F9237,5,false)="","Y","N")</f>
        <v>Y</v>
      </c>
      <c r="Q297" s="12" t="str">
        <f>if(vlookup(B:B,'ILC3104'!B300:F8782,5,false)="","Y","N")</f>
        <v>Y</v>
      </c>
      <c r="R297" s="12" t="str">
        <f>if(vlookup(B:B,'ILC3310'!B132:F8721,5,false)="","Y","N")</f>
        <v>Y</v>
      </c>
      <c r="S297" s="12" t="str">
        <f>if(vlookup(B:B,'ILC3312'!B300:F8739,5,false)="","Y","N")</f>
        <v>Y</v>
      </c>
      <c r="T297" s="12" t="str">
        <f>if(vlookup(B:B,'ILC3413'!B269:F8664,5,false)="","Y","N")</f>
        <v>Y</v>
      </c>
      <c r="U297" s="12" t="str">
        <f>if(vlookup(B:B,'ILC3415'!B297:F8689,5,false)="","Y","N")</f>
        <v>Y</v>
      </c>
      <c r="V297" s="12" t="str">
        <f>if(vlookup(B:B,'ILC4406'!B232:F8658,5,false)="","Y","N")</f>
        <v>Y</v>
      </c>
      <c r="W297" s="12" t="str">
        <f>if(vlookup(B:B,'ILC4410'!B300:F8906,5,false)="","Y","N")</f>
        <v>Y</v>
      </c>
      <c r="X297" s="12" t="str">
        <f>if(vlookup(B:B,'JBV455'!B300:F9246,5,false)="","Y","N")</f>
        <v>Y</v>
      </c>
      <c r="Y297" s="12" t="str">
        <f>if(vlookup(B:B,'JBV462'!B300:F8739,5,false)="","Y","N")</f>
        <v>Y</v>
      </c>
      <c r="Z297" s="12" t="str">
        <f>if(vlookup(B:B,'JBV464'!B300:F8739,5,false)="","Y","N")</f>
        <v>Y</v>
      </c>
      <c r="AA297" s="12" t="str">
        <f>if(vlookup(B:B,'VDI208'!B232:F8739,5,false)="","Y","N")</f>
        <v>Y</v>
      </c>
      <c r="AB297" s="76" t="str">
        <f>if(vlookup(B:B,'STO2206'!B232:F8739,5,false)="","Y","N")</f>
        <v>Y</v>
      </c>
    </row>
    <row r="298">
      <c r="A298" s="67" t="str">
        <f t="shared" si="2"/>
        <v>Sat</v>
      </c>
      <c r="B298" s="69">
        <v>43743.0</v>
      </c>
      <c r="C298" s="12" t="str">
        <f>if(vlookup(B:B,'ILC1110'!$B163:F8740,5,false)="","Y","N")</f>
        <v>Y</v>
      </c>
      <c r="D298" s="12" t="str">
        <f>if(vlookup(B:B,'ILC1111'!$B163:F8747,5,false)="","Y","N")</f>
        <v>Y</v>
      </c>
      <c r="E298" s="12" t="str">
        <f>if(vlookup(B:B,'ILC1112'!$B163:F8740,5,false)="","Y","N")</f>
        <v>Y</v>
      </c>
      <c r="F298" s="12" t="str">
        <f>if(vlookup(B:B,'ILC1211'!B301:F8740,5,false)="","Y","N")</f>
        <v>Y</v>
      </c>
      <c r="G298" s="12" t="str">
        <f>if(vlookup(B:B,'ILC1213'!$B228:G8740,5,false)="","Y","N")</f>
        <v>Y</v>
      </c>
      <c r="H298" s="12" t="str">
        <f>if(vlookup(B:B,'ILC1314'!$B227:G1040,5,false)="","Y","N")</f>
        <v>Y</v>
      </c>
      <c r="I298" s="12" t="str">
        <f>if(vlookup(B:B,'ILC1404'!B301:F8463,5,false)="","Y","N")</f>
        <v>Y</v>
      </c>
      <c r="J298" s="12" t="str">
        <f>if(vlookup(B:B,'ILC2203'!B264:F8463,5,false)="","Y","N")</f>
        <v>Y</v>
      </c>
      <c r="K298" s="12" t="str">
        <f>if(vlookup(B:B,'ILC2206'!B249:H370,5,false)="","Y","N")</f>
        <v>Y</v>
      </c>
      <c r="L298" s="12" t="str">
        <f>if(vlookup(B:B,'ILC2303'!B301:F8740,5,false)="","Y","N")</f>
        <v>N</v>
      </c>
      <c r="M298" s="12" t="str">
        <f>if(vlookup(B:B,'ILC2307'!B301:F9256,5,false)="","Y","N")</f>
        <v>Y</v>
      </c>
      <c r="N298" s="12" t="str">
        <f>if(vlookup(B:B,'ILC2313'!B301:F8895,5,false)="","Y","N")</f>
        <v>Y</v>
      </c>
      <c r="O298" s="12" t="str">
        <f>if(vlookup(B:B,'ILC2412'!B301:F8740,5,false)="","Y","N")</f>
        <v>Y</v>
      </c>
      <c r="P298" s="12" t="str">
        <f>if(vlookup(B:B,'ILC2413'!B301:F9238,5,false)="","Y","N")</f>
        <v>Y</v>
      </c>
      <c r="Q298" s="12" t="str">
        <f>if(vlookup(B:B,'ILC3104'!B301:F8783,5,false)="","Y","N")</f>
        <v>Y</v>
      </c>
      <c r="R298" s="12" t="str">
        <f>if(vlookup(B:B,'ILC3310'!B133:F8722,5,false)="","Y","N")</f>
        <v>Y</v>
      </c>
      <c r="S298" s="12" t="str">
        <f>if(vlookup(B:B,'ILC3312'!B301:F8740,5,false)="","Y","N")</f>
        <v>Y</v>
      </c>
      <c r="T298" s="12" t="str">
        <f>if(vlookup(B:B,'ILC3413'!B270:F8665,5,false)="","Y","N")</f>
        <v>Y</v>
      </c>
      <c r="U298" s="12" t="str">
        <f>if(vlookup(B:B,'ILC3415'!B298:F8690,5,false)="","Y","N")</f>
        <v>Y</v>
      </c>
      <c r="V298" s="12" t="str">
        <f>if(vlookup(B:B,'ILC4406'!B233:F8659,5,false)="","Y","N")</f>
        <v>Y</v>
      </c>
      <c r="W298" s="12" t="str">
        <f>if(vlookup(B:B,'ILC4410'!B301:F8907,5,false)="","Y","N")</f>
        <v>Y</v>
      </c>
      <c r="X298" s="12" t="str">
        <f>if(vlookup(B:B,'JBV455'!B301:F9247,5,false)="","Y","N")</f>
        <v>Y</v>
      </c>
      <c r="Y298" s="12" t="str">
        <f>if(vlookup(B:B,'JBV462'!B301:F8740,5,false)="","Y","N")</f>
        <v>Y</v>
      </c>
      <c r="Z298" s="12" t="str">
        <f>if(vlookup(B:B,'JBV464'!B301:F8740,5,false)="","Y","N")</f>
        <v>Y</v>
      </c>
      <c r="AA298" s="12" t="str">
        <f>if(vlookup(B:B,'VDI208'!B233:F8740,5,false)="","Y","N")</f>
        <v>Y</v>
      </c>
      <c r="AB298" s="76" t="str">
        <f>if(vlookup(B:B,'STO2206'!B233:F8740,5,false)="","Y","N")</f>
        <v>Y</v>
      </c>
    </row>
    <row r="299">
      <c r="A299" s="67" t="str">
        <f t="shared" si="2"/>
        <v>Sun</v>
      </c>
      <c r="B299" s="69">
        <v>43744.0</v>
      </c>
      <c r="C299" s="12" t="str">
        <f>if(vlookup(B:B,'ILC1110'!$B164:F8741,5,false)="","Y","N")</f>
        <v>Y</v>
      </c>
      <c r="D299" s="12" t="str">
        <f>if(vlookup(B:B,'ILC1111'!$B164:F8748,5,false)="","Y","N")</f>
        <v>Y</v>
      </c>
      <c r="E299" s="12" t="str">
        <f>if(vlookup(B:B,'ILC1112'!$B164:F8741,5,false)="","Y","N")</f>
        <v>Y</v>
      </c>
      <c r="F299" s="12" t="str">
        <f>if(vlookup(B:B,'ILC1211'!B302:F8741,5,false)="","Y","N")</f>
        <v>Y</v>
      </c>
      <c r="G299" s="12" t="str">
        <f>if(vlookup(B:B,'ILC1213'!$B229:G8741,5,false)="","Y","N")</f>
        <v>Y</v>
      </c>
      <c r="H299" s="12" t="str">
        <f>if(vlookup(B:B,'ILC1314'!$B228:G1041,5,false)="","Y","N")</f>
        <v>Y</v>
      </c>
      <c r="I299" s="12" t="str">
        <f>if(vlookup(B:B,'ILC1404'!B302:F8464,5,false)="","Y","N")</f>
        <v>Y</v>
      </c>
      <c r="J299" s="12" t="str">
        <f>if(vlookup(B:B,'ILC2203'!B265:F8464,5,false)="","Y","N")</f>
        <v>Y</v>
      </c>
      <c r="K299" s="12" t="str">
        <f>if(vlookup(B:B,'ILC2206'!B250:H370,5,false)="","Y","N")</f>
        <v>N</v>
      </c>
      <c r="L299" s="12" t="str">
        <f>if(vlookup(B:B,'ILC2303'!B302:F8741,5,false)="","Y","N")</f>
        <v>N</v>
      </c>
      <c r="M299" s="12" t="str">
        <f>if(vlookup(B:B,'ILC2307'!B302:F9257,5,false)="","Y","N")</f>
        <v>Y</v>
      </c>
      <c r="N299" s="12" t="str">
        <f>if(vlookup(B:B,'ILC2313'!B302:F8896,5,false)="","Y","N")</f>
        <v>Y</v>
      </c>
      <c r="O299" s="12" t="str">
        <f>if(vlookup(B:B,'ILC2412'!B302:F8741,5,false)="","Y","N")</f>
        <v>Y</v>
      </c>
      <c r="P299" s="12" t="str">
        <f>if(vlookup(B:B,'ILC2413'!B302:F9239,5,false)="","Y","N")</f>
        <v>Y</v>
      </c>
      <c r="Q299" s="12" t="str">
        <f>if(vlookup(B:B,'ILC3104'!B302:F8784,5,false)="","Y","N")</f>
        <v>Y</v>
      </c>
      <c r="R299" s="12" t="str">
        <f>if(vlookup(B:B,'ILC3310'!B134:F8723,5,false)="","Y","N")</f>
        <v>Y</v>
      </c>
      <c r="S299" s="12" t="str">
        <f>if(vlookup(B:B,'ILC3312'!B302:F8741,5,false)="","Y","N")</f>
        <v>Y</v>
      </c>
      <c r="T299" s="12" t="str">
        <f>if(vlookup(B:B,'ILC3413'!B271:F8666,5,false)="","Y","N")</f>
        <v>Y</v>
      </c>
      <c r="U299" s="12" t="str">
        <f>if(vlookup(B:B,'ILC3415'!B299:F8691,5,false)="","Y","N")</f>
        <v>Y</v>
      </c>
      <c r="V299" s="12" t="str">
        <f>if(vlookup(B:B,'ILC4406'!B234:F8660,5,false)="","Y","N")</f>
        <v>Y</v>
      </c>
      <c r="W299" s="12" t="str">
        <f>if(vlookup(B:B,'ILC4410'!B302:F8908,5,false)="","Y","N")</f>
        <v>Y</v>
      </c>
      <c r="X299" s="12" t="str">
        <f>if(vlookup(B:B,'JBV455'!B302:F9248,5,false)="","Y","N")</f>
        <v>Y</v>
      </c>
      <c r="Y299" s="12" t="str">
        <f>if(vlookup(B:B,'JBV462'!B302:F8741,5,false)="","Y","N")</f>
        <v>Y</v>
      </c>
      <c r="Z299" s="12" t="str">
        <f>if(vlookup(B:B,'JBV464'!B302:F8741,5,false)="","Y","N")</f>
        <v>Y</v>
      </c>
      <c r="AA299" s="12" t="str">
        <f>if(vlookup(B:B,'VDI208'!B234:F8741,5,false)="","Y","N")</f>
        <v>Y</v>
      </c>
      <c r="AB299" s="76" t="str">
        <f>if(vlookup(B:B,'STO2206'!B234:F8741,5,false)="","Y","N")</f>
        <v>Y</v>
      </c>
    </row>
    <row r="300">
      <c r="A300" s="67" t="str">
        <f t="shared" si="2"/>
        <v>Mon</v>
      </c>
      <c r="B300" s="69">
        <v>43745.0</v>
      </c>
      <c r="C300" s="12" t="str">
        <f>if(vlookup(B:B,'ILC1110'!$B165:F8742,5,false)="","Y","N")</f>
        <v>Y</v>
      </c>
      <c r="D300" s="12" t="str">
        <f>if(vlookup(B:B,'ILC1111'!$B165:F8749,5,false)="","Y","N")</f>
        <v>Y</v>
      </c>
      <c r="E300" s="12" t="str">
        <f>if(vlookup(B:B,'ILC1112'!$B165:F8742,5,false)="","Y","N")</f>
        <v>Y</v>
      </c>
      <c r="F300" s="12" t="str">
        <f>if(vlookup(B:B,'ILC1211'!B303:F8742,5,false)="","Y","N")</f>
        <v>Y</v>
      </c>
      <c r="G300" s="12" t="str">
        <f>if(vlookup(B:B,'ILC1213'!$B230:G8742,5,false)="","Y","N")</f>
        <v>Y</v>
      </c>
      <c r="H300" s="12" t="str">
        <f>if(vlookup(B:B,'ILC1314'!$B229:G1042,5,false)="","Y","N")</f>
        <v>Y</v>
      </c>
      <c r="I300" s="12" t="str">
        <f>if(vlookup(B:B,'ILC1404'!B303:F8465,5,false)="","Y","N")</f>
        <v>Y</v>
      </c>
      <c r="J300" s="12" t="str">
        <f>if(vlookup(B:B,'ILC2203'!B266:F8465,5,false)="","Y","N")</f>
        <v>Y</v>
      </c>
      <c r="K300" s="12" t="str">
        <f>if(vlookup(B:B,'ILC2206'!B251:H370,5,false)="","Y","N")</f>
        <v>N</v>
      </c>
      <c r="L300" s="12" t="str">
        <f>if(vlookup(B:B,'ILC2303'!B303:F8742,5,false)="","Y","N")</f>
        <v>N</v>
      </c>
      <c r="M300" s="12" t="str">
        <f>if(vlookup(B:B,'ILC2307'!B303:F9258,5,false)="","Y","N")</f>
        <v>Y</v>
      </c>
      <c r="N300" s="12" t="str">
        <f>if(vlookup(B:B,'ILC2313'!B303:F8897,5,false)="","Y","N")</f>
        <v>Y</v>
      </c>
      <c r="O300" s="12" t="str">
        <f>if(vlookup(B:B,'ILC2412'!B303:F8742,5,false)="","Y","N")</f>
        <v>Y</v>
      </c>
      <c r="P300" s="12" t="str">
        <f>if(vlookup(B:B,'ILC2413'!B303:F9240,5,false)="","Y","N")</f>
        <v>Y</v>
      </c>
      <c r="Q300" s="12" t="str">
        <f>if(vlookup(B:B,'ILC3104'!B303:F8785,5,false)="","Y","N")</f>
        <v>Y</v>
      </c>
      <c r="R300" s="12" t="str">
        <f>if(vlookup(B:B,'ILC3310'!B135:F8724,5,false)="","Y","N")</f>
        <v>Y</v>
      </c>
      <c r="S300" s="12" t="str">
        <f>if(vlookup(B:B,'ILC3312'!B303:F8742,5,false)="","Y","N")</f>
        <v>Y</v>
      </c>
      <c r="T300" s="12" t="str">
        <f>if(vlookup(B:B,'ILC3413'!B272:F8667,5,false)="","Y","N")</f>
        <v>Y</v>
      </c>
      <c r="U300" s="12" t="str">
        <f>if(vlookup(B:B,'ILC3415'!B300:F8692,5,false)="","Y","N")</f>
        <v>Y</v>
      </c>
      <c r="V300" s="12" t="str">
        <f>if(vlookup(B:B,'ILC4406'!B235:F8661,5,false)="","Y","N")</f>
        <v>Y</v>
      </c>
      <c r="W300" s="12" t="str">
        <f>if(vlookup(B:B,'ILC4410'!B303:F8909,5,false)="","Y","N")</f>
        <v>Y</v>
      </c>
      <c r="X300" s="12" t="str">
        <f>if(vlookup(B:B,'JBV455'!B303:F9249,5,false)="","Y","N")</f>
        <v>Y</v>
      </c>
      <c r="Y300" s="12" t="str">
        <f>if(vlookup(B:B,'JBV462'!B303:F8742,5,false)="","Y","N")</f>
        <v>Y</v>
      </c>
      <c r="Z300" s="12" t="str">
        <f>if(vlookup(B:B,'JBV464'!B303:F8742,5,false)="","Y","N")</f>
        <v>Y</v>
      </c>
      <c r="AA300" s="12" t="str">
        <f>if(vlookup(B:B,'VDI208'!B235:F8742,5,false)="","Y","N")</f>
        <v>Y</v>
      </c>
      <c r="AB300" s="76" t="str">
        <f>if(vlookup(B:B,'STO2206'!B235:F8742,5,false)="","Y","N")</f>
        <v>Y</v>
      </c>
    </row>
    <row r="301">
      <c r="A301" s="67" t="str">
        <f t="shared" si="2"/>
        <v>Tue</v>
      </c>
      <c r="B301" s="69">
        <v>43746.0</v>
      </c>
      <c r="C301" s="12" t="str">
        <f>if(vlookup(B:B,'ILC1110'!$B166:F8743,5,false)="","Y","N")</f>
        <v>Y</v>
      </c>
      <c r="D301" s="12" t="str">
        <f>if(vlookup(B:B,'ILC1111'!$B166:F8750,5,false)="","Y","N")</f>
        <v>Y</v>
      </c>
      <c r="E301" s="12" t="str">
        <f>if(vlookup(B:B,'ILC1112'!$B166:F8743,5,false)="","Y","N")</f>
        <v>Y</v>
      </c>
      <c r="F301" s="12" t="str">
        <f>if(vlookup(B:B,'ILC1211'!B304:F8743,5,false)="","Y","N")</f>
        <v>Y</v>
      </c>
      <c r="G301" s="12" t="str">
        <f>if(vlookup(B:B,'ILC1213'!$B231:G8743,5,false)="","Y","N")</f>
        <v>Y</v>
      </c>
      <c r="H301" s="12" t="str">
        <f>if(vlookup(B:B,'ILC1314'!$B230:G1043,5,false)="","Y","N")</f>
        <v>Y</v>
      </c>
      <c r="I301" s="12" t="str">
        <f>if(vlookup(B:B,'ILC1404'!B304:F8466,5,false)="","Y","N")</f>
        <v>Y</v>
      </c>
      <c r="J301" s="12" t="str">
        <f>if(vlookup(B:B,'ILC2203'!B267:F8466,5,false)="","Y","N")</f>
        <v>Y</v>
      </c>
      <c r="K301" s="12" t="str">
        <f>if(vlookup(B:B,'ILC2206'!B252:H370,5,false)="","Y","N")</f>
        <v>N</v>
      </c>
      <c r="L301" s="12" t="str">
        <f>if(vlookup(B:B,'ILC2303'!B304:F8743,5,false)="","Y","N")</f>
        <v>N</v>
      </c>
      <c r="M301" s="12" t="str">
        <f>if(vlookup(B:B,'ILC2307'!B304:F9259,5,false)="","Y","N")</f>
        <v>Y</v>
      </c>
      <c r="N301" s="12" t="str">
        <f>if(vlookup(B:B,'ILC2313'!B304:F8898,5,false)="","Y","N")</f>
        <v>Y</v>
      </c>
      <c r="O301" s="12" t="str">
        <f>if(vlookup(B:B,'ILC2412'!B304:F8743,5,false)="","Y","N")</f>
        <v>Y</v>
      </c>
      <c r="P301" s="12" t="str">
        <f>if(vlookup(B:B,'ILC2413'!B304:F9241,5,false)="","Y","N")</f>
        <v>Y</v>
      </c>
      <c r="Q301" s="12" t="str">
        <f>if(vlookup(B:B,'ILC3104'!B304:F8786,5,false)="","Y","N")</f>
        <v>Y</v>
      </c>
      <c r="R301" s="12" t="str">
        <f>if(vlookup(B:B,'ILC3310'!B136:F8725,5,false)="","Y","N")</f>
        <v>Y</v>
      </c>
      <c r="S301" s="12" t="str">
        <f>if(vlookup(B:B,'ILC3312'!B304:F8743,5,false)="","Y","N")</f>
        <v>Y</v>
      </c>
      <c r="T301" s="12" t="str">
        <f>if(vlookup(B:B,'ILC3413'!B273:F8668,5,false)="","Y","N")</f>
        <v>Y</v>
      </c>
      <c r="U301" s="12" t="str">
        <f>if(vlookup(B:B,'ILC3415'!B301:F8693,5,false)="","Y","N")</f>
        <v>Y</v>
      </c>
      <c r="V301" s="12" t="str">
        <f>if(vlookup(B:B,'ILC4406'!B236:F8662,5,false)="","Y","N")</f>
        <v>Y</v>
      </c>
      <c r="W301" s="12" t="str">
        <f>if(vlookup(B:B,'ILC4410'!B304:F8910,5,false)="","Y","N")</f>
        <v>Y</v>
      </c>
      <c r="X301" s="12" t="str">
        <f>if(vlookup(B:B,'JBV455'!B304:F9250,5,false)="","Y","N")</f>
        <v>Y</v>
      </c>
      <c r="Y301" s="12" t="str">
        <f>if(vlookup(B:B,'JBV462'!B304:F8743,5,false)="","Y","N")</f>
        <v>Y</v>
      </c>
      <c r="Z301" s="12" t="str">
        <f>if(vlookup(B:B,'JBV464'!B304:F8743,5,false)="","Y","N")</f>
        <v>Y</v>
      </c>
      <c r="AA301" s="12" t="str">
        <f>if(vlookup(B:B,'VDI208'!B236:F8743,5,false)="","Y","N")</f>
        <v>Y</v>
      </c>
      <c r="AB301" s="76" t="str">
        <f>if(vlookup(B:B,'STO2206'!B236:F8743,5,false)="","Y","N")</f>
        <v>Y</v>
      </c>
    </row>
    <row r="302">
      <c r="A302" s="67" t="str">
        <f t="shared" si="2"/>
        <v>Wed</v>
      </c>
      <c r="B302" s="69">
        <v>43747.0</v>
      </c>
      <c r="C302" s="12" t="str">
        <f>if(vlookup(B:B,'ILC1110'!$B167:F8744,5,false)="","Y","N")</f>
        <v>Y</v>
      </c>
      <c r="D302" s="12" t="str">
        <f>if(vlookup(B:B,'ILC1111'!$B167:F8751,5,false)="","Y","N")</f>
        <v>Y</v>
      </c>
      <c r="E302" s="12" t="str">
        <f>if(vlookup(B:B,'ILC1112'!$B167:F8744,5,false)="","Y","N")</f>
        <v>Y</v>
      </c>
      <c r="F302" s="12" t="str">
        <f>if(vlookup(B:B,'ILC1211'!B305:F8744,5,false)="","Y","N")</f>
        <v>Y</v>
      </c>
      <c r="G302" s="12" t="str">
        <f>if(vlookup(B:B,'ILC1213'!$B232:G8744,5,false)="","Y","N")</f>
        <v>Y</v>
      </c>
      <c r="H302" s="12" t="str">
        <f>if(vlookup(B:B,'ILC1314'!$B231:G1044,5,false)="","Y","N")</f>
        <v>Y</v>
      </c>
      <c r="I302" s="12" t="str">
        <f>if(vlookup(B:B,'ILC1404'!B305:F8467,5,false)="","Y","N")</f>
        <v>Y</v>
      </c>
      <c r="J302" s="12" t="str">
        <f>if(vlookup(B:B,'ILC2203'!B268:F8467,5,false)="","Y","N")</f>
        <v>Y</v>
      </c>
      <c r="K302" s="12" t="str">
        <f>if(vlookup(B:B,'ILC2206'!B253:H370,5,false)="","Y","N")</f>
        <v>Y</v>
      </c>
      <c r="L302" s="12" t="str">
        <f>if(vlookup(B:B,'ILC2303'!B305:F8744,5,false)="","Y","N")</f>
        <v>N</v>
      </c>
      <c r="M302" s="12" t="str">
        <f>if(vlookup(B:B,'ILC2307'!B305:F9260,5,false)="","Y","N")</f>
        <v>Y</v>
      </c>
      <c r="N302" s="12" t="str">
        <f>if(vlookup(B:B,'ILC2313'!B305:F8899,5,false)="","Y","N")</f>
        <v>Y</v>
      </c>
      <c r="O302" s="12" t="str">
        <f>if(vlookup(B:B,'ILC2412'!B305:F8744,5,false)="","Y","N")</f>
        <v>Y</v>
      </c>
      <c r="P302" s="12" t="str">
        <f>if(vlookup(B:B,'ILC2413'!B305:F9242,5,false)="","Y","N")</f>
        <v>Y</v>
      </c>
      <c r="Q302" s="12" t="str">
        <f>if(vlookup(B:B,'ILC3104'!B305:F8787,5,false)="","Y","N")</f>
        <v>Y</v>
      </c>
      <c r="R302" s="12" t="str">
        <f>if(vlookup(B:B,'ILC3310'!B137:F8726,5,false)="","Y","N")</f>
        <v>Y</v>
      </c>
      <c r="S302" s="12" t="str">
        <f>if(vlookup(B:B,'ILC3312'!B305:F8744,5,false)="","Y","N")</f>
        <v>Y</v>
      </c>
      <c r="T302" s="12" t="str">
        <f>if(vlookup(B:B,'ILC3413'!B274:F8669,5,false)="","Y","N")</f>
        <v>Y</v>
      </c>
      <c r="U302" s="12" t="str">
        <f>if(vlookup(B:B,'ILC3415'!B302:F8694,5,false)="","Y","N")</f>
        <v>Y</v>
      </c>
      <c r="V302" s="12" t="str">
        <f>if(vlookup(B:B,'ILC4406'!B237:F8663,5,false)="","Y","N")</f>
        <v>Y</v>
      </c>
      <c r="W302" s="12" t="str">
        <f>if(vlookup(B:B,'ILC4410'!B305:F8911,5,false)="","Y","N")</f>
        <v>Y</v>
      </c>
      <c r="X302" s="12" t="str">
        <f>if(vlookup(B:B,'JBV455'!B305:F9251,5,false)="","Y","N")</f>
        <v>Y</v>
      </c>
      <c r="Y302" s="12" t="str">
        <f>if(vlookup(B:B,'JBV462'!B305:F8744,5,false)="","Y","N")</f>
        <v>Y</v>
      </c>
      <c r="Z302" s="12" t="str">
        <f>if(vlookup(B:B,'JBV464'!B305:F8744,5,false)="","Y","N")</f>
        <v>Y</v>
      </c>
      <c r="AA302" s="12" t="str">
        <f>if(vlookup(B:B,'VDI208'!B237:F8744,5,false)="","Y","N")</f>
        <v>Y</v>
      </c>
      <c r="AB302" s="76" t="str">
        <f>if(vlookup(B:B,'STO2206'!B237:F8744,5,false)="","Y","N")</f>
        <v>Y</v>
      </c>
    </row>
    <row r="303">
      <c r="A303" s="67" t="str">
        <f t="shared" si="2"/>
        <v>Thu</v>
      </c>
      <c r="B303" s="69">
        <v>43748.0</v>
      </c>
      <c r="C303" s="12" t="str">
        <f>if(vlookup(B:B,'ILC1110'!$B168:F8745,5,false)="","Y","N")</f>
        <v>Y</v>
      </c>
      <c r="D303" s="12" t="str">
        <f>if(vlookup(B:B,'ILC1111'!$B168:F8752,5,false)="","Y","N")</f>
        <v>Y</v>
      </c>
      <c r="E303" s="12" t="str">
        <f>if(vlookup(B:B,'ILC1112'!$B168:F8745,5,false)="","Y","N")</f>
        <v>Y</v>
      </c>
      <c r="F303" s="12" t="str">
        <f>if(vlookup(B:B,'ILC1211'!B306:F8745,5,false)="","Y","N")</f>
        <v>Y</v>
      </c>
      <c r="G303" s="12" t="str">
        <f>if(vlookup(B:B,'ILC1213'!$B233:G8745,5,false)="","Y","N")</f>
        <v>Y</v>
      </c>
      <c r="H303" s="12" t="str">
        <f>if(vlookup(B:B,'ILC1314'!$B232:G1045,5,false)="","Y","N")</f>
        <v>Y</v>
      </c>
      <c r="I303" s="12" t="str">
        <f>if(vlookup(B:B,'ILC1404'!B306:F8468,5,false)="","Y","N")</f>
        <v>Y</v>
      </c>
      <c r="J303" s="12" t="str">
        <f>if(vlookup(B:B,'ILC2203'!B269:F8468,5,false)="","Y","N")</f>
        <v>Y</v>
      </c>
      <c r="K303" s="12" t="str">
        <f>if(vlookup(B:B,'ILC2206'!B254:H370,5,false)="","Y","N")</f>
        <v>Y</v>
      </c>
      <c r="L303" s="12" t="str">
        <f>if(vlookup(B:B,'ILC2303'!B306:F8745,5,false)="","Y","N")</f>
        <v>N</v>
      </c>
      <c r="M303" s="12" t="str">
        <f>if(vlookup(B:B,'ILC2307'!B306:F9261,5,false)="","Y","N")</f>
        <v>Y</v>
      </c>
      <c r="N303" s="12" t="str">
        <f>if(vlookup(B:B,'ILC2313'!B306:F8900,5,false)="","Y","N")</f>
        <v>Y</v>
      </c>
      <c r="O303" s="12" t="str">
        <f>if(vlookup(B:B,'ILC2412'!B306:F8745,5,false)="","Y","N")</f>
        <v>Y</v>
      </c>
      <c r="P303" s="12" t="str">
        <f>if(vlookup(B:B,'ILC2413'!B306:F9243,5,false)="","Y","N")</f>
        <v>Y</v>
      </c>
      <c r="Q303" s="12" t="str">
        <f>if(vlookup(B:B,'ILC3104'!B306:F8788,5,false)="","Y","N")</f>
        <v>Y</v>
      </c>
      <c r="R303" s="12" t="str">
        <f>if(vlookup(B:B,'ILC3310'!B138:F8727,5,false)="","Y","N")</f>
        <v>Y</v>
      </c>
      <c r="S303" s="12" t="str">
        <f>if(vlookup(B:B,'ILC3312'!B306:F8745,5,false)="","Y","N")</f>
        <v>Y</v>
      </c>
      <c r="T303" s="12" t="str">
        <f>if(vlookup(B:B,'ILC3413'!B275:F8670,5,false)="","Y","N")</f>
        <v>Y</v>
      </c>
      <c r="U303" s="12" t="str">
        <f>if(vlookup(B:B,'ILC3415'!B303:F8695,5,false)="","Y","N")</f>
        <v>Y</v>
      </c>
      <c r="V303" s="12" t="str">
        <f>if(vlookup(B:B,'ILC4406'!B238:F8664,5,false)="","Y","N")</f>
        <v>Y</v>
      </c>
      <c r="W303" s="12" t="str">
        <f>if(vlookup(B:B,'ILC4410'!B306:F8912,5,false)="","Y","N")</f>
        <v>Y</v>
      </c>
      <c r="X303" s="12" t="str">
        <f>if(vlookup(B:B,'JBV455'!B306:F9252,5,false)="","Y","N")</f>
        <v>Y</v>
      </c>
      <c r="Y303" s="12" t="str">
        <f>if(vlookup(B:B,'JBV462'!B306:F8745,5,false)="","Y","N")</f>
        <v>Y</v>
      </c>
      <c r="Z303" s="12" t="str">
        <f>if(vlookup(B:B,'JBV464'!B306:F8745,5,false)="","Y","N")</f>
        <v>Y</v>
      </c>
      <c r="AA303" s="12" t="str">
        <f>if(vlookup(B:B,'VDI208'!B238:F8745,5,false)="","Y","N")</f>
        <v>Y</v>
      </c>
      <c r="AB303" s="76" t="str">
        <f>if(vlookup(B:B,'STO2206'!B238:F8745,5,false)="","Y","N")</f>
        <v>Y</v>
      </c>
    </row>
    <row r="304">
      <c r="A304" s="67" t="str">
        <f t="shared" si="2"/>
        <v>Fri</v>
      </c>
      <c r="B304" s="69">
        <v>43749.0</v>
      </c>
      <c r="C304" s="12" t="str">
        <f>if(vlookup(B:B,'ILC1110'!$B169:F8746,5,false)="","Y","N")</f>
        <v>Y</v>
      </c>
      <c r="D304" s="12" t="str">
        <f>if(vlookup(B:B,'ILC1111'!$B169:F8753,5,false)="","Y","N")</f>
        <v>Y</v>
      </c>
      <c r="E304" s="12" t="str">
        <f>if(vlookup(B:B,'ILC1112'!$B169:F8746,5,false)="","Y","N")</f>
        <v>Y</v>
      </c>
      <c r="F304" s="12" t="str">
        <f>if(vlookup(B:B,'ILC1211'!B307:F8746,5,false)="","Y","N")</f>
        <v>Y</v>
      </c>
      <c r="G304" s="12" t="str">
        <f>if(vlookup(B:B,'ILC1213'!$B234:G8746,5,false)="","Y","N")</f>
        <v>Y</v>
      </c>
      <c r="H304" s="12" t="str">
        <f>if(vlookup(B:B,'ILC1314'!$B233:G1046,5,false)="","Y","N")</f>
        <v>Y</v>
      </c>
      <c r="I304" s="12" t="str">
        <f>if(vlookup(B:B,'ILC1404'!B307:F8469,5,false)="","Y","N")</f>
        <v>Y</v>
      </c>
      <c r="J304" s="12" t="str">
        <f>if(vlookup(B:B,'ILC2203'!B270:F8469,5,false)="","Y","N")</f>
        <v>Y</v>
      </c>
      <c r="K304" s="12" t="str">
        <f>if(vlookup(B:B,'ILC2206'!B255:H370,5,false)="","Y","N")</f>
        <v>Y</v>
      </c>
      <c r="L304" s="12" t="str">
        <f>if(vlookup(B:B,'ILC2303'!B307:F8746,5,false)="","Y","N")</f>
        <v>N</v>
      </c>
      <c r="M304" s="12" t="str">
        <f>if(vlookup(B:B,'ILC2307'!B307:F9262,5,false)="","Y","N")</f>
        <v>Y</v>
      </c>
      <c r="N304" s="12" t="str">
        <f>if(vlookup(B:B,'ILC2313'!B307:F8901,5,false)="","Y","N")</f>
        <v>Y</v>
      </c>
      <c r="O304" s="12" t="str">
        <f>if(vlookup(B:B,'ILC2412'!B307:F8746,5,false)="","Y","N")</f>
        <v>Y</v>
      </c>
      <c r="P304" s="12" t="str">
        <f>if(vlookup(B:B,'ILC2413'!B307:F9244,5,false)="","Y","N")</f>
        <v>Y</v>
      </c>
      <c r="Q304" s="12" t="str">
        <f>if(vlookup(B:B,'ILC3104'!B307:F8789,5,false)="","Y","N")</f>
        <v>Y</v>
      </c>
      <c r="R304" s="12" t="str">
        <f>if(vlookup(B:B,'ILC3310'!B139:F8728,5,false)="","Y","N")</f>
        <v>Y</v>
      </c>
      <c r="S304" s="12" t="str">
        <f>if(vlookup(B:B,'ILC3312'!B307:F8746,5,false)="","Y","N")</f>
        <v>Y</v>
      </c>
      <c r="T304" s="12" t="str">
        <f>if(vlookup(B:B,'ILC3413'!B276:F8671,5,false)="","Y","N")</f>
        <v>Y</v>
      </c>
      <c r="U304" s="12" t="str">
        <f>if(vlookup(B:B,'ILC3415'!B304:F8696,5,false)="","Y","N")</f>
        <v>Y</v>
      </c>
      <c r="V304" s="12" t="str">
        <f>if(vlookup(B:B,'ILC4406'!B239:F8665,5,false)="","Y","N")</f>
        <v>Y</v>
      </c>
      <c r="W304" s="12" t="str">
        <f>if(vlookup(B:B,'ILC4410'!B307:F8913,5,false)="","Y","N")</f>
        <v>Y</v>
      </c>
      <c r="X304" s="12" t="str">
        <f>if(vlookup(B:B,'JBV455'!B307:F9253,5,false)="","Y","N")</f>
        <v>Y</v>
      </c>
      <c r="Y304" s="12" t="str">
        <f>if(vlookup(B:B,'JBV462'!B307:F8746,5,false)="","Y","N")</f>
        <v>Y</v>
      </c>
      <c r="Z304" s="12" t="str">
        <f>if(vlookup(B:B,'JBV464'!B307:F8746,5,false)="","Y","N")</f>
        <v>Y</v>
      </c>
      <c r="AA304" s="12" t="str">
        <f>if(vlookup(B:B,'VDI208'!B239:F8746,5,false)="","Y","N")</f>
        <v>Y</v>
      </c>
      <c r="AB304" s="76" t="str">
        <f>if(vlookup(B:B,'STO2206'!B239:F8746,5,false)="","Y","N")</f>
        <v>Y</v>
      </c>
    </row>
    <row r="305">
      <c r="A305" s="67" t="str">
        <f t="shared" si="2"/>
        <v>Sat</v>
      </c>
      <c r="B305" s="69">
        <v>43750.0</v>
      </c>
      <c r="C305" s="12" t="str">
        <f>if(vlookup(B:B,'ILC1110'!$B170:F8747,5,false)="","Y","N")</f>
        <v>Y</v>
      </c>
      <c r="D305" s="12" t="str">
        <f>if(vlookup(B:B,'ILC1111'!$B170:F8754,5,false)="","Y","N")</f>
        <v>Y</v>
      </c>
      <c r="E305" s="12" t="str">
        <f>if(vlookup(B:B,'ILC1112'!$B170:F8747,5,false)="","Y","N")</f>
        <v>Y</v>
      </c>
      <c r="F305" s="12" t="str">
        <f>if(vlookup(B:B,'ILC1211'!B308:F8747,5,false)="","Y","N")</f>
        <v>Y</v>
      </c>
      <c r="G305" s="12" t="str">
        <f>if(vlookup(B:B,'ILC1213'!$B235:G8747,5,false)="","Y","N")</f>
        <v>Y</v>
      </c>
      <c r="H305" s="12" t="str">
        <f>if(vlookup(B:B,'ILC1314'!$B234:G1047,5,false)="","Y","N")</f>
        <v>Y</v>
      </c>
      <c r="I305" s="12" t="str">
        <f>if(vlookup(B:B,'ILC1404'!B308:F8470,5,false)="","Y","N")</f>
        <v>Y</v>
      </c>
      <c r="J305" s="12" t="str">
        <f>if(vlookup(B:B,'ILC2203'!B271:F8470,5,false)="","Y","N")</f>
        <v>Y</v>
      </c>
      <c r="K305" s="12" t="str">
        <f>if(vlookup(B:B,'ILC2206'!B256:H370,5,false)="","Y","N")</f>
        <v>Y</v>
      </c>
      <c r="L305" s="12" t="str">
        <f>if(vlookup(B:B,'ILC2303'!B308:F8747,5,false)="","Y","N")</f>
        <v>N</v>
      </c>
      <c r="M305" s="12" t="str">
        <f>if(vlookup(B:B,'ILC2307'!B308:F9263,5,false)="","Y","N")</f>
        <v>Y</v>
      </c>
      <c r="N305" s="12" t="str">
        <f>if(vlookup(B:B,'ILC2313'!B308:F8902,5,false)="","Y","N")</f>
        <v>Y</v>
      </c>
      <c r="O305" s="12" t="str">
        <f>if(vlookup(B:B,'ILC2412'!B308:F8747,5,false)="","Y","N")</f>
        <v>Y</v>
      </c>
      <c r="P305" s="12" t="str">
        <f>if(vlookup(B:B,'ILC2413'!B308:F9245,5,false)="","Y","N")</f>
        <v>Y</v>
      </c>
      <c r="Q305" s="12" t="str">
        <f>if(vlookup(B:B,'ILC3104'!B308:F8790,5,false)="","Y","N")</f>
        <v>Y</v>
      </c>
      <c r="R305" s="12" t="str">
        <f>if(vlookup(B:B,'ILC3310'!B140:F8729,5,false)="","Y","N")</f>
        <v>Y</v>
      </c>
      <c r="S305" s="12" t="str">
        <f>if(vlookup(B:B,'ILC3312'!B308:F8747,5,false)="","Y","N")</f>
        <v>Y</v>
      </c>
      <c r="T305" s="12" t="str">
        <f>if(vlookup(B:B,'ILC3413'!B277:F8672,5,false)="","Y","N")</f>
        <v>Y</v>
      </c>
      <c r="U305" s="12" t="str">
        <f>if(vlookup(B:B,'ILC3415'!B305:F8697,5,false)="","Y","N")</f>
        <v>Y</v>
      </c>
      <c r="V305" s="12" t="str">
        <f>if(vlookup(B:B,'ILC4406'!B240:F8666,5,false)="","Y","N")</f>
        <v>Y</v>
      </c>
      <c r="W305" s="12" t="str">
        <f>if(vlookup(B:B,'ILC4410'!B308:F8914,5,false)="","Y","N")</f>
        <v>Y</v>
      </c>
      <c r="X305" s="12" t="str">
        <f>if(vlookup(B:B,'JBV455'!B308:F9254,5,false)="","Y","N")</f>
        <v>Y</v>
      </c>
      <c r="Y305" s="12" t="str">
        <f>if(vlookup(B:B,'JBV462'!B308:F8747,5,false)="","Y","N")</f>
        <v>Y</v>
      </c>
      <c r="Z305" s="12" t="str">
        <f>if(vlookup(B:B,'JBV464'!B308:F8747,5,false)="","Y","N")</f>
        <v>Y</v>
      </c>
      <c r="AA305" s="12" t="str">
        <f>if(vlookup(B:B,'VDI208'!B240:F8747,5,false)="","Y","N")</f>
        <v>Y</v>
      </c>
      <c r="AB305" s="76" t="str">
        <f>if(vlookup(B:B,'STO2206'!B240:F8747,5,false)="","Y","N")</f>
        <v>Y</v>
      </c>
    </row>
    <row r="306">
      <c r="A306" s="67" t="str">
        <f t="shared" si="2"/>
        <v>Sun</v>
      </c>
      <c r="B306" s="69">
        <v>43751.0</v>
      </c>
      <c r="C306" s="12" t="str">
        <f>if(vlookup(B:B,'ILC1110'!$B171:F8748,5,false)="","Y","N")</f>
        <v>Y</v>
      </c>
      <c r="D306" s="12" t="str">
        <f>if(vlookup(B:B,'ILC1111'!$B171:F8755,5,false)="","Y","N")</f>
        <v>Y</v>
      </c>
      <c r="E306" s="12" t="str">
        <f>if(vlookup(B:B,'ILC1112'!$B171:F8748,5,false)="","Y","N")</f>
        <v>Y</v>
      </c>
      <c r="F306" s="12" t="str">
        <f>if(vlookup(B:B,'ILC1211'!B309:F8748,5,false)="","Y","N")</f>
        <v>Y</v>
      </c>
      <c r="G306" s="12" t="str">
        <f>if(vlookup(B:B,'ILC1213'!$B236:G8748,5,false)="","Y","N")</f>
        <v>Y</v>
      </c>
      <c r="H306" s="12" t="str">
        <f>if(vlookup(B:B,'ILC1314'!$B235:G1048,5,false)="","Y","N")</f>
        <v>Y</v>
      </c>
      <c r="I306" s="12" t="str">
        <f>if(vlookup(B:B,'ILC1404'!B309:F8471,5,false)="","Y","N")</f>
        <v>Y</v>
      </c>
      <c r="J306" s="12" t="str">
        <f>if(vlookup(B:B,'ILC2203'!B272:F8471,5,false)="","Y","N")</f>
        <v>Y</v>
      </c>
      <c r="K306" s="12" t="str">
        <f>if(vlookup(B:B,'ILC2206'!B257:H370,5,false)="","Y","N")</f>
        <v>Y</v>
      </c>
      <c r="L306" s="12" t="str">
        <f>if(vlookup(B:B,'ILC2303'!B309:F8748,5,false)="","Y","N")</f>
        <v>N</v>
      </c>
      <c r="M306" s="12" t="str">
        <f>if(vlookup(B:B,'ILC2307'!B309:F9264,5,false)="","Y","N")</f>
        <v>Y</v>
      </c>
      <c r="N306" s="12" t="str">
        <f>if(vlookup(B:B,'ILC2313'!B309:F8903,5,false)="","Y","N")</f>
        <v>Y</v>
      </c>
      <c r="O306" s="12" t="str">
        <f>if(vlookup(B:B,'ILC2412'!B309:F8748,5,false)="","Y","N")</f>
        <v>Y</v>
      </c>
      <c r="P306" s="12" t="str">
        <f>if(vlookup(B:B,'ILC2413'!B309:F9246,5,false)="","Y","N")</f>
        <v>Y</v>
      </c>
      <c r="Q306" s="12" t="str">
        <f>if(vlookup(B:B,'ILC3104'!B309:F8791,5,false)="","Y","N")</f>
        <v>Y</v>
      </c>
      <c r="R306" s="12" t="str">
        <f>if(vlookup(B:B,'ILC3310'!B141:F8730,5,false)="","Y","N")</f>
        <v>Y</v>
      </c>
      <c r="S306" s="12" t="str">
        <f>if(vlookup(B:B,'ILC3312'!B309:F8748,5,false)="","Y","N")</f>
        <v>Y</v>
      </c>
      <c r="T306" s="12" t="str">
        <f>if(vlookup(B:B,'ILC3413'!B278:F8673,5,false)="","Y","N")</f>
        <v>Y</v>
      </c>
      <c r="U306" s="12" t="str">
        <f>if(vlookup(B:B,'ILC3415'!B306:F8698,5,false)="","Y","N")</f>
        <v>Y</v>
      </c>
      <c r="V306" s="12" t="str">
        <f>if(vlookup(B:B,'ILC4406'!B241:F8667,5,false)="","Y","N")</f>
        <v>Y</v>
      </c>
      <c r="W306" s="12" t="str">
        <f>if(vlookup(B:B,'ILC4410'!B309:F8915,5,false)="","Y","N")</f>
        <v>Y</v>
      </c>
      <c r="X306" s="12" t="str">
        <f>if(vlookup(B:B,'JBV455'!B309:F9255,5,false)="","Y","N")</f>
        <v>Y</v>
      </c>
      <c r="Y306" s="12" t="str">
        <f>if(vlookup(B:B,'JBV462'!B309:F8748,5,false)="","Y","N")</f>
        <v>Y</v>
      </c>
      <c r="Z306" s="12" t="str">
        <f>if(vlookup(B:B,'JBV464'!B309:F8748,5,false)="","Y","N")</f>
        <v>Y</v>
      </c>
      <c r="AA306" s="12" t="str">
        <f>if(vlookup(B:B,'VDI208'!B241:F8748,5,false)="","Y","N")</f>
        <v>Y</v>
      </c>
      <c r="AB306" s="76" t="str">
        <f>if(vlookup(B:B,'STO2206'!B241:F8748,5,false)="","Y","N")</f>
        <v>Y</v>
      </c>
    </row>
    <row r="307">
      <c r="A307" s="67" t="str">
        <f t="shared" si="2"/>
        <v>Mon</v>
      </c>
      <c r="B307" s="69">
        <v>43752.0</v>
      </c>
      <c r="C307" s="12" t="str">
        <f>if(vlookup(B:B,'ILC1110'!$B172:F8749,5,false)="","Y","N")</f>
        <v>Y</v>
      </c>
      <c r="D307" s="12" t="str">
        <f>if(vlookup(B:B,'ILC1111'!$B172:F8756,5,false)="","Y","N")</f>
        <v>Y</v>
      </c>
      <c r="E307" s="12" t="str">
        <f>if(vlookup(B:B,'ILC1112'!$B172:F8749,5,false)="","Y","N")</f>
        <v>Y</v>
      </c>
      <c r="F307" s="12" t="str">
        <f>if(vlookup(B:B,'ILC1211'!B310:F8749,5,false)="","Y","N")</f>
        <v>Y</v>
      </c>
      <c r="G307" s="12" t="str">
        <f>if(vlookup(B:B,'ILC1213'!$B237:G8749,5,false)="","Y","N")</f>
        <v>Y</v>
      </c>
      <c r="H307" s="12" t="str">
        <f>if(vlookup(B:B,'ILC1314'!$B236:G1049,5,false)="","Y","N")</f>
        <v>Y</v>
      </c>
      <c r="I307" s="12" t="str">
        <f>if(vlookup(B:B,'ILC1404'!B310:F8472,5,false)="","Y","N")</f>
        <v>Y</v>
      </c>
      <c r="J307" s="12" t="str">
        <f>if(vlookup(B:B,'ILC2203'!B273:F8472,5,false)="","Y","N")</f>
        <v>Y</v>
      </c>
      <c r="K307" s="12" t="str">
        <f>if(vlookup(B:B,'ILC2206'!B258:H370,5,false)="","Y","N")</f>
        <v>Y</v>
      </c>
      <c r="L307" s="12" t="str">
        <f>if(vlookup(B:B,'ILC2303'!B310:F8749,5,false)="","Y","N")</f>
        <v>N</v>
      </c>
      <c r="M307" s="12" t="str">
        <f>if(vlookup(B:B,'ILC2307'!B310:F9265,5,false)="","Y","N")</f>
        <v>Y</v>
      </c>
      <c r="N307" s="12" t="str">
        <f>if(vlookup(B:B,'ILC2313'!B310:F8904,5,false)="","Y","N")</f>
        <v>Y</v>
      </c>
      <c r="O307" s="12" t="str">
        <f>if(vlookup(B:B,'ILC2412'!B310:F8749,5,false)="","Y","N")</f>
        <v>Y</v>
      </c>
      <c r="P307" s="12" t="str">
        <f>if(vlookup(B:B,'ILC2413'!B310:F9247,5,false)="","Y","N")</f>
        <v>Y</v>
      </c>
      <c r="Q307" s="12" t="str">
        <f>if(vlookup(B:B,'ILC3104'!B310:F8792,5,false)="","Y","N")</f>
        <v>Y</v>
      </c>
      <c r="R307" s="12" t="str">
        <f>if(vlookup(B:B,'ILC3310'!B142:F8731,5,false)="","Y","N")</f>
        <v>Y</v>
      </c>
      <c r="S307" s="12" t="str">
        <f>if(vlookup(B:B,'ILC3312'!B310:F8749,5,false)="","Y","N")</f>
        <v>Y</v>
      </c>
      <c r="T307" s="12" t="str">
        <f>if(vlookup(B:B,'ILC3413'!B279:F8674,5,false)="","Y","N")</f>
        <v>Y</v>
      </c>
      <c r="U307" s="12" t="str">
        <f>if(vlookup(B:B,'ILC3415'!B307:F8699,5,false)="","Y","N")</f>
        <v>Y</v>
      </c>
      <c r="V307" s="12" t="str">
        <f>if(vlookup(B:B,'ILC4406'!B242:F8668,5,false)="","Y","N")</f>
        <v>Y</v>
      </c>
      <c r="W307" s="12" t="str">
        <f>if(vlookup(B:B,'ILC4410'!B310:F8916,5,false)="","Y","N")</f>
        <v>Y</v>
      </c>
      <c r="X307" s="12" t="str">
        <f>if(vlookup(B:B,'JBV455'!B310:F9256,5,false)="","Y","N")</f>
        <v>Y</v>
      </c>
      <c r="Y307" s="12" t="str">
        <f>if(vlookup(B:B,'JBV462'!B310:F8749,5,false)="","Y","N")</f>
        <v>Y</v>
      </c>
      <c r="Z307" s="12" t="str">
        <f>if(vlookup(B:B,'JBV464'!B310:F8749,5,false)="","Y","N")</f>
        <v>Y</v>
      </c>
      <c r="AA307" s="12" t="str">
        <f>if(vlookup(B:B,'VDI208'!B242:F8749,5,false)="","Y","N")</f>
        <v>Y</v>
      </c>
      <c r="AB307" s="76" t="str">
        <f>if(vlookup(B:B,'STO2206'!B242:F8749,5,false)="","Y","N")</f>
        <v>Y</v>
      </c>
    </row>
    <row r="308">
      <c r="A308" s="67" t="str">
        <f t="shared" si="2"/>
        <v>Tue</v>
      </c>
      <c r="B308" s="69">
        <v>43753.0</v>
      </c>
      <c r="C308" s="12" t="str">
        <f>if(vlookup(B:B,'ILC1110'!$B173:F8750,5,false)="","Y","N")</f>
        <v>Y</v>
      </c>
      <c r="D308" s="12" t="str">
        <f>if(vlookup(B:B,'ILC1111'!$B173:F8757,5,false)="","Y","N")</f>
        <v>Y</v>
      </c>
      <c r="E308" s="12" t="str">
        <f>if(vlookup(B:B,'ILC1112'!$B173:F8750,5,false)="","Y","N")</f>
        <v>Y</v>
      </c>
      <c r="F308" s="12" t="str">
        <f>if(vlookup(B:B,'ILC1211'!B311:F8750,5,false)="","Y","N")</f>
        <v>Y</v>
      </c>
      <c r="G308" s="12" t="str">
        <f>if(vlookup(B:B,'ILC1213'!$B238:G8750,5,false)="","Y","N")</f>
        <v>Y</v>
      </c>
      <c r="H308" s="12" t="str">
        <f>if(vlookup(B:B,'ILC1314'!$B237:G1050,5,false)="","Y","N")</f>
        <v>Y</v>
      </c>
      <c r="I308" s="12" t="str">
        <f>if(vlookup(B:B,'ILC1404'!B311:F8473,5,false)="","Y","N")</f>
        <v>Y</v>
      </c>
      <c r="J308" s="12" t="str">
        <f>if(vlookup(B:B,'ILC2203'!B274:F8473,5,false)="","Y","N")</f>
        <v>Y</v>
      </c>
      <c r="K308" s="12" t="str">
        <f>if(vlookup(B:B,'ILC2206'!B259:H370,5,false)="","Y","N")</f>
        <v>Y</v>
      </c>
      <c r="L308" s="12" t="str">
        <f>if(vlookup(B:B,'ILC2303'!B311:F8750,5,false)="","Y","N")</f>
        <v>N</v>
      </c>
      <c r="M308" s="12" t="str">
        <f>if(vlookup(B:B,'ILC2307'!B311:F9266,5,false)="","Y","N")</f>
        <v>Y</v>
      </c>
      <c r="N308" s="12" t="str">
        <f>if(vlookup(B:B,'ILC2313'!B311:F8905,5,false)="","Y","N")</f>
        <v>Y</v>
      </c>
      <c r="O308" s="12" t="str">
        <f>if(vlookup(B:B,'ILC2412'!B311:F8750,5,false)="","Y","N")</f>
        <v>Y</v>
      </c>
      <c r="P308" s="12" t="str">
        <f>if(vlookup(B:B,'ILC2413'!B311:F9248,5,false)="","Y","N")</f>
        <v>Y</v>
      </c>
      <c r="Q308" s="12" t="str">
        <f>if(vlookup(B:B,'ILC3104'!B311:F8793,5,false)="","Y","N")</f>
        <v>Y</v>
      </c>
      <c r="R308" s="12" t="str">
        <f>if(vlookup(B:B,'ILC3310'!B143:F8732,5,false)="","Y","N")</f>
        <v>Y</v>
      </c>
      <c r="S308" s="12" t="str">
        <f>if(vlookup(B:B,'ILC3312'!B311:F8750,5,false)="","Y","N")</f>
        <v>Y</v>
      </c>
      <c r="T308" s="12" t="str">
        <f>if(vlookup(B:B,'ILC3413'!B280:F8675,5,false)="","Y","N")</f>
        <v>Y</v>
      </c>
      <c r="U308" s="12" t="str">
        <f>if(vlookup(B:B,'ILC3415'!B308:F8700,5,false)="","Y","N")</f>
        <v>Y</v>
      </c>
      <c r="V308" s="12" t="str">
        <f>if(vlookup(B:B,'ILC4406'!B243:F8669,5,false)="","Y","N")</f>
        <v>Y</v>
      </c>
      <c r="W308" s="12" t="str">
        <f>if(vlookup(B:B,'ILC4410'!B311:F8917,5,false)="","Y","N")</f>
        <v>Y</v>
      </c>
      <c r="X308" s="12" t="str">
        <f>if(vlookup(B:B,'JBV455'!B311:F9257,5,false)="","Y","N")</f>
        <v>Y</v>
      </c>
      <c r="Y308" s="12" t="str">
        <f>if(vlookup(B:B,'JBV462'!B311:F8750,5,false)="","Y","N")</f>
        <v>Y</v>
      </c>
      <c r="Z308" s="12" t="str">
        <f>if(vlookup(B:B,'JBV464'!B311:F8750,5,false)="","Y","N")</f>
        <v>Y</v>
      </c>
      <c r="AA308" s="12" t="str">
        <f>if(vlookup(B:B,'VDI208'!B243:F8750,5,false)="","Y","N")</f>
        <v>Y</v>
      </c>
      <c r="AB308" s="76" t="str">
        <f>if(vlookup(B:B,'STO2206'!B243:F8750,5,false)="","Y","N")</f>
        <v>Y</v>
      </c>
    </row>
    <row r="309">
      <c r="A309" s="67" t="str">
        <f t="shared" si="2"/>
        <v>Wed</v>
      </c>
      <c r="B309" s="69">
        <v>43754.0</v>
      </c>
      <c r="C309" s="12" t="str">
        <f>if(vlookup(B:B,'ILC1110'!$B174:F8751,5,false)="","Y","N")</f>
        <v>Y</v>
      </c>
      <c r="D309" s="12" t="str">
        <f>if(vlookup(B:B,'ILC1111'!$B174:F8758,5,false)="","Y","N")</f>
        <v>Y</v>
      </c>
      <c r="E309" s="12" t="str">
        <f>if(vlookup(B:B,'ILC1112'!$B174:F8751,5,false)="","Y","N")</f>
        <v>Y</v>
      </c>
      <c r="F309" s="12" t="str">
        <f>if(vlookup(B:B,'ILC1211'!B312:F8751,5,false)="","Y","N")</f>
        <v>Y</v>
      </c>
      <c r="G309" s="12" t="str">
        <f>if(vlookup(B:B,'ILC1213'!$B239:G8751,5,false)="","Y","N")</f>
        <v>Y</v>
      </c>
      <c r="H309" s="12" t="str">
        <f>if(vlookup(B:B,'ILC1314'!$B238:G1051,5,false)="","Y","N")</f>
        <v>Y</v>
      </c>
      <c r="I309" s="12" t="str">
        <f>if(vlookup(B:B,'ILC1404'!B312:F8474,5,false)="","Y","N")</f>
        <v>Y</v>
      </c>
      <c r="J309" s="12" t="str">
        <f>if(vlookup(B:B,'ILC2203'!B275:F8474,5,false)="","Y","N")</f>
        <v>Y</v>
      </c>
      <c r="K309" s="12" t="str">
        <f>if(vlookup(B:B,'ILC2206'!B260:H370,5,false)="","Y","N")</f>
        <v>Y</v>
      </c>
      <c r="L309" s="12" t="str">
        <f>if(vlookup(B:B,'ILC2303'!B312:F8751,5,false)="","Y","N")</f>
        <v>N</v>
      </c>
      <c r="M309" s="12" t="str">
        <f>if(vlookup(B:B,'ILC2307'!B312:F9267,5,false)="","Y","N")</f>
        <v>Y</v>
      </c>
      <c r="N309" s="12" t="str">
        <f>if(vlookup(B:B,'ILC2313'!B312:F8906,5,false)="","Y","N")</f>
        <v>Y</v>
      </c>
      <c r="O309" s="12" t="str">
        <f>if(vlookup(B:B,'ILC2412'!B312:F8751,5,false)="","Y","N")</f>
        <v>Y</v>
      </c>
      <c r="P309" s="12" t="str">
        <f>if(vlookup(B:B,'ILC2413'!B312:F9249,5,false)="","Y","N")</f>
        <v>Y</v>
      </c>
      <c r="Q309" s="12" t="str">
        <f>if(vlookup(B:B,'ILC3104'!B312:F8794,5,false)="","Y","N")</f>
        <v>Y</v>
      </c>
      <c r="R309" s="12" t="str">
        <f>if(vlookup(B:B,'ILC3310'!B144:F8733,5,false)="","Y","N")</f>
        <v>Y</v>
      </c>
      <c r="S309" s="12" t="str">
        <f>if(vlookup(B:B,'ILC3312'!B312:F8751,5,false)="","Y","N")</f>
        <v>Y</v>
      </c>
      <c r="T309" s="12" t="str">
        <f>if(vlookup(B:B,'ILC3413'!B281:F8676,5,false)="","Y","N")</f>
        <v>Y</v>
      </c>
      <c r="U309" s="12" t="str">
        <f>if(vlookup(B:B,'ILC3415'!B309:F8701,5,false)="","Y","N")</f>
        <v>Y</v>
      </c>
      <c r="V309" s="12" t="str">
        <f>if(vlookup(B:B,'ILC4406'!B244:F8670,5,false)="","Y","N")</f>
        <v>Y</v>
      </c>
      <c r="W309" s="12" t="str">
        <f>if(vlookup(B:B,'ILC4410'!B312:F8918,5,false)="","Y","N")</f>
        <v>Y</v>
      </c>
      <c r="X309" s="12" t="str">
        <f>if(vlookup(B:B,'JBV455'!B312:F9258,5,false)="","Y","N")</f>
        <v>Y</v>
      </c>
      <c r="Y309" s="12" t="str">
        <f>if(vlookup(B:B,'JBV462'!B312:F8751,5,false)="","Y","N")</f>
        <v>Y</v>
      </c>
      <c r="Z309" s="12" t="str">
        <f>if(vlookup(B:B,'JBV464'!B312:F8751,5,false)="","Y","N")</f>
        <v>Y</v>
      </c>
      <c r="AA309" s="12" t="str">
        <f>if(vlookup(B:B,'VDI208'!B244:F8751,5,false)="","Y","N")</f>
        <v>Y</v>
      </c>
      <c r="AB309" s="76" t="str">
        <f>if(vlookup(B:B,'STO2206'!B244:F8751,5,false)="","Y","N")</f>
        <v>Y</v>
      </c>
    </row>
    <row r="310">
      <c r="A310" s="67" t="str">
        <f t="shared" si="2"/>
        <v>Thu</v>
      </c>
      <c r="B310" s="69">
        <v>43755.0</v>
      </c>
      <c r="C310" s="12" t="str">
        <f>if(vlookup(B:B,'ILC1110'!$B175:F8752,5,false)="","Y","N")</f>
        <v>Y</v>
      </c>
      <c r="D310" s="12" t="str">
        <f>if(vlookup(B:B,'ILC1111'!$B175:F8759,5,false)="","Y","N")</f>
        <v>Y</v>
      </c>
      <c r="E310" s="12" t="str">
        <f>if(vlookup(B:B,'ILC1112'!$B175:F8752,5,false)="","Y","N")</f>
        <v>Y</v>
      </c>
      <c r="F310" s="12" t="str">
        <f>if(vlookup(B:B,'ILC1211'!B313:F8752,5,false)="","Y","N")</f>
        <v>Y</v>
      </c>
      <c r="G310" s="12" t="str">
        <f>if(vlookup(B:B,'ILC1213'!$B240:G8752,5,false)="","Y","N")</f>
        <v>Y</v>
      </c>
      <c r="H310" s="12" t="str">
        <f>if(vlookup(B:B,'ILC1314'!$B239:G1052,5,false)="","Y","N")</f>
        <v>Y</v>
      </c>
      <c r="I310" s="12" t="str">
        <f>if(vlookup(B:B,'ILC1404'!B313:F8475,5,false)="","Y","N")</f>
        <v>Y</v>
      </c>
      <c r="J310" s="12" t="str">
        <f>if(vlookup(B:B,'ILC2203'!B276:F8475,5,false)="","Y","N")</f>
        <v>Y</v>
      </c>
      <c r="K310" s="12" t="str">
        <f>if(vlookup(B:B,'ILC2206'!B261:H370,5,false)="","Y","N")</f>
        <v>Y</v>
      </c>
      <c r="L310" s="12" t="str">
        <f>if(vlookup(B:B,'ILC2303'!B313:F8752,5,false)="","Y","N")</f>
        <v>N</v>
      </c>
      <c r="M310" s="12" t="str">
        <f>if(vlookup(B:B,'ILC2307'!B313:F9268,5,false)="","Y","N")</f>
        <v>Y</v>
      </c>
      <c r="N310" s="12" t="str">
        <f>if(vlookup(B:B,'ILC2313'!B313:F8907,5,false)="","Y","N")</f>
        <v>Y</v>
      </c>
      <c r="O310" s="12" t="str">
        <f>if(vlookup(B:B,'ILC2412'!B313:F8752,5,false)="","Y","N")</f>
        <v>Y</v>
      </c>
      <c r="P310" s="12" t="str">
        <f>if(vlookup(B:B,'ILC2413'!B313:F9250,5,false)="","Y","N")</f>
        <v>Y</v>
      </c>
      <c r="Q310" s="12" t="str">
        <f>if(vlookup(B:B,'ILC3104'!B313:F8795,5,false)="","Y","N")</f>
        <v>Y</v>
      </c>
      <c r="R310" s="12" t="str">
        <f>if(vlookup(B:B,'ILC3310'!B145:F8734,5,false)="","Y","N")</f>
        <v>Y</v>
      </c>
      <c r="S310" s="12" t="str">
        <f>if(vlookup(B:B,'ILC3312'!B313:F8752,5,false)="","Y","N")</f>
        <v>Y</v>
      </c>
      <c r="T310" s="12" t="str">
        <f>if(vlookup(B:B,'ILC3413'!B282:F8677,5,false)="","Y","N")</f>
        <v>Y</v>
      </c>
      <c r="U310" s="12" t="str">
        <f>if(vlookup(B:B,'ILC3415'!B310:F8702,5,false)="","Y","N")</f>
        <v>Y</v>
      </c>
      <c r="V310" s="12" t="str">
        <f>if(vlookup(B:B,'ILC4406'!B245:F8671,5,false)="","Y","N")</f>
        <v>Y</v>
      </c>
      <c r="W310" s="12" t="str">
        <f>if(vlookup(B:B,'ILC4410'!B313:F8919,5,false)="","Y","N")</f>
        <v>Y</v>
      </c>
      <c r="X310" s="12" t="str">
        <f>if(vlookup(B:B,'JBV455'!B313:F9259,5,false)="","Y","N")</f>
        <v>Y</v>
      </c>
      <c r="Y310" s="12" t="str">
        <f>if(vlookup(B:B,'JBV462'!B313:F8752,5,false)="","Y","N")</f>
        <v>Y</v>
      </c>
      <c r="Z310" s="12" t="str">
        <f>if(vlookup(B:B,'JBV464'!B313:F8752,5,false)="","Y","N")</f>
        <v>Y</v>
      </c>
      <c r="AA310" s="12" t="str">
        <f>if(vlookup(B:B,'VDI208'!B245:F8752,5,false)="","Y","N")</f>
        <v>Y</v>
      </c>
      <c r="AB310" s="76" t="str">
        <f>if(vlookup(B:B,'STO2206'!B245:F8752,5,false)="","Y","N")</f>
        <v>Y</v>
      </c>
    </row>
    <row r="311">
      <c r="A311" s="67" t="str">
        <f t="shared" si="2"/>
        <v>Fri</v>
      </c>
      <c r="B311" s="69">
        <v>43756.0</v>
      </c>
      <c r="C311" s="12" t="str">
        <f>if(vlookup(B:B,'ILC1110'!$B176:F8753,5,false)="","Y","N")</f>
        <v>Y</v>
      </c>
      <c r="D311" s="12" t="str">
        <f>if(vlookup(B:B,'ILC1111'!$B176:F8760,5,false)="","Y","N")</f>
        <v>Y</v>
      </c>
      <c r="E311" s="12" t="str">
        <f>if(vlookup(B:B,'ILC1112'!$B176:F8753,5,false)="","Y","N")</f>
        <v>Y</v>
      </c>
      <c r="F311" s="12" t="str">
        <f>if(vlookup(B:B,'ILC1211'!B314:F8753,5,false)="","Y","N")</f>
        <v>Y</v>
      </c>
      <c r="G311" s="12" t="str">
        <f>if(vlookup(B:B,'ILC1213'!$B241:G8753,5,false)="","Y","N")</f>
        <v>Y</v>
      </c>
      <c r="H311" s="12" t="str">
        <f>if(vlookup(B:B,'ILC1314'!$B240:G1053,5,false)="","Y","N")</f>
        <v>Y</v>
      </c>
      <c r="I311" s="12" t="str">
        <f>if(vlookup(B:B,'ILC1404'!B314:F8476,5,false)="","Y","N")</f>
        <v>Y</v>
      </c>
      <c r="J311" s="12" t="str">
        <f>if(vlookup(B:B,'ILC2203'!B277:F8476,5,false)="","Y","N")</f>
        <v>Y</v>
      </c>
      <c r="K311" s="12" t="str">
        <f>if(vlookup(B:B,'ILC2206'!B262:H370,5,false)="","Y","N")</f>
        <v>Y</v>
      </c>
      <c r="L311" s="12" t="str">
        <f>if(vlookup(B:B,'ILC2303'!B314:F8753,5,false)="","Y","N")</f>
        <v>N</v>
      </c>
      <c r="M311" s="12" t="str">
        <f>if(vlookup(B:B,'ILC2307'!B314:F9269,5,false)="","Y","N")</f>
        <v>Y</v>
      </c>
      <c r="N311" s="12" t="str">
        <f>if(vlookup(B:B,'ILC2313'!B314:F8908,5,false)="","Y","N")</f>
        <v>Y</v>
      </c>
      <c r="O311" s="12" t="str">
        <f>if(vlookup(B:B,'ILC2412'!B314:F8753,5,false)="","Y","N")</f>
        <v>Y</v>
      </c>
      <c r="P311" s="12" t="str">
        <f>if(vlookup(B:B,'ILC2413'!B314:F9251,5,false)="","Y","N")</f>
        <v>Y</v>
      </c>
      <c r="Q311" s="12" t="str">
        <f>if(vlookup(B:B,'ILC3104'!B314:F8796,5,false)="","Y","N")</f>
        <v>Y</v>
      </c>
      <c r="R311" s="12" t="str">
        <f>if(vlookup(B:B,'ILC3310'!B146:F8735,5,false)="","Y","N")</f>
        <v>Y</v>
      </c>
      <c r="S311" s="12" t="str">
        <f>if(vlookup(B:B,'ILC3312'!B314:F8753,5,false)="","Y","N")</f>
        <v>Y</v>
      </c>
      <c r="T311" s="12" t="str">
        <f>if(vlookup(B:B,'ILC3413'!B283:F8678,5,false)="","Y","N")</f>
        <v>Y</v>
      </c>
      <c r="U311" s="12" t="str">
        <f>if(vlookup(B:B,'ILC3415'!B311:F8703,5,false)="","Y","N")</f>
        <v>Y</v>
      </c>
      <c r="V311" s="12" t="str">
        <f>if(vlookup(B:B,'ILC4406'!B246:F8672,5,false)="","Y","N")</f>
        <v>Y</v>
      </c>
      <c r="W311" s="12" t="str">
        <f>if(vlookup(B:B,'ILC4410'!B314:F8920,5,false)="","Y","N")</f>
        <v>Y</v>
      </c>
      <c r="X311" s="12" t="str">
        <f>if(vlookup(B:B,'JBV455'!B314:F9260,5,false)="","Y","N")</f>
        <v>Y</v>
      </c>
      <c r="Y311" s="12" t="str">
        <f>if(vlookup(B:B,'JBV462'!B314:F8753,5,false)="","Y","N")</f>
        <v>Y</v>
      </c>
      <c r="Z311" s="12" t="str">
        <f>if(vlookup(B:B,'JBV464'!B314:F8753,5,false)="","Y","N")</f>
        <v>Y</v>
      </c>
      <c r="AA311" s="12" t="str">
        <f>if(vlookup(B:B,'VDI208'!B246:F8753,5,false)="","Y","N")</f>
        <v>Y</v>
      </c>
      <c r="AB311" s="76" t="str">
        <f>if(vlookup(B:B,'STO2206'!B246:F8753,5,false)="","Y","N")</f>
        <v>Y</v>
      </c>
    </row>
    <row r="312">
      <c r="A312" s="67" t="str">
        <f t="shared" si="2"/>
        <v>Sat</v>
      </c>
      <c r="B312" s="69">
        <v>43757.0</v>
      </c>
      <c r="C312" s="12" t="str">
        <f>if(vlookup(B:B,'ILC1110'!$B177:F8754,5,false)="","Y","N")</f>
        <v>Y</v>
      </c>
      <c r="D312" s="12" t="str">
        <f>if(vlookup(B:B,'ILC1111'!$B177:F8761,5,false)="","Y","N")</f>
        <v>Y</v>
      </c>
      <c r="E312" s="12" t="str">
        <f>if(vlookup(B:B,'ILC1112'!$B177:F8754,5,false)="","Y","N")</f>
        <v>Y</v>
      </c>
      <c r="F312" s="12" t="str">
        <f>if(vlookup(B:B,'ILC1211'!B315:F8754,5,false)="","Y","N")</f>
        <v>Y</v>
      </c>
      <c r="G312" s="12" t="str">
        <f>if(vlookup(B:B,'ILC1213'!$B242:G8754,5,false)="","Y","N")</f>
        <v>Y</v>
      </c>
      <c r="H312" s="12" t="str">
        <f>if(vlookup(B:B,'ILC1314'!$B241:G1054,5,false)="","Y","N")</f>
        <v>Y</v>
      </c>
      <c r="I312" s="12" t="str">
        <f>if(vlookup(B:B,'ILC1404'!B315:F8477,5,false)="","Y","N")</f>
        <v>Y</v>
      </c>
      <c r="J312" s="12" t="str">
        <f>if(vlookup(B:B,'ILC2203'!B278:F8477,5,false)="","Y","N")</f>
        <v>Y</v>
      </c>
      <c r="K312" s="12" t="str">
        <f>if(vlookup(B:B,'ILC2206'!B263:H370,5,false)="","Y","N")</f>
        <v>Y</v>
      </c>
      <c r="L312" s="12" t="str">
        <f>if(vlookup(B:B,'ILC2303'!B315:F8754,5,false)="","Y","N")</f>
        <v>N</v>
      </c>
      <c r="M312" s="12" t="str">
        <f>if(vlookup(B:B,'ILC2307'!B315:F9270,5,false)="","Y","N")</f>
        <v>Y</v>
      </c>
      <c r="N312" s="12" t="str">
        <f>if(vlookup(B:B,'ILC2313'!B315:F8909,5,false)="","Y","N")</f>
        <v>Y</v>
      </c>
      <c r="O312" s="12" t="str">
        <f>if(vlookup(B:B,'ILC2412'!B315:F8754,5,false)="","Y","N")</f>
        <v>Y</v>
      </c>
      <c r="P312" s="12" t="str">
        <f>if(vlookup(B:B,'ILC2413'!B315:F9252,5,false)="","Y","N")</f>
        <v>Y</v>
      </c>
      <c r="Q312" s="12" t="str">
        <f>if(vlookup(B:B,'ILC3104'!B315:F8797,5,false)="","Y","N")</f>
        <v>Y</v>
      </c>
      <c r="R312" s="12" t="str">
        <f>if(vlookup(B:B,'ILC3310'!B147:F8736,5,false)="","Y","N")</f>
        <v>Y</v>
      </c>
      <c r="S312" s="12" t="str">
        <f>if(vlookup(B:B,'ILC3312'!B315:F8754,5,false)="","Y","N")</f>
        <v>Y</v>
      </c>
      <c r="T312" s="12" t="str">
        <f>if(vlookup(B:B,'ILC3413'!B284:F8679,5,false)="","Y","N")</f>
        <v>Y</v>
      </c>
      <c r="U312" s="12" t="str">
        <f>if(vlookup(B:B,'ILC3415'!B312:F8704,5,false)="","Y","N")</f>
        <v>Y</v>
      </c>
      <c r="V312" s="12" t="str">
        <f>if(vlookup(B:B,'ILC4406'!B247:F8673,5,false)="","Y","N")</f>
        <v>Y</v>
      </c>
      <c r="W312" s="12" t="str">
        <f>if(vlookup(B:B,'ILC4410'!B315:F8921,5,false)="","Y","N")</f>
        <v>Y</v>
      </c>
      <c r="X312" s="12" t="str">
        <f>if(vlookup(B:B,'JBV455'!B315:F9261,5,false)="","Y","N")</f>
        <v>Y</v>
      </c>
      <c r="Y312" s="12" t="str">
        <f>if(vlookup(B:B,'JBV462'!B315:F8754,5,false)="","Y","N")</f>
        <v>Y</v>
      </c>
      <c r="Z312" s="12" t="str">
        <f>if(vlookup(B:B,'JBV464'!B315:F8754,5,false)="","Y","N")</f>
        <v>Y</v>
      </c>
      <c r="AA312" s="12" t="str">
        <f>if(vlookup(B:B,'VDI208'!B247:F8754,5,false)="","Y","N")</f>
        <v>Y</v>
      </c>
      <c r="AB312" s="76" t="str">
        <f>if(vlookup(B:B,'STO2206'!B247:F8754,5,false)="","Y","N")</f>
        <v>Y</v>
      </c>
    </row>
    <row r="313">
      <c r="A313" s="67" t="str">
        <f t="shared" si="2"/>
        <v>Sun</v>
      </c>
      <c r="B313" s="69">
        <v>43758.0</v>
      </c>
      <c r="C313" s="12" t="str">
        <f>if(vlookup(B:B,'ILC1110'!$B178:F8755,5,false)="","Y","N")</f>
        <v>Y</v>
      </c>
      <c r="D313" s="12" t="str">
        <f>if(vlookup(B:B,'ILC1111'!$B178:F8762,5,false)="","Y","N")</f>
        <v>Y</v>
      </c>
      <c r="E313" s="12" t="str">
        <f>if(vlookup(B:B,'ILC1112'!$B178:F8755,5,false)="","Y","N")</f>
        <v>Y</v>
      </c>
      <c r="F313" s="12" t="str">
        <f>if(vlookup(B:B,'ILC1211'!B316:F8755,5,false)="","Y","N")</f>
        <v>Y</v>
      </c>
      <c r="G313" s="12" t="str">
        <f>if(vlookup(B:B,'ILC1213'!$B243:G8755,5,false)="","Y","N")</f>
        <v>Y</v>
      </c>
      <c r="H313" s="12" t="str">
        <f>if(vlookup(B:B,'ILC1314'!$B242:G1055,5,false)="","Y","N")</f>
        <v>Y</v>
      </c>
      <c r="I313" s="12" t="str">
        <f>if(vlookup(B:B,'ILC1404'!B316:F8478,5,false)="","Y","N")</f>
        <v>Y</v>
      </c>
      <c r="J313" s="12" t="str">
        <f>if(vlookup(B:B,'ILC2203'!B279:F8478,5,false)="","Y","N")</f>
        <v>Y</v>
      </c>
      <c r="K313" s="12" t="str">
        <f>if(vlookup(B:B,'ILC2206'!B264:H370,5,false)="","Y","N")</f>
        <v>Y</v>
      </c>
      <c r="L313" s="12" t="str">
        <f>if(vlookup(B:B,'ILC2303'!B316:F8755,5,false)="","Y","N")</f>
        <v>N</v>
      </c>
      <c r="M313" s="12" t="str">
        <f>if(vlookup(B:B,'ILC2307'!B316:F9271,5,false)="","Y","N")</f>
        <v>Y</v>
      </c>
      <c r="N313" s="12" t="str">
        <f>if(vlookup(B:B,'ILC2313'!B316:F8910,5,false)="","Y","N")</f>
        <v>Y</v>
      </c>
      <c r="O313" s="12" t="str">
        <f>if(vlookup(B:B,'ILC2412'!B316:F8755,5,false)="","Y","N")</f>
        <v>Y</v>
      </c>
      <c r="P313" s="12" t="str">
        <f>if(vlookup(B:B,'ILC2413'!B316:F9253,5,false)="","Y","N")</f>
        <v>Y</v>
      </c>
      <c r="Q313" s="12" t="str">
        <f>if(vlookup(B:B,'ILC3104'!B316:F8798,5,false)="","Y","N")</f>
        <v>Y</v>
      </c>
      <c r="R313" s="12" t="str">
        <f>if(vlookup(B:B,'ILC3310'!B148:F8737,5,false)="","Y","N")</f>
        <v>Y</v>
      </c>
      <c r="S313" s="12" t="str">
        <f>if(vlookup(B:B,'ILC3312'!B316:F8755,5,false)="","Y","N")</f>
        <v>Y</v>
      </c>
      <c r="T313" s="12" t="str">
        <f>if(vlookup(B:B,'ILC3413'!B285:F8680,5,false)="","Y","N")</f>
        <v>Y</v>
      </c>
      <c r="U313" s="12" t="str">
        <f>if(vlookup(B:B,'ILC3415'!B313:F8705,5,false)="","Y","N")</f>
        <v>Y</v>
      </c>
      <c r="V313" s="12" t="str">
        <f>if(vlookup(B:B,'ILC4406'!B248:F8674,5,false)="","Y","N")</f>
        <v>Y</v>
      </c>
      <c r="W313" s="12" t="str">
        <f>if(vlookup(B:B,'ILC4410'!B316:F8922,5,false)="","Y","N")</f>
        <v>Y</v>
      </c>
      <c r="X313" s="12" t="str">
        <f>if(vlookup(B:B,'JBV455'!B316:F9262,5,false)="","Y","N")</f>
        <v>Y</v>
      </c>
      <c r="Y313" s="12" t="str">
        <f>if(vlookup(B:B,'JBV462'!B316:F8755,5,false)="","Y","N")</f>
        <v>Y</v>
      </c>
      <c r="Z313" s="12" t="str">
        <f>if(vlookup(B:B,'JBV464'!B316:F8755,5,false)="","Y","N")</f>
        <v>Y</v>
      </c>
      <c r="AA313" s="12" t="str">
        <f>if(vlookup(B:B,'VDI208'!B248:F8755,5,false)="","Y","N")</f>
        <v>Y</v>
      </c>
      <c r="AB313" s="76" t="str">
        <f>if(vlookup(B:B,'STO2206'!B248:F8755,5,false)="","Y","N")</f>
        <v>Y</v>
      </c>
    </row>
    <row r="314">
      <c r="A314" s="67" t="str">
        <f t="shared" si="2"/>
        <v>Mon</v>
      </c>
      <c r="B314" s="69">
        <v>43759.0</v>
      </c>
      <c r="C314" s="12" t="str">
        <f>if(vlookup(B:B,'ILC1110'!$B179:F8756,5,false)="","Y","N")</f>
        <v>Y</v>
      </c>
      <c r="D314" s="12" t="str">
        <f>if(vlookup(B:B,'ILC1111'!$B179:F8763,5,false)="","Y","N")</f>
        <v>Y</v>
      </c>
      <c r="E314" s="12" t="str">
        <f>if(vlookup(B:B,'ILC1112'!$B179:F8756,5,false)="","Y","N")</f>
        <v>Y</v>
      </c>
      <c r="F314" s="12" t="str">
        <f>if(vlookup(B:B,'ILC1211'!B317:F8756,5,false)="","Y","N")</f>
        <v>Y</v>
      </c>
      <c r="G314" s="12" t="str">
        <f>if(vlookup(B:B,'ILC1213'!$B244:G8756,5,false)="","Y","N")</f>
        <v>Y</v>
      </c>
      <c r="H314" s="12" t="str">
        <f>if(vlookup(B:B,'ILC1314'!$B243:G1056,5,false)="","Y","N")</f>
        <v>Y</v>
      </c>
      <c r="I314" s="12" t="str">
        <f>if(vlookup(B:B,'ILC1404'!B317:F8479,5,false)="","Y","N")</f>
        <v>Y</v>
      </c>
      <c r="J314" s="12" t="str">
        <f>if(vlookup(B:B,'ILC2203'!B280:F8479,5,false)="","Y","N")</f>
        <v>Y</v>
      </c>
      <c r="K314" s="12" t="str">
        <f>if(vlookup(B:B,'ILC2206'!B265:H370,5,false)="","Y","N")</f>
        <v>Y</v>
      </c>
      <c r="L314" s="12" t="str">
        <f>if(vlookup(B:B,'ILC2303'!B317:F8756,5,false)="","Y","N")</f>
        <v>N</v>
      </c>
      <c r="M314" s="12" t="str">
        <f>if(vlookup(B:B,'ILC2307'!B317:F9272,5,false)="","Y","N")</f>
        <v>Y</v>
      </c>
      <c r="N314" s="12" t="str">
        <f>if(vlookup(B:B,'ILC2313'!B317:F8911,5,false)="","Y","N")</f>
        <v>Y</v>
      </c>
      <c r="O314" s="12" t="str">
        <f>if(vlookup(B:B,'ILC2412'!B317:F8756,5,false)="","Y","N")</f>
        <v>Y</v>
      </c>
      <c r="P314" s="12" t="str">
        <f>if(vlookup(B:B,'ILC2413'!B317:F9254,5,false)="","Y","N")</f>
        <v>Y</v>
      </c>
      <c r="Q314" s="12" t="str">
        <f>if(vlookup(B:B,'ILC3104'!B317:F8799,5,false)="","Y","N")</f>
        <v>Y</v>
      </c>
      <c r="R314" s="12" t="str">
        <f>if(vlookup(B:B,'ILC3310'!B149:F8738,5,false)="","Y","N")</f>
        <v>Y</v>
      </c>
      <c r="S314" s="12" t="str">
        <f>if(vlookup(B:B,'ILC3312'!B317:F8756,5,false)="","Y","N")</f>
        <v>Y</v>
      </c>
      <c r="T314" s="12" t="str">
        <f>if(vlookup(B:B,'ILC3413'!B286:F8681,5,false)="","Y","N")</f>
        <v>Y</v>
      </c>
      <c r="U314" s="12" t="str">
        <f>if(vlookup(B:B,'ILC3415'!B314:F8706,5,false)="","Y","N")</f>
        <v>Y</v>
      </c>
      <c r="V314" s="12" t="str">
        <f>if(vlookup(B:B,'ILC4406'!B249:F8675,5,false)="","Y","N")</f>
        <v>Y</v>
      </c>
      <c r="W314" s="12" t="str">
        <f>if(vlookup(B:B,'ILC4410'!B317:F8923,5,false)="","Y","N")</f>
        <v>Y</v>
      </c>
      <c r="X314" s="12" t="str">
        <f>if(vlookup(B:B,'JBV455'!B317:F9263,5,false)="","Y","N")</f>
        <v>Y</v>
      </c>
      <c r="Y314" s="12" t="str">
        <f>if(vlookup(B:B,'JBV462'!B317:F8756,5,false)="","Y","N")</f>
        <v>Y</v>
      </c>
      <c r="Z314" s="12" t="str">
        <f>if(vlookup(B:B,'JBV464'!B317:F8756,5,false)="","Y","N")</f>
        <v>Y</v>
      </c>
      <c r="AA314" s="12" t="str">
        <f>if(vlookup(B:B,'VDI208'!B249:F8756,5,false)="","Y","N")</f>
        <v>Y</v>
      </c>
      <c r="AB314" s="76" t="str">
        <f>if(vlookup(B:B,'STO2206'!B249:F8756,5,false)="","Y","N")</f>
        <v>Y</v>
      </c>
    </row>
    <row r="315">
      <c r="A315" s="67" t="str">
        <f t="shared" si="2"/>
        <v>Tue</v>
      </c>
      <c r="B315" s="69">
        <v>43760.0</v>
      </c>
      <c r="C315" s="12" t="str">
        <f>if(vlookup(B:B,'ILC1110'!$B180:F8757,5,false)="","Y","N")</f>
        <v>Y</v>
      </c>
      <c r="D315" s="12" t="str">
        <f>if(vlookup(B:B,'ILC1111'!$B180:F8764,5,false)="","Y","N")</f>
        <v>Y</v>
      </c>
      <c r="E315" s="12" t="str">
        <f>if(vlookup(B:B,'ILC1112'!$B180:F8757,5,false)="","Y","N")</f>
        <v>Y</v>
      </c>
      <c r="F315" s="12" t="str">
        <f>if(vlookup(B:B,'ILC1211'!B318:F8757,5,false)="","Y","N")</f>
        <v>Y</v>
      </c>
      <c r="G315" s="12" t="str">
        <f>if(vlookup(B:B,'ILC1213'!$B245:G8757,5,false)="","Y","N")</f>
        <v>Y</v>
      </c>
      <c r="H315" s="12" t="str">
        <f>if(vlookup(B:B,'ILC1314'!$B244:G1057,5,false)="","Y","N")</f>
        <v>Y</v>
      </c>
      <c r="I315" s="12" t="str">
        <f>if(vlookup(B:B,'ILC1404'!B318:F8480,5,false)="","Y","N")</f>
        <v>Y</v>
      </c>
      <c r="J315" s="12" t="str">
        <f>if(vlookup(B:B,'ILC2203'!B281:F8480,5,false)="","Y","N")</f>
        <v>Y</v>
      </c>
      <c r="K315" s="12" t="str">
        <f>if(vlookup(B:B,'ILC2206'!B266:H370,5,false)="","Y","N")</f>
        <v>Y</v>
      </c>
      <c r="L315" s="12" t="str">
        <f>if(vlookup(B:B,'ILC2303'!B318:F8757,5,false)="","Y","N")</f>
        <v>N</v>
      </c>
      <c r="M315" s="12" t="str">
        <f>if(vlookup(B:B,'ILC2307'!B318:F9273,5,false)="","Y","N")</f>
        <v>Y</v>
      </c>
      <c r="N315" s="12" t="str">
        <f>if(vlookup(B:B,'ILC2313'!B318:F8912,5,false)="","Y","N")</f>
        <v>Y</v>
      </c>
      <c r="O315" s="12" t="str">
        <f>if(vlookup(B:B,'ILC2412'!B318:F8757,5,false)="","Y","N")</f>
        <v>Y</v>
      </c>
      <c r="P315" s="12" t="str">
        <f>if(vlookup(B:B,'ILC2413'!B318:F9255,5,false)="","Y","N")</f>
        <v>Y</v>
      </c>
      <c r="Q315" s="12" t="str">
        <f>if(vlookup(B:B,'ILC3104'!B318:F8800,5,false)="","Y","N")</f>
        <v>Y</v>
      </c>
      <c r="R315" s="12" t="str">
        <f>if(vlookup(B:B,'ILC3310'!B150:F8739,5,false)="","Y","N")</f>
        <v>Y</v>
      </c>
      <c r="S315" s="12" t="str">
        <f>if(vlookup(B:B,'ILC3312'!B318:F8757,5,false)="","Y","N")</f>
        <v>Y</v>
      </c>
      <c r="T315" s="12" t="str">
        <f>if(vlookup(B:B,'ILC3413'!B287:F8682,5,false)="","Y","N")</f>
        <v>Y</v>
      </c>
      <c r="U315" s="12" t="str">
        <f>if(vlookup(B:B,'ILC3415'!B315:F8707,5,false)="","Y","N")</f>
        <v>Y</v>
      </c>
      <c r="V315" s="12" t="str">
        <f>if(vlookup(B:B,'ILC4406'!B250:F8676,5,false)="","Y","N")</f>
        <v>Y</v>
      </c>
      <c r="W315" s="12" t="str">
        <f>if(vlookup(B:B,'ILC4410'!B318:F8924,5,false)="","Y","N")</f>
        <v>Y</v>
      </c>
      <c r="X315" s="12" t="str">
        <f>if(vlookup(B:B,'JBV455'!B318:F9264,5,false)="","Y","N")</f>
        <v>Y</v>
      </c>
      <c r="Y315" s="12" t="str">
        <f>if(vlookup(B:B,'JBV462'!B318:F8757,5,false)="","Y","N")</f>
        <v>Y</v>
      </c>
      <c r="Z315" s="12" t="str">
        <f>if(vlookup(B:B,'JBV464'!B318:F8757,5,false)="","Y","N")</f>
        <v>Y</v>
      </c>
      <c r="AA315" s="12" t="str">
        <f>if(vlookup(B:B,'VDI208'!B250:F8757,5,false)="","Y","N")</f>
        <v>Y</v>
      </c>
      <c r="AB315" s="76" t="str">
        <f>if(vlookup(B:B,'STO2206'!B250:F8757,5,false)="","Y","N")</f>
        <v>Y</v>
      </c>
    </row>
    <row r="316">
      <c r="A316" s="67" t="str">
        <f t="shared" si="2"/>
        <v>Wed</v>
      </c>
      <c r="B316" s="69">
        <v>43761.0</v>
      </c>
      <c r="C316" s="12" t="str">
        <f>if(vlookup(B:B,'ILC1110'!$B181:F8758,5,false)="","Y","N")</f>
        <v>Y</v>
      </c>
      <c r="D316" s="12" t="str">
        <f>if(vlookup(B:B,'ILC1111'!$B181:F8765,5,false)="","Y","N")</f>
        <v>Y</v>
      </c>
      <c r="E316" s="12" t="str">
        <f>if(vlookup(B:B,'ILC1112'!$B181:F8758,5,false)="","Y","N")</f>
        <v>Y</v>
      </c>
      <c r="F316" s="12" t="str">
        <f>if(vlookup(B:B,'ILC1211'!B319:F8758,5,false)="","Y","N")</f>
        <v>Y</v>
      </c>
      <c r="G316" s="12" t="str">
        <f>if(vlookup(B:B,'ILC1213'!$B246:G8758,5,false)="","Y","N")</f>
        <v>Y</v>
      </c>
      <c r="H316" s="12" t="str">
        <f>if(vlookup(B:B,'ILC1314'!$B245:G1058,5,false)="","Y","N")</f>
        <v>Y</v>
      </c>
      <c r="I316" s="12" t="str">
        <f>if(vlookup(B:B,'ILC1404'!B319:F8481,5,false)="","Y","N")</f>
        <v>Y</v>
      </c>
      <c r="J316" s="12" t="str">
        <f>if(vlookup(B:B,'ILC2203'!B282:F8481,5,false)="","Y","N")</f>
        <v>Y</v>
      </c>
      <c r="K316" s="12" t="str">
        <f>if(vlookup(B:B,'ILC2206'!B267:H370,5,false)="","Y","N")</f>
        <v>Y</v>
      </c>
      <c r="L316" s="12" t="str">
        <f>if(vlookup(B:B,'ILC2303'!B319:F8758,5,false)="","Y","N")</f>
        <v>N</v>
      </c>
      <c r="M316" s="12" t="str">
        <f>if(vlookup(B:B,'ILC2307'!B319:F9274,5,false)="","Y","N")</f>
        <v>Y</v>
      </c>
      <c r="N316" s="12" t="str">
        <f>if(vlookup(B:B,'ILC2313'!B319:F8913,5,false)="","Y","N")</f>
        <v>Y</v>
      </c>
      <c r="O316" s="12" t="str">
        <f>if(vlookup(B:B,'ILC2412'!B319:F8758,5,false)="","Y","N")</f>
        <v>Y</v>
      </c>
      <c r="P316" s="12" t="str">
        <f>if(vlookup(B:B,'ILC2413'!B319:F9256,5,false)="","Y","N")</f>
        <v>Y</v>
      </c>
      <c r="Q316" s="12" t="str">
        <f>if(vlookup(B:B,'ILC3104'!B319:F8801,5,false)="","Y","N")</f>
        <v>Y</v>
      </c>
      <c r="R316" s="12" t="str">
        <f>if(vlookup(B:B,'ILC3310'!B151:F8740,5,false)="","Y","N")</f>
        <v>Y</v>
      </c>
      <c r="S316" s="12" t="str">
        <f>if(vlookup(B:B,'ILC3312'!B319:F8758,5,false)="","Y","N")</f>
        <v>Y</v>
      </c>
      <c r="T316" s="12" t="str">
        <f>if(vlookup(B:B,'ILC3413'!B288:F8683,5,false)="","Y","N")</f>
        <v>Y</v>
      </c>
      <c r="U316" s="12" t="str">
        <f>if(vlookup(B:B,'ILC3415'!B316:F8708,5,false)="","Y","N")</f>
        <v>Y</v>
      </c>
      <c r="V316" s="12" t="str">
        <f>if(vlookup(B:B,'ILC4406'!B251:F8677,5,false)="","Y","N")</f>
        <v>Y</v>
      </c>
      <c r="W316" s="12" t="str">
        <f>if(vlookup(B:B,'ILC4410'!B319:F8925,5,false)="","Y","N")</f>
        <v>Y</v>
      </c>
      <c r="X316" s="12" t="str">
        <f>if(vlookup(B:B,'JBV455'!B319:F9265,5,false)="","Y","N")</f>
        <v>Y</v>
      </c>
      <c r="Y316" s="12" t="str">
        <f>if(vlookup(B:B,'JBV462'!B319:F8758,5,false)="","Y","N")</f>
        <v>Y</v>
      </c>
      <c r="Z316" s="12" t="str">
        <f>if(vlookup(B:B,'JBV464'!B319:F8758,5,false)="","Y","N")</f>
        <v>Y</v>
      </c>
      <c r="AA316" s="12" t="str">
        <f>if(vlookup(B:B,'VDI208'!B251:F8758,5,false)="","Y","N")</f>
        <v>Y</v>
      </c>
      <c r="AB316" s="76" t="str">
        <f>if(vlookup(B:B,'STO2206'!B251:F8758,5,false)="","Y","N")</f>
        <v>Y</v>
      </c>
    </row>
    <row r="317">
      <c r="A317" s="67" t="str">
        <f t="shared" si="2"/>
        <v>Thu</v>
      </c>
      <c r="B317" s="69">
        <v>43762.0</v>
      </c>
      <c r="C317" s="12" t="str">
        <f>if(vlookup(B:B,'ILC1110'!$B182:F8759,5,false)="","Y","N")</f>
        <v>Y</v>
      </c>
      <c r="D317" s="12" t="str">
        <f>if(vlookup(B:B,'ILC1111'!$B182:F8766,5,false)="","Y","N")</f>
        <v>Y</v>
      </c>
      <c r="E317" s="12" t="str">
        <f>if(vlookup(B:B,'ILC1112'!$B182:F8759,5,false)="","Y","N")</f>
        <v>Y</v>
      </c>
      <c r="F317" s="12" t="str">
        <f>if(vlookup(B:B,'ILC1211'!B320:F8759,5,false)="","Y","N")</f>
        <v>Y</v>
      </c>
      <c r="G317" s="12" t="str">
        <f>if(vlookup(B:B,'ILC1213'!$B247:G8759,5,false)="","Y","N")</f>
        <v>Y</v>
      </c>
      <c r="H317" s="12" t="str">
        <f>if(vlookup(B:B,'ILC1314'!$B246:G1059,5,false)="","Y","N")</f>
        <v>Y</v>
      </c>
      <c r="I317" s="12" t="str">
        <f>if(vlookup(B:B,'ILC1404'!B320:F8482,5,false)="","Y","N")</f>
        <v>Y</v>
      </c>
      <c r="J317" s="12" t="str">
        <f>if(vlookup(B:B,'ILC2203'!B283:F8482,5,false)="","Y","N")</f>
        <v>Y</v>
      </c>
      <c r="K317" s="12" t="str">
        <f>if(vlookup(B:B,'ILC2206'!B268:H370,5,false)="","Y","N")</f>
        <v>Y</v>
      </c>
      <c r="L317" s="12" t="str">
        <f>if(vlookup(B:B,'ILC2303'!B320:F8759,5,false)="","Y","N")</f>
        <v>N</v>
      </c>
      <c r="M317" s="12" t="str">
        <f>if(vlookup(B:B,'ILC2307'!B320:F9275,5,false)="","Y","N")</f>
        <v>Y</v>
      </c>
      <c r="N317" s="12" t="str">
        <f>if(vlookup(B:B,'ILC2313'!B320:F8914,5,false)="","Y","N")</f>
        <v>Y</v>
      </c>
      <c r="O317" s="12" t="str">
        <f>if(vlookup(B:B,'ILC2412'!B320:F8759,5,false)="","Y","N")</f>
        <v>Y</v>
      </c>
      <c r="P317" s="12" t="str">
        <f>if(vlookup(B:B,'ILC2413'!B320:F9257,5,false)="","Y","N")</f>
        <v>Y</v>
      </c>
      <c r="Q317" s="12" t="str">
        <f>if(vlookup(B:B,'ILC3104'!B320:F8802,5,false)="","Y","N")</f>
        <v>Y</v>
      </c>
      <c r="R317" s="12" t="str">
        <f>if(vlookup(B:B,'ILC3310'!B152:F8741,5,false)="","Y","N")</f>
        <v>Y</v>
      </c>
      <c r="S317" s="12" t="str">
        <f>if(vlookup(B:B,'ILC3312'!B320:F8759,5,false)="","Y","N")</f>
        <v>Y</v>
      </c>
      <c r="T317" s="12" t="str">
        <f>if(vlookup(B:B,'ILC3413'!B289:F8684,5,false)="","Y","N")</f>
        <v>Y</v>
      </c>
      <c r="U317" s="12" t="str">
        <f>if(vlookup(B:B,'ILC3415'!B317:F8709,5,false)="","Y","N")</f>
        <v>Y</v>
      </c>
      <c r="V317" s="12" t="str">
        <f>if(vlookup(B:B,'ILC4406'!B252:F8678,5,false)="","Y","N")</f>
        <v>Y</v>
      </c>
      <c r="W317" s="12" t="str">
        <f>if(vlookup(B:B,'ILC4410'!B320:F8926,5,false)="","Y","N")</f>
        <v>Y</v>
      </c>
      <c r="X317" s="12" t="str">
        <f>if(vlookup(B:B,'JBV455'!B320:F9266,5,false)="","Y","N")</f>
        <v>Y</v>
      </c>
      <c r="Y317" s="12" t="str">
        <f>if(vlookup(B:B,'JBV462'!B320:F8759,5,false)="","Y","N")</f>
        <v>Y</v>
      </c>
      <c r="Z317" s="12" t="str">
        <f>if(vlookup(B:B,'JBV464'!B320:F8759,5,false)="","Y","N")</f>
        <v>Y</v>
      </c>
      <c r="AA317" s="12" t="str">
        <f>if(vlookup(B:B,'VDI208'!B252:F8759,5,false)="","Y","N")</f>
        <v>Y</v>
      </c>
      <c r="AB317" s="76" t="str">
        <f>if(vlookup(B:B,'STO2206'!B252:F8759,5,false)="","Y","N")</f>
        <v>Y</v>
      </c>
    </row>
    <row r="318">
      <c r="A318" s="67" t="str">
        <f t="shared" si="2"/>
        <v>Fri</v>
      </c>
      <c r="B318" s="69">
        <v>43763.0</v>
      </c>
      <c r="C318" s="12" t="str">
        <f>if(vlookup(B:B,'ILC1110'!$B183:F8760,5,false)="","Y","N")</f>
        <v>Y</v>
      </c>
      <c r="D318" s="12" t="str">
        <f>if(vlookup(B:B,'ILC1111'!$B183:F8767,5,false)="","Y","N")</f>
        <v>Y</v>
      </c>
      <c r="E318" s="12" t="str">
        <f>if(vlookup(B:B,'ILC1112'!$B183:F8760,5,false)="","Y","N")</f>
        <v>Y</v>
      </c>
      <c r="F318" s="12" t="str">
        <f>if(vlookup(B:B,'ILC1211'!B321:F8760,5,false)="","Y","N")</f>
        <v>Y</v>
      </c>
      <c r="G318" s="12" t="str">
        <f>if(vlookup(B:B,'ILC1213'!$B248:G8760,5,false)="","Y","N")</f>
        <v>Y</v>
      </c>
      <c r="H318" s="12" t="str">
        <f>if(vlookup(B:B,'ILC1314'!$B247:G1060,5,false)="","Y","N")</f>
        <v>Y</v>
      </c>
      <c r="I318" s="12" t="str">
        <f>if(vlookup(B:B,'ILC1404'!B321:F8483,5,false)="","Y","N")</f>
        <v>Y</v>
      </c>
      <c r="J318" s="12" t="str">
        <f>if(vlookup(B:B,'ILC2203'!B284:F8483,5,false)="","Y","N")</f>
        <v>Y</v>
      </c>
      <c r="K318" s="12" t="str">
        <f>if(vlookup(B:B,'ILC2206'!B269:H370,5,false)="","Y","N")</f>
        <v>Y</v>
      </c>
      <c r="L318" s="12" t="str">
        <f>if(vlookup(B:B,'ILC2303'!B321:F8760,5,false)="","Y","N")</f>
        <v>N</v>
      </c>
      <c r="M318" s="12" t="str">
        <f>if(vlookup(B:B,'ILC2307'!B321:F9276,5,false)="","Y","N")</f>
        <v>Y</v>
      </c>
      <c r="N318" s="12" t="str">
        <f>if(vlookup(B:B,'ILC2313'!B321:F8915,5,false)="","Y","N")</f>
        <v>Y</v>
      </c>
      <c r="O318" s="12" t="str">
        <f>if(vlookup(B:B,'ILC2412'!B321:F8760,5,false)="","Y","N")</f>
        <v>Y</v>
      </c>
      <c r="P318" s="12" t="str">
        <f>if(vlookup(B:B,'ILC2413'!B321:F9258,5,false)="","Y","N")</f>
        <v>Y</v>
      </c>
      <c r="Q318" s="12" t="str">
        <f>if(vlookup(B:B,'ILC3104'!B321:F8803,5,false)="","Y","N")</f>
        <v>Y</v>
      </c>
      <c r="R318" s="12" t="str">
        <f>if(vlookup(B:B,'ILC3310'!B153:F8742,5,false)="","Y","N")</f>
        <v>Y</v>
      </c>
      <c r="S318" s="12" t="str">
        <f>if(vlookup(B:B,'ILC3312'!B321:F8760,5,false)="","Y","N")</f>
        <v>Y</v>
      </c>
      <c r="T318" s="12" t="str">
        <f>if(vlookup(B:B,'ILC3413'!B290:F8685,5,false)="","Y","N")</f>
        <v>Y</v>
      </c>
      <c r="U318" s="12" t="str">
        <f>if(vlookup(B:B,'ILC3415'!B318:F8710,5,false)="","Y","N")</f>
        <v>Y</v>
      </c>
      <c r="V318" s="12" t="str">
        <f>if(vlookup(B:B,'ILC4406'!B253:F8679,5,false)="","Y","N")</f>
        <v>Y</v>
      </c>
      <c r="W318" s="12" t="str">
        <f>if(vlookup(B:B,'ILC4410'!B321:F8927,5,false)="","Y","N")</f>
        <v>Y</v>
      </c>
      <c r="X318" s="12" t="str">
        <f>if(vlookup(B:B,'JBV455'!B321:F9267,5,false)="","Y","N")</f>
        <v>Y</v>
      </c>
      <c r="Y318" s="12" t="str">
        <f>if(vlookup(B:B,'JBV462'!B321:F8760,5,false)="","Y","N")</f>
        <v>Y</v>
      </c>
      <c r="Z318" s="12" t="str">
        <f>if(vlookup(B:B,'JBV464'!B321:F8760,5,false)="","Y","N")</f>
        <v>Y</v>
      </c>
      <c r="AA318" s="12" t="str">
        <f>if(vlookup(B:B,'VDI208'!B253:F8760,5,false)="","Y","N")</f>
        <v>Y</v>
      </c>
      <c r="AB318" s="76" t="str">
        <f>if(vlookup(B:B,'STO2206'!B253:F8760,5,false)="","Y","N")</f>
        <v>Y</v>
      </c>
    </row>
    <row r="319">
      <c r="A319" s="67" t="str">
        <f t="shared" si="2"/>
        <v>Sat</v>
      </c>
      <c r="B319" s="69">
        <v>43764.0</v>
      </c>
      <c r="C319" s="12" t="str">
        <f>if(vlookup(B:B,'ILC1110'!$B184:F8761,5,false)="","Y","N")</f>
        <v>Y</v>
      </c>
      <c r="D319" s="12" t="str">
        <f>if(vlookup(B:B,'ILC1111'!$B184:F8768,5,false)="","Y","N")</f>
        <v>Y</v>
      </c>
      <c r="E319" s="12" t="str">
        <f>if(vlookup(B:B,'ILC1112'!$B184:F8761,5,false)="","Y","N")</f>
        <v>Y</v>
      </c>
      <c r="F319" s="12" t="str">
        <f>if(vlookup(B:B,'ILC1211'!B322:F8761,5,false)="","Y","N")</f>
        <v>Y</v>
      </c>
      <c r="G319" s="12" t="str">
        <f>if(vlookup(B:B,'ILC1213'!$B249:G8761,5,false)="","Y","N")</f>
        <v>Y</v>
      </c>
      <c r="H319" s="12" t="str">
        <f>if(vlookup(B:B,'ILC1314'!$B248:G1061,5,false)="","Y","N")</f>
        <v>Y</v>
      </c>
      <c r="I319" s="12" t="str">
        <f>if(vlookup(B:B,'ILC1404'!B322:F8484,5,false)="","Y","N")</f>
        <v>Y</v>
      </c>
      <c r="J319" s="12" t="str">
        <f>if(vlookup(B:B,'ILC2203'!B285:F8484,5,false)="","Y","N")</f>
        <v>Y</v>
      </c>
      <c r="K319" s="12" t="str">
        <f>if(vlookup(B:B,'ILC2206'!B270:H370,5,false)="","Y","N")</f>
        <v>Y</v>
      </c>
      <c r="L319" s="12" t="str">
        <f>if(vlookup(B:B,'ILC2303'!B322:F8761,5,false)="","Y","N")</f>
        <v>N</v>
      </c>
      <c r="M319" s="12" t="str">
        <f>if(vlookup(B:B,'ILC2307'!B322:F9277,5,false)="","Y","N")</f>
        <v>Y</v>
      </c>
      <c r="N319" s="12" t="str">
        <f>if(vlookup(B:B,'ILC2313'!B322:F8916,5,false)="","Y","N")</f>
        <v>Y</v>
      </c>
      <c r="O319" s="12" t="str">
        <f>if(vlookup(B:B,'ILC2412'!B322:F8761,5,false)="","Y","N")</f>
        <v>Y</v>
      </c>
      <c r="P319" s="12" t="str">
        <f>if(vlookup(B:B,'ILC2413'!B322:F9259,5,false)="","Y","N")</f>
        <v>Y</v>
      </c>
      <c r="Q319" s="12" t="str">
        <f>if(vlookup(B:B,'ILC3104'!B322:F8804,5,false)="","Y","N")</f>
        <v>Y</v>
      </c>
      <c r="R319" s="12" t="str">
        <f>if(vlookup(B:B,'ILC3310'!B154:F8743,5,false)="","Y","N")</f>
        <v>Y</v>
      </c>
      <c r="S319" s="12" t="str">
        <f>if(vlookup(B:B,'ILC3312'!B322:F8761,5,false)="","Y","N")</f>
        <v>Y</v>
      </c>
      <c r="T319" s="12" t="str">
        <f>if(vlookup(B:B,'ILC3413'!B291:F8686,5,false)="","Y","N")</f>
        <v>Y</v>
      </c>
      <c r="U319" s="12" t="str">
        <f>if(vlookup(B:B,'ILC3415'!B319:F8711,5,false)="","Y","N")</f>
        <v>Y</v>
      </c>
      <c r="V319" s="12" t="str">
        <f>if(vlookup(B:B,'ILC4406'!B254:F8680,5,false)="","Y","N")</f>
        <v>Y</v>
      </c>
      <c r="W319" s="12" t="str">
        <f>if(vlookup(B:B,'ILC4410'!B322:F8928,5,false)="","Y","N")</f>
        <v>Y</v>
      </c>
      <c r="X319" s="12" t="str">
        <f>if(vlookup(B:B,'JBV455'!B322:F9268,5,false)="","Y","N")</f>
        <v>Y</v>
      </c>
      <c r="Y319" s="12" t="str">
        <f>if(vlookup(B:B,'JBV462'!B322:F8761,5,false)="","Y","N")</f>
        <v>Y</v>
      </c>
      <c r="Z319" s="12" t="str">
        <f>if(vlookup(B:B,'JBV464'!B322:F8761,5,false)="","Y","N")</f>
        <v>Y</v>
      </c>
      <c r="AA319" s="12" t="str">
        <f>if(vlookup(B:B,'VDI208'!B254:F8761,5,false)="","Y","N")</f>
        <v>Y</v>
      </c>
      <c r="AB319" s="76" t="str">
        <f>if(vlookup(B:B,'STO2206'!B254:F8761,5,false)="","Y","N")</f>
        <v>Y</v>
      </c>
    </row>
    <row r="320">
      <c r="A320" s="67" t="str">
        <f t="shared" si="2"/>
        <v>Sun</v>
      </c>
      <c r="B320" s="69">
        <v>43765.0</v>
      </c>
      <c r="C320" s="12" t="str">
        <f>if(vlookup(B:B,'ILC1110'!$B185:F8762,5,false)="","Y","N")</f>
        <v>Y</v>
      </c>
      <c r="D320" s="12" t="str">
        <f>if(vlookup(B:B,'ILC1111'!$B185:F8769,5,false)="","Y","N")</f>
        <v>Y</v>
      </c>
      <c r="E320" s="12" t="str">
        <f>if(vlookup(B:B,'ILC1112'!$B185:F8762,5,false)="","Y","N")</f>
        <v>Y</v>
      </c>
      <c r="F320" s="12" t="str">
        <f>if(vlookup(B:B,'ILC1211'!B323:F8762,5,false)="","Y","N")</f>
        <v>Y</v>
      </c>
      <c r="G320" s="12" t="str">
        <f>if(vlookup(B:B,'ILC1213'!$B250:G8762,5,false)="","Y","N")</f>
        <v>Y</v>
      </c>
      <c r="H320" s="12" t="str">
        <f>if(vlookup(B:B,'ILC1314'!$B249:G1062,5,false)="","Y","N")</f>
        <v>Y</v>
      </c>
      <c r="I320" s="12" t="str">
        <f>if(vlookup(B:B,'ILC1404'!B323:F8485,5,false)="","Y","N")</f>
        <v>Y</v>
      </c>
      <c r="J320" s="12" t="str">
        <f>if(vlookup(B:B,'ILC2203'!B286:F8485,5,false)="","Y","N")</f>
        <v>Y</v>
      </c>
      <c r="K320" s="12" t="str">
        <f>if(vlookup(B:B,'ILC2206'!B271:H370,5,false)="","Y","N")</f>
        <v>Y</v>
      </c>
      <c r="L320" s="12" t="str">
        <f>if(vlookup(B:B,'ILC2303'!B323:F8762,5,false)="","Y","N")</f>
        <v>N</v>
      </c>
      <c r="M320" s="12" t="str">
        <f>if(vlookup(B:B,'ILC2307'!B323:F9278,5,false)="","Y","N")</f>
        <v>Y</v>
      </c>
      <c r="N320" s="12" t="str">
        <f>if(vlookup(B:B,'ILC2313'!B323:F8917,5,false)="","Y","N")</f>
        <v>Y</v>
      </c>
      <c r="O320" s="12" t="str">
        <f>if(vlookup(B:B,'ILC2412'!B323:F8762,5,false)="","Y","N")</f>
        <v>Y</v>
      </c>
      <c r="P320" s="12" t="str">
        <f>if(vlookup(B:B,'ILC2413'!B323:F9260,5,false)="","Y","N")</f>
        <v>Y</v>
      </c>
      <c r="Q320" s="12" t="str">
        <f>if(vlookup(B:B,'ILC3104'!B323:F8805,5,false)="","Y","N")</f>
        <v>Y</v>
      </c>
      <c r="R320" s="12" t="str">
        <f>if(vlookup(B:B,'ILC3310'!B155:F8744,5,false)="","Y","N")</f>
        <v>Y</v>
      </c>
      <c r="S320" s="12" t="str">
        <f>if(vlookup(B:B,'ILC3312'!B323:F8762,5,false)="","Y","N")</f>
        <v>Y</v>
      </c>
      <c r="T320" s="12" t="str">
        <f>if(vlookup(B:B,'ILC3413'!B292:F8687,5,false)="","Y","N")</f>
        <v>Y</v>
      </c>
      <c r="U320" s="12" t="str">
        <f>if(vlookup(B:B,'ILC3415'!B320:F8712,5,false)="","Y","N")</f>
        <v>Y</v>
      </c>
      <c r="V320" s="12" t="str">
        <f>if(vlookup(B:B,'ILC4406'!B255:F8681,5,false)="","Y","N")</f>
        <v>Y</v>
      </c>
      <c r="W320" s="12" t="str">
        <f>if(vlookup(B:B,'ILC4410'!B323:F8929,5,false)="","Y","N")</f>
        <v>Y</v>
      </c>
      <c r="X320" s="12" t="str">
        <f>if(vlookup(B:B,'JBV455'!B323:F9269,5,false)="","Y","N")</f>
        <v>Y</v>
      </c>
      <c r="Y320" s="12" t="str">
        <f>if(vlookup(B:B,'JBV462'!B323:F8762,5,false)="","Y","N")</f>
        <v>Y</v>
      </c>
      <c r="Z320" s="12" t="str">
        <f>if(vlookup(B:B,'JBV464'!B323:F8762,5,false)="","Y","N")</f>
        <v>Y</v>
      </c>
      <c r="AA320" s="12" t="str">
        <f>if(vlookup(B:B,'VDI208'!B255:F8762,5,false)="","Y","N")</f>
        <v>Y</v>
      </c>
      <c r="AB320" s="76" t="str">
        <f>if(vlookup(B:B,'STO2206'!B255:F8762,5,false)="","Y","N")</f>
        <v>Y</v>
      </c>
    </row>
    <row r="321">
      <c r="A321" s="67" t="str">
        <f t="shared" si="2"/>
        <v>Mon</v>
      </c>
      <c r="B321" s="69">
        <v>43766.0</v>
      </c>
      <c r="C321" s="12" t="str">
        <f>if(vlookup(B:B,'ILC1110'!$B186:F8763,5,false)="","Y","N")</f>
        <v>Y</v>
      </c>
      <c r="D321" s="12" t="str">
        <f>if(vlookup(B:B,'ILC1111'!$B186:F8770,5,false)="","Y","N")</f>
        <v>Y</v>
      </c>
      <c r="E321" s="12" t="str">
        <f>if(vlookup(B:B,'ILC1112'!$B186:F8763,5,false)="","Y","N")</f>
        <v>Y</v>
      </c>
      <c r="F321" s="12" t="str">
        <f>if(vlookup(B:B,'ILC1211'!B324:F8763,5,false)="","Y","N")</f>
        <v>Y</v>
      </c>
      <c r="G321" s="12" t="str">
        <f>if(vlookup(B:B,'ILC1213'!$B251:G8763,5,false)="","Y","N")</f>
        <v>Y</v>
      </c>
      <c r="H321" s="12" t="str">
        <f>if(vlookup(B:B,'ILC1314'!$B250:G1063,5,false)="","Y","N")</f>
        <v>Y</v>
      </c>
      <c r="I321" s="12" t="str">
        <f>if(vlookup(B:B,'ILC1404'!B324:F8486,5,false)="","Y","N")</f>
        <v>Y</v>
      </c>
      <c r="J321" s="12" t="str">
        <f>if(vlookup(B:B,'ILC2203'!B287:F8486,5,false)="","Y","N")</f>
        <v>Y</v>
      </c>
      <c r="K321" s="12" t="str">
        <f>if(vlookup(B:B,'ILC2206'!B272:H370,5,false)="","Y","N")</f>
        <v>Y</v>
      </c>
      <c r="L321" s="12" t="str">
        <f>if(vlookup(B:B,'ILC2303'!B324:F8763,5,false)="","Y","N")</f>
        <v>N</v>
      </c>
      <c r="M321" s="12" t="str">
        <f>if(vlookup(B:B,'ILC2307'!B324:F9279,5,false)="","Y","N")</f>
        <v>Y</v>
      </c>
      <c r="N321" s="12" t="str">
        <f>if(vlookup(B:B,'ILC2313'!B324:F8918,5,false)="","Y","N")</f>
        <v>Y</v>
      </c>
      <c r="O321" s="12" t="str">
        <f>if(vlookup(B:B,'ILC2412'!B324:F8763,5,false)="","Y","N")</f>
        <v>Y</v>
      </c>
      <c r="P321" s="12" t="str">
        <f>if(vlookup(B:B,'ILC2413'!B324:F9261,5,false)="","Y","N")</f>
        <v>Y</v>
      </c>
      <c r="Q321" s="12" t="str">
        <f>if(vlookup(B:B,'ILC3104'!B324:F8806,5,false)="","Y","N")</f>
        <v>Y</v>
      </c>
      <c r="R321" s="12" t="str">
        <f>if(vlookup(B:B,'ILC3310'!B156:F8745,5,false)="","Y","N")</f>
        <v>Y</v>
      </c>
      <c r="S321" s="12" t="str">
        <f>if(vlookup(B:B,'ILC3312'!B324:F8763,5,false)="","Y","N")</f>
        <v>Y</v>
      </c>
      <c r="T321" s="12" t="str">
        <f>if(vlookup(B:B,'ILC3413'!B293:F8688,5,false)="","Y","N")</f>
        <v>Y</v>
      </c>
      <c r="U321" s="12" t="str">
        <f>if(vlookup(B:B,'ILC3415'!B321:F8713,5,false)="","Y","N")</f>
        <v>Y</v>
      </c>
      <c r="V321" s="12" t="str">
        <f>if(vlookup(B:B,'ILC4406'!B256:F8682,5,false)="","Y","N")</f>
        <v>Y</v>
      </c>
      <c r="W321" s="12" t="str">
        <f>if(vlookup(B:B,'ILC4410'!B324:F8930,5,false)="","Y","N")</f>
        <v>Y</v>
      </c>
      <c r="X321" s="12" t="str">
        <f>if(vlookup(B:B,'JBV455'!B324:F9270,5,false)="","Y","N")</f>
        <v>Y</v>
      </c>
      <c r="Y321" s="12" t="str">
        <f>if(vlookup(B:B,'JBV462'!B324:F8763,5,false)="","Y","N")</f>
        <v>Y</v>
      </c>
      <c r="Z321" s="12" t="str">
        <f>if(vlookup(B:B,'JBV464'!B324:F8763,5,false)="","Y","N")</f>
        <v>Y</v>
      </c>
      <c r="AA321" s="12" t="str">
        <f>if(vlookup(B:B,'VDI208'!B256:F8763,5,false)="","Y","N")</f>
        <v>Y</v>
      </c>
      <c r="AB321" s="76" t="str">
        <f>if(vlookup(B:B,'STO2206'!B256:F8763,5,false)="","Y","N")</f>
        <v>Y</v>
      </c>
    </row>
    <row r="322">
      <c r="A322" s="67" t="str">
        <f t="shared" si="2"/>
        <v>Tue</v>
      </c>
      <c r="B322" s="69">
        <v>43767.0</v>
      </c>
      <c r="C322" s="12" t="str">
        <f>if(vlookup(B:B,'ILC1110'!$B187:F8764,5,false)="","Y","N")</f>
        <v>Y</v>
      </c>
      <c r="D322" s="12" t="str">
        <f>if(vlookup(B:B,'ILC1111'!$B187:F8771,5,false)="","Y","N")</f>
        <v>Y</v>
      </c>
      <c r="E322" s="12" t="str">
        <f>if(vlookup(B:B,'ILC1112'!$B187:F8764,5,false)="","Y","N")</f>
        <v>Y</v>
      </c>
      <c r="F322" s="12" t="str">
        <f>if(vlookup(B:B,'ILC1211'!B325:F8764,5,false)="","Y","N")</f>
        <v>Y</v>
      </c>
      <c r="G322" s="12" t="str">
        <f>if(vlookup(B:B,'ILC1213'!$B252:G8764,5,false)="","Y","N")</f>
        <v>Y</v>
      </c>
      <c r="H322" s="12" t="str">
        <f>if(vlookup(B:B,'ILC1314'!$B251:G1064,5,false)="","Y","N")</f>
        <v>Y</v>
      </c>
      <c r="I322" s="12" t="str">
        <f>if(vlookup(B:B,'ILC1404'!B325:F8487,5,false)="","Y","N")</f>
        <v>Y</v>
      </c>
      <c r="J322" s="12" t="str">
        <f>if(vlookup(B:B,'ILC2203'!B288:F8487,5,false)="","Y","N")</f>
        <v>Y</v>
      </c>
      <c r="K322" s="12" t="str">
        <f>if(vlookup(B:B,'ILC2206'!B273:H370,5,false)="","Y","N")</f>
        <v>Y</v>
      </c>
      <c r="L322" s="12" t="str">
        <f>if(vlookup(B:B,'ILC2303'!B325:F8764,5,false)="","Y","N")</f>
        <v>N</v>
      </c>
      <c r="M322" s="12" t="str">
        <f>if(vlookup(B:B,'ILC2307'!B325:F9280,5,false)="","Y","N")</f>
        <v>Y</v>
      </c>
      <c r="N322" s="12" t="str">
        <f>if(vlookup(B:B,'ILC2313'!B325:F8919,5,false)="","Y","N")</f>
        <v>Y</v>
      </c>
      <c r="O322" s="12" t="str">
        <f>if(vlookup(B:B,'ILC2412'!B325:F8764,5,false)="","Y","N")</f>
        <v>Y</v>
      </c>
      <c r="P322" s="12" t="str">
        <f>if(vlookup(B:B,'ILC2413'!B325:F9262,5,false)="","Y","N")</f>
        <v>Y</v>
      </c>
      <c r="Q322" s="12" t="str">
        <f>if(vlookup(B:B,'ILC3104'!B325:F8807,5,false)="","Y","N")</f>
        <v>Y</v>
      </c>
      <c r="R322" s="12" t="str">
        <f>if(vlookup(B:B,'ILC3310'!B157:F8746,5,false)="","Y","N")</f>
        <v>Y</v>
      </c>
      <c r="S322" s="12" t="str">
        <f>if(vlookup(B:B,'ILC3312'!B325:F8764,5,false)="","Y","N")</f>
        <v>Y</v>
      </c>
      <c r="T322" s="12" t="str">
        <f>if(vlookup(B:B,'ILC3413'!B294:F8689,5,false)="","Y","N")</f>
        <v>Y</v>
      </c>
      <c r="U322" s="12" t="str">
        <f>if(vlookup(B:B,'ILC3415'!B322:F8714,5,false)="","Y","N")</f>
        <v>Y</v>
      </c>
      <c r="V322" s="12" t="str">
        <f>if(vlookup(B:B,'ILC4406'!B257:F8683,5,false)="","Y","N")</f>
        <v>Y</v>
      </c>
      <c r="W322" s="12" t="str">
        <f>if(vlookup(B:B,'ILC4410'!B325:F8931,5,false)="","Y","N")</f>
        <v>Y</v>
      </c>
      <c r="X322" s="12" t="str">
        <f>if(vlookup(B:B,'JBV455'!B325:F9271,5,false)="","Y","N")</f>
        <v>Y</v>
      </c>
      <c r="Y322" s="12" t="str">
        <f>if(vlookup(B:B,'JBV462'!B325:F8764,5,false)="","Y","N")</f>
        <v>Y</v>
      </c>
      <c r="Z322" s="12" t="str">
        <f>if(vlookup(B:B,'JBV464'!B325:F8764,5,false)="","Y","N")</f>
        <v>Y</v>
      </c>
      <c r="AA322" s="12" t="str">
        <f>if(vlookup(B:B,'VDI208'!B257:F8764,5,false)="","Y","N")</f>
        <v>Y</v>
      </c>
      <c r="AB322" s="76" t="str">
        <f>if(vlookup(B:B,'STO2206'!B257:F8764,5,false)="","Y","N")</f>
        <v>Y</v>
      </c>
    </row>
    <row r="323">
      <c r="A323" s="67" t="str">
        <f t="shared" si="2"/>
        <v>Wed</v>
      </c>
      <c r="B323" s="69">
        <v>43768.0</v>
      </c>
      <c r="C323" s="12" t="str">
        <f>if(vlookup(B:B,'ILC1110'!$B188:F8765,5,false)="","Y","N")</f>
        <v>Y</v>
      </c>
      <c r="D323" s="12" t="str">
        <f>if(vlookup(B:B,'ILC1111'!$B188:F8772,5,false)="","Y","N")</f>
        <v>Y</v>
      </c>
      <c r="E323" s="12" t="str">
        <f>if(vlookup(B:B,'ILC1112'!$B188:F8765,5,false)="","Y","N")</f>
        <v>Y</v>
      </c>
      <c r="F323" s="12" t="str">
        <f>if(vlookup(B:B,'ILC1211'!B326:F8765,5,false)="","Y","N")</f>
        <v>Y</v>
      </c>
      <c r="G323" s="12" t="str">
        <f>if(vlookup(B:B,'ILC1213'!$B253:G8765,5,false)="","Y","N")</f>
        <v>Y</v>
      </c>
      <c r="H323" s="12" t="str">
        <f>if(vlookup(B:B,'ILC1314'!$B252:G1065,5,false)="","Y","N")</f>
        <v>Y</v>
      </c>
      <c r="I323" s="12" t="str">
        <f>if(vlookup(B:B,'ILC1404'!B326:F8488,5,false)="","Y","N")</f>
        <v>Y</v>
      </c>
      <c r="J323" s="12" t="str">
        <f>if(vlookup(B:B,'ILC2203'!B289:F8488,5,false)="","Y","N")</f>
        <v>Y</v>
      </c>
      <c r="K323" s="12" t="str">
        <f>if(vlookup(B:B,'ILC2206'!B274:H370,5,false)="","Y","N")</f>
        <v>Y</v>
      </c>
      <c r="L323" s="12" t="str">
        <f>if(vlookup(B:B,'ILC2303'!B326:F8765,5,false)="","Y","N")</f>
        <v>N</v>
      </c>
      <c r="M323" s="12" t="str">
        <f>if(vlookup(B:B,'ILC2307'!B326:F9281,5,false)="","Y","N")</f>
        <v>Y</v>
      </c>
      <c r="N323" s="12" t="str">
        <f>if(vlookup(B:B,'ILC2313'!B326:F8920,5,false)="","Y","N")</f>
        <v>Y</v>
      </c>
      <c r="O323" s="12" t="str">
        <f>if(vlookup(B:B,'ILC2412'!B326:F8765,5,false)="","Y","N")</f>
        <v>Y</v>
      </c>
      <c r="P323" s="12" t="str">
        <f>if(vlookup(B:B,'ILC2413'!B326:F9263,5,false)="","Y","N")</f>
        <v>Y</v>
      </c>
      <c r="Q323" s="12" t="str">
        <f>if(vlookup(B:B,'ILC3104'!B326:F8808,5,false)="","Y","N")</f>
        <v>Y</v>
      </c>
      <c r="R323" s="12" t="str">
        <f>if(vlookup(B:B,'ILC3310'!B158:F8747,5,false)="","Y","N")</f>
        <v>Y</v>
      </c>
      <c r="S323" s="12" t="str">
        <f>if(vlookup(B:B,'ILC3312'!B326:F8765,5,false)="","Y","N")</f>
        <v>Y</v>
      </c>
      <c r="T323" s="12" t="str">
        <f>if(vlookup(B:B,'ILC3413'!B295:F8690,5,false)="","Y","N")</f>
        <v>Y</v>
      </c>
      <c r="U323" s="12" t="str">
        <f>if(vlookup(B:B,'ILC3415'!B323:F8715,5,false)="","Y","N")</f>
        <v>Y</v>
      </c>
      <c r="V323" s="12" t="str">
        <f>if(vlookup(B:B,'ILC4406'!B258:F8684,5,false)="","Y","N")</f>
        <v>Y</v>
      </c>
      <c r="W323" s="12" t="str">
        <f>if(vlookup(B:B,'ILC4410'!B326:F8932,5,false)="","Y","N")</f>
        <v>Y</v>
      </c>
      <c r="X323" s="12" t="str">
        <f>if(vlookup(B:B,'JBV455'!B326:F9272,5,false)="","Y","N")</f>
        <v>Y</v>
      </c>
      <c r="Y323" s="12" t="str">
        <f>if(vlookup(B:B,'JBV462'!B326:F8765,5,false)="","Y","N")</f>
        <v>Y</v>
      </c>
      <c r="Z323" s="12" t="str">
        <f>if(vlookup(B:B,'JBV464'!B326:F8765,5,false)="","Y","N")</f>
        <v>Y</v>
      </c>
      <c r="AA323" s="12" t="str">
        <f>if(vlookup(B:B,'VDI208'!B258:F8765,5,false)="","Y","N")</f>
        <v>Y</v>
      </c>
      <c r="AB323" s="76" t="str">
        <f>if(vlookup(B:B,'STO2206'!B258:F8765,5,false)="","Y","N")</f>
        <v>Y</v>
      </c>
    </row>
    <row r="324">
      <c r="A324" s="67" t="str">
        <f t="shared" si="2"/>
        <v>Thu</v>
      </c>
      <c r="B324" s="69">
        <v>43769.0</v>
      </c>
      <c r="C324" s="12" t="str">
        <f>if(vlookup(B:B,'ILC1110'!$B189:F8766,5,false)="","Y","N")</f>
        <v>Y</v>
      </c>
      <c r="D324" s="12" t="str">
        <f>if(vlookup(B:B,'ILC1111'!$B189:F8773,5,false)="","Y","N")</f>
        <v>Y</v>
      </c>
      <c r="E324" s="12" t="str">
        <f>if(vlookup(B:B,'ILC1112'!$B189:F8766,5,false)="","Y","N")</f>
        <v>Y</v>
      </c>
      <c r="F324" s="12" t="str">
        <f>if(vlookup(B:B,'ILC1211'!B327:F8766,5,false)="","Y","N")</f>
        <v>Y</v>
      </c>
      <c r="G324" s="12" t="str">
        <f>if(vlookup(B:B,'ILC1213'!$B254:G8766,5,false)="","Y","N")</f>
        <v>Y</v>
      </c>
      <c r="H324" s="12" t="str">
        <f>if(vlookup(B:B,'ILC1314'!$B253:G1066,5,false)="","Y","N")</f>
        <v>Y</v>
      </c>
      <c r="I324" s="12" t="str">
        <f>if(vlookup(B:B,'ILC1404'!B327:F8489,5,false)="","Y","N")</f>
        <v>Y</v>
      </c>
      <c r="J324" s="12" t="str">
        <f>if(vlookup(B:B,'ILC2203'!B290:F8489,5,false)="","Y","N")</f>
        <v>Y</v>
      </c>
      <c r="K324" s="12" t="str">
        <f>if(vlookup(B:B,'ILC2206'!B275:H370,5,false)="","Y","N")</f>
        <v>Y</v>
      </c>
      <c r="L324" s="12" t="str">
        <f>if(vlookup(B:B,'ILC2303'!B327:F8766,5,false)="","Y","N")</f>
        <v>N</v>
      </c>
      <c r="M324" s="12" t="str">
        <f>if(vlookup(B:B,'ILC2307'!B327:F9282,5,false)="","Y","N")</f>
        <v>Y</v>
      </c>
      <c r="N324" s="12" t="str">
        <f>if(vlookup(B:B,'ILC2313'!B327:F8921,5,false)="","Y","N")</f>
        <v>Y</v>
      </c>
      <c r="O324" s="12" t="str">
        <f>if(vlookup(B:B,'ILC2412'!B327:F8766,5,false)="","Y","N")</f>
        <v>Y</v>
      </c>
      <c r="P324" s="12" t="str">
        <f>if(vlookup(B:B,'ILC2413'!B327:F9264,5,false)="","Y","N")</f>
        <v>Y</v>
      </c>
      <c r="Q324" s="12" t="str">
        <f>if(vlookup(B:B,'ILC3104'!B327:F8809,5,false)="","Y","N")</f>
        <v>Y</v>
      </c>
      <c r="R324" s="12" t="str">
        <f>if(vlookup(B:B,'ILC3310'!B159:F8748,5,false)="","Y","N")</f>
        <v>Y</v>
      </c>
      <c r="S324" s="12" t="str">
        <f>if(vlookup(B:B,'ILC3312'!B327:F8766,5,false)="","Y","N")</f>
        <v>Y</v>
      </c>
      <c r="T324" s="12" t="str">
        <f>if(vlookup(B:B,'ILC3413'!B296:F8691,5,false)="","Y","N")</f>
        <v>Y</v>
      </c>
      <c r="U324" s="12" t="str">
        <f>if(vlookup(B:B,'ILC3415'!B324:F8716,5,false)="","Y","N")</f>
        <v>Y</v>
      </c>
      <c r="V324" s="12" t="str">
        <f>if(vlookup(B:B,'ILC4406'!B259:F8685,5,false)="","Y","N")</f>
        <v>Y</v>
      </c>
      <c r="W324" s="12" t="str">
        <f>if(vlookup(B:B,'ILC4410'!B327:F8933,5,false)="","Y","N")</f>
        <v>Y</v>
      </c>
      <c r="X324" s="12" t="str">
        <f>if(vlookup(B:B,'JBV455'!B327:F9273,5,false)="","Y","N")</f>
        <v>Y</v>
      </c>
      <c r="Y324" s="12" t="str">
        <f>if(vlookup(B:B,'JBV462'!B327:F8766,5,false)="","Y","N")</f>
        <v>Y</v>
      </c>
      <c r="Z324" s="12" t="str">
        <f>if(vlookup(B:B,'JBV464'!B327:F8766,5,false)="","Y","N")</f>
        <v>Y</v>
      </c>
      <c r="AA324" s="12" t="str">
        <f>if(vlookup(B:B,'VDI208'!B259:F8766,5,false)="","Y","N")</f>
        <v>Y</v>
      </c>
      <c r="AB324" s="76" t="str">
        <f>if(vlookup(B:B,'STO2206'!B259:F8766,5,false)="","Y","N")</f>
        <v>Y</v>
      </c>
    </row>
    <row r="325">
      <c r="A325" s="67" t="str">
        <f t="shared" si="2"/>
        <v>Fri</v>
      </c>
      <c r="B325" s="69">
        <v>43770.0</v>
      </c>
      <c r="C325" s="12" t="str">
        <f>if(vlookup(B:B,'ILC1110'!$B190:F8767,5,false)="","Y","N")</f>
        <v>Y</v>
      </c>
      <c r="D325" s="12" t="str">
        <f>if(vlookup(B:B,'ILC1111'!$B190:F8774,5,false)="","Y","N")</f>
        <v>Y</v>
      </c>
      <c r="E325" s="12" t="str">
        <f>if(vlookup(B:B,'ILC1112'!$B190:F8767,5,false)="","Y","N")</f>
        <v>Y</v>
      </c>
      <c r="F325" s="12" t="str">
        <f>if(vlookup(B:B,'ILC1211'!B328:F8767,5,false)="","Y","N")</f>
        <v>Y</v>
      </c>
      <c r="G325" s="12" t="str">
        <f>if(vlookup(B:B,'ILC1213'!$B255:G8767,5,false)="","Y","N")</f>
        <v>Y</v>
      </c>
      <c r="H325" s="12" t="str">
        <f>if(vlookup(B:B,'ILC1314'!$B254:G1067,5,false)="","Y","N")</f>
        <v>Y</v>
      </c>
      <c r="I325" s="12" t="str">
        <f>if(vlookup(B:B,'ILC1404'!B328:F8490,5,false)="","Y","N")</f>
        <v>Y</v>
      </c>
      <c r="J325" s="12" t="str">
        <f>if(vlookup(B:B,'ILC2203'!B291:F8490,5,false)="","Y","N")</f>
        <v>Y</v>
      </c>
      <c r="K325" s="12" t="str">
        <f>if(vlookup(B:B,'ILC2206'!B276:H370,5,false)="","Y","N")</f>
        <v>Y</v>
      </c>
      <c r="L325" s="12" t="str">
        <f>if(vlookup(B:B,'ILC2303'!B328:F8767,5,false)="","Y","N")</f>
        <v>N</v>
      </c>
      <c r="M325" s="12" t="str">
        <f>if(vlookup(B:B,'ILC2307'!B328:F9283,5,false)="","Y","N")</f>
        <v>Y</v>
      </c>
      <c r="N325" s="12" t="str">
        <f>if(vlookup(B:B,'ILC2313'!B328:F8922,5,false)="","Y","N")</f>
        <v>Y</v>
      </c>
      <c r="O325" s="12" t="str">
        <f>if(vlookup(B:B,'ILC2412'!B328:F8767,5,false)="","Y","N")</f>
        <v>Y</v>
      </c>
      <c r="P325" s="12" t="str">
        <f>if(vlookup(B:B,'ILC2413'!B328:F9265,5,false)="","Y","N")</f>
        <v>Y</v>
      </c>
      <c r="Q325" s="12" t="str">
        <f>if(vlookup(B:B,'ILC3104'!B328:F8810,5,false)="","Y","N")</f>
        <v>Y</v>
      </c>
      <c r="R325" s="12" t="str">
        <f>if(vlookup(B:B,'ILC3310'!B160:F8749,5,false)="","Y","N")</f>
        <v>Y</v>
      </c>
      <c r="S325" s="12" t="str">
        <f>if(vlookup(B:B,'ILC3312'!B328:F8767,5,false)="","Y","N")</f>
        <v>Y</v>
      </c>
      <c r="T325" s="12" t="str">
        <f>if(vlookup(B:B,'ILC3413'!B297:F8692,5,false)="","Y","N")</f>
        <v>Y</v>
      </c>
      <c r="U325" s="12" t="str">
        <f>if(vlookup(B:B,'ILC3415'!B325:F8717,5,false)="","Y","N")</f>
        <v>Y</v>
      </c>
      <c r="V325" s="12" t="str">
        <f>if(vlookup(B:B,'ILC4406'!B260:F8686,5,false)="","Y","N")</f>
        <v>Y</v>
      </c>
      <c r="W325" s="12" t="str">
        <f>if(vlookup(B:B,'ILC4410'!B328:F8934,5,false)="","Y","N")</f>
        <v>Y</v>
      </c>
      <c r="X325" s="12" t="str">
        <f>if(vlookup(B:B,'JBV455'!B328:F9274,5,false)="","Y","N")</f>
        <v>Y</v>
      </c>
      <c r="Y325" s="12" t="str">
        <f>if(vlookup(B:B,'JBV462'!B328:F8767,5,false)="","Y","N")</f>
        <v>Y</v>
      </c>
      <c r="Z325" s="12" t="str">
        <f>if(vlookup(B:B,'JBV464'!B328:F8767,5,false)="","Y","N")</f>
        <v>Y</v>
      </c>
      <c r="AA325" s="12" t="str">
        <f>if(vlookup(B:B,'VDI208'!B260:F8767,5,false)="","Y","N")</f>
        <v>Y</v>
      </c>
      <c r="AB325" s="76" t="str">
        <f>if(vlookup(B:B,'STO2206'!B260:F8767,5,false)="","Y","N")</f>
        <v>Y</v>
      </c>
    </row>
    <row r="326">
      <c r="A326" s="67" t="str">
        <f t="shared" si="2"/>
        <v>Sat</v>
      </c>
      <c r="B326" s="69">
        <v>43771.0</v>
      </c>
      <c r="C326" s="12" t="str">
        <f>if(vlookup(B:B,'ILC1110'!$B191:F8768,5,false)="","Y","N")</f>
        <v>Y</v>
      </c>
      <c r="D326" s="12" t="str">
        <f>if(vlookup(B:B,'ILC1111'!$B191:F8775,5,false)="","Y","N")</f>
        <v>Y</v>
      </c>
      <c r="E326" s="12" t="str">
        <f>if(vlookup(B:B,'ILC1112'!$B191:F8768,5,false)="","Y","N")</f>
        <v>Y</v>
      </c>
      <c r="F326" s="12" t="str">
        <f>if(vlookup(B:B,'ILC1211'!B329:F8768,5,false)="","Y","N")</f>
        <v>Y</v>
      </c>
      <c r="G326" s="12" t="str">
        <f>if(vlookup(B:B,'ILC1213'!$B256:G8768,5,false)="","Y","N")</f>
        <v>Y</v>
      </c>
      <c r="H326" s="12" t="str">
        <f>if(vlookup(B:B,'ILC1314'!$B255:G1068,5,false)="","Y","N")</f>
        <v>Y</v>
      </c>
      <c r="I326" s="12" t="str">
        <f>if(vlookup(B:B,'ILC1404'!B329:F8491,5,false)="","Y","N")</f>
        <v>Y</v>
      </c>
      <c r="J326" s="12" t="str">
        <f>if(vlookup(B:B,'ILC2203'!B292:F8491,5,false)="","Y","N")</f>
        <v>Y</v>
      </c>
      <c r="K326" s="12" t="str">
        <f>if(vlookup(B:B,'ILC2206'!B277:H370,5,false)="","Y","N")</f>
        <v>Y</v>
      </c>
      <c r="L326" s="12" t="str">
        <f>if(vlookup(B:B,'ILC2303'!B329:F8768,5,false)="","Y","N")</f>
        <v>N</v>
      </c>
      <c r="M326" s="12" t="str">
        <f>if(vlookup(B:B,'ILC2307'!B329:F9284,5,false)="","Y","N")</f>
        <v>Y</v>
      </c>
      <c r="N326" s="12" t="str">
        <f>if(vlookup(B:B,'ILC2313'!B329:F8923,5,false)="","Y","N")</f>
        <v>Y</v>
      </c>
      <c r="O326" s="12" t="str">
        <f>if(vlookup(B:B,'ILC2412'!B329:F8768,5,false)="","Y","N")</f>
        <v>Y</v>
      </c>
      <c r="P326" s="12" t="str">
        <f>if(vlookup(B:B,'ILC2413'!B329:F9266,5,false)="","Y","N")</f>
        <v>Y</v>
      </c>
      <c r="Q326" s="12" t="str">
        <f>if(vlookup(B:B,'ILC3104'!B329:F8811,5,false)="","Y","N")</f>
        <v>Y</v>
      </c>
      <c r="R326" s="12" t="str">
        <f>if(vlookup(B:B,'ILC3310'!B161:F8750,5,false)="","Y","N")</f>
        <v>Y</v>
      </c>
      <c r="S326" s="12" t="str">
        <f>if(vlookup(B:B,'ILC3312'!B329:F8768,5,false)="","Y","N")</f>
        <v>Y</v>
      </c>
      <c r="T326" s="12" t="str">
        <f>if(vlookup(B:B,'ILC3413'!B298:F8693,5,false)="","Y","N")</f>
        <v>Y</v>
      </c>
      <c r="U326" s="12" t="str">
        <f>if(vlookup(B:B,'ILC3415'!B326:F8718,5,false)="","Y","N")</f>
        <v>Y</v>
      </c>
      <c r="V326" s="12" t="str">
        <f>if(vlookup(B:B,'ILC4406'!B261:F8687,5,false)="","Y","N")</f>
        <v>Y</v>
      </c>
      <c r="W326" s="12" t="str">
        <f>if(vlookup(B:B,'ILC4410'!B329:F8935,5,false)="","Y","N")</f>
        <v>Y</v>
      </c>
      <c r="X326" s="12" t="str">
        <f>if(vlookup(B:B,'JBV455'!B329:F9275,5,false)="","Y","N")</f>
        <v>Y</v>
      </c>
      <c r="Y326" s="12" t="str">
        <f>if(vlookup(B:B,'JBV462'!B329:F8768,5,false)="","Y","N")</f>
        <v>Y</v>
      </c>
      <c r="Z326" s="12" t="str">
        <f>if(vlookup(B:B,'JBV464'!B329:F8768,5,false)="","Y","N")</f>
        <v>Y</v>
      </c>
      <c r="AA326" s="12" t="str">
        <f>if(vlookup(B:B,'VDI208'!B261:F8768,5,false)="","Y","N")</f>
        <v>Y</v>
      </c>
      <c r="AB326" s="76" t="str">
        <f>if(vlookup(B:B,'STO2206'!B261:F8768,5,false)="","Y","N")</f>
        <v>Y</v>
      </c>
    </row>
    <row r="327">
      <c r="A327" s="67" t="str">
        <f t="shared" si="2"/>
        <v>Sun</v>
      </c>
      <c r="B327" s="69">
        <v>43772.0</v>
      </c>
      <c r="C327" s="12" t="str">
        <f>if(vlookup(B:B,'ILC1110'!$B192:F8769,5,false)="","Y","N")</f>
        <v>Y</v>
      </c>
      <c r="D327" s="12" t="str">
        <f>if(vlookup(B:B,'ILC1111'!$B192:F8776,5,false)="","Y","N")</f>
        <v>Y</v>
      </c>
      <c r="E327" s="12" t="str">
        <f>if(vlookup(B:B,'ILC1112'!$B192:F8769,5,false)="","Y","N")</f>
        <v>Y</v>
      </c>
      <c r="F327" s="12" t="str">
        <f>if(vlookup(B:B,'ILC1211'!B330:F8769,5,false)="","Y","N")</f>
        <v>Y</v>
      </c>
      <c r="G327" s="12" t="str">
        <f>if(vlookup(B:B,'ILC1213'!$B257:G8769,5,false)="","Y","N")</f>
        <v>Y</v>
      </c>
      <c r="H327" s="12" t="str">
        <f>if(vlookup(B:B,'ILC1314'!$B256:G1069,5,false)="","Y","N")</f>
        <v>Y</v>
      </c>
      <c r="I327" s="12" t="str">
        <f>if(vlookup(B:B,'ILC1404'!B330:F8492,5,false)="","Y","N")</f>
        <v>Y</v>
      </c>
      <c r="J327" s="12" t="str">
        <f>if(vlookup(B:B,'ILC2203'!B293:F8492,5,false)="","Y","N")</f>
        <v>Y</v>
      </c>
      <c r="K327" s="12" t="str">
        <f>if(vlookup(B:B,'ILC2206'!B278:H370,5,false)="","Y","N")</f>
        <v>Y</v>
      </c>
      <c r="L327" s="12" t="str">
        <f>if(vlookup(B:B,'ILC2303'!B330:F8769,5,false)="","Y","N")</f>
        <v>N</v>
      </c>
      <c r="M327" s="12" t="str">
        <f>if(vlookup(B:B,'ILC2307'!B330:F9285,5,false)="","Y","N")</f>
        <v>Y</v>
      </c>
      <c r="N327" s="12" t="str">
        <f>if(vlookup(B:B,'ILC2313'!B330:F8924,5,false)="","Y","N")</f>
        <v>Y</v>
      </c>
      <c r="O327" s="12" t="str">
        <f>if(vlookup(B:B,'ILC2412'!B330:F8769,5,false)="","Y","N")</f>
        <v>Y</v>
      </c>
      <c r="P327" s="12" t="str">
        <f>if(vlookup(B:B,'ILC2413'!B330:F9267,5,false)="","Y","N")</f>
        <v>Y</v>
      </c>
      <c r="Q327" s="12" t="str">
        <f>if(vlookup(B:B,'ILC3104'!B330:F8812,5,false)="","Y","N")</f>
        <v>Y</v>
      </c>
      <c r="R327" s="12" t="str">
        <f>if(vlookup(B:B,'ILC3310'!B162:F8751,5,false)="","Y","N")</f>
        <v>Y</v>
      </c>
      <c r="S327" s="12" t="str">
        <f>if(vlookup(B:B,'ILC3312'!B330:F8769,5,false)="","Y","N")</f>
        <v>Y</v>
      </c>
      <c r="T327" s="12" t="str">
        <f>if(vlookup(B:B,'ILC3413'!B299:F8694,5,false)="","Y","N")</f>
        <v>Y</v>
      </c>
      <c r="U327" s="12" t="str">
        <f>if(vlookup(B:B,'ILC3415'!B327:F8719,5,false)="","Y","N")</f>
        <v>Y</v>
      </c>
      <c r="V327" s="12" t="str">
        <f>if(vlookup(B:B,'ILC4406'!B262:F8688,5,false)="","Y","N")</f>
        <v>Y</v>
      </c>
      <c r="W327" s="12" t="str">
        <f>if(vlookup(B:B,'ILC4410'!B330:F8936,5,false)="","Y","N")</f>
        <v>Y</v>
      </c>
      <c r="X327" s="12" t="str">
        <f>if(vlookup(B:B,'JBV455'!B330:F9276,5,false)="","Y","N")</f>
        <v>Y</v>
      </c>
      <c r="Y327" s="12" t="str">
        <f>if(vlookup(B:B,'JBV462'!B330:F8769,5,false)="","Y","N")</f>
        <v>Y</v>
      </c>
      <c r="Z327" s="12" t="str">
        <f>if(vlookup(B:B,'JBV464'!B330:F8769,5,false)="","Y","N")</f>
        <v>Y</v>
      </c>
      <c r="AA327" s="12" t="str">
        <f>if(vlookup(B:B,'VDI208'!B262:F8769,5,false)="","Y","N")</f>
        <v>Y</v>
      </c>
      <c r="AB327" s="76" t="str">
        <f>if(vlookup(B:B,'STO2206'!B262:F8769,5,false)="","Y","N")</f>
        <v>Y</v>
      </c>
    </row>
    <row r="328">
      <c r="A328" s="67" t="str">
        <f t="shared" si="2"/>
        <v>Mon</v>
      </c>
      <c r="B328" s="69">
        <v>43773.0</v>
      </c>
      <c r="C328" s="12" t="str">
        <f>if(vlookup(B:B,'ILC1110'!$B193:F8770,5,false)="","Y","N")</f>
        <v>Y</v>
      </c>
      <c r="D328" s="12" t="str">
        <f>if(vlookup(B:B,'ILC1111'!$B193:F8777,5,false)="","Y","N")</f>
        <v>Y</v>
      </c>
      <c r="E328" s="12" t="str">
        <f>if(vlookup(B:B,'ILC1112'!$B193:F8770,5,false)="","Y","N")</f>
        <v>Y</v>
      </c>
      <c r="F328" s="12" t="str">
        <f>if(vlookup(B:B,'ILC1211'!B331:F8770,5,false)="","Y","N")</f>
        <v>Y</v>
      </c>
      <c r="G328" s="12" t="str">
        <f>if(vlookup(B:B,'ILC1213'!$B258:G8770,5,false)="","Y","N")</f>
        <v>Y</v>
      </c>
      <c r="H328" s="12" t="str">
        <f>if(vlookup(B:B,'ILC1314'!$B257:G1070,5,false)="","Y","N")</f>
        <v>Y</v>
      </c>
      <c r="I328" s="12" t="str">
        <f>if(vlookup(B:B,'ILC1404'!B331:F8493,5,false)="","Y","N")</f>
        <v>Y</v>
      </c>
      <c r="J328" s="12" t="str">
        <f>if(vlookup(B:B,'ILC2203'!B294:F8493,5,false)="","Y","N")</f>
        <v>Y</v>
      </c>
      <c r="K328" s="12" t="str">
        <f>if(vlookup(B:B,'ILC2206'!B279:H370,5,false)="","Y","N")</f>
        <v>Y</v>
      </c>
      <c r="L328" s="12" t="str">
        <f>if(vlookup(B:B,'ILC2303'!B331:F8770,5,false)="","Y","N")</f>
        <v>N</v>
      </c>
      <c r="M328" s="12" t="str">
        <f>if(vlookup(B:B,'ILC2307'!B331:F9286,5,false)="","Y","N")</f>
        <v>Y</v>
      </c>
      <c r="N328" s="12" t="str">
        <f>if(vlookup(B:B,'ILC2313'!B331:F8925,5,false)="","Y","N")</f>
        <v>Y</v>
      </c>
      <c r="O328" s="12" t="str">
        <f>if(vlookup(B:B,'ILC2412'!B331:F8770,5,false)="","Y","N")</f>
        <v>Y</v>
      </c>
      <c r="P328" s="12" t="str">
        <f>if(vlookup(B:B,'ILC2413'!B331:F9268,5,false)="","Y","N")</f>
        <v>Y</v>
      </c>
      <c r="Q328" s="12" t="str">
        <f>if(vlookup(B:B,'ILC3104'!B331:F8813,5,false)="","Y","N")</f>
        <v>Y</v>
      </c>
      <c r="R328" s="12" t="str">
        <f>if(vlookup(B:B,'ILC3310'!B163:F8752,5,false)="","Y","N")</f>
        <v>Y</v>
      </c>
      <c r="S328" s="12" t="str">
        <f>if(vlookup(B:B,'ILC3312'!B331:F8770,5,false)="","Y","N")</f>
        <v>Y</v>
      </c>
      <c r="T328" s="12" t="str">
        <f>if(vlookup(B:B,'ILC3413'!B300:F8695,5,false)="","Y","N")</f>
        <v>Y</v>
      </c>
      <c r="U328" s="12" t="str">
        <f>if(vlookup(B:B,'ILC3415'!B328:F8720,5,false)="","Y","N")</f>
        <v>Y</v>
      </c>
      <c r="V328" s="12" t="str">
        <f>if(vlookup(B:B,'ILC4406'!B263:F8689,5,false)="","Y","N")</f>
        <v>Y</v>
      </c>
      <c r="W328" s="12" t="str">
        <f>if(vlookup(B:B,'ILC4410'!B331:F8937,5,false)="","Y","N")</f>
        <v>Y</v>
      </c>
      <c r="X328" s="12" t="str">
        <f>if(vlookup(B:B,'JBV455'!B331:F9277,5,false)="","Y","N")</f>
        <v>Y</v>
      </c>
      <c r="Y328" s="12" t="str">
        <f>if(vlookup(B:B,'JBV462'!B331:F8770,5,false)="","Y","N")</f>
        <v>Y</v>
      </c>
      <c r="Z328" s="12" t="str">
        <f>if(vlookup(B:B,'JBV464'!B331:F8770,5,false)="","Y","N")</f>
        <v>Y</v>
      </c>
      <c r="AA328" s="12" t="str">
        <f>if(vlookup(B:B,'VDI208'!B263:F8770,5,false)="","Y","N")</f>
        <v>Y</v>
      </c>
      <c r="AB328" s="76" t="str">
        <f>if(vlookup(B:B,'STO2206'!B263:F8770,5,false)="","Y","N")</f>
        <v>Y</v>
      </c>
    </row>
    <row r="329">
      <c r="A329" s="67" t="str">
        <f t="shared" si="2"/>
        <v>Tue</v>
      </c>
      <c r="B329" s="69">
        <v>43774.0</v>
      </c>
      <c r="C329" s="12" t="str">
        <f>if(vlookup(B:B,'ILC1110'!$B194:F8771,5,false)="","Y","N")</f>
        <v>Y</v>
      </c>
      <c r="D329" s="12" t="str">
        <f>if(vlookup(B:B,'ILC1111'!$B194:F8778,5,false)="","Y","N")</f>
        <v>Y</v>
      </c>
      <c r="E329" s="12" t="str">
        <f>if(vlookup(B:B,'ILC1112'!$B194:F8771,5,false)="","Y","N")</f>
        <v>Y</v>
      </c>
      <c r="F329" s="12" t="str">
        <f>if(vlookup(B:B,'ILC1211'!B332:F8771,5,false)="","Y","N")</f>
        <v>Y</v>
      </c>
      <c r="G329" s="12" t="str">
        <f>if(vlookup(B:B,'ILC1213'!$B259:G8771,5,false)="","Y","N")</f>
        <v>Y</v>
      </c>
      <c r="H329" s="12" t="str">
        <f>if(vlookup(B:B,'ILC1314'!$B258:G1071,5,false)="","Y","N")</f>
        <v>Y</v>
      </c>
      <c r="I329" s="12" t="str">
        <f>if(vlookup(B:B,'ILC1404'!B332:F8494,5,false)="","Y","N")</f>
        <v>Y</v>
      </c>
      <c r="J329" s="12" t="str">
        <f>if(vlookup(B:B,'ILC2203'!B295:F8494,5,false)="","Y","N")</f>
        <v>Y</v>
      </c>
      <c r="K329" s="12" t="str">
        <f>if(vlookup(B:B,'ILC2206'!B280:H370,5,false)="","Y","N")</f>
        <v>Y</v>
      </c>
      <c r="L329" s="12" t="str">
        <f>if(vlookup(B:B,'ILC2303'!B332:F8771,5,false)="","Y","N")</f>
        <v>N</v>
      </c>
      <c r="M329" s="12" t="str">
        <f>if(vlookup(B:B,'ILC2307'!B332:F9287,5,false)="","Y","N")</f>
        <v>Y</v>
      </c>
      <c r="N329" s="12" t="str">
        <f>if(vlookup(B:B,'ILC2313'!B332:F8926,5,false)="","Y","N")</f>
        <v>Y</v>
      </c>
      <c r="O329" s="12" t="str">
        <f>if(vlookup(B:B,'ILC2412'!B332:F8771,5,false)="","Y","N")</f>
        <v>Y</v>
      </c>
      <c r="P329" s="12" t="str">
        <f>if(vlookup(B:B,'ILC2413'!B332:F9269,5,false)="","Y","N")</f>
        <v>Y</v>
      </c>
      <c r="Q329" s="12" t="str">
        <f>if(vlookup(B:B,'ILC3104'!B332:F8814,5,false)="","Y","N")</f>
        <v>Y</v>
      </c>
      <c r="R329" s="12" t="str">
        <f>if(vlookup(B:B,'ILC3310'!B164:F8753,5,false)="","Y","N")</f>
        <v>Y</v>
      </c>
      <c r="S329" s="12" t="str">
        <f>if(vlookup(B:B,'ILC3312'!B332:F8771,5,false)="","Y","N")</f>
        <v>Y</v>
      </c>
      <c r="T329" s="12" t="str">
        <f>if(vlookup(B:B,'ILC3413'!B301:F8696,5,false)="","Y","N")</f>
        <v>Y</v>
      </c>
      <c r="U329" s="12" t="str">
        <f>if(vlookup(B:B,'ILC3415'!B329:F8721,5,false)="","Y","N")</f>
        <v>Y</v>
      </c>
      <c r="V329" s="12" t="str">
        <f>if(vlookup(B:B,'ILC4406'!B264:F8690,5,false)="","Y","N")</f>
        <v>Y</v>
      </c>
      <c r="W329" s="12" t="str">
        <f>if(vlookup(B:B,'ILC4410'!B332:F8938,5,false)="","Y","N")</f>
        <v>Y</v>
      </c>
      <c r="X329" s="12" t="str">
        <f>if(vlookup(B:B,'JBV455'!B332:F9278,5,false)="","Y","N")</f>
        <v>Y</v>
      </c>
      <c r="Y329" s="12" t="str">
        <f>if(vlookup(B:B,'JBV462'!B332:F8771,5,false)="","Y","N")</f>
        <v>Y</v>
      </c>
      <c r="Z329" s="12" t="str">
        <f>if(vlookup(B:B,'JBV464'!B332:F8771,5,false)="","Y","N")</f>
        <v>Y</v>
      </c>
      <c r="AA329" s="12" t="str">
        <f>if(vlookup(B:B,'VDI208'!B264:F8771,5,false)="","Y","N")</f>
        <v>Y</v>
      </c>
      <c r="AB329" s="76" t="str">
        <f>if(vlookup(B:B,'STO2206'!B264:F8771,5,false)="","Y","N")</f>
        <v>Y</v>
      </c>
    </row>
    <row r="330">
      <c r="A330" s="67" t="str">
        <f t="shared" si="2"/>
        <v>Wed</v>
      </c>
      <c r="B330" s="69">
        <v>43775.0</v>
      </c>
      <c r="C330" s="12" t="str">
        <f>if(vlookup(B:B,'ILC1110'!$B195:F8772,5,false)="","Y","N")</f>
        <v>Y</v>
      </c>
      <c r="D330" s="12" t="str">
        <f>if(vlookup(B:B,'ILC1111'!$B195:F8779,5,false)="","Y","N")</f>
        <v>Y</v>
      </c>
      <c r="E330" s="12" t="str">
        <f>if(vlookup(B:B,'ILC1112'!$B195:F8772,5,false)="","Y","N")</f>
        <v>Y</v>
      </c>
      <c r="F330" s="12" t="str">
        <f>if(vlookup(B:B,'ILC1211'!B333:F8772,5,false)="","Y","N")</f>
        <v>Y</v>
      </c>
      <c r="G330" s="12" t="str">
        <f>if(vlookup(B:B,'ILC1213'!$B260:G8772,5,false)="","Y","N")</f>
        <v>Y</v>
      </c>
      <c r="H330" s="12" t="str">
        <f>if(vlookup(B:B,'ILC1314'!$B259:G1072,5,false)="","Y","N")</f>
        <v>Y</v>
      </c>
      <c r="I330" s="12" t="str">
        <f>if(vlookup(B:B,'ILC1404'!B333:F8495,5,false)="","Y","N")</f>
        <v>Y</v>
      </c>
      <c r="J330" s="12" t="str">
        <f>if(vlookup(B:B,'ILC2203'!B296:F8495,5,false)="","Y","N")</f>
        <v>Y</v>
      </c>
      <c r="K330" s="12" t="str">
        <f>if(vlookup(B:B,'ILC2206'!B281:H370,5,false)="","Y","N")</f>
        <v>Y</v>
      </c>
      <c r="L330" s="12" t="str">
        <f>if(vlookup(B:B,'ILC2303'!B333:F8772,5,false)="","Y","N")</f>
        <v>N</v>
      </c>
      <c r="M330" s="12" t="str">
        <f>if(vlookup(B:B,'ILC2307'!B333:F9288,5,false)="","Y","N")</f>
        <v>Y</v>
      </c>
      <c r="N330" s="12" t="str">
        <f>if(vlookup(B:B,'ILC2313'!B333:F8927,5,false)="","Y","N")</f>
        <v>Y</v>
      </c>
      <c r="O330" s="12" t="str">
        <f>if(vlookup(B:B,'ILC2412'!B333:F8772,5,false)="","Y","N")</f>
        <v>Y</v>
      </c>
      <c r="P330" s="12" t="str">
        <f>if(vlookup(B:B,'ILC2413'!B333:F9270,5,false)="","Y","N")</f>
        <v>Y</v>
      </c>
      <c r="Q330" s="12" t="str">
        <f>if(vlookup(B:B,'ILC3104'!B333:F8815,5,false)="","Y","N")</f>
        <v>Y</v>
      </c>
      <c r="R330" s="12" t="str">
        <f>if(vlookup(B:B,'ILC3310'!B165:F8754,5,false)="","Y","N")</f>
        <v>Y</v>
      </c>
      <c r="S330" s="12" t="str">
        <f>if(vlookup(B:B,'ILC3312'!B333:F8772,5,false)="","Y","N")</f>
        <v>Y</v>
      </c>
      <c r="T330" s="12" t="str">
        <f>if(vlookup(B:B,'ILC3413'!B302:F8697,5,false)="","Y","N")</f>
        <v>Y</v>
      </c>
      <c r="U330" s="12" t="str">
        <f>if(vlookup(B:B,'ILC3415'!B330:F8722,5,false)="","Y","N")</f>
        <v>Y</v>
      </c>
      <c r="V330" s="12" t="str">
        <f>if(vlookup(B:B,'ILC4406'!B265:F8691,5,false)="","Y","N")</f>
        <v>Y</v>
      </c>
      <c r="W330" s="12" t="str">
        <f>if(vlookup(B:B,'ILC4410'!B333:F8939,5,false)="","Y","N")</f>
        <v>Y</v>
      </c>
      <c r="X330" s="12" t="str">
        <f>if(vlookup(B:B,'JBV455'!B333:F9279,5,false)="","Y","N")</f>
        <v>Y</v>
      </c>
      <c r="Y330" s="12" t="str">
        <f>if(vlookup(B:B,'JBV462'!B333:F8772,5,false)="","Y","N")</f>
        <v>Y</v>
      </c>
      <c r="Z330" s="12" t="str">
        <f>if(vlookup(B:B,'JBV464'!B333:F8772,5,false)="","Y","N")</f>
        <v>Y</v>
      </c>
      <c r="AA330" s="12" t="str">
        <f>if(vlookup(B:B,'VDI208'!B265:F8772,5,false)="","Y","N")</f>
        <v>Y</v>
      </c>
      <c r="AB330" s="76" t="str">
        <f>if(vlookup(B:B,'STO2206'!B265:F8772,5,false)="","Y","N")</f>
        <v>Y</v>
      </c>
    </row>
    <row r="331">
      <c r="A331" s="67" t="str">
        <f t="shared" si="2"/>
        <v>Thu</v>
      </c>
      <c r="B331" s="69">
        <v>43776.0</v>
      </c>
      <c r="C331" s="12" t="str">
        <f>if(vlookup(B:B,'ILC1110'!$B196:F8773,5,false)="","Y","N")</f>
        <v>Y</v>
      </c>
      <c r="D331" s="12" t="str">
        <f>if(vlookup(B:B,'ILC1111'!$B196:F8780,5,false)="","Y","N")</f>
        <v>Y</v>
      </c>
      <c r="E331" s="12" t="str">
        <f>if(vlookup(B:B,'ILC1112'!$B196:F8773,5,false)="","Y","N")</f>
        <v>Y</v>
      </c>
      <c r="F331" s="12" t="str">
        <f>if(vlookup(B:B,'ILC1211'!B334:F8773,5,false)="","Y","N")</f>
        <v>Y</v>
      </c>
      <c r="G331" s="12" t="str">
        <f>if(vlookup(B:B,'ILC1213'!$B261:G8773,5,false)="","Y","N")</f>
        <v>Y</v>
      </c>
      <c r="H331" s="12" t="str">
        <f>if(vlookup(B:B,'ILC1314'!$B260:G1073,5,false)="","Y","N")</f>
        <v>Y</v>
      </c>
      <c r="I331" s="12" t="str">
        <f>if(vlookup(B:B,'ILC1404'!B334:F8496,5,false)="","Y","N")</f>
        <v>Y</v>
      </c>
      <c r="J331" s="12" t="str">
        <f>if(vlookup(B:B,'ILC2203'!B297:F8496,5,false)="","Y","N")</f>
        <v>Y</v>
      </c>
      <c r="K331" s="12" t="str">
        <f>if(vlookup(B:B,'ILC2206'!B282:H370,5,false)="","Y","N")</f>
        <v>Y</v>
      </c>
      <c r="L331" s="12" t="str">
        <f>if(vlookup(B:B,'ILC2303'!B334:F8773,5,false)="","Y","N")</f>
        <v>N</v>
      </c>
      <c r="M331" s="12" t="str">
        <f>if(vlookup(B:B,'ILC2307'!B334:F9289,5,false)="","Y","N")</f>
        <v>Y</v>
      </c>
      <c r="N331" s="12" t="str">
        <f>if(vlookup(B:B,'ILC2313'!B334:F8928,5,false)="","Y","N")</f>
        <v>Y</v>
      </c>
      <c r="O331" s="12" t="str">
        <f>if(vlookup(B:B,'ILC2412'!B334:F8773,5,false)="","Y","N")</f>
        <v>Y</v>
      </c>
      <c r="P331" s="12" t="str">
        <f>if(vlookup(B:B,'ILC2413'!B334:F9271,5,false)="","Y","N")</f>
        <v>Y</v>
      </c>
      <c r="Q331" s="12" t="str">
        <f>if(vlookup(B:B,'ILC3104'!B334:F8816,5,false)="","Y","N")</f>
        <v>Y</v>
      </c>
      <c r="R331" s="12" t="str">
        <f>if(vlookup(B:B,'ILC3310'!B166:F8755,5,false)="","Y","N")</f>
        <v>Y</v>
      </c>
      <c r="S331" s="12" t="str">
        <f>if(vlookup(B:B,'ILC3312'!B334:F8773,5,false)="","Y","N")</f>
        <v>Y</v>
      </c>
      <c r="T331" s="12" t="str">
        <f>if(vlookup(B:B,'ILC3413'!B303:F8698,5,false)="","Y","N")</f>
        <v>Y</v>
      </c>
      <c r="U331" s="12" t="str">
        <f>if(vlookup(B:B,'ILC3415'!B331:F8723,5,false)="","Y","N")</f>
        <v>Y</v>
      </c>
      <c r="V331" s="12" t="str">
        <f>if(vlookup(B:B,'ILC4406'!B266:F8692,5,false)="","Y","N")</f>
        <v>Y</v>
      </c>
      <c r="W331" s="12" t="str">
        <f>if(vlookup(B:B,'ILC4410'!B334:F8940,5,false)="","Y","N")</f>
        <v>Y</v>
      </c>
      <c r="X331" s="12" t="str">
        <f>if(vlookup(B:B,'JBV455'!B334:F9280,5,false)="","Y","N")</f>
        <v>Y</v>
      </c>
      <c r="Y331" s="12" t="str">
        <f>if(vlookup(B:B,'JBV462'!B334:F8773,5,false)="","Y","N")</f>
        <v>Y</v>
      </c>
      <c r="Z331" s="12" t="str">
        <f>if(vlookup(B:B,'JBV464'!B334:F8773,5,false)="","Y","N")</f>
        <v>Y</v>
      </c>
      <c r="AA331" s="12" t="str">
        <f>if(vlookup(B:B,'VDI208'!B266:F8773,5,false)="","Y","N")</f>
        <v>Y</v>
      </c>
      <c r="AB331" s="76" t="str">
        <f>if(vlookup(B:B,'STO2206'!B266:F8773,5,false)="","Y","N")</f>
        <v>Y</v>
      </c>
    </row>
    <row r="332">
      <c r="A332" s="67" t="str">
        <f t="shared" si="2"/>
        <v>Fri</v>
      </c>
      <c r="B332" s="69">
        <v>43777.0</v>
      </c>
      <c r="C332" s="12" t="str">
        <f>if(vlookup(B:B,'ILC1110'!$B197:F8774,5,false)="","Y","N")</f>
        <v>Y</v>
      </c>
      <c r="D332" s="12" t="str">
        <f>if(vlookup(B:B,'ILC1111'!$B197:F8781,5,false)="","Y","N")</f>
        <v>Y</v>
      </c>
      <c r="E332" s="12" t="str">
        <f>if(vlookup(B:B,'ILC1112'!$B197:F8774,5,false)="","Y","N")</f>
        <v>Y</v>
      </c>
      <c r="F332" s="12" t="str">
        <f>if(vlookup(B:B,'ILC1211'!B335:F8774,5,false)="","Y","N")</f>
        <v>Y</v>
      </c>
      <c r="G332" s="12" t="str">
        <f>if(vlookup(B:B,'ILC1213'!$B262:G8774,5,false)="","Y","N")</f>
        <v>Y</v>
      </c>
      <c r="H332" s="12" t="str">
        <f>if(vlookup(B:B,'ILC1314'!$B261:G1074,5,false)="","Y","N")</f>
        <v>Y</v>
      </c>
      <c r="I332" s="12" t="str">
        <f>if(vlookup(B:B,'ILC1404'!B335:F8497,5,false)="","Y","N")</f>
        <v>Y</v>
      </c>
      <c r="J332" s="12" t="str">
        <f>if(vlookup(B:B,'ILC2203'!B298:F8497,5,false)="","Y","N")</f>
        <v>Y</v>
      </c>
      <c r="K332" s="12" t="str">
        <f>if(vlookup(B:B,'ILC2206'!B283:H370,5,false)="","Y","N")</f>
        <v>Y</v>
      </c>
      <c r="L332" s="12" t="str">
        <f>if(vlookup(B:B,'ILC2303'!B335:F8774,5,false)="","Y","N")</f>
        <v>N</v>
      </c>
      <c r="M332" s="12" t="str">
        <f>if(vlookup(B:B,'ILC2307'!B335:F9290,5,false)="","Y","N")</f>
        <v>Y</v>
      </c>
      <c r="N332" s="12" t="str">
        <f>if(vlookup(B:B,'ILC2313'!B335:F8929,5,false)="","Y","N")</f>
        <v>Y</v>
      </c>
      <c r="O332" s="12" t="str">
        <f>if(vlookup(B:B,'ILC2412'!B335:F8774,5,false)="","Y","N")</f>
        <v>Y</v>
      </c>
      <c r="P332" s="12" t="str">
        <f>if(vlookup(B:B,'ILC2413'!B335:F9272,5,false)="","Y","N")</f>
        <v>Y</v>
      </c>
      <c r="Q332" s="12" t="str">
        <f>if(vlookup(B:B,'ILC3104'!B335:F8817,5,false)="","Y","N")</f>
        <v>Y</v>
      </c>
      <c r="R332" s="12" t="str">
        <f>if(vlookup(B:B,'ILC3310'!B167:F8756,5,false)="","Y","N")</f>
        <v>Y</v>
      </c>
      <c r="S332" s="12" t="str">
        <f>if(vlookup(B:B,'ILC3312'!B335:F8774,5,false)="","Y","N")</f>
        <v>Y</v>
      </c>
      <c r="T332" s="12" t="str">
        <f>if(vlookup(B:B,'ILC3413'!B304:F8699,5,false)="","Y","N")</f>
        <v>Y</v>
      </c>
      <c r="U332" s="12" t="str">
        <f>if(vlookup(B:B,'ILC3415'!B332:F8724,5,false)="","Y","N")</f>
        <v>Y</v>
      </c>
      <c r="V332" s="12" t="str">
        <f>if(vlookup(B:B,'ILC4406'!B267:F8693,5,false)="","Y","N")</f>
        <v>Y</v>
      </c>
      <c r="W332" s="12" t="str">
        <f>if(vlookup(B:B,'ILC4410'!B335:F8941,5,false)="","Y","N")</f>
        <v>Y</v>
      </c>
      <c r="X332" s="12" t="str">
        <f>if(vlookup(B:B,'JBV455'!B335:F9281,5,false)="","Y","N")</f>
        <v>Y</v>
      </c>
      <c r="Y332" s="12" t="str">
        <f>if(vlookup(B:B,'JBV462'!B335:F8774,5,false)="","Y","N")</f>
        <v>Y</v>
      </c>
      <c r="Z332" s="12" t="str">
        <f>if(vlookup(B:B,'JBV464'!B335:F8774,5,false)="","Y","N")</f>
        <v>Y</v>
      </c>
      <c r="AA332" s="12" t="str">
        <f>if(vlookup(B:B,'VDI208'!B267:F8774,5,false)="","Y","N")</f>
        <v>Y</v>
      </c>
      <c r="AB332" s="76" t="str">
        <f>if(vlookup(B:B,'STO2206'!B267:F8774,5,false)="","Y","N")</f>
        <v>Y</v>
      </c>
    </row>
    <row r="333">
      <c r="A333" s="67" t="str">
        <f t="shared" si="2"/>
        <v>Sat</v>
      </c>
      <c r="B333" s="69">
        <v>43778.0</v>
      </c>
      <c r="C333" s="12" t="str">
        <f>if(vlookup(B:B,'ILC1110'!$B198:F8775,5,false)="","Y","N")</f>
        <v>Y</v>
      </c>
      <c r="D333" s="12" t="str">
        <f>if(vlookup(B:B,'ILC1111'!$B198:F8782,5,false)="","Y","N")</f>
        <v>Y</v>
      </c>
      <c r="E333" s="12" t="str">
        <f>if(vlookup(B:B,'ILC1112'!$B198:F8775,5,false)="","Y","N")</f>
        <v>Y</v>
      </c>
      <c r="F333" s="12" t="str">
        <f>if(vlookup(B:B,'ILC1211'!B336:F8775,5,false)="","Y","N")</f>
        <v>Y</v>
      </c>
      <c r="G333" s="12" t="str">
        <f>if(vlookup(B:B,'ILC1213'!$B263:G8775,5,false)="","Y","N")</f>
        <v>Y</v>
      </c>
      <c r="H333" s="12" t="str">
        <f>if(vlookup(B:B,'ILC1314'!$B262:G1075,5,false)="","Y","N")</f>
        <v>Y</v>
      </c>
      <c r="I333" s="12" t="str">
        <f>if(vlookup(B:B,'ILC1404'!B336:F8498,5,false)="","Y","N")</f>
        <v>Y</v>
      </c>
      <c r="J333" s="12" t="str">
        <f>if(vlookup(B:B,'ILC2203'!B299:F8498,5,false)="","Y","N")</f>
        <v>Y</v>
      </c>
      <c r="K333" s="12" t="str">
        <f>if(vlookup(B:B,'ILC2206'!B284:H370,5,false)="","Y","N")</f>
        <v>Y</v>
      </c>
      <c r="L333" s="12" t="str">
        <f>if(vlookup(B:B,'ILC2303'!B336:F8775,5,false)="","Y","N")</f>
        <v>N</v>
      </c>
      <c r="M333" s="12" t="str">
        <f>if(vlookup(B:B,'ILC2307'!B336:F9291,5,false)="","Y","N")</f>
        <v>Y</v>
      </c>
      <c r="N333" s="12" t="str">
        <f>if(vlookup(B:B,'ILC2313'!B336:F8930,5,false)="","Y","N")</f>
        <v>Y</v>
      </c>
      <c r="O333" s="12" t="str">
        <f>if(vlookup(B:B,'ILC2412'!B336:F8775,5,false)="","Y","N")</f>
        <v>Y</v>
      </c>
      <c r="P333" s="12" t="str">
        <f>if(vlookup(B:B,'ILC2413'!B336:F9273,5,false)="","Y","N")</f>
        <v>Y</v>
      </c>
      <c r="Q333" s="12" t="str">
        <f>if(vlookup(B:B,'ILC3104'!B336:F8818,5,false)="","Y","N")</f>
        <v>Y</v>
      </c>
      <c r="R333" s="12" t="str">
        <f>if(vlookup(B:B,'ILC3310'!B168:F8757,5,false)="","Y","N")</f>
        <v>Y</v>
      </c>
      <c r="S333" s="12" t="str">
        <f>if(vlookup(B:B,'ILC3312'!B336:F8775,5,false)="","Y","N")</f>
        <v>Y</v>
      </c>
      <c r="T333" s="12" t="str">
        <f>if(vlookup(B:B,'ILC3413'!B305:F8700,5,false)="","Y","N")</f>
        <v>Y</v>
      </c>
      <c r="U333" s="12" t="str">
        <f>if(vlookup(B:B,'ILC3415'!B333:F8725,5,false)="","Y","N")</f>
        <v>Y</v>
      </c>
      <c r="V333" s="12" t="str">
        <f>if(vlookup(B:B,'ILC4406'!B268:F8694,5,false)="","Y","N")</f>
        <v>Y</v>
      </c>
      <c r="W333" s="12" t="str">
        <f>if(vlookup(B:B,'ILC4410'!B336:F8942,5,false)="","Y","N")</f>
        <v>Y</v>
      </c>
      <c r="X333" s="12" t="str">
        <f>if(vlookup(B:B,'JBV455'!B336:F9282,5,false)="","Y","N")</f>
        <v>Y</v>
      </c>
      <c r="Y333" s="12" t="str">
        <f>if(vlookup(B:B,'JBV462'!B336:F8775,5,false)="","Y","N")</f>
        <v>Y</v>
      </c>
      <c r="Z333" s="12" t="str">
        <f>if(vlookup(B:B,'JBV464'!B336:F8775,5,false)="","Y","N")</f>
        <v>Y</v>
      </c>
      <c r="AA333" s="12" t="str">
        <f>if(vlookup(B:B,'VDI208'!B268:F8775,5,false)="","Y","N")</f>
        <v>Y</v>
      </c>
      <c r="AB333" s="76" t="str">
        <f>if(vlookup(B:B,'STO2206'!B268:F8775,5,false)="","Y","N")</f>
        <v>Y</v>
      </c>
    </row>
    <row r="334">
      <c r="A334" s="67" t="str">
        <f t="shared" si="2"/>
        <v>Sun</v>
      </c>
      <c r="B334" s="69">
        <v>43779.0</v>
      </c>
      <c r="C334" s="12" t="str">
        <f>if(vlookup(B:B,'ILC1110'!$B199:F8776,5,false)="","Y","N")</f>
        <v>Y</v>
      </c>
      <c r="D334" s="12" t="str">
        <f>if(vlookup(B:B,'ILC1111'!$B199:F8783,5,false)="","Y","N")</f>
        <v>Y</v>
      </c>
      <c r="E334" s="12" t="str">
        <f>if(vlookup(B:B,'ILC1112'!$B199:F8776,5,false)="","Y","N")</f>
        <v>Y</v>
      </c>
      <c r="F334" s="12" t="str">
        <f>if(vlookup(B:B,'ILC1211'!B337:F8776,5,false)="","Y","N")</f>
        <v>Y</v>
      </c>
      <c r="G334" s="12" t="str">
        <f>if(vlookup(B:B,'ILC1213'!$B264:G8776,5,false)="","Y","N")</f>
        <v>Y</v>
      </c>
      <c r="H334" s="12" t="str">
        <f>if(vlookup(B:B,'ILC1314'!$B263:G1076,5,false)="","Y","N")</f>
        <v>Y</v>
      </c>
      <c r="I334" s="12" t="str">
        <f>if(vlookup(B:B,'ILC1404'!B337:F8499,5,false)="","Y","N")</f>
        <v>Y</v>
      </c>
      <c r="J334" s="12" t="str">
        <f>if(vlookup(B:B,'ILC2203'!B300:F8499,5,false)="","Y","N")</f>
        <v>Y</v>
      </c>
      <c r="K334" s="12" t="str">
        <f>if(vlookup(B:B,'ILC2206'!B285:H370,5,false)="","Y","N")</f>
        <v>Y</v>
      </c>
      <c r="L334" s="12" t="str">
        <f>if(vlookup(B:B,'ILC2303'!B337:F8776,5,false)="","Y","N")</f>
        <v>N</v>
      </c>
      <c r="M334" s="12" t="str">
        <f>if(vlookup(B:B,'ILC2307'!B337:F9292,5,false)="","Y","N")</f>
        <v>Y</v>
      </c>
      <c r="N334" s="12" t="str">
        <f>if(vlookup(B:B,'ILC2313'!B337:F8931,5,false)="","Y","N")</f>
        <v>Y</v>
      </c>
      <c r="O334" s="12" t="str">
        <f>if(vlookup(B:B,'ILC2412'!B337:F8776,5,false)="","Y","N")</f>
        <v>Y</v>
      </c>
      <c r="P334" s="12" t="str">
        <f>if(vlookup(B:B,'ILC2413'!B337:F9274,5,false)="","Y","N")</f>
        <v>Y</v>
      </c>
      <c r="Q334" s="12" t="str">
        <f>if(vlookup(B:B,'ILC3104'!B337:F8819,5,false)="","Y","N")</f>
        <v>Y</v>
      </c>
      <c r="R334" s="12" t="str">
        <f>if(vlookup(B:B,'ILC3310'!B169:F8758,5,false)="","Y","N")</f>
        <v>Y</v>
      </c>
      <c r="S334" s="12" t="str">
        <f>if(vlookup(B:B,'ILC3312'!B337:F8776,5,false)="","Y","N")</f>
        <v>Y</v>
      </c>
      <c r="T334" s="12" t="str">
        <f>if(vlookup(B:B,'ILC3413'!B306:F8701,5,false)="","Y","N")</f>
        <v>Y</v>
      </c>
      <c r="U334" s="12" t="str">
        <f>if(vlookup(B:B,'ILC3415'!B334:F8726,5,false)="","Y","N")</f>
        <v>Y</v>
      </c>
      <c r="V334" s="12" t="str">
        <f>if(vlookup(B:B,'ILC4406'!B269:F8695,5,false)="","Y","N")</f>
        <v>Y</v>
      </c>
      <c r="W334" s="12" t="str">
        <f>if(vlookup(B:B,'ILC4410'!B337:F8943,5,false)="","Y","N")</f>
        <v>Y</v>
      </c>
      <c r="X334" s="12" t="str">
        <f>if(vlookup(B:B,'JBV455'!B337:F9283,5,false)="","Y","N")</f>
        <v>Y</v>
      </c>
      <c r="Y334" s="12" t="str">
        <f>if(vlookup(B:B,'JBV462'!B337:F8776,5,false)="","Y","N")</f>
        <v>Y</v>
      </c>
      <c r="Z334" s="12" t="str">
        <f>if(vlookup(B:B,'JBV464'!B337:F8776,5,false)="","Y","N")</f>
        <v>Y</v>
      </c>
      <c r="AA334" s="12" t="str">
        <f>if(vlookup(B:B,'VDI208'!B269:F8776,5,false)="","Y","N")</f>
        <v>Y</v>
      </c>
      <c r="AB334" s="76" t="str">
        <f>if(vlookup(B:B,'STO2206'!B269:F8776,5,false)="","Y","N")</f>
        <v>Y</v>
      </c>
    </row>
    <row r="335">
      <c r="A335" s="67" t="str">
        <f t="shared" si="2"/>
        <v>Mon</v>
      </c>
      <c r="B335" s="69">
        <v>43780.0</v>
      </c>
      <c r="C335" s="12" t="str">
        <f>if(vlookup(B:B,'ILC1110'!$B200:F8777,5,false)="","Y","N")</f>
        <v>Y</v>
      </c>
      <c r="D335" s="12" t="str">
        <f>if(vlookup(B:B,'ILC1111'!$B200:F8784,5,false)="","Y","N")</f>
        <v>Y</v>
      </c>
      <c r="E335" s="12" t="str">
        <f>if(vlookup(B:B,'ILC1112'!$B200:F8777,5,false)="","Y","N")</f>
        <v>Y</v>
      </c>
      <c r="F335" s="12" t="str">
        <f>if(vlookup(B:B,'ILC1211'!B338:F8777,5,false)="","Y","N")</f>
        <v>Y</v>
      </c>
      <c r="G335" s="12" t="str">
        <f>if(vlookup(B:B,'ILC1213'!$B265:G8777,5,false)="","Y","N")</f>
        <v>Y</v>
      </c>
      <c r="H335" s="12" t="str">
        <f>if(vlookup(B:B,'ILC1314'!$B264:G1077,5,false)="","Y","N")</f>
        <v>Y</v>
      </c>
      <c r="I335" s="12" t="str">
        <f>if(vlookup(B:B,'ILC1404'!B338:F8500,5,false)="","Y","N")</f>
        <v>Y</v>
      </c>
      <c r="J335" s="12" t="str">
        <f>if(vlookup(B:B,'ILC2203'!B301:F8500,5,false)="","Y","N")</f>
        <v>Y</v>
      </c>
      <c r="K335" s="12" t="str">
        <f>if(vlookup(B:B,'ILC2206'!B286:H370,5,false)="","Y","N")</f>
        <v>Y</v>
      </c>
      <c r="L335" s="12" t="str">
        <f>if(vlookup(B:B,'ILC2303'!B338:F8777,5,false)="","Y","N")</f>
        <v>N</v>
      </c>
      <c r="M335" s="12" t="str">
        <f>if(vlookup(B:B,'ILC2307'!B338:F9293,5,false)="","Y","N")</f>
        <v>Y</v>
      </c>
      <c r="N335" s="12" t="str">
        <f>if(vlookup(B:B,'ILC2313'!B338:F8932,5,false)="","Y","N")</f>
        <v>Y</v>
      </c>
      <c r="O335" s="12" t="str">
        <f>if(vlookup(B:B,'ILC2412'!B338:F8777,5,false)="","Y","N")</f>
        <v>Y</v>
      </c>
      <c r="P335" s="12" t="str">
        <f>if(vlookup(B:B,'ILC2413'!B338:F9275,5,false)="","Y","N")</f>
        <v>Y</v>
      </c>
      <c r="Q335" s="12" t="str">
        <f>if(vlookup(B:B,'ILC3104'!B338:F8820,5,false)="","Y","N")</f>
        <v>Y</v>
      </c>
      <c r="R335" s="12" t="str">
        <f>if(vlookup(B:B,'ILC3310'!B170:F8759,5,false)="","Y","N")</f>
        <v>Y</v>
      </c>
      <c r="S335" s="12" t="str">
        <f>if(vlookup(B:B,'ILC3312'!B338:F8777,5,false)="","Y","N")</f>
        <v>Y</v>
      </c>
      <c r="T335" s="12" t="str">
        <f>if(vlookup(B:B,'ILC3413'!B307:F8702,5,false)="","Y","N")</f>
        <v>Y</v>
      </c>
      <c r="U335" s="12" t="str">
        <f>if(vlookup(B:B,'ILC3415'!B335:F8727,5,false)="","Y","N")</f>
        <v>Y</v>
      </c>
      <c r="V335" s="12" t="str">
        <f>if(vlookup(B:B,'ILC4406'!B270:F8696,5,false)="","Y","N")</f>
        <v>Y</v>
      </c>
      <c r="W335" s="12" t="str">
        <f>if(vlookup(B:B,'ILC4410'!B338:F8944,5,false)="","Y","N")</f>
        <v>Y</v>
      </c>
      <c r="X335" s="12" t="str">
        <f>if(vlookup(B:B,'JBV455'!B338:F9284,5,false)="","Y","N")</f>
        <v>Y</v>
      </c>
      <c r="Y335" s="12" t="str">
        <f>if(vlookup(B:B,'JBV462'!B338:F8777,5,false)="","Y","N")</f>
        <v>Y</v>
      </c>
      <c r="Z335" s="12" t="str">
        <f>if(vlookup(B:B,'JBV464'!B338:F8777,5,false)="","Y","N")</f>
        <v>Y</v>
      </c>
      <c r="AA335" s="12" t="str">
        <f>if(vlookup(B:B,'VDI208'!B270:F8777,5,false)="","Y","N")</f>
        <v>Y</v>
      </c>
      <c r="AB335" s="76" t="str">
        <f>if(vlookup(B:B,'STO2206'!B270:F8777,5,false)="","Y","N")</f>
        <v>Y</v>
      </c>
    </row>
    <row r="336">
      <c r="A336" s="67" t="str">
        <f t="shared" si="2"/>
        <v>Tue</v>
      </c>
      <c r="B336" s="69">
        <v>43781.0</v>
      </c>
      <c r="C336" s="12" t="str">
        <f>if(vlookup(B:B,'ILC1110'!$B201:F8778,5,false)="","Y","N")</f>
        <v>Y</v>
      </c>
      <c r="D336" s="12" t="str">
        <f>if(vlookup(B:B,'ILC1111'!$B201:F8785,5,false)="","Y","N")</f>
        <v>Y</v>
      </c>
      <c r="E336" s="12" t="str">
        <f>if(vlookup(B:B,'ILC1112'!$B201:F8778,5,false)="","Y","N")</f>
        <v>Y</v>
      </c>
      <c r="F336" s="12" t="str">
        <f>if(vlookup(B:B,'ILC1211'!B339:F8778,5,false)="","Y","N")</f>
        <v>Y</v>
      </c>
      <c r="G336" s="12" t="str">
        <f>if(vlookup(B:B,'ILC1213'!$B266:G8778,5,false)="","Y","N")</f>
        <v>Y</v>
      </c>
      <c r="H336" s="12" t="str">
        <f>if(vlookup(B:B,'ILC1314'!$B265:G1078,5,false)="","Y","N")</f>
        <v>Y</v>
      </c>
      <c r="I336" s="12" t="str">
        <f>if(vlookup(B:B,'ILC1404'!B339:F8501,5,false)="","Y","N")</f>
        <v>Y</v>
      </c>
      <c r="J336" s="12" t="str">
        <f>if(vlookup(B:B,'ILC2203'!B302:F8501,5,false)="","Y","N")</f>
        <v>Y</v>
      </c>
      <c r="K336" s="12" t="str">
        <f>if(vlookup(B:B,'ILC2206'!B287:H370,5,false)="","Y","N")</f>
        <v>Y</v>
      </c>
      <c r="L336" s="12" t="str">
        <f>if(vlookup(B:B,'ILC2303'!B339:F8778,5,false)="","Y","N")</f>
        <v>N</v>
      </c>
      <c r="M336" s="12" t="str">
        <f>if(vlookup(B:B,'ILC2307'!B339:F9294,5,false)="","Y","N")</f>
        <v>Y</v>
      </c>
      <c r="N336" s="12" t="str">
        <f>if(vlookup(B:B,'ILC2313'!B339:F8933,5,false)="","Y","N")</f>
        <v>Y</v>
      </c>
      <c r="O336" s="12" t="str">
        <f>if(vlookup(B:B,'ILC2412'!B339:F8778,5,false)="","Y","N")</f>
        <v>Y</v>
      </c>
      <c r="P336" s="12" t="str">
        <f>if(vlookup(B:B,'ILC2413'!B339:F9276,5,false)="","Y","N")</f>
        <v>Y</v>
      </c>
      <c r="Q336" s="12" t="str">
        <f>if(vlookup(B:B,'ILC3104'!B339:F8821,5,false)="","Y","N")</f>
        <v>Y</v>
      </c>
      <c r="R336" s="12" t="str">
        <f>if(vlookup(B:B,'ILC3310'!B171:F8760,5,false)="","Y","N")</f>
        <v>Y</v>
      </c>
      <c r="S336" s="12" t="str">
        <f>if(vlookup(B:B,'ILC3312'!B339:F8778,5,false)="","Y","N")</f>
        <v>Y</v>
      </c>
      <c r="T336" s="12" t="str">
        <f>if(vlookup(B:B,'ILC3413'!B308:F8703,5,false)="","Y","N")</f>
        <v>Y</v>
      </c>
      <c r="U336" s="12" t="str">
        <f>if(vlookup(B:B,'ILC3415'!B336:F8728,5,false)="","Y","N")</f>
        <v>Y</v>
      </c>
      <c r="V336" s="12" t="str">
        <f>if(vlookup(B:B,'ILC4406'!B271:F8697,5,false)="","Y","N")</f>
        <v>Y</v>
      </c>
      <c r="W336" s="12" t="str">
        <f>if(vlookup(B:B,'ILC4410'!B339:F8945,5,false)="","Y","N")</f>
        <v>Y</v>
      </c>
      <c r="X336" s="12" t="str">
        <f>if(vlookup(B:B,'JBV455'!B339:F9285,5,false)="","Y","N")</f>
        <v>Y</v>
      </c>
      <c r="Y336" s="12" t="str">
        <f>if(vlookup(B:B,'JBV462'!B339:F8778,5,false)="","Y","N")</f>
        <v>Y</v>
      </c>
      <c r="Z336" s="12" t="str">
        <f>if(vlookup(B:B,'JBV464'!B339:F8778,5,false)="","Y","N")</f>
        <v>Y</v>
      </c>
      <c r="AA336" s="12" t="str">
        <f>if(vlookup(B:B,'VDI208'!B271:F8778,5,false)="","Y","N")</f>
        <v>Y</v>
      </c>
      <c r="AB336" s="76" t="str">
        <f>if(vlookup(B:B,'STO2206'!B271:F8778,5,false)="","Y","N")</f>
        <v>Y</v>
      </c>
    </row>
    <row r="337">
      <c r="A337" s="67" t="str">
        <f t="shared" si="2"/>
        <v>Wed</v>
      </c>
      <c r="B337" s="69">
        <v>43782.0</v>
      </c>
      <c r="C337" s="12" t="str">
        <f>if(vlookup(B:B,'ILC1110'!$B202:F8779,5,false)="","Y","N")</f>
        <v>Y</v>
      </c>
      <c r="D337" s="12" t="str">
        <f>if(vlookup(B:B,'ILC1111'!$B202:F8786,5,false)="","Y","N")</f>
        <v>Y</v>
      </c>
      <c r="E337" s="12" t="str">
        <f>if(vlookup(B:B,'ILC1112'!$B202:F8779,5,false)="","Y","N")</f>
        <v>Y</v>
      </c>
      <c r="F337" s="12" t="str">
        <f>if(vlookup(B:B,'ILC1211'!B340:F8779,5,false)="","Y","N")</f>
        <v>Y</v>
      </c>
      <c r="G337" s="12" t="str">
        <f>if(vlookup(B:B,'ILC1213'!$B267:G8779,5,false)="","Y","N")</f>
        <v>Y</v>
      </c>
      <c r="H337" s="12" t="str">
        <f>if(vlookup(B:B,'ILC1314'!$B266:G1079,5,false)="","Y","N")</f>
        <v>Y</v>
      </c>
      <c r="I337" s="12" t="str">
        <f>if(vlookup(B:B,'ILC1404'!B340:F8502,5,false)="","Y","N")</f>
        <v>Y</v>
      </c>
      <c r="J337" s="12" t="str">
        <f>if(vlookup(B:B,'ILC2203'!B303:F8502,5,false)="","Y","N")</f>
        <v>Y</v>
      </c>
      <c r="K337" s="12" t="str">
        <f>if(vlookup(B:B,'ILC2206'!B288:H370,5,false)="","Y","N")</f>
        <v>Y</v>
      </c>
      <c r="L337" s="12" t="str">
        <f>if(vlookup(B:B,'ILC2303'!B340:F8779,5,false)="","Y","N")</f>
        <v>N</v>
      </c>
      <c r="M337" s="12" t="str">
        <f>if(vlookup(B:B,'ILC2307'!B340:F9295,5,false)="","Y","N")</f>
        <v>Y</v>
      </c>
      <c r="N337" s="12" t="str">
        <f>if(vlookup(B:B,'ILC2313'!B340:F8934,5,false)="","Y","N")</f>
        <v>Y</v>
      </c>
      <c r="O337" s="12" t="str">
        <f>if(vlookup(B:B,'ILC2412'!B340:F8779,5,false)="","Y","N")</f>
        <v>Y</v>
      </c>
      <c r="P337" s="12" t="str">
        <f>if(vlookup(B:B,'ILC2413'!B340:F9277,5,false)="","Y","N")</f>
        <v>Y</v>
      </c>
      <c r="Q337" s="12" t="str">
        <f>if(vlookup(B:B,'ILC3104'!B340:F8822,5,false)="","Y","N")</f>
        <v>Y</v>
      </c>
      <c r="R337" s="12" t="str">
        <f>if(vlookup(B:B,'ILC3310'!B172:F8761,5,false)="","Y","N")</f>
        <v>Y</v>
      </c>
      <c r="S337" s="12" t="str">
        <f>if(vlookup(B:B,'ILC3312'!B340:F8779,5,false)="","Y","N")</f>
        <v>Y</v>
      </c>
      <c r="T337" s="12" t="str">
        <f>if(vlookup(B:B,'ILC3413'!B309:F8704,5,false)="","Y","N")</f>
        <v>Y</v>
      </c>
      <c r="U337" s="12" t="str">
        <f>if(vlookup(B:B,'ILC3415'!B337:F8729,5,false)="","Y","N")</f>
        <v>Y</v>
      </c>
      <c r="V337" s="12" t="str">
        <f>if(vlookup(B:B,'ILC4406'!B272:F8698,5,false)="","Y","N")</f>
        <v>Y</v>
      </c>
      <c r="W337" s="12" t="str">
        <f>if(vlookup(B:B,'ILC4410'!B340:F8946,5,false)="","Y","N")</f>
        <v>Y</v>
      </c>
      <c r="X337" s="12" t="str">
        <f>if(vlookup(B:B,'JBV455'!B340:F9286,5,false)="","Y","N")</f>
        <v>Y</v>
      </c>
      <c r="Y337" s="12" t="str">
        <f>if(vlookup(B:B,'JBV462'!B340:F8779,5,false)="","Y","N")</f>
        <v>Y</v>
      </c>
      <c r="Z337" s="12" t="str">
        <f>if(vlookup(B:B,'JBV464'!B340:F8779,5,false)="","Y","N")</f>
        <v>Y</v>
      </c>
      <c r="AA337" s="12" t="str">
        <f>if(vlookup(B:B,'VDI208'!B272:F8779,5,false)="","Y","N")</f>
        <v>Y</v>
      </c>
      <c r="AB337" s="76" t="str">
        <f>if(vlookup(B:B,'STO2206'!B272:F8779,5,false)="","Y","N")</f>
        <v>Y</v>
      </c>
    </row>
    <row r="338">
      <c r="A338" s="67" t="str">
        <f t="shared" si="2"/>
        <v>Thu</v>
      </c>
      <c r="B338" s="69">
        <v>43783.0</v>
      </c>
      <c r="C338" s="12" t="str">
        <f>if(vlookup(B:B,'ILC1110'!$B203:F8780,5,false)="","Y","N")</f>
        <v>Y</v>
      </c>
      <c r="D338" s="12" t="str">
        <f>if(vlookup(B:B,'ILC1111'!$B203:F8787,5,false)="","Y","N")</f>
        <v>Y</v>
      </c>
      <c r="E338" s="12" t="str">
        <f>if(vlookup(B:B,'ILC1112'!$B203:F8780,5,false)="","Y","N")</f>
        <v>Y</v>
      </c>
      <c r="F338" s="12" t="str">
        <f>if(vlookup(B:B,'ILC1211'!B341:F8780,5,false)="","Y","N")</f>
        <v>Y</v>
      </c>
      <c r="G338" s="12" t="str">
        <f>if(vlookup(B:B,'ILC1213'!$B268:G8780,5,false)="","Y","N")</f>
        <v>Y</v>
      </c>
      <c r="H338" s="12" t="str">
        <f>if(vlookup(B:B,'ILC1314'!$B267:G1080,5,false)="","Y","N")</f>
        <v>Y</v>
      </c>
      <c r="I338" s="12" t="str">
        <f>if(vlookup(B:B,'ILC1404'!B341:F8503,5,false)="","Y","N")</f>
        <v>Y</v>
      </c>
      <c r="J338" s="12" t="str">
        <f>if(vlookup(B:B,'ILC2203'!B304:F8503,5,false)="","Y","N")</f>
        <v>Y</v>
      </c>
      <c r="K338" s="12" t="str">
        <f>if(vlookup(B:B,'ILC2206'!B289:H370,5,false)="","Y","N")</f>
        <v>Y</v>
      </c>
      <c r="L338" s="12" t="str">
        <f>if(vlookup(B:B,'ILC2303'!B341:F8780,5,false)="","Y","N")</f>
        <v>N</v>
      </c>
      <c r="M338" s="12" t="str">
        <f>if(vlookup(B:B,'ILC2307'!B341:F9296,5,false)="","Y","N")</f>
        <v>Y</v>
      </c>
      <c r="N338" s="12" t="str">
        <f>if(vlookup(B:B,'ILC2313'!B341:F8935,5,false)="","Y","N")</f>
        <v>Y</v>
      </c>
      <c r="O338" s="12" t="str">
        <f>if(vlookup(B:B,'ILC2412'!B341:F8780,5,false)="","Y","N")</f>
        <v>Y</v>
      </c>
      <c r="P338" s="12" t="str">
        <f>if(vlookup(B:B,'ILC2413'!B341:F9278,5,false)="","Y","N")</f>
        <v>Y</v>
      </c>
      <c r="Q338" s="12" t="str">
        <f>if(vlookup(B:B,'ILC3104'!B341:F8823,5,false)="","Y","N")</f>
        <v>Y</v>
      </c>
      <c r="R338" s="12" t="str">
        <f>if(vlookup(B:B,'ILC3310'!B173:F8762,5,false)="","Y","N")</f>
        <v>Y</v>
      </c>
      <c r="S338" s="12" t="str">
        <f>if(vlookup(B:B,'ILC3312'!B341:F8780,5,false)="","Y","N")</f>
        <v>Y</v>
      </c>
      <c r="T338" s="12" t="str">
        <f>if(vlookup(B:B,'ILC3413'!B310:F8705,5,false)="","Y","N")</f>
        <v>Y</v>
      </c>
      <c r="U338" s="12" t="str">
        <f>if(vlookup(B:B,'ILC3415'!B338:F8730,5,false)="","Y","N")</f>
        <v>Y</v>
      </c>
      <c r="V338" s="12" t="str">
        <f>if(vlookup(B:B,'ILC4406'!B273:F8699,5,false)="","Y","N")</f>
        <v>Y</v>
      </c>
      <c r="W338" s="12" t="str">
        <f>if(vlookup(B:B,'ILC4410'!B341:F8947,5,false)="","Y","N")</f>
        <v>Y</v>
      </c>
      <c r="X338" s="12" t="str">
        <f>if(vlookup(B:B,'JBV455'!B341:F9287,5,false)="","Y","N")</f>
        <v>Y</v>
      </c>
      <c r="Y338" s="12" t="str">
        <f>if(vlookup(B:B,'JBV462'!B341:F8780,5,false)="","Y","N")</f>
        <v>Y</v>
      </c>
      <c r="Z338" s="12" t="str">
        <f>if(vlookup(B:B,'JBV464'!B341:F8780,5,false)="","Y","N")</f>
        <v>Y</v>
      </c>
      <c r="AA338" s="12" t="str">
        <f>if(vlookup(B:B,'VDI208'!B273:F8780,5,false)="","Y","N")</f>
        <v>Y</v>
      </c>
      <c r="AB338" s="76" t="str">
        <f>if(vlookup(B:B,'STO2206'!B273:F8780,5,false)="","Y","N")</f>
        <v>Y</v>
      </c>
    </row>
    <row r="339">
      <c r="A339" s="67" t="str">
        <f t="shared" si="2"/>
        <v>Fri</v>
      </c>
      <c r="B339" s="69">
        <v>43784.0</v>
      </c>
      <c r="C339" s="12" t="str">
        <f>if(vlookup(B:B,'ILC1110'!$B204:F8781,5,false)="","Y","N")</f>
        <v>Y</v>
      </c>
      <c r="D339" s="12" t="str">
        <f>if(vlookup(B:B,'ILC1111'!$B204:F8788,5,false)="","Y","N")</f>
        <v>Y</v>
      </c>
      <c r="E339" s="12" t="str">
        <f>if(vlookup(B:B,'ILC1112'!$B204:F8781,5,false)="","Y","N")</f>
        <v>Y</v>
      </c>
      <c r="F339" s="12" t="str">
        <f>if(vlookup(B:B,'ILC1211'!B342:F8781,5,false)="","Y","N")</f>
        <v>Y</v>
      </c>
      <c r="G339" s="12" t="str">
        <f>if(vlookup(B:B,'ILC1213'!$B269:G8781,5,false)="","Y","N")</f>
        <v>Y</v>
      </c>
      <c r="H339" s="12" t="str">
        <f>if(vlookup(B:B,'ILC1314'!$B268:G1081,5,false)="","Y","N")</f>
        <v>Y</v>
      </c>
      <c r="I339" s="12" t="str">
        <f>if(vlookup(B:B,'ILC1404'!B342:F8504,5,false)="","Y","N")</f>
        <v>Y</v>
      </c>
      <c r="J339" s="12" t="str">
        <f>if(vlookup(B:B,'ILC2203'!B305:F8504,5,false)="","Y","N")</f>
        <v>Y</v>
      </c>
      <c r="K339" s="12" t="str">
        <f>if(vlookup(B:B,'ILC2206'!B290:H370,5,false)="","Y","N")</f>
        <v>Y</v>
      </c>
      <c r="L339" s="12" t="str">
        <f>if(vlookup(B:B,'ILC2303'!B342:F8781,5,false)="","Y","N")</f>
        <v>N</v>
      </c>
      <c r="M339" s="12" t="str">
        <f>if(vlookup(B:B,'ILC2307'!B342:F9297,5,false)="","Y","N")</f>
        <v>Y</v>
      </c>
      <c r="N339" s="12" t="str">
        <f>if(vlookup(B:B,'ILC2313'!B342:F8936,5,false)="","Y","N")</f>
        <v>Y</v>
      </c>
      <c r="O339" s="12" t="str">
        <f>if(vlookup(B:B,'ILC2412'!B342:F8781,5,false)="","Y","N")</f>
        <v>Y</v>
      </c>
      <c r="P339" s="12" t="str">
        <f>if(vlookup(B:B,'ILC2413'!B342:F9279,5,false)="","Y","N")</f>
        <v>Y</v>
      </c>
      <c r="Q339" s="12" t="str">
        <f>if(vlookup(B:B,'ILC3104'!B342:F8824,5,false)="","Y","N")</f>
        <v>Y</v>
      </c>
      <c r="R339" s="12" t="str">
        <f>if(vlookup(B:B,'ILC3310'!B174:F8763,5,false)="","Y","N")</f>
        <v>Y</v>
      </c>
      <c r="S339" s="12" t="str">
        <f>if(vlookup(B:B,'ILC3312'!B342:F8781,5,false)="","Y","N")</f>
        <v>Y</v>
      </c>
      <c r="T339" s="12" t="str">
        <f>if(vlookup(B:B,'ILC3413'!B311:F8706,5,false)="","Y","N")</f>
        <v>Y</v>
      </c>
      <c r="U339" s="12" t="str">
        <f>if(vlookup(B:B,'ILC3415'!B339:F8731,5,false)="","Y","N")</f>
        <v>Y</v>
      </c>
      <c r="V339" s="12" t="str">
        <f>if(vlookup(B:B,'ILC4406'!B274:F8700,5,false)="","Y","N")</f>
        <v>Y</v>
      </c>
      <c r="W339" s="12" t="str">
        <f>if(vlookup(B:B,'ILC4410'!B342:F8948,5,false)="","Y","N")</f>
        <v>Y</v>
      </c>
      <c r="X339" s="12" t="str">
        <f>if(vlookup(B:B,'JBV455'!B342:F9288,5,false)="","Y","N")</f>
        <v>Y</v>
      </c>
      <c r="Y339" s="12" t="str">
        <f>if(vlookup(B:B,'JBV462'!B342:F8781,5,false)="","Y","N")</f>
        <v>Y</v>
      </c>
      <c r="Z339" s="12" t="str">
        <f>if(vlookup(B:B,'JBV464'!B342:F8781,5,false)="","Y","N")</f>
        <v>Y</v>
      </c>
      <c r="AA339" s="12" t="str">
        <f>if(vlookup(B:B,'VDI208'!B274:F8781,5,false)="","Y","N")</f>
        <v>Y</v>
      </c>
      <c r="AB339" s="76" t="str">
        <f>if(vlookup(B:B,'STO2206'!B274:F8781,5,false)="","Y","N")</f>
        <v>Y</v>
      </c>
    </row>
    <row r="340">
      <c r="A340" s="67" t="str">
        <f t="shared" si="2"/>
        <v>Sat</v>
      </c>
      <c r="B340" s="69">
        <v>43785.0</v>
      </c>
      <c r="C340" s="12" t="str">
        <f>if(vlookup(B:B,'ILC1110'!$B205:F8782,5,false)="","Y","N")</f>
        <v>Y</v>
      </c>
      <c r="D340" s="12" t="str">
        <f>if(vlookup(B:B,'ILC1111'!$B205:F8789,5,false)="","Y","N")</f>
        <v>Y</v>
      </c>
      <c r="E340" s="12" t="str">
        <f>if(vlookup(B:B,'ILC1112'!$B205:F8782,5,false)="","Y","N")</f>
        <v>Y</v>
      </c>
      <c r="F340" s="12" t="str">
        <f>if(vlookup(B:B,'ILC1211'!B343:F8782,5,false)="","Y","N")</f>
        <v>Y</v>
      </c>
      <c r="G340" s="12" t="str">
        <f>if(vlookup(B:B,'ILC1213'!$B270:G8782,5,false)="","Y","N")</f>
        <v>Y</v>
      </c>
      <c r="H340" s="12" t="str">
        <f>if(vlookup(B:B,'ILC1314'!$B269:G1082,5,false)="","Y","N")</f>
        <v>Y</v>
      </c>
      <c r="I340" s="12" t="str">
        <f>if(vlookup(B:B,'ILC1404'!B343:F8505,5,false)="","Y","N")</f>
        <v>Y</v>
      </c>
      <c r="J340" s="12" t="str">
        <f>if(vlookup(B:B,'ILC2203'!B306:F8505,5,false)="","Y","N")</f>
        <v>Y</v>
      </c>
      <c r="K340" s="12" t="str">
        <f>if(vlookup(B:B,'ILC2206'!B291:H370,5,false)="","Y","N")</f>
        <v>Y</v>
      </c>
      <c r="L340" s="12" t="str">
        <f>if(vlookup(B:B,'ILC2303'!B343:F8782,5,false)="","Y","N")</f>
        <v>N</v>
      </c>
      <c r="M340" s="12" t="str">
        <f>if(vlookup(B:B,'ILC2307'!B343:F9298,5,false)="","Y","N")</f>
        <v>Y</v>
      </c>
      <c r="N340" s="12" t="str">
        <f>if(vlookup(B:B,'ILC2313'!B343:F8937,5,false)="","Y","N")</f>
        <v>Y</v>
      </c>
      <c r="O340" s="12" t="str">
        <f>if(vlookup(B:B,'ILC2412'!B343:F8782,5,false)="","Y","N")</f>
        <v>Y</v>
      </c>
      <c r="P340" s="12" t="str">
        <f>if(vlookup(B:B,'ILC2413'!B343:F9280,5,false)="","Y","N")</f>
        <v>Y</v>
      </c>
      <c r="Q340" s="12" t="str">
        <f>if(vlookup(B:B,'ILC3104'!B343:F8825,5,false)="","Y","N")</f>
        <v>Y</v>
      </c>
      <c r="R340" s="12" t="str">
        <f>if(vlookup(B:B,'ILC3310'!B175:F8764,5,false)="","Y","N")</f>
        <v>Y</v>
      </c>
      <c r="S340" s="12" t="str">
        <f>if(vlookup(B:B,'ILC3312'!B343:F8782,5,false)="","Y","N")</f>
        <v>Y</v>
      </c>
      <c r="T340" s="12" t="str">
        <f>if(vlookup(B:B,'ILC3413'!B312:F8707,5,false)="","Y","N")</f>
        <v>Y</v>
      </c>
      <c r="U340" s="12" t="str">
        <f>if(vlookup(B:B,'ILC3415'!B340:F8732,5,false)="","Y","N")</f>
        <v>Y</v>
      </c>
      <c r="V340" s="12" t="str">
        <f>if(vlookup(B:B,'ILC4406'!B275:F8701,5,false)="","Y","N")</f>
        <v>Y</v>
      </c>
      <c r="W340" s="12" t="str">
        <f>if(vlookup(B:B,'ILC4410'!B343:F8949,5,false)="","Y","N")</f>
        <v>Y</v>
      </c>
      <c r="X340" s="12" t="str">
        <f>if(vlookup(B:B,'JBV455'!B343:F9289,5,false)="","Y","N")</f>
        <v>Y</v>
      </c>
      <c r="Y340" s="12" t="str">
        <f>if(vlookup(B:B,'JBV462'!B343:F8782,5,false)="","Y","N")</f>
        <v>Y</v>
      </c>
      <c r="Z340" s="12" t="str">
        <f>if(vlookup(B:B,'JBV464'!B343:F8782,5,false)="","Y","N")</f>
        <v>Y</v>
      </c>
      <c r="AA340" s="12" t="str">
        <f>if(vlookup(B:B,'VDI208'!B275:F8782,5,false)="","Y","N")</f>
        <v>Y</v>
      </c>
      <c r="AB340" s="76" t="str">
        <f>if(vlookup(B:B,'STO2206'!B275:F8782,5,false)="","Y","N")</f>
        <v>Y</v>
      </c>
    </row>
    <row r="341">
      <c r="A341" s="67" t="str">
        <f t="shared" si="2"/>
        <v>Sun</v>
      </c>
      <c r="B341" s="69">
        <v>43786.0</v>
      </c>
      <c r="C341" s="12" t="str">
        <f>if(vlookup(B:B,'ILC1110'!$B206:F8783,5,false)="","Y","N")</f>
        <v>Y</v>
      </c>
      <c r="D341" s="12" t="str">
        <f>if(vlookup(B:B,'ILC1111'!$B206:F8790,5,false)="","Y","N")</f>
        <v>Y</v>
      </c>
      <c r="E341" s="12" t="str">
        <f>if(vlookup(B:B,'ILC1112'!$B206:F8783,5,false)="","Y","N")</f>
        <v>Y</v>
      </c>
      <c r="F341" s="12" t="str">
        <f>if(vlookup(B:B,'ILC1211'!B344:F8783,5,false)="","Y","N")</f>
        <v>Y</v>
      </c>
      <c r="G341" s="12" t="str">
        <f>if(vlookup(B:B,'ILC1213'!$B271:G8783,5,false)="","Y","N")</f>
        <v>Y</v>
      </c>
      <c r="H341" s="12" t="str">
        <f>if(vlookup(B:B,'ILC1314'!$B270:G1083,5,false)="","Y","N")</f>
        <v>Y</v>
      </c>
      <c r="I341" s="12" t="str">
        <f>if(vlookup(B:B,'ILC1404'!B344:F8506,5,false)="","Y","N")</f>
        <v>Y</v>
      </c>
      <c r="J341" s="12" t="str">
        <f>if(vlookup(B:B,'ILC2203'!B307:F8506,5,false)="","Y","N")</f>
        <v>Y</v>
      </c>
      <c r="K341" s="12" t="str">
        <f>if(vlookup(B:B,'ILC2206'!B292:H370,5,false)="","Y","N")</f>
        <v>Y</v>
      </c>
      <c r="L341" s="12" t="str">
        <f>if(vlookup(B:B,'ILC2303'!B344:F8783,5,false)="","Y","N")</f>
        <v>N</v>
      </c>
      <c r="M341" s="12" t="str">
        <f>if(vlookup(B:B,'ILC2307'!B344:F9299,5,false)="","Y","N")</f>
        <v>Y</v>
      </c>
      <c r="N341" s="12" t="str">
        <f>if(vlookup(B:B,'ILC2313'!B344:F8938,5,false)="","Y","N")</f>
        <v>Y</v>
      </c>
      <c r="O341" s="12" t="str">
        <f>if(vlookup(B:B,'ILC2412'!B344:F8783,5,false)="","Y","N")</f>
        <v>Y</v>
      </c>
      <c r="P341" s="12" t="str">
        <f>if(vlookup(B:B,'ILC2413'!B344:F9281,5,false)="","Y","N")</f>
        <v>Y</v>
      </c>
      <c r="Q341" s="12" t="str">
        <f>if(vlookup(B:B,'ILC3104'!B344:F8826,5,false)="","Y","N")</f>
        <v>Y</v>
      </c>
      <c r="R341" s="12" t="str">
        <f>if(vlookup(B:B,'ILC3310'!B176:F8765,5,false)="","Y","N")</f>
        <v>Y</v>
      </c>
      <c r="S341" s="12" t="str">
        <f>if(vlookup(B:B,'ILC3312'!B344:F8783,5,false)="","Y","N")</f>
        <v>Y</v>
      </c>
      <c r="T341" s="12" t="str">
        <f>if(vlookup(B:B,'ILC3413'!B313:F8708,5,false)="","Y","N")</f>
        <v>Y</v>
      </c>
      <c r="U341" s="12" t="str">
        <f>if(vlookup(B:B,'ILC3415'!B341:F8733,5,false)="","Y","N")</f>
        <v>Y</v>
      </c>
      <c r="V341" s="12" t="str">
        <f>if(vlookup(B:B,'ILC4406'!B276:F8702,5,false)="","Y","N")</f>
        <v>Y</v>
      </c>
      <c r="W341" s="12" t="str">
        <f>if(vlookup(B:B,'ILC4410'!B344:F8950,5,false)="","Y","N")</f>
        <v>Y</v>
      </c>
      <c r="X341" s="12" t="str">
        <f>if(vlookup(B:B,'JBV455'!B344:F9290,5,false)="","Y","N")</f>
        <v>Y</v>
      </c>
      <c r="Y341" s="12" t="str">
        <f>if(vlookup(B:B,'JBV462'!B344:F8783,5,false)="","Y","N")</f>
        <v>Y</v>
      </c>
      <c r="Z341" s="12" t="str">
        <f>if(vlookup(B:B,'JBV464'!B344:F8783,5,false)="","Y","N")</f>
        <v>Y</v>
      </c>
      <c r="AA341" s="12" t="str">
        <f>if(vlookup(B:B,'VDI208'!B276:F8783,5,false)="","Y","N")</f>
        <v>Y</v>
      </c>
      <c r="AB341" s="76" t="str">
        <f>if(vlookup(B:B,'STO2206'!B276:F8783,5,false)="","Y","N")</f>
        <v>Y</v>
      </c>
    </row>
    <row r="342">
      <c r="A342" s="67" t="str">
        <f t="shared" si="2"/>
        <v>Mon</v>
      </c>
      <c r="B342" s="69">
        <v>43787.0</v>
      </c>
      <c r="C342" s="12" t="str">
        <f>if(vlookup(B:B,'ILC1110'!$B207:F8784,5,false)="","Y","N")</f>
        <v>Y</v>
      </c>
      <c r="D342" s="12" t="str">
        <f>if(vlookup(B:B,'ILC1111'!$B207:F8791,5,false)="","Y","N")</f>
        <v>Y</v>
      </c>
      <c r="E342" s="12" t="str">
        <f>if(vlookup(B:B,'ILC1112'!$B207:F8784,5,false)="","Y","N")</f>
        <v>Y</v>
      </c>
      <c r="F342" s="12" t="str">
        <f>if(vlookup(B:B,'ILC1211'!B345:F8784,5,false)="","Y","N")</f>
        <v>Y</v>
      </c>
      <c r="G342" s="12" t="str">
        <f>if(vlookup(B:B,'ILC1213'!$B272:G8784,5,false)="","Y","N")</f>
        <v>Y</v>
      </c>
      <c r="H342" s="12" t="str">
        <f>if(vlookup(B:B,'ILC1314'!$B271:G1084,5,false)="","Y","N")</f>
        <v>Y</v>
      </c>
      <c r="I342" s="12" t="str">
        <f>if(vlookup(B:B,'ILC1404'!B345:F8507,5,false)="","Y","N")</f>
        <v>Y</v>
      </c>
      <c r="J342" s="12" t="str">
        <f>if(vlookup(B:B,'ILC2203'!B308:F8507,5,false)="","Y","N")</f>
        <v>Y</v>
      </c>
      <c r="K342" s="12" t="str">
        <f>if(vlookup(B:B,'ILC2206'!B293:H370,5,false)="","Y","N")</f>
        <v>Y</v>
      </c>
      <c r="L342" s="12" t="str">
        <f>if(vlookup(B:B,'ILC2303'!B345:F8784,5,false)="","Y","N")</f>
        <v>N</v>
      </c>
      <c r="M342" s="12" t="str">
        <f>if(vlookup(B:B,'ILC2307'!B345:F9300,5,false)="","Y","N")</f>
        <v>Y</v>
      </c>
      <c r="N342" s="12" t="str">
        <f>if(vlookup(B:B,'ILC2313'!B345:F8939,5,false)="","Y","N")</f>
        <v>Y</v>
      </c>
      <c r="O342" s="12" t="str">
        <f>if(vlookup(B:B,'ILC2412'!B345:F8784,5,false)="","Y","N")</f>
        <v>Y</v>
      </c>
      <c r="P342" s="12" t="str">
        <f>if(vlookup(B:B,'ILC2413'!B345:F9282,5,false)="","Y","N")</f>
        <v>Y</v>
      </c>
      <c r="Q342" s="12" t="str">
        <f>if(vlookup(B:B,'ILC3104'!B345:F8827,5,false)="","Y","N")</f>
        <v>Y</v>
      </c>
      <c r="R342" s="12" t="str">
        <f>if(vlookup(B:B,'ILC3310'!B177:F8766,5,false)="","Y","N")</f>
        <v>Y</v>
      </c>
      <c r="S342" s="12" t="str">
        <f>if(vlookup(B:B,'ILC3312'!B345:F8784,5,false)="","Y","N")</f>
        <v>Y</v>
      </c>
      <c r="T342" s="12" t="str">
        <f>if(vlookup(B:B,'ILC3413'!B314:F8709,5,false)="","Y","N")</f>
        <v>Y</v>
      </c>
      <c r="U342" s="12" t="str">
        <f>if(vlookup(B:B,'ILC3415'!B342:F8734,5,false)="","Y","N")</f>
        <v>Y</v>
      </c>
      <c r="V342" s="12" t="str">
        <f>if(vlookup(B:B,'ILC4406'!B277:F8703,5,false)="","Y","N")</f>
        <v>Y</v>
      </c>
      <c r="W342" s="12" t="str">
        <f>if(vlookup(B:B,'ILC4410'!B345:F8951,5,false)="","Y","N")</f>
        <v>Y</v>
      </c>
      <c r="X342" s="12" t="str">
        <f>if(vlookup(B:B,'JBV455'!B345:F9291,5,false)="","Y","N")</f>
        <v>Y</v>
      </c>
      <c r="Y342" s="12" t="str">
        <f>if(vlookup(B:B,'JBV462'!B345:F8784,5,false)="","Y","N")</f>
        <v>Y</v>
      </c>
      <c r="Z342" s="12" t="str">
        <f>if(vlookup(B:B,'JBV464'!B345:F8784,5,false)="","Y","N")</f>
        <v>Y</v>
      </c>
      <c r="AA342" s="12" t="str">
        <f>if(vlookup(B:B,'VDI208'!B277:F8784,5,false)="","Y","N")</f>
        <v>Y</v>
      </c>
      <c r="AB342" s="76" t="str">
        <f>if(vlookup(B:B,'STO2206'!B277:F8784,5,false)="","Y","N")</f>
        <v>Y</v>
      </c>
    </row>
    <row r="343">
      <c r="A343" s="67" t="str">
        <f t="shared" si="2"/>
        <v>Tue</v>
      </c>
      <c r="B343" s="69">
        <v>43788.0</v>
      </c>
      <c r="C343" s="12" t="str">
        <f>if(vlookup(B:B,'ILC1110'!$B208:F8785,5,false)="","Y","N")</f>
        <v>Y</v>
      </c>
      <c r="D343" s="12" t="str">
        <f>if(vlookup(B:B,'ILC1111'!$B208:F8792,5,false)="","Y","N")</f>
        <v>Y</v>
      </c>
      <c r="E343" s="12" t="str">
        <f>if(vlookup(B:B,'ILC1112'!$B208:F8785,5,false)="","Y","N")</f>
        <v>Y</v>
      </c>
      <c r="F343" s="12" t="str">
        <f>if(vlookup(B:B,'ILC1211'!B346:F8785,5,false)="","Y","N")</f>
        <v>Y</v>
      </c>
      <c r="G343" s="12" t="str">
        <f>if(vlookup(B:B,'ILC1213'!$B273:G8785,5,false)="","Y","N")</f>
        <v>Y</v>
      </c>
      <c r="H343" s="12" t="str">
        <f>if(vlookup(B:B,'ILC1314'!$B272:G1085,5,false)="","Y","N")</f>
        <v>Y</v>
      </c>
      <c r="I343" s="12" t="str">
        <f>if(vlookup(B:B,'ILC1404'!B346:F8508,5,false)="","Y","N")</f>
        <v>Y</v>
      </c>
      <c r="J343" s="12" t="str">
        <f>if(vlookup(B:B,'ILC2203'!B309:F8508,5,false)="","Y","N")</f>
        <v>Y</v>
      </c>
      <c r="K343" s="12" t="str">
        <f>if(vlookup(B:B,'ILC2206'!B294:H370,5,false)="","Y","N")</f>
        <v>Y</v>
      </c>
      <c r="L343" s="12" t="str">
        <f>if(vlookup(B:B,'ILC2303'!B346:F8785,5,false)="","Y","N")</f>
        <v>N</v>
      </c>
      <c r="M343" s="12" t="str">
        <f>if(vlookup(B:B,'ILC2307'!B346:F9301,5,false)="","Y","N")</f>
        <v>Y</v>
      </c>
      <c r="N343" s="12" t="str">
        <f>if(vlookup(B:B,'ILC2313'!B346:F8940,5,false)="","Y","N")</f>
        <v>Y</v>
      </c>
      <c r="O343" s="12" t="str">
        <f>if(vlookup(B:B,'ILC2412'!B346:F8785,5,false)="","Y","N")</f>
        <v>Y</v>
      </c>
      <c r="P343" s="12" t="str">
        <f>if(vlookup(B:B,'ILC2413'!B346:F9283,5,false)="","Y","N")</f>
        <v>Y</v>
      </c>
      <c r="Q343" s="12" t="str">
        <f>if(vlookup(B:B,'ILC3104'!B346:F8828,5,false)="","Y","N")</f>
        <v>Y</v>
      </c>
      <c r="R343" s="12" t="str">
        <f>if(vlookup(B:B,'ILC3310'!B178:F8767,5,false)="","Y","N")</f>
        <v>Y</v>
      </c>
      <c r="S343" s="12" t="str">
        <f>if(vlookup(B:B,'ILC3312'!B346:F8785,5,false)="","Y","N")</f>
        <v>Y</v>
      </c>
      <c r="T343" s="12" t="str">
        <f>if(vlookup(B:B,'ILC3413'!B315:F8710,5,false)="","Y","N")</f>
        <v>Y</v>
      </c>
      <c r="U343" s="12" t="str">
        <f>if(vlookup(B:B,'ILC3415'!B343:F8735,5,false)="","Y","N")</f>
        <v>Y</v>
      </c>
      <c r="V343" s="12" t="str">
        <f>if(vlookup(B:B,'ILC4406'!B278:F8704,5,false)="","Y","N")</f>
        <v>Y</v>
      </c>
      <c r="W343" s="12" t="str">
        <f>if(vlookup(B:B,'ILC4410'!B346:F8952,5,false)="","Y","N")</f>
        <v>Y</v>
      </c>
      <c r="X343" s="12" t="str">
        <f>if(vlookup(B:B,'JBV455'!B346:F9292,5,false)="","Y","N")</f>
        <v>Y</v>
      </c>
      <c r="Y343" s="12" t="str">
        <f>if(vlookup(B:B,'JBV462'!B346:F8785,5,false)="","Y","N")</f>
        <v>Y</v>
      </c>
      <c r="Z343" s="12" t="str">
        <f>if(vlookup(B:B,'JBV464'!B346:F8785,5,false)="","Y","N")</f>
        <v>Y</v>
      </c>
      <c r="AA343" s="12" t="str">
        <f>if(vlookup(B:B,'VDI208'!B278:F8785,5,false)="","Y","N")</f>
        <v>Y</v>
      </c>
      <c r="AB343" s="76" t="str">
        <f>if(vlookup(B:B,'STO2206'!B278:F8785,5,false)="","Y","N")</f>
        <v>Y</v>
      </c>
    </row>
    <row r="344">
      <c r="A344" s="67" t="str">
        <f t="shared" si="2"/>
        <v>Wed</v>
      </c>
      <c r="B344" s="69">
        <v>43789.0</v>
      </c>
      <c r="C344" s="12" t="str">
        <f>if(vlookup(B:B,'ILC1110'!$B209:F8786,5,false)="","Y","N")</f>
        <v>Y</v>
      </c>
      <c r="D344" s="12" t="str">
        <f>if(vlookup(B:B,'ILC1111'!$B209:F8793,5,false)="","Y","N")</f>
        <v>Y</v>
      </c>
      <c r="E344" s="12" t="str">
        <f>if(vlookup(B:B,'ILC1112'!$B209:F8786,5,false)="","Y","N")</f>
        <v>Y</v>
      </c>
      <c r="F344" s="12" t="str">
        <f>if(vlookup(B:B,'ILC1211'!B347:F8786,5,false)="","Y","N")</f>
        <v>Y</v>
      </c>
      <c r="G344" s="12" t="str">
        <f>if(vlookup(B:B,'ILC1213'!$B274:G8786,5,false)="","Y","N")</f>
        <v>Y</v>
      </c>
      <c r="H344" s="12" t="str">
        <f>if(vlookup(B:B,'ILC1314'!$B273:G1086,5,false)="","Y","N")</f>
        <v>Y</v>
      </c>
      <c r="I344" s="12" t="str">
        <f>if(vlookup(B:B,'ILC1404'!B347:F8509,5,false)="","Y","N")</f>
        <v>Y</v>
      </c>
      <c r="J344" s="12" t="str">
        <f>if(vlookup(B:B,'ILC2203'!B310:F8509,5,false)="","Y","N")</f>
        <v>Y</v>
      </c>
      <c r="K344" s="12" t="str">
        <f>if(vlookup(B:B,'ILC2206'!B295:H370,5,false)="","Y","N")</f>
        <v>Y</v>
      </c>
      <c r="L344" s="12" t="str">
        <f>if(vlookup(B:B,'ILC2303'!B347:F8786,5,false)="","Y","N")</f>
        <v>N</v>
      </c>
      <c r="M344" s="12" t="str">
        <f>if(vlookup(B:B,'ILC2307'!B347:F9302,5,false)="","Y","N")</f>
        <v>Y</v>
      </c>
      <c r="N344" s="12" t="str">
        <f>if(vlookup(B:B,'ILC2313'!B347:F8941,5,false)="","Y","N")</f>
        <v>Y</v>
      </c>
      <c r="O344" s="12" t="str">
        <f>if(vlookup(B:B,'ILC2412'!B347:F8786,5,false)="","Y","N")</f>
        <v>Y</v>
      </c>
      <c r="P344" s="12" t="str">
        <f>if(vlookup(B:B,'ILC2413'!B347:F9284,5,false)="","Y","N")</f>
        <v>Y</v>
      </c>
      <c r="Q344" s="12" t="str">
        <f>if(vlookup(B:B,'ILC3104'!B347:F8829,5,false)="","Y","N")</f>
        <v>Y</v>
      </c>
      <c r="R344" s="12" t="str">
        <f>if(vlookup(B:B,'ILC3310'!B179:F8768,5,false)="","Y","N")</f>
        <v>Y</v>
      </c>
      <c r="S344" s="12" t="str">
        <f>if(vlookup(B:B,'ILC3312'!B347:F8786,5,false)="","Y","N")</f>
        <v>Y</v>
      </c>
      <c r="T344" s="12" t="str">
        <f>if(vlookup(B:B,'ILC3413'!B316:F8711,5,false)="","Y","N")</f>
        <v>Y</v>
      </c>
      <c r="U344" s="12" t="str">
        <f>if(vlookup(B:B,'ILC3415'!B344:F8736,5,false)="","Y","N")</f>
        <v>Y</v>
      </c>
      <c r="V344" s="12" t="str">
        <f>if(vlookup(B:B,'ILC4406'!B279:F8705,5,false)="","Y","N")</f>
        <v>Y</v>
      </c>
      <c r="W344" s="12" t="str">
        <f>if(vlookup(B:B,'ILC4410'!B347:F8953,5,false)="","Y","N")</f>
        <v>Y</v>
      </c>
      <c r="X344" s="12" t="str">
        <f>if(vlookup(B:B,'JBV455'!B347:F9293,5,false)="","Y","N")</f>
        <v>Y</v>
      </c>
      <c r="Y344" s="12" t="str">
        <f>if(vlookup(B:B,'JBV462'!B347:F8786,5,false)="","Y","N")</f>
        <v>Y</v>
      </c>
      <c r="Z344" s="12" t="str">
        <f>if(vlookup(B:B,'JBV464'!B347:F8786,5,false)="","Y","N")</f>
        <v>Y</v>
      </c>
      <c r="AA344" s="12" t="str">
        <f>if(vlookup(B:B,'VDI208'!B279:F8786,5,false)="","Y","N")</f>
        <v>Y</v>
      </c>
      <c r="AB344" s="76" t="str">
        <f>if(vlookup(B:B,'STO2206'!B279:F8786,5,false)="","Y","N")</f>
        <v>Y</v>
      </c>
    </row>
    <row r="345">
      <c r="A345" s="67" t="str">
        <f t="shared" si="2"/>
        <v>Thu</v>
      </c>
      <c r="B345" s="69">
        <v>43790.0</v>
      </c>
      <c r="C345" s="12" t="str">
        <f>if(vlookup(B:B,'ILC1110'!$B210:F8787,5,false)="","Y","N")</f>
        <v>Y</v>
      </c>
      <c r="D345" s="12" t="str">
        <f>if(vlookup(B:B,'ILC1111'!$B210:F8794,5,false)="","Y","N")</f>
        <v>Y</v>
      </c>
      <c r="E345" s="12" t="str">
        <f>if(vlookup(B:B,'ILC1112'!$B210:F8787,5,false)="","Y","N")</f>
        <v>Y</v>
      </c>
      <c r="F345" s="12" t="str">
        <f>if(vlookup(B:B,'ILC1211'!B348:F8787,5,false)="","Y","N")</f>
        <v>Y</v>
      </c>
      <c r="G345" s="12" t="str">
        <f>if(vlookup(B:B,'ILC1213'!$B275:G8787,5,false)="","Y","N")</f>
        <v>Y</v>
      </c>
      <c r="H345" s="12" t="str">
        <f>if(vlookup(B:B,'ILC1314'!$B274:G1087,5,false)="","Y","N")</f>
        <v>Y</v>
      </c>
      <c r="I345" s="12" t="str">
        <f>if(vlookup(B:B,'ILC1404'!B348:F8510,5,false)="","Y","N")</f>
        <v>Y</v>
      </c>
      <c r="J345" s="12" t="str">
        <f>if(vlookup(B:B,'ILC2203'!B311:F8510,5,false)="","Y","N")</f>
        <v>Y</v>
      </c>
      <c r="K345" s="12" t="str">
        <f>if(vlookup(B:B,'ILC2206'!B296:H370,5,false)="","Y","N")</f>
        <v>Y</v>
      </c>
      <c r="L345" s="12" t="str">
        <f>if(vlookup(B:B,'ILC2303'!B348:F8787,5,false)="","Y","N")</f>
        <v>N</v>
      </c>
      <c r="M345" s="12" t="str">
        <f>if(vlookup(B:B,'ILC2307'!B348:F9303,5,false)="","Y","N")</f>
        <v>Y</v>
      </c>
      <c r="N345" s="12" t="str">
        <f>if(vlookup(B:B,'ILC2313'!B348:F8942,5,false)="","Y","N")</f>
        <v>Y</v>
      </c>
      <c r="O345" s="12" t="str">
        <f>if(vlookup(B:B,'ILC2412'!B348:F8787,5,false)="","Y","N")</f>
        <v>Y</v>
      </c>
      <c r="P345" s="12" t="str">
        <f>if(vlookup(B:B,'ILC2413'!B348:F9285,5,false)="","Y","N")</f>
        <v>Y</v>
      </c>
      <c r="Q345" s="12" t="str">
        <f>if(vlookup(B:B,'ILC3104'!B348:F8830,5,false)="","Y","N")</f>
        <v>Y</v>
      </c>
      <c r="R345" s="12" t="str">
        <f>if(vlookup(B:B,'ILC3310'!B180:F8769,5,false)="","Y","N")</f>
        <v>Y</v>
      </c>
      <c r="S345" s="12" t="str">
        <f>if(vlookup(B:B,'ILC3312'!B348:F8787,5,false)="","Y","N")</f>
        <v>Y</v>
      </c>
      <c r="T345" s="12" t="str">
        <f>if(vlookup(B:B,'ILC3413'!B317:F8712,5,false)="","Y","N")</f>
        <v>Y</v>
      </c>
      <c r="U345" s="12" t="str">
        <f>if(vlookup(B:B,'ILC3415'!B345:F8737,5,false)="","Y","N")</f>
        <v>Y</v>
      </c>
      <c r="V345" s="12" t="str">
        <f>if(vlookup(B:B,'ILC4406'!B280:F8706,5,false)="","Y","N")</f>
        <v>Y</v>
      </c>
      <c r="W345" s="12" t="str">
        <f>if(vlookup(B:B,'ILC4410'!B348:F8954,5,false)="","Y","N")</f>
        <v>Y</v>
      </c>
      <c r="X345" s="12" t="str">
        <f>if(vlookup(B:B,'JBV455'!B348:F9294,5,false)="","Y","N")</f>
        <v>Y</v>
      </c>
      <c r="Y345" s="12" t="str">
        <f>if(vlookup(B:B,'JBV462'!B348:F8787,5,false)="","Y","N")</f>
        <v>Y</v>
      </c>
      <c r="Z345" s="12" t="str">
        <f>if(vlookup(B:B,'JBV464'!B348:F8787,5,false)="","Y","N")</f>
        <v>Y</v>
      </c>
      <c r="AA345" s="12" t="str">
        <f>if(vlookup(B:B,'VDI208'!B280:F8787,5,false)="","Y","N")</f>
        <v>Y</v>
      </c>
      <c r="AB345" s="76" t="str">
        <f>if(vlookup(B:B,'STO2206'!B280:F8787,5,false)="","Y","N")</f>
        <v>Y</v>
      </c>
    </row>
    <row r="346">
      <c r="A346" s="67" t="str">
        <f t="shared" si="2"/>
        <v>Fri</v>
      </c>
      <c r="B346" s="69">
        <v>43791.0</v>
      </c>
      <c r="C346" s="12" t="str">
        <f>if(vlookup(B:B,'ILC1110'!$B211:F8788,5,false)="","Y","N")</f>
        <v>Y</v>
      </c>
      <c r="D346" s="12" t="str">
        <f>if(vlookup(B:B,'ILC1111'!$B211:F8795,5,false)="","Y","N")</f>
        <v>Y</v>
      </c>
      <c r="E346" s="12" t="str">
        <f>if(vlookup(B:B,'ILC1112'!$B211:F8788,5,false)="","Y","N")</f>
        <v>Y</v>
      </c>
      <c r="F346" s="12" t="str">
        <f>if(vlookup(B:B,'ILC1211'!B349:F8788,5,false)="","Y","N")</f>
        <v>Y</v>
      </c>
      <c r="G346" s="12" t="str">
        <f>if(vlookup(B:B,'ILC1213'!$B276:G8788,5,false)="","Y","N")</f>
        <v>Y</v>
      </c>
      <c r="H346" s="12" t="str">
        <f>if(vlookup(B:B,'ILC1314'!$B275:G1088,5,false)="","Y","N")</f>
        <v>Y</v>
      </c>
      <c r="I346" s="12" t="str">
        <f>if(vlookup(B:B,'ILC1404'!B349:F8511,5,false)="","Y","N")</f>
        <v>Y</v>
      </c>
      <c r="J346" s="12" t="str">
        <f>if(vlookup(B:B,'ILC2203'!B312:F8511,5,false)="","Y","N")</f>
        <v>Y</v>
      </c>
      <c r="K346" s="12" t="str">
        <f>if(vlookup(B:B,'ILC2206'!B297:H370,5,false)="","Y","N")</f>
        <v>Y</v>
      </c>
      <c r="L346" s="12" t="str">
        <f>if(vlookup(B:B,'ILC2303'!B349:F8788,5,false)="","Y","N")</f>
        <v>N</v>
      </c>
      <c r="M346" s="12" t="str">
        <f>if(vlookup(B:B,'ILC2307'!B349:F9304,5,false)="","Y","N")</f>
        <v>Y</v>
      </c>
      <c r="N346" s="12" t="str">
        <f>if(vlookup(B:B,'ILC2313'!B349:F8943,5,false)="","Y","N")</f>
        <v>Y</v>
      </c>
      <c r="O346" s="12" t="str">
        <f>if(vlookup(B:B,'ILC2412'!B349:F8788,5,false)="","Y","N")</f>
        <v>Y</v>
      </c>
      <c r="P346" s="12" t="str">
        <f>if(vlookup(B:B,'ILC2413'!B349:F9286,5,false)="","Y","N")</f>
        <v>Y</v>
      </c>
      <c r="Q346" s="12" t="str">
        <f>if(vlookup(B:B,'ILC3104'!B349:F8831,5,false)="","Y","N")</f>
        <v>Y</v>
      </c>
      <c r="R346" s="12" t="str">
        <f>if(vlookup(B:B,'ILC3310'!B181:F8770,5,false)="","Y","N")</f>
        <v>Y</v>
      </c>
      <c r="S346" s="12" t="str">
        <f>if(vlookup(B:B,'ILC3312'!B349:F8788,5,false)="","Y","N")</f>
        <v>Y</v>
      </c>
      <c r="T346" s="12" t="str">
        <f>if(vlookup(B:B,'ILC3413'!B318:F8713,5,false)="","Y","N")</f>
        <v>Y</v>
      </c>
      <c r="U346" s="12" t="str">
        <f>if(vlookup(B:B,'ILC3415'!B346:F8738,5,false)="","Y","N")</f>
        <v>Y</v>
      </c>
      <c r="V346" s="12" t="str">
        <f>if(vlookup(B:B,'ILC4406'!B281:F8707,5,false)="","Y","N")</f>
        <v>Y</v>
      </c>
      <c r="W346" s="12" t="str">
        <f>if(vlookup(B:B,'ILC4410'!B349:F8955,5,false)="","Y","N")</f>
        <v>Y</v>
      </c>
      <c r="X346" s="12" t="str">
        <f>if(vlookup(B:B,'JBV455'!B349:F9295,5,false)="","Y","N")</f>
        <v>Y</v>
      </c>
      <c r="Y346" s="12" t="str">
        <f>if(vlookup(B:B,'JBV462'!B349:F8788,5,false)="","Y","N")</f>
        <v>Y</v>
      </c>
      <c r="Z346" s="12" t="str">
        <f>if(vlookup(B:B,'JBV464'!B349:F8788,5,false)="","Y","N")</f>
        <v>Y</v>
      </c>
      <c r="AA346" s="12" t="str">
        <f>if(vlookup(B:B,'VDI208'!B281:F8788,5,false)="","Y","N")</f>
        <v>Y</v>
      </c>
      <c r="AB346" s="76" t="str">
        <f>if(vlookup(B:B,'STO2206'!B281:F8788,5,false)="","Y","N")</f>
        <v>Y</v>
      </c>
    </row>
    <row r="347">
      <c r="A347" s="67" t="str">
        <f t="shared" si="2"/>
        <v>Sat</v>
      </c>
      <c r="B347" s="69">
        <v>43792.0</v>
      </c>
      <c r="C347" s="12" t="str">
        <f>if(vlookup(B:B,'ILC1110'!$B212:F8789,5,false)="","Y","N")</f>
        <v>Y</v>
      </c>
      <c r="D347" s="12" t="str">
        <f>if(vlookup(B:B,'ILC1111'!$B212:F8796,5,false)="","Y","N")</f>
        <v>Y</v>
      </c>
      <c r="E347" s="12" t="str">
        <f>if(vlookup(B:B,'ILC1112'!$B212:F8789,5,false)="","Y","N")</f>
        <v>Y</v>
      </c>
      <c r="F347" s="12" t="str">
        <f>if(vlookup(B:B,'ILC1211'!B350:F8789,5,false)="","Y","N")</f>
        <v>Y</v>
      </c>
      <c r="G347" s="12" t="str">
        <f>if(vlookup(B:B,'ILC1213'!$B277:G8789,5,false)="","Y","N")</f>
        <v>Y</v>
      </c>
      <c r="H347" s="12" t="str">
        <f>if(vlookup(B:B,'ILC1314'!$B276:G1089,5,false)="","Y","N")</f>
        <v>Y</v>
      </c>
      <c r="I347" s="12" t="str">
        <f>if(vlookup(B:B,'ILC1404'!B350:F8512,5,false)="","Y","N")</f>
        <v>Y</v>
      </c>
      <c r="J347" s="12" t="str">
        <f>if(vlookup(B:B,'ILC2203'!B313:F8512,5,false)="","Y","N")</f>
        <v>Y</v>
      </c>
      <c r="K347" s="12" t="str">
        <f>if(vlookup(B:B,'ILC2206'!B298:H370,5,false)="","Y","N")</f>
        <v>Y</v>
      </c>
      <c r="L347" s="12" t="str">
        <f>if(vlookup(B:B,'ILC2303'!B350:F8789,5,false)="","Y","N")</f>
        <v>N</v>
      </c>
      <c r="M347" s="12" t="str">
        <f>if(vlookup(B:B,'ILC2307'!B350:F9305,5,false)="","Y","N")</f>
        <v>Y</v>
      </c>
      <c r="N347" s="12" t="str">
        <f>if(vlookup(B:B,'ILC2313'!B350:F8944,5,false)="","Y","N")</f>
        <v>Y</v>
      </c>
      <c r="O347" s="12" t="str">
        <f>if(vlookup(B:B,'ILC2412'!B350:F8789,5,false)="","Y","N")</f>
        <v>Y</v>
      </c>
      <c r="P347" s="12" t="str">
        <f>if(vlookup(B:B,'ILC2413'!B350:F9287,5,false)="","Y","N")</f>
        <v>Y</v>
      </c>
      <c r="Q347" s="12" t="str">
        <f>if(vlookup(B:B,'ILC3104'!B350:F8832,5,false)="","Y","N")</f>
        <v>Y</v>
      </c>
      <c r="R347" s="12" t="str">
        <f>if(vlookup(B:B,'ILC3310'!B182:F8771,5,false)="","Y","N")</f>
        <v>Y</v>
      </c>
      <c r="S347" s="12" t="str">
        <f>if(vlookup(B:B,'ILC3312'!B350:F8789,5,false)="","Y","N")</f>
        <v>Y</v>
      </c>
      <c r="T347" s="12" t="str">
        <f>if(vlookup(B:B,'ILC3413'!B319:F8714,5,false)="","Y","N")</f>
        <v>Y</v>
      </c>
      <c r="U347" s="12" t="str">
        <f>if(vlookup(B:B,'ILC3415'!B347:F8739,5,false)="","Y","N")</f>
        <v>Y</v>
      </c>
      <c r="V347" s="12" t="str">
        <f>if(vlookup(B:B,'ILC4406'!B282:F8708,5,false)="","Y","N")</f>
        <v>Y</v>
      </c>
      <c r="W347" s="12" t="str">
        <f>if(vlookup(B:B,'ILC4410'!B350:F8956,5,false)="","Y","N")</f>
        <v>Y</v>
      </c>
      <c r="X347" s="12" t="str">
        <f>if(vlookup(B:B,'JBV455'!B350:F9296,5,false)="","Y","N")</f>
        <v>Y</v>
      </c>
      <c r="Y347" s="12" t="str">
        <f>if(vlookup(B:B,'JBV462'!B350:F8789,5,false)="","Y","N")</f>
        <v>Y</v>
      </c>
      <c r="Z347" s="12" t="str">
        <f>if(vlookup(B:B,'JBV464'!B350:F8789,5,false)="","Y","N")</f>
        <v>Y</v>
      </c>
      <c r="AA347" s="12" t="str">
        <f>if(vlookup(B:B,'VDI208'!B282:F8789,5,false)="","Y","N")</f>
        <v>Y</v>
      </c>
      <c r="AB347" s="76" t="str">
        <f>if(vlookup(B:B,'STO2206'!B282:F8789,5,false)="","Y","N")</f>
        <v>Y</v>
      </c>
    </row>
    <row r="348">
      <c r="A348" s="67" t="str">
        <f t="shared" si="2"/>
        <v>Sun</v>
      </c>
      <c r="B348" s="69">
        <v>43793.0</v>
      </c>
      <c r="C348" s="12" t="str">
        <f>if(vlookup(B:B,'ILC1110'!$B213:F8790,5,false)="","Y","N")</f>
        <v>Y</v>
      </c>
      <c r="D348" s="12" t="str">
        <f>if(vlookup(B:B,'ILC1111'!$B213:F8797,5,false)="","Y","N")</f>
        <v>Y</v>
      </c>
      <c r="E348" s="12" t="str">
        <f>if(vlookup(B:B,'ILC1112'!$B213:F8790,5,false)="","Y","N")</f>
        <v>Y</v>
      </c>
      <c r="F348" s="12" t="str">
        <f>if(vlookup(B:B,'ILC1211'!B351:F8790,5,false)="","Y","N")</f>
        <v>Y</v>
      </c>
      <c r="G348" s="12" t="str">
        <f>if(vlookup(B:B,'ILC1213'!$B278:G8790,5,false)="","Y","N")</f>
        <v>Y</v>
      </c>
      <c r="H348" s="12" t="str">
        <f>if(vlookup(B:B,'ILC1314'!$B277:G1090,5,false)="","Y","N")</f>
        <v>Y</v>
      </c>
      <c r="I348" s="12" t="str">
        <f>if(vlookup(B:B,'ILC1404'!B351:F8513,5,false)="","Y","N")</f>
        <v>Y</v>
      </c>
      <c r="J348" s="12" t="str">
        <f>if(vlookup(B:B,'ILC2203'!B314:F8513,5,false)="","Y","N")</f>
        <v>Y</v>
      </c>
      <c r="K348" s="12" t="str">
        <f>if(vlookup(B:B,'ILC2206'!B299:H370,5,false)="","Y","N")</f>
        <v>Y</v>
      </c>
      <c r="L348" s="12" t="str">
        <f>if(vlookup(B:B,'ILC2303'!B351:F8790,5,false)="","Y","N")</f>
        <v>N</v>
      </c>
      <c r="M348" s="12" t="str">
        <f>if(vlookup(B:B,'ILC2307'!B351:F9306,5,false)="","Y","N")</f>
        <v>Y</v>
      </c>
      <c r="N348" s="12" t="str">
        <f>if(vlookup(B:B,'ILC2313'!B351:F8945,5,false)="","Y","N")</f>
        <v>Y</v>
      </c>
      <c r="O348" s="12" t="str">
        <f>if(vlookup(B:B,'ILC2412'!B351:F8790,5,false)="","Y","N")</f>
        <v>Y</v>
      </c>
      <c r="P348" s="12" t="str">
        <f>if(vlookup(B:B,'ILC2413'!B351:F9288,5,false)="","Y","N")</f>
        <v>Y</v>
      </c>
      <c r="Q348" s="12" t="str">
        <f>if(vlookup(B:B,'ILC3104'!B351:F8833,5,false)="","Y","N")</f>
        <v>Y</v>
      </c>
      <c r="R348" s="12" t="str">
        <f>if(vlookup(B:B,'ILC3310'!B183:F8772,5,false)="","Y","N")</f>
        <v>Y</v>
      </c>
      <c r="S348" s="12" t="str">
        <f>if(vlookup(B:B,'ILC3312'!B351:F8790,5,false)="","Y","N")</f>
        <v>Y</v>
      </c>
      <c r="T348" s="12" t="str">
        <f>if(vlookup(B:B,'ILC3413'!B320:F8715,5,false)="","Y","N")</f>
        <v>Y</v>
      </c>
      <c r="U348" s="12" t="str">
        <f>if(vlookup(B:B,'ILC3415'!B348:F8740,5,false)="","Y","N")</f>
        <v>Y</v>
      </c>
      <c r="V348" s="12" t="str">
        <f>if(vlookup(B:B,'ILC4406'!B283:F8709,5,false)="","Y","N")</f>
        <v>Y</v>
      </c>
      <c r="W348" s="12" t="str">
        <f>if(vlookup(B:B,'ILC4410'!B351:F8957,5,false)="","Y","N")</f>
        <v>Y</v>
      </c>
      <c r="X348" s="12" t="str">
        <f>if(vlookup(B:B,'JBV455'!B351:F9297,5,false)="","Y","N")</f>
        <v>Y</v>
      </c>
      <c r="Y348" s="12" t="str">
        <f>if(vlookup(B:B,'JBV462'!B351:F8790,5,false)="","Y","N")</f>
        <v>Y</v>
      </c>
      <c r="Z348" s="12" t="str">
        <f>if(vlookup(B:B,'JBV464'!B351:F8790,5,false)="","Y","N")</f>
        <v>Y</v>
      </c>
      <c r="AA348" s="12" t="str">
        <f>if(vlookup(B:B,'VDI208'!B283:F8790,5,false)="","Y","N")</f>
        <v>Y</v>
      </c>
      <c r="AB348" s="76" t="str">
        <f>if(vlookup(B:B,'STO2206'!B283:F8790,5,false)="","Y","N")</f>
        <v>Y</v>
      </c>
    </row>
    <row r="349">
      <c r="A349" s="67" t="str">
        <f t="shared" si="2"/>
        <v>Mon</v>
      </c>
      <c r="B349" s="69">
        <v>43794.0</v>
      </c>
      <c r="C349" s="12" t="str">
        <f>if(vlookup(B:B,'ILC1110'!$B214:F8791,5,false)="","Y","N")</f>
        <v>Y</v>
      </c>
      <c r="D349" s="12" t="str">
        <f>if(vlookup(B:B,'ILC1111'!$B214:F8798,5,false)="","Y","N")</f>
        <v>Y</v>
      </c>
      <c r="E349" s="12" t="str">
        <f>if(vlookup(B:B,'ILC1112'!$B214:F8791,5,false)="","Y","N")</f>
        <v>Y</v>
      </c>
      <c r="F349" s="12" t="str">
        <f>if(vlookup(B:B,'ILC1211'!B352:F8791,5,false)="","Y","N")</f>
        <v>Y</v>
      </c>
      <c r="G349" s="12" t="str">
        <f>if(vlookup(B:B,'ILC1213'!$B279:G8791,5,false)="","Y","N")</f>
        <v>Y</v>
      </c>
      <c r="H349" s="12" t="str">
        <f>if(vlookup(B:B,'ILC1314'!$B278:G1091,5,false)="","Y","N")</f>
        <v>Y</v>
      </c>
      <c r="I349" s="12" t="str">
        <f>if(vlookup(B:B,'ILC1404'!B352:F8514,5,false)="","Y","N")</f>
        <v>Y</v>
      </c>
      <c r="J349" s="12" t="str">
        <f>if(vlookup(B:B,'ILC2203'!B315:F8514,5,false)="","Y","N")</f>
        <v>Y</v>
      </c>
      <c r="K349" s="12" t="str">
        <f>if(vlookup(B:B,'ILC2206'!B300:H370,5,false)="","Y","N")</f>
        <v>Y</v>
      </c>
      <c r="L349" s="12" t="str">
        <f>if(vlookup(B:B,'ILC2303'!B352:F8791,5,false)="","Y","N")</f>
        <v>N</v>
      </c>
      <c r="M349" s="12" t="str">
        <f>if(vlookup(B:B,'ILC2307'!B352:F9307,5,false)="","Y","N")</f>
        <v>Y</v>
      </c>
      <c r="N349" s="12" t="str">
        <f>if(vlookup(B:B,'ILC2313'!B352:F8946,5,false)="","Y","N")</f>
        <v>Y</v>
      </c>
      <c r="O349" s="12" t="str">
        <f>if(vlookup(B:B,'ILC2412'!B352:F8791,5,false)="","Y","N")</f>
        <v>Y</v>
      </c>
      <c r="P349" s="12" t="str">
        <f>if(vlookup(B:B,'ILC2413'!B352:F9289,5,false)="","Y","N")</f>
        <v>Y</v>
      </c>
      <c r="Q349" s="12" t="str">
        <f>if(vlookup(B:B,'ILC3104'!B352:F8834,5,false)="","Y","N")</f>
        <v>N</v>
      </c>
      <c r="R349" s="12" t="str">
        <f>if(vlookup(B:B,'ILC3310'!B184:F8773,5,false)="","Y","N")</f>
        <v>Y</v>
      </c>
      <c r="S349" s="12" t="str">
        <f>if(vlookup(B:B,'ILC3312'!B352:F8791,5,false)="","Y","N")</f>
        <v>N</v>
      </c>
      <c r="T349" s="12" t="str">
        <f>if(vlookup(B:B,'ILC3413'!B321:F8716,5,false)="","Y","N")</f>
        <v>Y</v>
      </c>
      <c r="U349" s="12" t="str">
        <f>if(vlookup(B:B,'ILC3415'!B349:F8741,5,false)="","Y","N")</f>
        <v>Y</v>
      </c>
      <c r="V349" s="12" t="str">
        <f>if(vlookup(B:B,'ILC4406'!B284:F8710,5,false)="","Y","N")</f>
        <v>Y</v>
      </c>
      <c r="W349" s="12" t="str">
        <f>if(vlookup(B:B,'ILC4410'!B352:F8958,5,false)="","Y","N")</f>
        <v>Y</v>
      </c>
      <c r="X349" s="12" t="str">
        <f>if(vlookup(B:B,'JBV455'!B352:F9298,5,false)="","Y","N")</f>
        <v>Y</v>
      </c>
      <c r="Y349" s="12" t="str">
        <f>if(vlookup(B:B,'JBV462'!B352:F8791,5,false)="","Y","N")</f>
        <v>Y</v>
      </c>
      <c r="Z349" s="12" t="str">
        <f>if(vlookup(B:B,'JBV464'!B352:F8791,5,false)="","Y","N")</f>
        <v>Y</v>
      </c>
      <c r="AA349" s="12" t="str">
        <f>if(vlookup(B:B,'VDI208'!B284:F8791,5,false)="","Y","N")</f>
        <v>Y</v>
      </c>
      <c r="AB349" s="76" t="str">
        <f>if(vlookup(B:B,'STO2206'!B284:F8791,5,false)="","Y","N")</f>
        <v>Y</v>
      </c>
    </row>
    <row r="350">
      <c r="A350" s="67" t="str">
        <f t="shared" si="2"/>
        <v>Tue</v>
      </c>
      <c r="B350" s="69">
        <v>43795.0</v>
      </c>
      <c r="C350" s="12" t="str">
        <f>if(vlookup(B:B,'ILC1110'!$B215:F8792,5,false)="","Y","N")</f>
        <v>Y</v>
      </c>
      <c r="D350" s="12" t="str">
        <f>if(vlookup(B:B,'ILC1111'!$B215:F8799,5,false)="","Y","N")</f>
        <v>Y</v>
      </c>
      <c r="E350" s="12" t="str">
        <f>if(vlookup(B:B,'ILC1112'!$B215:F8792,5,false)="","Y","N")</f>
        <v>Y</v>
      </c>
      <c r="F350" s="12" t="str">
        <f>if(vlookup(B:B,'ILC1211'!B353:F8792,5,false)="","Y","N")</f>
        <v>Y</v>
      </c>
      <c r="G350" s="12" t="str">
        <f>if(vlookup(B:B,'ILC1213'!$B280:G8792,5,false)="","Y","N")</f>
        <v>Y</v>
      </c>
      <c r="H350" s="12" t="str">
        <f>if(vlookup(B:B,'ILC1314'!$B279:G1092,5,false)="","Y","N")</f>
        <v>Y</v>
      </c>
      <c r="I350" s="12" t="str">
        <f>if(vlookup(B:B,'ILC1404'!B353:F8515,5,false)="","Y","N")</f>
        <v>Y</v>
      </c>
      <c r="J350" s="12" t="str">
        <f>if(vlookup(B:B,'ILC2203'!B316:F8515,5,false)="","Y","N")</f>
        <v>Y</v>
      </c>
      <c r="K350" s="12" t="str">
        <f>if(vlookup(B:B,'ILC2206'!B301:H370,5,false)="","Y","N")</f>
        <v>Y</v>
      </c>
      <c r="L350" s="12" t="str">
        <f>if(vlookup(B:B,'ILC2303'!B353:F8792,5,false)="","Y","N")</f>
        <v>N</v>
      </c>
      <c r="M350" s="12" t="str">
        <f>if(vlookup(B:B,'ILC2307'!B353:F9308,5,false)="","Y","N")</f>
        <v>Y</v>
      </c>
      <c r="N350" s="12" t="str">
        <f>if(vlookup(B:B,'ILC2313'!B353:F8947,5,false)="","Y","N")</f>
        <v>Y</v>
      </c>
      <c r="O350" s="12" t="str">
        <f>if(vlookup(B:B,'ILC2412'!B353:F8792,5,false)="","Y","N")</f>
        <v>Y</v>
      </c>
      <c r="P350" s="12" t="str">
        <f>if(vlookup(B:B,'ILC2413'!B353:F9290,5,false)="","Y","N")</f>
        <v>Y</v>
      </c>
      <c r="Q350" s="12" t="str">
        <f>if(vlookup(B:B,'ILC3104'!B353:F8835,5,false)="","Y","N")</f>
        <v>N</v>
      </c>
      <c r="R350" s="12" t="str">
        <f>if(vlookup(B:B,'ILC3310'!B185:F8774,5,false)="","Y","N")</f>
        <v>Y</v>
      </c>
      <c r="S350" s="12" t="str">
        <f>if(vlookup(B:B,'ILC3312'!B353:F8792,5,false)="","Y","N")</f>
        <v>N</v>
      </c>
      <c r="T350" s="12" t="str">
        <f>if(vlookup(B:B,'ILC3413'!B322:F8717,5,false)="","Y","N")</f>
        <v>Y</v>
      </c>
      <c r="U350" s="12" t="str">
        <f>if(vlookup(B:B,'ILC3415'!B350:F8742,5,false)="","Y","N")</f>
        <v>Y</v>
      </c>
      <c r="V350" s="12" t="str">
        <f>if(vlookup(B:B,'ILC4406'!B285:F8711,5,false)="","Y","N")</f>
        <v>Y</v>
      </c>
      <c r="W350" s="12" t="str">
        <f>if(vlookup(B:B,'ILC4410'!B353:F8959,5,false)="","Y","N")</f>
        <v>Y</v>
      </c>
      <c r="X350" s="12" t="str">
        <f>if(vlookup(B:B,'JBV455'!B353:F9299,5,false)="","Y","N")</f>
        <v>Y</v>
      </c>
      <c r="Y350" s="12" t="str">
        <f>if(vlookup(B:B,'JBV462'!B353:F8792,5,false)="","Y","N")</f>
        <v>Y</v>
      </c>
      <c r="Z350" s="12" t="str">
        <f>if(vlookup(B:B,'JBV464'!B353:F8792,5,false)="","Y","N")</f>
        <v>Y</v>
      </c>
      <c r="AA350" s="12" t="str">
        <f>if(vlookup(B:B,'VDI208'!B285:F8792,5,false)="","Y","N")</f>
        <v>Y</v>
      </c>
      <c r="AB350" s="76" t="str">
        <f>if(vlookup(B:B,'STO2206'!B285:F8792,5,false)="","Y","N")</f>
        <v>Y</v>
      </c>
    </row>
    <row r="351">
      <c r="A351" s="67" t="str">
        <f t="shared" si="2"/>
        <v>Wed</v>
      </c>
      <c r="B351" s="69">
        <v>43796.0</v>
      </c>
      <c r="C351" s="12" t="str">
        <f>if(vlookup(B:B,'ILC1110'!$B216:F8793,5,false)="","Y","N")</f>
        <v>Y</v>
      </c>
      <c r="D351" s="12" t="str">
        <f>if(vlookup(B:B,'ILC1111'!$B216:F8800,5,false)="","Y","N")</f>
        <v>Y</v>
      </c>
      <c r="E351" s="12" t="str">
        <f>if(vlookup(B:B,'ILC1112'!$B216:F8793,5,false)="","Y","N")</f>
        <v>Y</v>
      </c>
      <c r="F351" s="12" t="str">
        <f>if(vlookup(B:B,'ILC1211'!B354:F8793,5,false)="","Y","N")</f>
        <v>Y</v>
      </c>
      <c r="G351" s="12" t="str">
        <f>if(vlookup(B:B,'ILC1213'!$B281:G8793,5,false)="","Y","N")</f>
        <v>Y</v>
      </c>
      <c r="H351" s="12" t="str">
        <f>if(vlookup(B:B,'ILC1314'!$B280:G1093,5,false)="","Y","N")</f>
        <v>Y</v>
      </c>
      <c r="I351" s="12" t="str">
        <f>if(vlookup(B:B,'ILC1404'!B354:F8516,5,false)="","Y","N")</f>
        <v>Y</v>
      </c>
      <c r="J351" s="12" t="str">
        <f>if(vlookup(B:B,'ILC2203'!B317:F8516,5,false)="","Y","N")</f>
        <v>Y</v>
      </c>
      <c r="K351" s="12" t="str">
        <f>if(vlookup(B:B,'ILC2206'!B302:H370,5,false)="","Y","N")</f>
        <v>Y</v>
      </c>
      <c r="L351" s="12" t="str">
        <f>if(vlookup(B:B,'ILC2303'!B354:F8793,5,false)="","Y","N")</f>
        <v>N</v>
      </c>
      <c r="M351" s="12" t="str">
        <f>if(vlookup(B:B,'ILC2307'!B354:F9309,5,false)="","Y","N")</f>
        <v>Y</v>
      </c>
      <c r="N351" s="12" t="str">
        <f>if(vlookup(B:B,'ILC2313'!B354:F8948,5,false)="","Y","N")</f>
        <v>Y</v>
      </c>
      <c r="O351" s="12" t="str">
        <f>if(vlookup(B:B,'ILC2412'!B354:F8793,5,false)="","Y","N")</f>
        <v>Y</v>
      </c>
      <c r="P351" s="12" t="str">
        <f>if(vlookup(B:B,'ILC2413'!B354:F9291,5,false)="","Y","N")</f>
        <v>Y</v>
      </c>
      <c r="Q351" s="12" t="str">
        <f>if(vlookup(B:B,'ILC3104'!B354:F8836,5,false)="","Y","N")</f>
        <v>N</v>
      </c>
      <c r="R351" s="12" t="str">
        <f>if(vlookup(B:B,'ILC3310'!B186:F8775,5,false)="","Y","N")</f>
        <v>Y</v>
      </c>
      <c r="S351" s="12" t="str">
        <f>if(vlookup(B:B,'ILC3312'!B354:F8793,5,false)="","Y","N")</f>
        <v>N</v>
      </c>
      <c r="T351" s="12" t="str">
        <f>if(vlookup(B:B,'ILC3413'!B323:F8718,5,false)="","Y","N")</f>
        <v>Y</v>
      </c>
      <c r="U351" s="12" t="str">
        <f>if(vlookup(B:B,'ILC3415'!B351:F8743,5,false)="","Y","N")</f>
        <v>Y</v>
      </c>
      <c r="V351" s="12" t="str">
        <f>if(vlookup(B:B,'ILC4406'!B286:F8712,5,false)="","Y","N")</f>
        <v>Y</v>
      </c>
      <c r="W351" s="12" t="str">
        <f>if(vlookup(B:B,'ILC4410'!B354:F8960,5,false)="","Y","N")</f>
        <v>Y</v>
      </c>
      <c r="X351" s="12" t="str">
        <f>if(vlookup(B:B,'JBV455'!B354:F9300,5,false)="","Y","N")</f>
        <v>Y</v>
      </c>
      <c r="Y351" s="12" t="str">
        <f>if(vlookup(B:B,'JBV462'!B354:F8793,5,false)="","Y","N")</f>
        <v>Y</v>
      </c>
      <c r="Z351" s="12" t="str">
        <f>if(vlookup(B:B,'JBV464'!B354:F8793,5,false)="","Y","N")</f>
        <v>Y</v>
      </c>
      <c r="AA351" s="12" t="str">
        <f>if(vlookup(B:B,'VDI208'!B286:F8793,5,false)="","Y","N")</f>
        <v>Y</v>
      </c>
      <c r="AB351" s="76" t="str">
        <f>if(vlookup(B:B,'STO2206'!B286:F8793,5,false)="","Y","N")</f>
        <v>Y</v>
      </c>
    </row>
    <row r="352">
      <c r="A352" s="67" t="str">
        <f t="shared" si="2"/>
        <v>Thu</v>
      </c>
      <c r="B352" s="69">
        <v>43797.0</v>
      </c>
      <c r="C352" s="12" t="str">
        <f>if(vlookup(B:B,'ILC1110'!$B217:F8794,5,false)="","Y","N")</f>
        <v>Y</v>
      </c>
      <c r="D352" s="12" t="str">
        <f>if(vlookup(B:B,'ILC1111'!$B217:F8801,5,false)="","Y","N")</f>
        <v>Y</v>
      </c>
      <c r="E352" s="12" t="str">
        <f>if(vlookup(B:B,'ILC1112'!$B217:F8794,5,false)="","Y","N")</f>
        <v>Y</v>
      </c>
      <c r="F352" s="12" t="str">
        <f>if(vlookup(B:B,'ILC1211'!B355:F8794,5,false)="","Y","N")</f>
        <v>Y</v>
      </c>
      <c r="G352" s="12" t="str">
        <f>if(vlookup(B:B,'ILC1213'!$B282:G8794,5,false)="","Y","N")</f>
        <v>Y</v>
      </c>
      <c r="H352" s="12" t="str">
        <f>if(vlookup(B:B,'ILC1314'!$B281:G1094,5,false)="","Y","N")</f>
        <v>Y</v>
      </c>
      <c r="I352" s="12" t="str">
        <f>if(vlookup(B:B,'ILC1404'!B355:F8517,5,false)="","Y","N")</f>
        <v>Y</v>
      </c>
      <c r="J352" s="12" t="str">
        <f>if(vlookup(B:B,'ILC2203'!B318:F8517,5,false)="","Y","N")</f>
        <v>Y</v>
      </c>
      <c r="K352" s="12" t="str">
        <f>if(vlookup(B:B,'ILC2206'!B303:H370,5,false)="","Y","N")</f>
        <v>Y</v>
      </c>
      <c r="L352" s="12" t="str">
        <f>if(vlookup(B:B,'ILC2303'!B355:F8794,5,false)="","Y","N")</f>
        <v>N</v>
      </c>
      <c r="M352" s="12" t="str">
        <f>if(vlookup(B:B,'ILC2307'!B355:F9310,5,false)="","Y","N")</f>
        <v>Y</v>
      </c>
      <c r="N352" s="12" t="str">
        <f>if(vlookup(B:B,'ILC2313'!B355:F8949,5,false)="","Y","N")</f>
        <v>Y</v>
      </c>
      <c r="O352" s="12" t="str">
        <f>if(vlookup(B:B,'ILC2412'!B355:F8794,5,false)="","Y","N")</f>
        <v>Y</v>
      </c>
      <c r="P352" s="12" t="str">
        <f>if(vlookup(B:B,'ILC2413'!B355:F9292,5,false)="","Y","N")</f>
        <v>Y</v>
      </c>
      <c r="Q352" s="12" t="str">
        <f>if(vlookup(B:B,'ILC3104'!B355:F8837,5,false)="","Y","N")</f>
        <v>N</v>
      </c>
      <c r="R352" s="12" t="str">
        <f>if(vlookup(B:B,'ILC3310'!B187:F8776,5,false)="","Y","N")</f>
        <v>Y</v>
      </c>
      <c r="S352" s="12" t="str">
        <f>if(vlookup(B:B,'ILC3312'!B355:F8794,5,false)="","Y","N")</f>
        <v>N</v>
      </c>
      <c r="T352" s="12" t="str">
        <f>if(vlookup(B:B,'ILC3413'!B324:F8719,5,false)="","Y","N")</f>
        <v>Y</v>
      </c>
      <c r="U352" s="12" t="str">
        <f>if(vlookup(B:B,'ILC3415'!B352:F8744,5,false)="","Y","N")</f>
        <v>Y</v>
      </c>
      <c r="V352" s="12" t="str">
        <f>if(vlookup(B:B,'ILC4406'!B287:F8713,5,false)="","Y","N")</f>
        <v>Y</v>
      </c>
      <c r="W352" s="12" t="str">
        <f>if(vlookup(B:B,'ILC4410'!B355:F8961,5,false)="","Y","N")</f>
        <v>Y</v>
      </c>
      <c r="X352" s="12" t="str">
        <f>if(vlookup(B:B,'JBV455'!B355:F9301,5,false)="","Y","N")</f>
        <v>Y</v>
      </c>
      <c r="Y352" s="12" t="str">
        <f>if(vlookup(B:B,'JBV462'!B355:F8794,5,false)="","Y","N")</f>
        <v>Y</v>
      </c>
      <c r="Z352" s="12" t="str">
        <f>if(vlookup(B:B,'JBV464'!B355:F8794,5,false)="","Y","N")</f>
        <v>Y</v>
      </c>
      <c r="AA352" s="12" t="str">
        <f>if(vlookup(B:B,'VDI208'!B287:F8794,5,false)="","Y","N")</f>
        <v>Y</v>
      </c>
      <c r="AB352" s="76" t="str">
        <f>if(vlookup(B:B,'STO2206'!B287:F8794,5,false)="","Y","N")</f>
        <v>Y</v>
      </c>
    </row>
    <row r="353">
      <c r="A353" s="67" t="str">
        <f t="shared" si="2"/>
        <v>Fri</v>
      </c>
      <c r="B353" s="69">
        <v>43798.0</v>
      </c>
      <c r="C353" s="12" t="str">
        <f>if(vlookup(B:B,'ILC1110'!$B218:F8795,5,false)="","Y","N")</f>
        <v>Y</v>
      </c>
      <c r="D353" s="12" t="str">
        <f>if(vlookup(B:B,'ILC1111'!$B218:F8802,5,false)="","Y","N")</f>
        <v>Y</v>
      </c>
      <c r="E353" s="12" t="str">
        <f>if(vlookup(B:B,'ILC1112'!$B218:F8795,5,false)="","Y","N")</f>
        <v>Y</v>
      </c>
      <c r="F353" s="12" t="str">
        <f>if(vlookup(B:B,'ILC1211'!B356:F8795,5,false)="","Y","N")</f>
        <v>Y</v>
      </c>
      <c r="G353" s="12" t="str">
        <f>if(vlookup(B:B,'ILC1213'!$B283:G8795,5,false)="","Y","N")</f>
        <v>Y</v>
      </c>
      <c r="H353" s="12" t="str">
        <f>if(vlookup(B:B,'ILC1314'!$B282:G1095,5,false)="","Y","N")</f>
        <v>Y</v>
      </c>
      <c r="I353" s="12" t="str">
        <f>if(vlookup(B:B,'ILC1404'!B356:F8518,5,false)="","Y","N")</f>
        <v>Y</v>
      </c>
      <c r="J353" s="12" t="str">
        <f>if(vlookup(B:B,'ILC2203'!B319:F8518,5,false)="","Y","N")</f>
        <v>Y</v>
      </c>
      <c r="K353" s="12" t="str">
        <f>if(vlookup(B:B,'ILC2206'!B304:H370,5,false)="","Y","N")</f>
        <v>Y</v>
      </c>
      <c r="L353" s="12" t="str">
        <f>if(vlookup(B:B,'ILC2303'!B356:F8795,5,false)="","Y","N")</f>
        <v>N</v>
      </c>
      <c r="M353" s="12" t="str">
        <f>if(vlookup(B:B,'ILC2307'!B356:F9311,5,false)="","Y","N")</f>
        <v>Y</v>
      </c>
      <c r="N353" s="12" t="str">
        <f>if(vlookup(B:B,'ILC2313'!B356:F8950,5,false)="","Y","N")</f>
        <v>Y</v>
      </c>
      <c r="O353" s="12" t="str">
        <f>if(vlookup(B:B,'ILC2412'!B356:F8795,5,false)="","Y","N")</f>
        <v>Y</v>
      </c>
      <c r="P353" s="12" t="str">
        <f>if(vlookup(B:B,'ILC2413'!B356:F9293,5,false)="","Y","N")</f>
        <v>Y</v>
      </c>
      <c r="Q353" s="12" t="str">
        <f>if(vlookup(B:B,'ILC3104'!B356:F8838,5,false)="","Y","N")</f>
        <v>N</v>
      </c>
      <c r="R353" s="12" t="str">
        <f>if(vlookup(B:B,'ILC3310'!B188:F8777,5,false)="","Y","N")</f>
        <v>Y</v>
      </c>
      <c r="S353" s="12" t="str">
        <f>if(vlookup(B:B,'ILC3312'!B356:F8795,5,false)="","Y","N")</f>
        <v>N</v>
      </c>
      <c r="T353" s="12" t="str">
        <f>if(vlookup(B:B,'ILC3413'!B325:F8720,5,false)="","Y","N")</f>
        <v>Y</v>
      </c>
      <c r="U353" s="12" t="str">
        <f>if(vlookup(B:B,'ILC3415'!B353:F8745,5,false)="","Y","N")</f>
        <v>Y</v>
      </c>
      <c r="V353" s="12" t="str">
        <f>if(vlookup(B:B,'ILC4406'!B288:F8714,5,false)="","Y","N")</f>
        <v>Y</v>
      </c>
      <c r="W353" s="12" t="str">
        <f>if(vlookup(B:B,'ILC4410'!B356:F8962,5,false)="","Y","N")</f>
        <v>Y</v>
      </c>
      <c r="X353" s="12" t="str">
        <f>if(vlookup(B:B,'JBV455'!B356:F9302,5,false)="","Y","N")</f>
        <v>Y</v>
      </c>
      <c r="Y353" s="12" t="str">
        <f>if(vlookup(B:B,'JBV462'!B356:F8795,5,false)="","Y","N")</f>
        <v>Y</v>
      </c>
      <c r="Z353" s="12" t="str">
        <f>if(vlookup(B:B,'JBV464'!B356:F8795,5,false)="","Y","N")</f>
        <v>Y</v>
      </c>
      <c r="AA353" s="12" t="str">
        <f>if(vlookup(B:B,'VDI208'!B288:F8795,5,false)="","Y","N")</f>
        <v>Y</v>
      </c>
      <c r="AB353" s="76" t="str">
        <f>if(vlookup(B:B,'STO2206'!B288:F8795,5,false)="","Y","N")</f>
        <v>Y</v>
      </c>
    </row>
    <row r="354">
      <c r="A354" s="67" t="str">
        <f t="shared" si="2"/>
        <v>Sat</v>
      </c>
      <c r="B354" s="69">
        <v>43799.0</v>
      </c>
      <c r="C354" s="12" t="str">
        <f>if(vlookup(B:B,'ILC1110'!$B219:F8796,5,false)="","Y","N")</f>
        <v>Y</v>
      </c>
      <c r="D354" s="12" t="str">
        <f>if(vlookup(B:B,'ILC1111'!$B219:F8803,5,false)="","Y","N")</f>
        <v>Y</v>
      </c>
      <c r="E354" s="12" t="str">
        <f>if(vlookup(B:B,'ILC1112'!$B219:F8796,5,false)="","Y","N")</f>
        <v>Y</v>
      </c>
      <c r="F354" s="12" t="str">
        <f>if(vlookup(B:B,'ILC1211'!B357:F8796,5,false)="","Y","N")</f>
        <v>Y</v>
      </c>
      <c r="G354" s="12" t="str">
        <f>if(vlookup(B:B,'ILC1213'!$B284:G8796,5,false)="","Y","N")</f>
        <v>Y</v>
      </c>
      <c r="H354" s="12" t="str">
        <f>if(vlookup(B:B,'ILC1314'!$B283:G1096,5,false)="","Y","N")</f>
        <v>Y</v>
      </c>
      <c r="I354" s="12" t="str">
        <f>if(vlookup(B:B,'ILC1404'!B357:F8519,5,false)="","Y","N")</f>
        <v>Y</v>
      </c>
      <c r="J354" s="12" t="str">
        <f>if(vlookup(B:B,'ILC2203'!B320:F8519,5,false)="","Y","N")</f>
        <v>Y</v>
      </c>
      <c r="K354" s="12" t="str">
        <f>if(vlookup(B:B,'ILC2206'!B305:H370,5,false)="","Y","N")</f>
        <v>Y</v>
      </c>
      <c r="L354" s="12" t="str">
        <f>if(vlookup(B:B,'ILC2303'!B357:F8796,5,false)="","Y","N")</f>
        <v>N</v>
      </c>
      <c r="M354" s="12" t="str">
        <f>if(vlookup(B:B,'ILC2307'!B357:F9312,5,false)="","Y","N")</f>
        <v>Y</v>
      </c>
      <c r="N354" s="12" t="str">
        <f>if(vlookup(B:B,'ILC2313'!B357:F8951,5,false)="","Y","N")</f>
        <v>Y</v>
      </c>
      <c r="O354" s="12" t="str">
        <f>if(vlookup(B:B,'ILC2412'!B357:F8796,5,false)="","Y","N")</f>
        <v>Y</v>
      </c>
      <c r="P354" s="12" t="str">
        <f>if(vlookup(B:B,'ILC2413'!B357:F9294,5,false)="","Y","N")</f>
        <v>Y</v>
      </c>
      <c r="Q354" s="12" t="str">
        <f>if(vlookup(B:B,'ILC3104'!B357:F8839,5,false)="","Y","N")</f>
        <v>N</v>
      </c>
      <c r="R354" s="12" t="str">
        <f>if(vlookup(B:B,'ILC3310'!B189:F8778,5,false)="","Y","N")</f>
        <v>Y</v>
      </c>
      <c r="S354" s="12" t="str">
        <f>if(vlookup(B:B,'ILC3312'!B357:F8796,5,false)="","Y","N")</f>
        <v>N</v>
      </c>
      <c r="T354" s="12" t="str">
        <f>if(vlookup(B:B,'ILC3413'!B326:F8721,5,false)="","Y","N")</f>
        <v>Y</v>
      </c>
      <c r="U354" s="12" t="str">
        <f>if(vlookup(B:B,'ILC3415'!B354:F8746,5,false)="","Y","N")</f>
        <v>Y</v>
      </c>
      <c r="V354" s="12" t="str">
        <f>if(vlookup(B:B,'ILC4406'!B289:F8715,5,false)="","Y","N")</f>
        <v>Y</v>
      </c>
      <c r="W354" s="12" t="str">
        <f>if(vlookup(B:B,'ILC4410'!B357:F8963,5,false)="","Y","N")</f>
        <v>Y</v>
      </c>
      <c r="X354" s="12" t="str">
        <f>if(vlookup(B:B,'JBV455'!B357:F9303,5,false)="","Y","N")</f>
        <v>Y</v>
      </c>
      <c r="Y354" s="12" t="str">
        <f>if(vlookup(B:B,'JBV462'!B357:F8796,5,false)="","Y","N")</f>
        <v>Y</v>
      </c>
      <c r="Z354" s="12" t="str">
        <f>if(vlookup(B:B,'JBV464'!B357:F8796,5,false)="","Y","N")</f>
        <v>Y</v>
      </c>
      <c r="AA354" s="12" t="str">
        <f>if(vlookup(B:B,'VDI208'!B289:F8796,5,false)="","Y","N")</f>
        <v>Y</v>
      </c>
      <c r="AB354" s="76" t="str">
        <f>if(vlookup(B:B,'STO2206'!B289:F8796,5,false)="","Y","N")</f>
        <v>Y</v>
      </c>
    </row>
    <row r="355">
      <c r="A355" s="67" t="str">
        <f t="shared" si="2"/>
        <v>Sun</v>
      </c>
      <c r="B355" s="69">
        <v>43800.0</v>
      </c>
      <c r="C355" s="12" t="str">
        <f>if(vlookup(B:B,'ILC1110'!$B220:F8797,5,false)="","Y","N")</f>
        <v>Y</v>
      </c>
      <c r="D355" s="12" t="str">
        <f>if(vlookup(B:B,'ILC1111'!$B220:F8804,5,false)="","Y","N")</f>
        <v>Y</v>
      </c>
      <c r="E355" s="12" t="str">
        <f>if(vlookup(B:B,'ILC1112'!$B220:F8797,5,false)="","Y","N")</f>
        <v>Y</v>
      </c>
      <c r="F355" s="12" t="str">
        <f>if(vlookup(B:B,'ILC1211'!B358:F8797,5,false)="","Y","N")</f>
        <v>Y</v>
      </c>
      <c r="G355" s="12" t="str">
        <f>if(vlookup(B:B,'ILC1213'!$B285:G8797,5,false)="","Y","N")</f>
        <v>Y</v>
      </c>
      <c r="H355" s="12" t="str">
        <f>if(vlookup(B:B,'ILC1314'!$B284:G1097,5,false)="","Y","N")</f>
        <v>Y</v>
      </c>
      <c r="I355" s="12" t="str">
        <f>if(vlookup(B:B,'ILC1404'!B358:F8520,5,false)="","Y","N")</f>
        <v>Y</v>
      </c>
      <c r="J355" s="12" t="str">
        <f>if(vlookup(B:B,'ILC2203'!B321:F8520,5,false)="","Y","N")</f>
        <v>Y</v>
      </c>
      <c r="K355" s="12" t="str">
        <f>if(vlookup(B:B,'ILC2206'!B306:H370,5,false)="","Y","N")</f>
        <v>Y</v>
      </c>
      <c r="L355" s="12" t="str">
        <f>if(vlookup(B:B,'ILC2303'!B358:F8797,5,false)="","Y","N")</f>
        <v>N</v>
      </c>
      <c r="M355" s="12" t="str">
        <f>if(vlookup(B:B,'ILC2307'!B358:F9313,5,false)="","Y","N")</f>
        <v>Y</v>
      </c>
      <c r="N355" s="12" t="str">
        <f>if(vlookup(B:B,'ILC2313'!B358:F8952,5,false)="","Y","N")</f>
        <v>Y</v>
      </c>
      <c r="O355" s="12" t="str">
        <f>if(vlookup(B:B,'ILC2412'!B358:F8797,5,false)="","Y","N")</f>
        <v>Y</v>
      </c>
      <c r="P355" s="12" t="str">
        <f>if(vlookup(B:B,'ILC2413'!B358:F9295,5,false)="","Y","N")</f>
        <v>Y</v>
      </c>
      <c r="Q355" s="12" t="str">
        <f>if(vlookup(B:B,'ILC3104'!B358:F8840,5,false)="","Y","N")</f>
        <v>N</v>
      </c>
      <c r="R355" s="12" t="str">
        <f>if(vlookup(B:B,'ILC3310'!B190:F8779,5,false)="","Y","N")</f>
        <v>Y</v>
      </c>
      <c r="S355" s="12" t="str">
        <f>if(vlookup(B:B,'ILC3312'!B358:F8797,5,false)="","Y","N")</f>
        <v>N</v>
      </c>
      <c r="T355" s="12" t="str">
        <f>if(vlookup(B:B,'ILC3413'!B327:F8722,5,false)="","Y","N")</f>
        <v>Y</v>
      </c>
      <c r="U355" s="12" t="str">
        <f>if(vlookup(B:B,'ILC3415'!B355:F8747,5,false)="","Y","N")</f>
        <v>Y</v>
      </c>
      <c r="V355" s="12" t="str">
        <f>if(vlookup(B:B,'ILC4406'!B290:F8716,5,false)="","Y","N")</f>
        <v>Y</v>
      </c>
      <c r="W355" s="12" t="str">
        <f>if(vlookup(B:B,'ILC4410'!B358:F8964,5,false)="","Y","N")</f>
        <v>Y</v>
      </c>
      <c r="X355" s="12" t="str">
        <f>if(vlookup(B:B,'JBV455'!B358:F9304,5,false)="","Y","N")</f>
        <v>Y</v>
      </c>
      <c r="Y355" s="12" t="str">
        <f>if(vlookup(B:B,'JBV462'!B358:F8797,5,false)="","Y","N")</f>
        <v>Y</v>
      </c>
      <c r="Z355" s="12" t="str">
        <f>if(vlookup(B:B,'JBV464'!B358:F8797,5,false)="","Y","N")</f>
        <v>Y</v>
      </c>
      <c r="AA355" s="12" t="str">
        <f>if(vlookup(B:B,'VDI208'!B290:F8797,5,false)="","Y","N")</f>
        <v>Y</v>
      </c>
      <c r="AB355" s="76" t="str">
        <f>if(vlookup(B:B,'STO2206'!B290:F8797,5,false)="","Y","N")</f>
        <v>Y</v>
      </c>
    </row>
    <row r="356">
      <c r="A356" s="67" t="str">
        <f t="shared" si="2"/>
        <v>Mon</v>
      </c>
      <c r="B356" s="69">
        <v>43801.0</v>
      </c>
      <c r="C356" s="12" t="str">
        <f>if(vlookup(B:B,'ILC1110'!$B221:F8798,5,false)="","Y","N")</f>
        <v>Y</v>
      </c>
      <c r="D356" s="12" t="str">
        <f>if(vlookup(B:B,'ILC1111'!$B221:F8805,5,false)="","Y","N")</f>
        <v>Y</v>
      </c>
      <c r="E356" s="12" t="str">
        <f>if(vlookup(B:B,'ILC1112'!$B221:F8798,5,false)="","Y","N")</f>
        <v>Y</v>
      </c>
      <c r="F356" s="12" t="str">
        <f>if(vlookup(B:B,'ILC1211'!B359:F8798,5,false)="","Y","N")</f>
        <v>Y</v>
      </c>
      <c r="G356" s="12" t="str">
        <f>if(vlookup(B:B,'ILC1213'!$B286:G8798,5,false)="","Y","N")</f>
        <v>Y</v>
      </c>
      <c r="H356" s="12" t="str">
        <f>if(vlookup(B:B,'ILC1314'!$B285:G1098,5,false)="","Y","N")</f>
        <v>Y</v>
      </c>
      <c r="I356" s="12" t="str">
        <f>if(vlookup(B:B,'ILC1404'!B359:F8521,5,false)="","Y","N")</f>
        <v>Y</v>
      </c>
      <c r="J356" s="12" t="str">
        <f>if(vlookup(B:B,'ILC2203'!B322:F8521,5,false)="","Y","N")</f>
        <v>Y</v>
      </c>
      <c r="K356" s="12" t="str">
        <f>if(vlookup(B:B,'ILC2206'!B307:H370,5,false)="","Y","N")</f>
        <v>Y</v>
      </c>
      <c r="L356" s="12" t="str">
        <f>if(vlookup(B:B,'ILC2303'!B359:F8798,5,false)="","Y","N")</f>
        <v>N</v>
      </c>
      <c r="M356" s="12" t="str">
        <f>if(vlookup(B:B,'ILC2307'!B359:F9314,5,false)="","Y","N")</f>
        <v>Y</v>
      </c>
      <c r="N356" s="12" t="str">
        <f>if(vlookup(B:B,'ILC2313'!B359:F8953,5,false)="","Y","N")</f>
        <v>Y</v>
      </c>
      <c r="O356" s="12" t="str">
        <f>if(vlookup(B:B,'ILC2412'!B359:F8798,5,false)="","Y","N")</f>
        <v>Y</v>
      </c>
      <c r="P356" s="12" t="str">
        <f>if(vlookup(B:B,'ILC2413'!B359:F9296,5,false)="","Y","N")</f>
        <v>Y</v>
      </c>
      <c r="Q356" s="12" t="str">
        <f>if(vlookup(B:B,'ILC3104'!B359:F8841,5,false)="","Y","N")</f>
        <v>Y</v>
      </c>
      <c r="R356" s="12" t="str">
        <f>if(vlookup(B:B,'ILC3310'!B191:F8780,5,false)="","Y","N")</f>
        <v>Y</v>
      </c>
      <c r="S356" s="12" t="str">
        <f>if(vlookup(B:B,'ILC3312'!B359:F8798,5,false)="","Y","N")</f>
        <v>N</v>
      </c>
      <c r="T356" s="12" t="str">
        <f>if(vlookup(B:B,'ILC3413'!B328:F8723,5,false)="","Y","N")</f>
        <v>Y</v>
      </c>
      <c r="U356" s="12" t="str">
        <f>if(vlookup(B:B,'ILC3415'!B356:F8748,5,false)="","Y","N")</f>
        <v>Y</v>
      </c>
      <c r="V356" s="12" t="str">
        <f>if(vlookup(B:B,'ILC4406'!B291:F8717,5,false)="","Y","N")</f>
        <v>Y</v>
      </c>
      <c r="W356" s="12" t="str">
        <f>if(vlookup(B:B,'ILC4410'!B359:F8965,5,false)="","Y","N")</f>
        <v>Y</v>
      </c>
      <c r="X356" s="12" t="str">
        <f>if(vlookup(B:B,'JBV455'!B359:F9305,5,false)="","Y","N")</f>
        <v>Y</v>
      </c>
      <c r="Y356" s="12" t="str">
        <f>if(vlookup(B:B,'JBV462'!B359:F8798,5,false)="","Y","N")</f>
        <v>Y</v>
      </c>
      <c r="Z356" s="12" t="str">
        <f>if(vlookup(B:B,'JBV464'!B359:F8798,5,false)="","Y","N")</f>
        <v>Y</v>
      </c>
      <c r="AA356" s="12" t="str">
        <f>if(vlookup(B:B,'VDI208'!B291:F8798,5,false)="","Y","N")</f>
        <v>Y</v>
      </c>
      <c r="AB356" s="76" t="str">
        <f>if(vlookup(B:B,'STO2206'!B291:F8798,5,false)="","Y","N")</f>
        <v>Y</v>
      </c>
    </row>
    <row r="357">
      <c r="A357" s="67" t="str">
        <f t="shared" si="2"/>
        <v>Tue</v>
      </c>
      <c r="B357" s="69">
        <v>43802.0</v>
      </c>
      <c r="C357" s="12" t="str">
        <f>if(vlookup(B:B,'ILC1110'!$B222:F8799,5,false)="","Y","N")</f>
        <v>Y</v>
      </c>
      <c r="D357" s="12" t="str">
        <f>if(vlookup(B:B,'ILC1111'!$B222:F8806,5,false)="","Y","N")</f>
        <v>Y</v>
      </c>
      <c r="E357" s="12" t="str">
        <f>if(vlookup(B:B,'ILC1112'!$B222:F8799,5,false)="","Y","N")</f>
        <v>Y</v>
      </c>
      <c r="F357" s="12" t="str">
        <f>if(vlookup(B:B,'ILC1211'!B360:F8799,5,false)="","Y","N")</f>
        <v>Y</v>
      </c>
      <c r="G357" s="12" t="str">
        <f>if(vlookup(B:B,'ILC1213'!$B287:G8799,5,false)="","Y","N")</f>
        <v>Y</v>
      </c>
      <c r="H357" s="12" t="str">
        <f>if(vlookup(B:B,'ILC1314'!$B286:G1099,5,false)="","Y","N")</f>
        <v>Y</v>
      </c>
      <c r="I357" s="12" t="str">
        <f>if(vlookup(B:B,'ILC1404'!B360:F8522,5,false)="","Y","N")</f>
        <v>Y</v>
      </c>
      <c r="J357" s="12" t="str">
        <f>if(vlookup(B:B,'ILC2203'!B323:F8522,5,false)="","Y","N")</f>
        <v>Y</v>
      </c>
      <c r="K357" s="12" t="str">
        <f>if(vlookup(B:B,'ILC2206'!B308:H370,5,false)="","Y","N")</f>
        <v>Y</v>
      </c>
      <c r="L357" s="12" t="str">
        <f>if(vlookup(B:B,'ILC2303'!B360:F8799,5,false)="","Y","N")</f>
        <v>N</v>
      </c>
      <c r="M357" s="12" t="str">
        <f>if(vlookup(B:B,'ILC2307'!B360:F9315,5,false)="","Y","N")</f>
        <v>Y</v>
      </c>
      <c r="N357" s="12" t="str">
        <f>if(vlookup(B:B,'ILC2313'!B360:F8954,5,false)="","Y","N")</f>
        <v>Y</v>
      </c>
      <c r="O357" s="12" t="str">
        <f>if(vlookup(B:B,'ILC2412'!B360:F8799,5,false)="","Y","N")</f>
        <v>Y</v>
      </c>
      <c r="P357" s="12" t="str">
        <f>if(vlookup(B:B,'ILC2413'!B360:F9297,5,false)="","Y","N")</f>
        <v>Y</v>
      </c>
      <c r="Q357" s="12" t="str">
        <f>if(vlookup(B:B,'ILC3104'!B360:F8842,5,false)="","Y","N")</f>
        <v>Y</v>
      </c>
      <c r="R357" s="12" t="str">
        <f>if(vlookup(B:B,'ILC3310'!B192:F8781,5,false)="","Y","N")</f>
        <v>Y</v>
      </c>
      <c r="S357" s="12" t="str">
        <f>if(vlookup(B:B,'ILC3312'!B360:F8799,5,false)="","Y","N")</f>
        <v>N</v>
      </c>
      <c r="T357" s="12" t="str">
        <f>if(vlookup(B:B,'ILC3413'!B329:F8724,5,false)="","Y","N")</f>
        <v>Y</v>
      </c>
      <c r="U357" s="12" t="str">
        <f>if(vlookup(B:B,'ILC3415'!B357:F8749,5,false)="","Y","N")</f>
        <v>Y</v>
      </c>
      <c r="V357" s="12" t="str">
        <f>if(vlookup(B:B,'ILC4406'!B292:F8718,5,false)="","Y","N")</f>
        <v>Y</v>
      </c>
      <c r="W357" s="12" t="str">
        <f>if(vlookup(B:B,'ILC4410'!B360:F8966,5,false)="","Y","N")</f>
        <v>Y</v>
      </c>
      <c r="X357" s="12" t="str">
        <f>if(vlookup(B:B,'JBV455'!B360:F9306,5,false)="","Y","N")</f>
        <v>Y</v>
      </c>
      <c r="Y357" s="12" t="str">
        <f>if(vlookup(B:B,'JBV462'!B360:F8799,5,false)="","Y","N")</f>
        <v>Y</v>
      </c>
      <c r="Z357" s="12" t="str">
        <f>if(vlookup(B:B,'JBV464'!B360:F8799,5,false)="","Y","N")</f>
        <v>Y</v>
      </c>
      <c r="AA357" s="12" t="str">
        <f>if(vlookup(B:B,'VDI208'!B292:F8799,5,false)="","Y","N")</f>
        <v>Y</v>
      </c>
      <c r="AB357" s="76" t="str">
        <f>if(vlookup(B:B,'STO2206'!B292:F8799,5,false)="","Y","N")</f>
        <v>Y</v>
      </c>
    </row>
    <row r="358">
      <c r="A358" s="67" t="str">
        <f t="shared" si="2"/>
        <v>Wed</v>
      </c>
      <c r="B358" s="69">
        <v>43803.0</v>
      </c>
      <c r="C358" s="12" t="str">
        <f>if(vlookup(B:B,'ILC1110'!$B223:F8800,5,false)="","Y","N")</f>
        <v>Y</v>
      </c>
      <c r="D358" s="12" t="str">
        <f>if(vlookup(B:B,'ILC1111'!$B223:F8807,5,false)="","Y","N")</f>
        <v>Y</v>
      </c>
      <c r="E358" s="12" t="str">
        <f>if(vlookup(B:B,'ILC1112'!$B223:F8800,5,false)="","Y","N")</f>
        <v>Y</v>
      </c>
      <c r="F358" s="12" t="str">
        <f>if(vlookup(B:B,'ILC1211'!B361:F8800,5,false)="","Y","N")</f>
        <v>Y</v>
      </c>
      <c r="G358" s="12" t="str">
        <f>if(vlookup(B:B,'ILC1213'!$B288:G8800,5,false)="","Y","N")</f>
        <v>Y</v>
      </c>
      <c r="H358" s="12" t="str">
        <f>if(vlookup(B:B,'ILC1314'!$B287:G1100,5,false)="","Y","N")</f>
        <v>Y</v>
      </c>
      <c r="I358" s="12" t="str">
        <f>if(vlookup(B:B,'ILC1404'!B361:F8523,5,false)="","Y","N")</f>
        <v>Y</v>
      </c>
      <c r="J358" s="12" t="str">
        <f>if(vlookup(B:B,'ILC2203'!B324:F8523,5,false)="","Y","N")</f>
        <v>Y</v>
      </c>
      <c r="K358" s="12" t="str">
        <f>if(vlookup(B:B,'ILC2206'!B309:H370,5,false)="","Y","N")</f>
        <v>Y</v>
      </c>
      <c r="L358" s="12" t="str">
        <f>if(vlookup(B:B,'ILC2303'!B361:F8800,5,false)="","Y","N")</f>
        <v>N</v>
      </c>
      <c r="M358" s="12" t="str">
        <f>if(vlookup(B:B,'ILC2307'!B361:F9316,5,false)="","Y","N")</f>
        <v>Y</v>
      </c>
      <c r="N358" s="12" t="str">
        <f>if(vlookup(B:B,'ILC2313'!B361:F8955,5,false)="","Y","N")</f>
        <v>Y</v>
      </c>
      <c r="O358" s="12" t="str">
        <f>if(vlookup(B:B,'ILC2412'!B361:F8800,5,false)="","Y","N")</f>
        <v>Y</v>
      </c>
      <c r="P358" s="12" t="str">
        <f>if(vlookup(B:B,'ILC2413'!B361:F9298,5,false)="","Y","N")</f>
        <v>Y</v>
      </c>
      <c r="Q358" s="12" t="str">
        <f>if(vlookup(B:B,'ILC3104'!B361:F8843,5,false)="","Y","N")</f>
        <v>Y</v>
      </c>
      <c r="R358" s="12" t="str">
        <f>if(vlookup(B:B,'ILC3310'!B193:F8782,5,false)="","Y","N")</f>
        <v>Y</v>
      </c>
      <c r="S358" s="12" t="str">
        <f>if(vlookup(B:B,'ILC3312'!B361:F8800,5,false)="","Y","N")</f>
        <v>N</v>
      </c>
      <c r="T358" s="12" t="str">
        <f>if(vlookup(B:B,'ILC3413'!B330:F8725,5,false)="","Y","N")</f>
        <v>Y</v>
      </c>
      <c r="U358" s="12" t="str">
        <f>if(vlookup(B:B,'ILC3415'!B358:F8750,5,false)="","Y","N")</f>
        <v>Y</v>
      </c>
      <c r="V358" s="12" t="str">
        <f>if(vlookup(B:B,'ILC4406'!B293:F8719,5,false)="","Y","N")</f>
        <v>Y</v>
      </c>
      <c r="W358" s="12" t="str">
        <f>if(vlookup(B:B,'ILC4410'!B361:F8967,5,false)="","Y","N")</f>
        <v>Y</v>
      </c>
      <c r="X358" s="12" t="str">
        <f>if(vlookup(B:B,'JBV455'!B361:F9307,5,false)="","Y","N")</f>
        <v>Y</v>
      </c>
      <c r="Y358" s="12" t="str">
        <f>if(vlookup(B:B,'JBV462'!B361:F8800,5,false)="","Y","N")</f>
        <v>Y</v>
      </c>
      <c r="Z358" s="12" t="str">
        <f>if(vlookup(B:B,'JBV464'!B361:F8800,5,false)="","Y","N")</f>
        <v>Y</v>
      </c>
      <c r="AA358" s="12" t="str">
        <f>if(vlookup(B:B,'VDI208'!B293:F8800,5,false)="","Y","N")</f>
        <v>Y</v>
      </c>
      <c r="AB358" s="76" t="str">
        <f>if(vlookup(B:B,'STO2206'!B293:F8800,5,false)="","Y","N")</f>
        <v>Y</v>
      </c>
    </row>
    <row r="359">
      <c r="A359" s="67" t="str">
        <f t="shared" si="2"/>
        <v>Thu</v>
      </c>
      <c r="B359" s="69">
        <v>43804.0</v>
      </c>
      <c r="C359" s="12" t="str">
        <f>if(vlookup(B:B,'ILC1110'!$B224:F8801,5,false)="","Y","N")</f>
        <v>Y</v>
      </c>
      <c r="D359" s="12" t="str">
        <f>if(vlookup(B:B,'ILC1111'!$B224:F8808,5,false)="","Y","N")</f>
        <v>Y</v>
      </c>
      <c r="E359" s="12" t="str">
        <f>if(vlookup(B:B,'ILC1112'!$B224:F8801,5,false)="","Y","N")</f>
        <v>Y</v>
      </c>
      <c r="F359" s="12" t="str">
        <f>if(vlookup(B:B,'ILC1211'!B362:F8801,5,false)="","Y","N")</f>
        <v>Y</v>
      </c>
      <c r="G359" s="12" t="str">
        <f>if(vlookup(B:B,'ILC1213'!$B289:G8801,5,false)="","Y","N")</f>
        <v>Y</v>
      </c>
      <c r="H359" s="12" t="str">
        <f>if(vlookup(B:B,'ILC1314'!$B288:G1101,5,false)="","Y","N")</f>
        <v>Y</v>
      </c>
      <c r="I359" s="12" t="str">
        <f>if(vlookup(B:B,'ILC1404'!B362:F8524,5,false)="","Y","N")</f>
        <v>Y</v>
      </c>
      <c r="J359" s="12" t="str">
        <f>if(vlookup(B:B,'ILC2203'!B325:F8524,5,false)="","Y","N")</f>
        <v>Y</v>
      </c>
      <c r="K359" s="12" t="str">
        <f>if(vlookup(B:B,'ILC2206'!B310:H370,5,false)="","Y","N")</f>
        <v>Y</v>
      </c>
      <c r="L359" s="12" t="str">
        <f>if(vlookup(B:B,'ILC2303'!B362:F8801,5,false)="","Y","N")</f>
        <v>N</v>
      </c>
      <c r="M359" s="12" t="str">
        <f>if(vlookup(B:B,'ILC2307'!B362:F9317,5,false)="","Y","N")</f>
        <v>Y</v>
      </c>
      <c r="N359" s="12" t="str">
        <f>if(vlookup(B:B,'ILC2313'!B362:F8956,5,false)="","Y","N")</f>
        <v>Y</v>
      </c>
      <c r="O359" s="12" t="str">
        <f>if(vlookup(B:B,'ILC2412'!B362:F8801,5,false)="","Y","N")</f>
        <v>Y</v>
      </c>
      <c r="P359" s="12" t="str">
        <f>if(vlookup(B:B,'ILC2413'!B362:F9299,5,false)="","Y","N")</f>
        <v>Y</v>
      </c>
      <c r="Q359" s="12" t="str">
        <f>if(vlookup(B:B,'ILC3104'!B362:F8844,5,false)="","Y","N")</f>
        <v>Y</v>
      </c>
      <c r="R359" s="12" t="str">
        <f>if(vlookup(B:B,'ILC3310'!B194:F8783,5,false)="","Y","N")</f>
        <v>Y</v>
      </c>
      <c r="S359" s="12" t="str">
        <f>if(vlookup(B:B,'ILC3312'!B362:F8801,5,false)="","Y","N")</f>
        <v>N</v>
      </c>
      <c r="T359" s="12" t="str">
        <f>if(vlookup(B:B,'ILC3413'!B331:F8726,5,false)="","Y","N")</f>
        <v>Y</v>
      </c>
      <c r="U359" s="12" t="str">
        <f>if(vlookup(B:B,'ILC3415'!B359:F8751,5,false)="","Y","N")</f>
        <v>Y</v>
      </c>
      <c r="V359" s="12" t="str">
        <f>if(vlookup(B:B,'ILC4406'!B294:F8720,5,false)="","Y","N")</f>
        <v>Y</v>
      </c>
      <c r="W359" s="12" t="str">
        <f>if(vlookup(B:B,'ILC4410'!B362:F8968,5,false)="","Y","N")</f>
        <v>Y</v>
      </c>
      <c r="X359" s="12" t="str">
        <f>if(vlookup(B:B,'JBV455'!B362:F9308,5,false)="","Y","N")</f>
        <v>Y</v>
      </c>
      <c r="Y359" s="12" t="str">
        <f>if(vlookup(B:B,'JBV462'!B362:F8801,5,false)="","Y","N")</f>
        <v>Y</v>
      </c>
      <c r="Z359" s="12" t="str">
        <f>if(vlookup(B:B,'JBV464'!B362:F8801,5,false)="","Y","N")</f>
        <v>Y</v>
      </c>
      <c r="AA359" s="12" t="str">
        <f>if(vlookup(B:B,'VDI208'!B294:F8801,5,false)="","Y","N")</f>
        <v>Y</v>
      </c>
      <c r="AB359" s="76" t="str">
        <f>if(vlookup(B:B,'STO2206'!B294:F8801,5,false)="","Y","N")</f>
        <v>Y</v>
      </c>
    </row>
    <row r="360">
      <c r="A360" s="67" t="str">
        <f t="shared" si="2"/>
        <v>Fri</v>
      </c>
      <c r="B360" s="69">
        <v>43805.0</v>
      </c>
      <c r="C360" s="12" t="str">
        <f>if(vlookup(B:B,'ILC1110'!$B225:F8802,5,false)="","Y","N")</f>
        <v>Y</v>
      </c>
      <c r="D360" s="12" t="str">
        <f>if(vlookup(B:B,'ILC1111'!$B225:F8809,5,false)="","Y","N")</f>
        <v>Y</v>
      </c>
      <c r="E360" s="12" t="str">
        <f>if(vlookup(B:B,'ILC1112'!$B225:F8802,5,false)="","Y","N")</f>
        <v>Y</v>
      </c>
      <c r="F360" s="12" t="str">
        <f>if(vlookup(B:B,'ILC1211'!B363:F8802,5,false)="","Y","N")</f>
        <v>Y</v>
      </c>
      <c r="G360" s="12" t="str">
        <f>if(vlookup(B:B,'ILC1213'!$B290:G8802,5,false)="","Y","N")</f>
        <v>Y</v>
      </c>
      <c r="H360" s="12" t="str">
        <f>if(vlookup(B:B,'ILC1314'!$B289:G1102,5,false)="","Y","N")</f>
        <v>Y</v>
      </c>
      <c r="I360" s="12" t="str">
        <f>if(vlookup(B:B,'ILC1404'!B363:F8525,5,false)="","Y","N")</f>
        <v>Y</v>
      </c>
      <c r="J360" s="12" t="str">
        <f>if(vlookup(B:B,'ILC2203'!B326:F8525,5,false)="","Y","N")</f>
        <v>Y</v>
      </c>
      <c r="K360" s="12" t="str">
        <f>if(vlookup(B:B,'ILC2206'!B311:H370,5,false)="","Y","N")</f>
        <v>Y</v>
      </c>
      <c r="L360" s="12" t="str">
        <f>if(vlookup(B:B,'ILC2303'!B363:F8802,5,false)="","Y","N")</f>
        <v>N</v>
      </c>
      <c r="M360" s="12" t="str">
        <f>if(vlookup(B:B,'ILC2307'!B363:F9318,5,false)="","Y","N")</f>
        <v>Y</v>
      </c>
      <c r="N360" s="12" t="str">
        <f>if(vlookup(B:B,'ILC2313'!B363:F8957,5,false)="","Y","N")</f>
        <v>Y</v>
      </c>
      <c r="O360" s="12" t="str">
        <f>if(vlookup(B:B,'ILC2412'!B363:F8802,5,false)="","Y","N")</f>
        <v>Y</v>
      </c>
      <c r="P360" s="12" t="str">
        <f>if(vlookup(B:B,'ILC2413'!B363:F9300,5,false)="","Y","N")</f>
        <v>Y</v>
      </c>
      <c r="Q360" s="12" t="str">
        <f>if(vlookup(B:B,'ILC3104'!B363:F8845,5,false)="","Y","N")</f>
        <v>Y</v>
      </c>
      <c r="R360" s="12" t="str">
        <f>if(vlookup(B:B,'ILC3310'!B195:F8784,5,false)="","Y","N")</f>
        <v>Y</v>
      </c>
      <c r="S360" s="12" t="str">
        <f>if(vlookup(B:B,'ILC3312'!B363:F8802,5,false)="","Y","N")</f>
        <v>N</v>
      </c>
      <c r="T360" s="12" t="str">
        <f>if(vlookup(B:B,'ILC3413'!B332:F8727,5,false)="","Y","N")</f>
        <v>Y</v>
      </c>
      <c r="U360" s="12" t="str">
        <f>if(vlookup(B:B,'ILC3415'!B360:F8752,5,false)="","Y","N")</f>
        <v>Y</v>
      </c>
      <c r="V360" s="12" t="str">
        <f>if(vlookup(B:B,'ILC4406'!B295:F8721,5,false)="","Y","N")</f>
        <v>Y</v>
      </c>
      <c r="W360" s="12" t="str">
        <f>if(vlookup(B:B,'ILC4410'!B363:F8969,5,false)="","Y","N")</f>
        <v>Y</v>
      </c>
      <c r="X360" s="12" t="str">
        <f>if(vlookup(B:B,'JBV455'!B363:F9309,5,false)="","Y","N")</f>
        <v>Y</v>
      </c>
      <c r="Y360" s="12" t="str">
        <f>if(vlookup(B:B,'JBV462'!B363:F8802,5,false)="","Y","N")</f>
        <v>Y</v>
      </c>
      <c r="Z360" s="12" t="str">
        <f>if(vlookup(B:B,'JBV464'!B363:F8802,5,false)="","Y","N")</f>
        <v>Y</v>
      </c>
      <c r="AA360" s="12" t="str">
        <f>if(vlookup(B:B,'VDI208'!B295:F8802,5,false)="","Y","N")</f>
        <v>Y</v>
      </c>
      <c r="AB360" s="76" t="str">
        <f>if(vlookup(B:B,'STO2206'!B295:F8802,5,false)="","Y","N")</f>
        <v>Y</v>
      </c>
    </row>
    <row r="361">
      <c r="A361" s="67" t="str">
        <f t="shared" si="2"/>
        <v>Sat</v>
      </c>
      <c r="B361" s="69">
        <v>43806.0</v>
      </c>
      <c r="C361" s="12" t="str">
        <f>if(vlookup(B:B,'ILC1110'!$B226:F8803,5,false)="","Y","N")</f>
        <v>Y</v>
      </c>
      <c r="D361" s="12" t="str">
        <f>if(vlookup(B:B,'ILC1111'!$B226:F8810,5,false)="","Y","N")</f>
        <v>Y</v>
      </c>
      <c r="E361" s="12" t="str">
        <f>if(vlookup(B:B,'ILC1112'!$B226:F8803,5,false)="","Y","N")</f>
        <v>Y</v>
      </c>
      <c r="F361" s="12" t="str">
        <f>if(vlookup(B:B,'ILC1211'!B364:F8803,5,false)="","Y","N")</f>
        <v>Y</v>
      </c>
      <c r="G361" s="12" t="str">
        <f>if(vlookup(B:B,'ILC1213'!$B291:G8803,5,false)="","Y","N")</f>
        <v>Y</v>
      </c>
      <c r="H361" s="12" t="str">
        <f>if(vlookup(B:B,'ILC1314'!$B290:G1103,5,false)="","Y","N")</f>
        <v>Y</v>
      </c>
      <c r="I361" s="12" t="str">
        <f>if(vlookup(B:B,'ILC1404'!B364:F8526,5,false)="","Y","N")</f>
        <v>Y</v>
      </c>
      <c r="J361" s="12" t="str">
        <f>if(vlookup(B:B,'ILC2203'!B327:F8526,5,false)="","Y","N")</f>
        <v>Y</v>
      </c>
      <c r="K361" s="12" t="str">
        <f>if(vlookup(B:B,'ILC2206'!B312:H370,5,false)="","Y","N")</f>
        <v>Y</v>
      </c>
      <c r="L361" s="12" t="str">
        <f>if(vlookup(B:B,'ILC2303'!B364:F8803,5,false)="","Y","N")</f>
        <v>N</v>
      </c>
      <c r="M361" s="12" t="str">
        <f>if(vlookup(B:B,'ILC2307'!B364:F9319,5,false)="","Y","N")</f>
        <v>Y</v>
      </c>
      <c r="N361" s="12" t="str">
        <f>if(vlookup(B:B,'ILC2313'!B364:F8958,5,false)="","Y","N")</f>
        <v>Y</v>
      </c>
      <c r="O361" s="12" t="str">
        <f>if(vlookup(B:B,'ILC2412'!B364:F8803,5,false)="","Y","N")</f>
        <v>Y</v>
      </c>
      <c r="P361" s="12" t="str">
        <f>if(vlookup(B:B,'ILC2413'!B364:F9301,5,false)="","Y","N")</f>
        <v>Y</v>
      </c>
      <c r="Q361" s="12" t="str">
        <f>if(vlookup(B:B,'ILC3104'!B364:F8846,5,false)="","Y","N")</f>
        <v>Y</v>
      </c>
      <c r="R361" s="12" t="str">
        <f>if(vlookup(B:B,'ILC3310'!B196:F8785,5,false)="","Y","N")</f>
        <v>Y</v>
      </c>
      <c r="S361" s="12" t="str">
        <f>if(vlookup(B:B,'ILC3312'!B364:F8803,5,false)="","Y","N")</f>
        <v>N</v>
      </c>
      <c r="T361" s="12" t="str">
        <f>if(vlookup(B:B,'ILC3413'!B333:F8728,5,false)="","Y","N")</f>
        <v>Y</v>
      </c>
      <c r="U361" s="12" t="str">
        <f>if(vlookup(B:B,'ILC3415'!B361:F8753,5,false)="","Y","N")</f>
        <v>Y</v>
      </c>
      <c r="V361" s="12" t="str">
        <f>if(vlookup(B:B,'ILC4406'!B296:F8722,5,false)="","Y","N")</f>
        <v>Y</v>
      </c>
      <c r="W361" s="12" t="str">
        <f>if(vlookup(B:B,'ILC4410'!B364:F8970,5,false)="","Y","N")</f>
        <v>Y</v>
      </c>
      <c r="X361" s="12" t="str">
        <f>if(vlookup(B:B,'JBV455'!B364:F9310,5,false)="","Y","N")</f>
        <v>Y</v>
      </c>
      <c r="Y361" s="12" t="str">
        <f>if(vlookup(B:B,'JBV462'!B364:F8803,5,false)="","Y","N")</f>
        <v>Y</v>
      </c>
      <c r="Z361" s="12" t="str">
        <f>if(vlookup(B:B,'JBV464'!B364:F8803,5,false)="","Y","N")</f>
        <v>Y</v>
      </c>
      <c r="AA361" s="12" t="str">
        <f>if(vlookup(B:B,'VDI208'!B296:F8803,5,false)="","Y","N")</f>
        <v>Y</v>
      </c>
      <c r="AB361" s="76" t="str">
        <f>if(vlookup(B:B,'STO2206'!B296:F8803,5,false)="","Y","N")</f>
        <v>Y</v>
      </c>
    </row>
    <row r="362">
      <c r="A362" s="67" t="str">
        <f t="shared" si="2"/>
        <v>Sun</v>
      </c>
      <c r="B362" s="69">
        <v>43807.0</v>
      </c>
      <c r="C362" s="12" t="str">
        <f>if(vlookup(B:B,'ILC1110'!$B227:F8804,5,false)="","Y","N")</f>
        <v>Y</v>
      </c>
      <c r="D362" s="12" t="str">
        <f>if(vlookup(B:B,'ILC1111'!$B227:F8811,5,false)="","Y","N")</f>
        <v>Y</v>
      </c>
      <c r="E362" s="12" t="str">
        <f>if(vlookup(B:B,'ILC1112'!$B227:F8804,5,false)="","Y","N")</f>
        <v>Y</v>
      </c>
      <c r="F362" s="12" t="str">
        <f>if(vlookup(B:B,'ILC1211'!B365:F8804,5,false)="","Y","N")</f>
        <v>N</v>
      </c>
      <c r="G362" s="12" t="str">
        <f>if(vlookup(B:B,'ILC1213'!$B292:G8804,5,false)="","Y","N")</f>
        <v>Y</v>
      </c>
      <c r="H362" s="12" t="str">
        <f>if(vlookup(B:B,'ILC1314'!$B291:G1104,5,false)="","Y","N")</f>
        <v>Y</v>
      </c>
      <c r="I362" s="12" t="str">
        <f>if(vlookup(B:B,'ILC1404'!B365:F8527,5,false)="","Y","N")</f>
        <v>Y</v>
      </c>
      <c r="J362" s="12" t="str">
        <f>if(vlookup(B:B,'ILC2203'!B328:F8527,5,false)="","Y","N")</f>
        <v>Y</v>
      </c>
      <c r="K362" s="12" t="str">
        <f>if(vlookup(B:B,'ILC2206'!B313:H370,5,false)="","Y","N")</f>
        <v>Y</v>
      </c>
      <c r="L362" s="12" t="str">
        <f>if(vlookup(B:B,'ILC2303'!B365:F8804,5,false)="","Y","N")</f>
        <v>N</v>
      </c>
      <c r="M362" s="12" t="str">
        <f>if(vlookup(B:B,'ILC2307'!B365:F9320,5,false)="","Y","N")</f>
        <v>Y</v>
      </c>
      <c r="N362" s="12" t="str">
        <f>if(vlookup(B:B,'ILC2313'!B365:F8959,5,false)="","Y","N")</f>
        <v>Y</v>
      </c>
      <c r="O362" s="12" t="str">
        <f>if(vlookup(B:B,'ILC2412'!B365:F8804,5,false)="","Y","N")</f>
        <v>Y</v>
      </c>
      <c r="P362" s="12" t="str">
        <f>if(vlookup(B:B,'ILC2413'!B365:F9302,5,false)="","Y","N")</f>
        <v>Y</v>
      </c>
      <c r="Q362" s="12" t="str">
        <f>if(vlookup(B:B,'ILC3104'!B365:F8847,5,false)="","Y","N")</f>
        <v>Y</v>
      </c>
      <c r="R362" s="12" t="str">
        <f>if(vlookup(B:B,'ILC3310'!B197:F8786,5,false)="","Y","N")</f>
        <v>Y</v>
      </c>
      <c r="S362" s="12" t="str">
        <f>if(vlookup(B:B,'ILC3312'!B365:F8804,5,false)="","Y","N")</f>
        <v>N</v>
      </c>
      <c r="T362" s="12" t="str">
        <f>if(vlookup(B:B,'ILC3413'!B334:F8729,5,false)="","Y","N")</f>
        <v>Y</v>
      </c>
      <c r="U362" s="12" t="str">
        <f>if(vlookup(B:B,'ILC3415'!B362:F8754,5,false)="","Y","N")</f>
        <v>Y</v>
      </c>
      <c r="V362" s="12" t="str">
        <f>if(vlookup(B:B,'ILC4406'!B297:F8723,5,false)="","Y","N")</f>
        <v>Y</v>
      </c>
      <c r="W362" s="12" t="str">
        <f>if(vlookup(B:B,'ILC4410'!B365:F8971,5,false)="","Y","N")</f>
        <v>Y</v>
      </c>
      <c r="X362" s="12" t="str">
        <f>if(vlookup(B:B,'JBV455'!B365:F9311,5,false)="","Y","N")</f>
        <v>Y</v>
      </c>
      <c r="Y362" s="12" t="str">
        <f>if(vlookup(B:B,'JBV462'!B365:F8804,5,false)="","Y","N")</f>
        <v>Y</v>
      </c>
      <c r="Z362" s="12" t="str">
        <f>if(vlookup(B:B,'JBV464'!B365:F8804,5,false)="","Y","N")</f>
        <v>Y</v>
      </c>
      <c r="AA362" s="12" t="str">
        <f>if(vlookup(B:B,'VDI208'!B297:F8804,5,false)="","Y","N")</f>
        <v>Y</v>
      </c>
      <c r="AB362" s="76" t="str">
        <f>if(vlookup(B:B,'STO2206'!B297:F8804,5,false)="","Y","N")</f>
        <v>Y</v>
      </c>
    </row>
    <row r="363">
      <c r="A363" s="67" t="str">
        <f t="shared" si="2"/>
        <v>Mon</v>
      </c>
      <c r="B363" s="69">
        <v>43808.0</v>
      </c>
      <c r="C363" s="12" t="str">
        <f>if(vlookup(B:B,'ILC1110'!$B228:F8805,5,false)="","Y","N")</f>
        <v>Y</v>
      </c>
      <c r="D363" s="12" t="str">
        <f>if(vlookup(B:B,'ILC1111'!$B228:F8812,5,false)="","Y","N")</f>
        <v>Y</v>
      </c>
      <c r="E363" s="12" t="str">
        <f>if(vlookup(B:B,'ILC1112'!$B228:F8805,5,false)="","Y","N")</f>
        <v>Y</v>
      </c>
      <c r="F363" s="12" t="str">
        <f>if(vlookup(B:B,'ILC1211'!B366:F8805,5,false)="","Y","N")</f>
        <v>N</v>
      </c>
      <c r="G363" s="12" t="str">
        <f>if(vlookup(B:B,'ILC1213'!$B293:G8805,5,false)="","Y","N")</f>
        <v>Y</v>
      </c>
      <c r="H363" s="12" t="str">
        <f>if(vlookup(B:B,'ILC1314'!$B292:G1105,5,false)="","Y","N")</f>
        <v>Y</v>
      </c>
      <c r="I363" s="12" t="str">
        <f>if(vlookup(B:B,'ILC1404'!B366:F8528,5,false)="","Y","N")</f>
        <v>Y</v>
      </c>
      <c r="J363" s="12" t="str">
        <f>if(vlookup(B:B,'ILC2203'!B329:F8528,5,false)="","Y","N")</f>
        <v>Y</v>
      </c>
      <c r="K363" s="12" t="str">
        <f>if(vlookup(B:B,'ILC2206'!B314:H370,5,false)="","Y","N")</f>
        <v>Y</v>
      </c>
      <c r="L363" s="12" t="str">
        <f>if(vlookup(B:B,'ILC2303'!B366:F8805,5,false)="","Y","N")</f>
        <v>N</v>
      </c>
      <c r="M363" s="12" t="str">
        <f>if(vlookup(B:B,'ILC2307'!B366:F9321,5,false)="","Y","N")</f>
        <v>N</v>
      </c>
      <c r="N363" s="12" t="str">
        <f>if(vlookup(B:B,'ILC2313'!B366:F8960,5,false)="","Y","N")</f>
        <v>Y</v>
      </c>
      <c r="O363" s="12" t="str">
        <f>if(vlookup(B:B,'ILC2412'!B366:F8805,5,false)="","Y","N")</f>
        <v>Y</v>
      </c>
      <c r="P363" s="12" t="str">
        <f>if(vlookup(B:B,'ILC2413'!B366:F9303,5,false)="","Y","N")</f>
        <v>Y</v>
      </c>
      <c r="Q363" s="12" t="str">
        <f>if(vlookup(B:B,'ILC3104'!B366:F8848,5,false)="","Y","N")</f>
        <v>Y</v>
      </c>
      <c r="R363" s="12" t="str">
        <f>if(vlookup(B:B,'ILC3310'!B198:F8787,5,false)="","Y","N")</f>
        <v>N</v>
      </c>
      <c r="S363" s="12" t="str">
        <f>if(vlookup(B:B,'ILC3312'!B366:F8805,5,false)="","Y","N")</f>
        <v>N</v>
      </c>
      <c r="T363" s="12" t="str">
        <f>if(vlookup(B:B,'ILC3413'!B335:F8730,5,false)="","Y","N")</f>
        <v>Y</v>
      </c>
      <c r="U363" s="12" t="str">
        <f>if(vlookup(B:B,'ILC3415'!B363:F8755,5,false)="","Y","N")</f>
        <v>Y</v>
      </c>
      <c r="V363" s="12" t="str">
        <f>if(vlookup(B:B,'ILC4406'!B298:F8724,5,false)="","Y","N")</f>
        <v>Y</v>
      </c>
      <c r="W363" s="12" t="str">
        <f>if(vlookup(B:B,'ILC4410'!B366:F8972,5,false)="","Y","N")</f>
        <v>N</v>
      </c>
      <c r="X363" s="12" t="str">
        <f>if(vlookup(B:B,'JBV455'!B366:F9312,5,false)="","Y","N")</f>
        <v>Y</v>
      </c>
      <c r="Y363" s="12" t="str">
        <f>if(vlookup(B:B,'JBV462'!B366:F8805,5,false)="","Y","N")</f>
        <v>Y</v>
      </c>
      <c r="Z363" s="12" t="str">
        <f>if(vlookup(B:B,'JBV464'!B366:F8805,5,false)="","Y","N")</f>
        <v>Y</v>
      </c>
      <c r="AA363" s="12" t="str">
        <f>if(vlookup(B:B,'VDI208'!B298:F8805,5,false)="","Y","N")</f>
        <v>Y</v>
      </c>
      <c r="AB363" s="76" t="str">
        <f>if(vlookup(B:B,'STO2206'!B298:F8805,5,false)="","Y","N")</f>
        <v>Y</v>
      </c>
    </row>
    <row r="364">
      <c r="A364" s="67" t="str">
        <f t="shared" si="2"/>
        <v>Tue</v>
      </c>
      <c r="B364" s="69">
        <v>43809.0</v>
      </c>
      <c r="C364" s="12" t="str">
        <f>if(vlookup(B:B,'ILC1110'!$B229:F8806,5,false)="","Y","N")</f>
        <v>Y</v>
      </c>
      <c r="D364" s="12" t="str">
        <f>if(vlookup(B:B,'ILC1111'!$B229:F8813,5,false)="","Y","N")</f>
        <v>Y</v>
      </c>
      <c r="E364" s="12" t="str">
        <f>if(vlookup(B:B,'ILC1112'!$B229:F8806,5,false)="","Y","N")</f>
        <v>Y</v>
      </c>
      <c r="F364" s="12" t="str">
        <f>if(vlookup(B:B,'ILC1211'!B367:F8806,5,false)="","Y","N")</f>
        <v>N</v>
      </c>
      <c r="G364" s="12" t="str">
        <f>if(vlookup(B:B,'ILC1213'!$B294:G8806,5,false)="","Y","N")</f>
        <v>Y</v>
      </c>
      <c r="H364" s="12" t="str">
        <f>if(vlookup(B:B,'ILC1314'!$B293:G1106,5,false)="","Y","N")</f>
        <v>Y</v>
      </c>
      <c r="I364" s="12" t="str">
        <f>if(vlookup(B:B,'ILC1404'!B367:F8529,5,false)="","Y","N")</f>
        <v>Y</v>
      </c>
      <c r="J364" s="12" t="str">
        <f>if(vlookup(B:B,'ILC2203'!B330:F8529,5,false)="","Y","N")</f>
        <v>Y</v>
      </c>
      <c r="K364" s="12" t="str">
        <f>if(vlookup(B:B,'ILC2206'!B315:H370,5,false)="","Y","N")</f>
        <v>Y</v>
      </c>
      <c r="L364" s="12" t="str">
        <f>if(vlookup(B:B,'ILC2303'!B367:F8806,5,false)="","Y","N")</f>
        <v>N</v>
      </c>
      <c r="M364" s="12" t="str">
        <f>if(vlookup(B:B,'ILC2307'!B367:F9322,5,false)="","Y","N")</f>
        <v>N</v>
      </c>
      <c r="N364" s="12" t="str">
        <f>if(vlookup(B:B,'ILC2313'!B367:F8961,5,false)="","Y","N")</f>
        <v>Y</v>
      </c>
      <c r="O364" s="12" t="str">
        <f>if(vlookup(B:B,'ILC2412'!B367:F8806,5,false)="","Y","N")</f>
        <v>Y</v>
      </c>
      <c r="P364" s="12" t="str">
        <f>if(vlookup(B:B,'ILC2413'!B367:F9304,5,false)="","Y","N")</f>
        <v>Y</v>
      </c>
      <c r="Q364" s="12" t="str">
        <f>if(vlookup(B:B,'ILC3104'!B367:F8849,5,false)="","Y","N")</f>
        <v>Y</v>
      </c>
      <c r="R364" s="12" t="str">
        <f>if(vlookup(B:B,'ILC3310'!B199:F8788,5,false)="","Y","N")</f>
        <v>N</v>
      </c>
      <c r="S364" s="12" t="str">
        <f>if(vlookup(B:B,'ILC3312'!B367:F8806,5,false)="","Y","N")</f>
        <v>Y</v>
      </c>
      <c r="T364" s="12" t="str">
        <f>if(vlookup(B:B,'ILC3413'!B336:F8731,5,false)="","Y","N")</f>
        <v>Y</v>
      </c>
      <c r="U364" s="12" t="str">
        <f>if(vlookup(B:B,'ILC3415'!B364:F8756,5,false)="","Y","N")</f>
        <v>Y</v>
      </c>
      <c r="V364" s="12" t="str">
        <f>if(vlookup(B:B,'ILC4406'!B299:F8725,5,false)="","Y","N")</f>
        <v>Y</v>
      </c>
      <c r="W364" s="12" t="str">
        <f>if(vlookup(B:B,'ILC4410'!B367:F8973,5,false)="","Y","N")</f>
        <v>N</v>
      </c>
      <c r="X364" s="12" t="str">
        <f>if(vlookup(B:B,'JBV455'!B367:F9313,5,false)="","Y","N")</f>
        <v>Y</v>
      </c>
      <c r="Y364" s="12" t="str">
        <f>if(vlookup(B:B,'JBV462'!B367:F8806,5,false)="","Y","N")</f>
        <v>Y</v>
      </c>
      <c r="Z364" s="12" t="str">
        <f>if(vlookup(B:B,'JBV464'!B367:F8806,5,false)="","Y","N")</f>
        <v>Y</v>
      </c>
      <c r="AA364" s="12" t="str">
        <f>if(vlookup(B:B,'VDI208'!B299:F8806,5,false)="","Y","N")</f>
        <v>Y</v>
      </c>
      <c r="AB364" s="76" t="str">
        <f>if(vlookup(B:B,'STO2206'!B299:F8806,5,false)="","Y","N")</f>
        <v>Y</v>
      </c>
    </row>
    <row r="365">
      <c r="A365" s="67" t="str">
        <f t="shared" si="2"/>
        <v>Wed</v>
      </c>
      <c r="B365" s="69">
        <v>43810.0</v>
      </c>
      <c r="C365" s="12" t="str">
        <f>if(vlookup(B:B,'ILC1110'!$B230:F8807,5,false)="","Y","N")</f>
        <v>Y</v>
      </c>
      <c r="D365" s="12" t="str">
        <f>if(vlookup(B:B,'ILC1111'!$B230:F8814,5,false)="","Y","N")</f>
        <v>Y</v>
      </c>
      <c r="E365" s="12" t="str">
        <f>if(vlookup(B:B,'ILC1112'!$B230:F8807,5,false)="","Y","N")</f>
        <v>Y</v>
      </c>
      <c r="F365" s="12" t="str">
        <f>if(vlookup(B:B,'ILC1211'!B368:F8807,5,false)="","Y","N")</f>
        <v>N</v>
      </c>
      <c r="G365" s="12" t="str">
        <f>if(vlookup(B:B,'ILC1213'!$B295:G8807,5,false)="","Y","N")</f>
        <v>Y</v>
      </c>
      <c r="H365" s="12" t="str">
        <f>if(vlookup(B:B,'ILC1314'!$B294:G1107,5,false)="","Y","N")</f>
        <v>Y</v>
      </c>
      <c r="I365" s="12" t="str">
        <f>if(vlookup(B:B,'ILC1404'!B368:F8530,5,false)="","Y","N")</f>
        <v>Y</v>
      </c>
      <c r="J365" s="12" t="str">
        <f>if(vlookup(B:B,'ILC2203'!B331:F8530,5,false)="","Y","N")</f>
        <v>Y</v>
      </c>
      <c r="K365" s="12" t="str">
        <f>if(vlookup(B:B,'ILC2206'!B316:H370,5,false)="","Y","N")</f>
        <v>Y</v>
      </c>
      <c r="L365" s="12" t="str">
        <f>if(vlookup(B:B,'ILC2303'!B368:F8807,5,false)="","Y","N")</f>
        <v>N</v>
      </c>
      <c r="M365" s="12" t="str">
        <f>if(vlookup(B:B,'ILC2307'!B368:F9323,5,false)="","Y","N")</f>
        <v>N</v>
      </c>
      <c r="N365" s="12" t="str">
        <f>if(vlookup(B:B,'ILC2313'!B368:F8962,5,false)="","Y","N")</f>
        <v>Y</v>
      </c>
      <c r="O365" s="12" t="str">
        <f>if(vlookup(B:B,'ILC2412'!B368:F8807,5,false)="","Y","N")</f>
        <v>Y</v>
      </c>
      <c r="P365" s="12" t="str">
        <f>if(vlookup(B:B,'ILC2413'!B368:F9305,5,false)="","Y","N")</f>
        <v>Y</v>
      </c>
      <c r="Q365" s="12" t="str">
        <f>if(vlookup(B:B,'ILC3104'!B368:F8850,5,false)="","Y","N")</f>
        <v>Y</v>
      </c>
      <c r="R365" s="12" t="str">
        <f>if(vlookup(B:B,'ILC3310'!B200:F8789,5,false)="","Y","N")</f>
        <v>N</v>
      </c>
      <c r="S365" s="12" t="str">
        <f>if(vlookup(B:B,'ILC3312'!B368:F8807,5,false)="","Y","N")</f>
        <v>Y</v>
      </c>
      <c r="T365" s="12" t="str">
        <f>if(vlookup(B:B,'ILC3413'!B337:F8732,5,false)="","Y","N")</f>
        <v>Y</v>
      </c>
      <c r="U365" s="12" t="str">
        <f>if(vlookup(B:B,'ILC3415'!B365:F8757,5,false)="","Y","N")</f>
        <v>Y</v>
      </c>
      <c r="V365" s="12" t="str">
        <f>if(vlookup(B:B,'ILC4406'!B300:F8726,5,false)="","Y","N")</f>
        <v>Y</v>
      </c>
      <c r="W365" s="12" t="str">
        <f>if(vlookup(B:B,'ILC4410'!B368:F8974,5,false)="","Y","N")</f>
        <v>N</v>
      </c>
      <c r="X365" s="12" t="str">
        <f>if(vlookup(B:B,'JBV455'!B368:F9314,5,false)="","Y","N")</f>
        <v>Y</v>
      </c>
      <c r="Y365" s="12" t="str">
        <f>if(vlookup(B:B,'JBV462'!B368:F8807,5,false)="","Y","N")</f>
        <v>Y</v>
      </c>
      <c r="Z365" s="12" t="str">
        <f>if(vlookup(B:B,'JBV464'!B368:F8807,5,false)="","Y","N")</f>
        <v>Y</v>
      </c>
      <c r="AA365" s="12" t="str">
        <f>if(vlookup(B:B,'VDI208'!B300:F8807,5,false)="","Y","N")</f>
        <v>Y</v>
      </c>
      <c r="AB365" s="76" t="str">
        <f>if(vlookup(B:B,'STO2206'!B300:F8807,5,false)="","Y","N")</f>
        <v>Y</v>
      </c>
    </row>
    <row r="366">
      <c r="A366" s="67" t="str">
        <f t="shared" si="2"/>
        <v>Thu</v>
      </c>
      <c r="B366" s="69">
        <v>43811.0</v>
      </c>
      <c r="C366" s="12" t="str">
        <f>if(vlookup(B:B,'ILC1110'!$B231:F8808,5,false)="","Y","N")</f>
        <v>Y</v>
      </c>
      <c r="D366" s="12" t="str">
        <f>if(vlookup(B:B,'ILC1111'!$B231:F8815,5,false)="","Y","N")</f>
        <v>Y</v>
      </c>
      <c r="E366" s="12" t="str">
        <f>if(vlookup(B:B,'ILC1112'!$B231:F8808,5,false)="","Y","N")</f>
        <v>Y</v>
      </c>
      <c r="F366" s="12" t="str">
        <f>if(vlookup(B:B,'ILC1211'!B369:F8808,5,false)="","Y","N")</f>
        <v>N</v>
      </c>
      <c r="G366" s="12" t="str">
        <f>if(vlookup(B:B,'ILC1213'!$B296:G8808,5,false)="","Y","N")</f>
        <v>Y</v>
      </c>
      <c r="H366" s="12" t="str">
        <f>if(vlookup(B:B,'ILC1314'!$B295:G1108,5,false)="","Y","N")</f>
        <v>Y</v>
      </c>
      <c r="I366" s="12" t="str">
        <f>if(vlookup(B:B,'ILC1404'!B369:F8531,5,false)="","Y","N")</f>
        <v>Y</v>
      </c>
      <c r="J366" s="12" t="str">
        <f>if(vlookup(B:B,'ILC2203'!B332:F8531,5,false)="","Y","N")</f>
        <v>Y</v>
      </c>
      <c r="K366" s="12" t="str">
        <f>if(vlookup(B:B,'ILC2206'!B317:H370,5,false)="","Y","N")</f>
        <v>Y</v>
      </c>
      <c r="L366" s="12" t="str">
        <f>if(vlookup(B:B,'ILC2303'!B369:F8808,5,false)="","Y","N")</f>
        <v>N</v>
      </c>
      <c r="M366" s="12" t="str">
        <f>if(vlookup(B:B,'ILC2307'!B369:F9324,5,false)="","Y","N")</f>
        <v>N</v>
      </c>
      <c r="N366" s="12" t="str">
        <f>if(vlookup(B:B,'ILC2313'!B369:F8963,5,false)="","Y","N")</f>
        <v>Y</v>
      </c>
      <c r="O366" s="12" t="str">
        <f>if(vlookup(B:B,'ILC2412'!B369:F8808,5,false)="","Y","N")</f>
        <v>Y</v>
      </c>
      <c r="P366" s="12" t="str">
        <f>if(vlookup(B:B,'ILC2413'!B369:F9306,5,false)="","Y","N")</f>
        <v>Y</v>
      </c>
      <c r="Q366" s="12" t="str">
        <f>if(vlookup(B:B,'ILC3104'!B369:F8851,5,false)="","Y","N")</f>
        <v>Y</v>
      </c>
      <c r="R366" s="12" t="str">
        <f>if(vlookup(B:B,'ILC3310'!B201:F8790,5,false)="","Y","N")</f>
        <v>N</v>
      </c>
      <c r="S366" s="12" t="str">
        <f>if(vlookup(B:B,'ILC3312'!B369:F8808,5,false)="","Y","N")</f>
        <v>Y</v>
      </c>
      <c r="T366" s="12" t="str">
        <f>if(vlookup(B:B,'ILC3413'!B338:F8733,5,false)="","Y","N")</f>
        <v>Y</v>
      </c>
      <c r="U366" s="12" t="str">
        <f>if(vlookup(B:B,'ILC3415'!B366:F8758,5,false)="","Y","N")</f>
        <v>Y</v>
      </c>
      <c r="V366" s="12" t="str">
        <f>if(vlookup(B:B,'ILC4406'!B301:F8727,5,false)="","Y","N")</f>
        <v>Y</v>
      </c>
      <c r="W366" s="12" t="str">
        <f>if(vlookup(B:B,'ILC4410'!B369:F8975,5,false)="","Y","N")</f>
        <v>N</v>
      </c>
      <c r="X366" s="12" t="str">
        <f>if(vlookup(B:B,'JBV455'!B369:F9315,5,false)="","Y","N")</f>
        <v>Y</v>
      </c>
      <c r="Y366" s="12" t="str">
        <f>if(vlookup(B:B,'JBV462'!B369:F8808,5,false)="","Y","N")</f>
        <v>Y</v>
      </c>
      <c r="Z366" s="12" t="str">
        <f>if(vlookup(B:B,'JBV464'!B369:F8808,5,false)="","Y","N")</f>
        <v>Y</v>
      </c>
      <c r="AA366" s="12" t="str">
        <f>if(vlookup(B:B,'VDI208'!B301:F8808,5,false)="","Y","N")</f>
        <v>Y</v>
      </c>
      <c r="AB366" s="76" t="str">
        <f>if(vlookup(B:B,'STO2206'!B301:F8808,5,false)="","Y","N")</f>
        <v>Y</v>
      </c>
    </row>
    <row r="367">
      <c r="A367" s="67" t="str">
        <f t="shared" si="2"/>
        <v>Fri</v>
      </c>
      <c r="B367" s="69">
        <v>43812.0</v>
      </c>
      <c r="C367" s="12" t="str">
        <f>if(vlookup(B:B,'ILC1110'!$B232:F8809,5,false)="","Y","N")</f>
        <v>Y</v>
      </c>
      <c r="D367" s="12" t="str">
        <f>if(vlookup(B:B,'ILC1111'!$B232:F8816,5,false)="","Y","N")</f>
        <v>Y</v>
      </c>
      <c r="E367" s="12" t="str">
        <f>if(vlookup(B:B,'ILC1112'!$B232:F8809,5,false)="","Y","N")</f>
        <v>Y</v>
      </c>
      <c r="F367" s="12" t="str">
        <f>if(vlookup(B:B,'ILC1211'!B370:F8809,5,false)="","Y","N")</f>
        <v>Y</v>
      </c>
      <c r="G367" s="12" t="str">
        <f>if(vlookup(B:B,'ILC1213'!$B297:G8809,5,false)="","Y","N")</f>
        <v>Y</v>
      </c>
      <c r="H367" s="12" t="str">
        <f>if(vlookup(B:B,'ILC1314'!$B296:G1109,5,false)="","Y","N")</f>
        <v>Y</v>
      </c>
      <c r="I367" s="12" t="str">
        <f>if(vlookup(B:B,'ILC1404'!B370:F8532,5,false)="","Y","N")</f>
        <v>Y</v>
      </c>
      <c r="J367" s="12" t="str">
        <f>if(vlookup(B:B,'ILC2203'!B333:F8532,5,false)="","Y","N")</f>
        <v>Y</v>
      </c>
      <c r="K367" s="12" t="str">
        <f>if(vlookup(B:B,'ILC2206'!B318:H370,5,false)="","Y","N")</f>
        <v>Y</v>
      </c>
      <c r="L367" s="12" t="str">
        <f>if(vlookup(B:B,'ILC2303'!B370:F8809,5,false)="","Y","N")</f>
        <v>N</v>
      </c>
      <c r="M367" s="12" t="str">
        <f>if(vlookup(B:B,'ILC2307'!B370:F9325,5,false)="","Y","N")</f>
        <v>N</v>
      </c>
      <c r="N367" s="12" t="str">
        <f>if(vlookup(B:B,'ILC2313'!B370:F8964,5,false)="","Y","N")</f>
        <v>Y</v>
      </c>
      <c r="O367" s="12" t="str">
        <f>if(vlookup(B:B,'ILC2412'!B370:F8809,5,false)="","Y","N")</f>
        <v>Y</v>
      </c>
      <c r="P367" s="12" t="str">
        <f>if(vlookup(B:B,'ILC2413'!B370:F9307,5,false)="","Y","N")</f>
        <v>Y</v>
      </c>
      <c r="Q367" s="12" t="str">
        <f>if(vlookup(B:B,'ILC3104'!B370:F8852,5,false)="","Y","N")</f>
        <v>Y</v>
      </c>
      <c r="R367" s="12" t="str">
        <f>if(vlookup(B:B,'ILC3310'!B202:F8791,5,false)="","Y","N")</f>
        <v>N</v>
      </c>
      <c r="S367" s="12" t="str">
        <f>if(vlookup(B:B,'ILC3312'!B370:F8809,5,false)="","Y","N")</f>
        <v>Y</v>
      </c>
      <c r="T367" s="12" t="str">
        <f>if(vlookup(B:B,'ILC3413'!B339:F8734,5,false)="","Y","N")</f>
        <v>Y</v>
      </c>
      <c r="U367" s="12" t="str">
        <f>if(vlookup(B:B,'ILC3415'!B367:F8759,5,false)="","Y","N")</f>
        <v>Y</v>
      </c>
      <c r="V367" s="12" t="str">
        <f>if(vlookup(B:B,'ILC4406'!B302:F8728,5,false)="","Y","N")</f>
        <v>Y</v>
      </c>
      <c r="W367" s="12" t="str">
        <f>if(vlookup(B:B,'ILC4410'!B370:F8976,5,false)="","Y","N")</f>
        <v>N</v>
      </c>
      <c r="X367" s="12" t="str">
        <f>if(vlookup(B:B,'JBV455'!B370:F9316,5,false)="","Y","N")</f>
        <v>Y</v>
      </c>
      <c r="Y367" s="12" t="str">
        <f>if(vlookup(B:B,'JBV462'!B370:F8809,5,false)="","Y","N")</f>
        <v>Y</v>
      </c>
      <c r="Z367" s="12" t="str">
        <f>if(vlookup(B:B,'JBV464'!B370:F8809,5,false)="","Y","N")</f>
        <v>Y</v>
      </c>
      <c r="AA367" s="12" t="str">
        <f>if(vlookup(B:B,'VDI208'!B302:F8809,5,false)="","Y","N")</f>
        <v>Y</v>
      </c>
      <c r="AB367" s="76" t="str">
        <f>if(vlookup(B:B,'STO2206'!B302:F8809,5,false)="","Y","N")</f>
        <v>Y</v>
      </c>
    </row>
    <row r="368">
      <c r="A368" s="67" t="str">
        <f t="shared" si="2"/>
        <v>Sat</v>
      </c>
      <c r="B368" s="69">
        <v>43813.0</v>
      </c>
      <c r="C368" s="12" t="str">
        <f>if(vlookup(B:B,'ILC1110'!$B233:F8810,5,false)="","Y","N")</f>
        <v>Y</v>
      </c>
      <c r="D368" s="12" t="str">
        <f>if(vlookup(B:B,'ILC1111'!$B233:F8817,5,false)="","Y","N")</f>
        <v>Y</v>
      </c>
      <c r="E368" s="12" t="str">
        <f>if(vlookup(B:B,'ILC1112'!$B233:F8810,5,false)="","Y","N")</f>
        <v>Y</v>
      </c>
      <c r="F368" s="12" t="str">
        <f>if(vlookup(B:B,'ILC1211'!B371:F8810,5,false)="","Y","N")</f>
        <v>Y</v>
      </c>
      <c r="G368" s="12" t="str">
        <f>if(vlookup(B:B,'ILC1213'!$B298:G8810,5,false)="","Y","N")</f>
        <v>Y</v>
      </c>
      <c r="H368" s="12" t="str">
        <f>if(vlookup(B:B,'ILC1314'!$B297:G1110,5,false)="","Y","N")</f>
        <v>Y</v>
      </c>
      <c r="I368" s="12" t="str">
        <f>if(vlookup(B:B,'ILC1404'!B371:F8533,5,false)="","Y","N")</f>
        <v>Y</v>
      </c>
      <c r="J368" s="12" t="str">
        <f>if(vlookup(B:B,'ILC2203'!B334:F8533,5,false)="","Y","N")</f>
        <v>Y</v>
      </c>
      <c r="K368" s="12" t="str">
        <f>if(vlookup(B:B,'ILC2206'!B319:H370,5,false)="","Y","N")</f>
        <v>Y</v>
      </c>
      <c r="L368" s="12" t="str">
        <f>if(vlookup(B:B,'ILC2303'!B371:F8810,5,false)="","Y","N")</f>
        <v>N</v>
      </c>
      <c r="M368" s="12" t="str">
        <f>if(vlookup(B:B,'ILC2307'!B371:F9326,5,false)="","Y","N")</f>
        <v>N</v>
      </c>
      <c r="N368" s="12" t="str">
        <f>if(vlookup(B:B,'ILC2313'!B371:F8965,5,false)="","Y","N")</f>
        <v>Y</v>
      </c>
      <c r="O368" s="12" t="str">
        <f>if(vlookup(B:B,'ILC2412'!B371:F8810,5,false)="","Y","N")</f>
        <v>Y</v>
      </c>
      <c r="P368" s="12" t="str">
        <f>if(vlookup(B:B,'ILC2413'!B371:F9308,5,false)="","Y","N")</f>
        <v>Y</v>
      </c>
      <c r="Q368" s="12" t="str">
        <f>if(vlookup(B:B,'ILC3104'!B371:F8853,5,false)="","Y","N")</f>
        <v>Y</v>
      </c>
      <c r="R368" s="12" t="str">
        <f>if(vlookup(B:B,'ILC3310'!B203:F8792,5,false)="","Y","N")</f>
        <v>N</v>
      </c>
      <c r="S368" s="12" t="str">
        <f>if(vlookup(B:B,'ILC3312'!B371:F8810,5,false)="","Y","N")</f>
        <v>Y</v>
      </c>
      <c r="T368" s="12" t="str">
        <f>if(vlookup(B:B,'ILC3413'!B340:F8735,5,false)="","Y","N")</f>
        <v>Y</v>
      </c>
      <c r="U368" s="12" t="str">
        <f>if(vlookup(B:B,'ILC3415'!B368:F8760,5,false)="","Y","N")</f>
        <v>Y</v>
      </c>
      <c r="V368" s="12" t="str">
        <f>if(vlookup(B:B,'ILC4406'!B303:F8729,5,false)="","Y","N")</f>
        <v>Y</v>
      </c>
      <c r="W368" s="12" t="str">
        <f>if(vlookup(B:B,'ILC4410'!B371:F8977,5,false)="","Y","N")</f>
        <v>N</v>
      </c>
      <c r="X368" s="12" t="str">
        <f>if(vlookup(B:B,'JBV455'!B371:F9317,5,false)="","Y","N")</f>
        <v>Y</v>
      </c>
      <c r="Y368" s="12" t="str">
        <f>if(vlookup(B:B,'JBV462'!B371:F8810,5,false)="","Y","N")</f>
        <v>Y</v>
      </c>
      <c r="Z368" s="12" t="str">
        <f>if(vlookup(B:B,'JBV464'!B371:F8810,5,false)="","Y","N")</f>
        <v>Y</v>
      </c>
      <c r="AA368" s="12" t="str">
        <f>if(vlookup(B:B,'VDI208'!B303:F8810,5,false)="","Y","N")</f>
        <v>Y</v>
      </c>
      <c r="AB368" s="76" t="str">
        <f>if(vlookup(B:B,'STO2206'!B303:F8810,5,false)="","Y","N")</f>
        <v>Y</v>
      </c>
    </row>
    <row r="369">
      <c r="A369" s="67" t="str">
        <f t="shared" si="2"/>
        <v>Sun</v>
      </c>
      <c r="B369" s="69">
        <v>43814.0</v>
      </c>
      <c r="C369" s="12" t="str">
        <f>if(vlookup(B:B,'ILC1110'!$B234:F8811,5,false)="","Y","N")</f>
        <v>Y</v>
      </c>
      <c r="D369" s="12" t="str">
        <f>if(vlookup(B:B,'ILC1111'!$B234:F8818,5,false)="","Y","N")</f>
        <v>Y</v>
      </c>
      <c r="E369" s="12" t="str">
        <f>if(vlookup(B:B,'ILC1112'!$B234:F8811,5,false)="","Y","N")</f>
        <v>Y</v>
      </c>
      <c r="F369" s="12" t="str">
        <f>if(vlookup(B:B,'ILC1211'!B372:F8811,5,false)="","Y","N")</f>
        <v>Y</v>
      </c>
      <c r="G369" s="12" t="str">
        <f>if(vlookup(B:B,'ILC1213'!$B299:G8811,5,false)="","Y","N")</f>
        <v>Y</v>
      </c>
      <c r="H369" s="12" t="str">
        <f>if(vlookup(B:B,'ILC1314'!$B298:G1111,5,false)="","Y","N")</f>
        <v>Y</v>
      </c>
      <c r="I369" s="12" t="str">
        <f>if(vlookup(B:B,'ILC1404'!B372:F8534,5,false)="","Y","N")</f>
        <v>Y</v>
      </c>
      <c r="J369" s="12" t="str">
        <f>if(vlookup(B:B,'ILC2203'!B335:F8534,5,false)="","Y","N")</f>
        <v>Y</v>
      </c>
      <c r="K369" s="12" t="str">
        <f>if(vlookup(B:B,'ILC2206'!B320:H370,5,false)="","Y","N")</f>
        <v>Y</v>
      </c>
      <c r="L369" s="12" t="str">
        <f>if(vlookup(B:B,'ILC2303'!B372:F8811,5,false)="","Y","N")</f>
        <v>N</v>
      </c>
      <c r="M369" s="12" t="str">
        <f>if(vlookup(B:B,'ILC2307'!B372:F9327,5,false)="","Y","N")</f>
        <v>N</v>
      </c>
      <c r="N369" s="12" t="str">
        <f>if(vlookup(B:B,'ILC2313'!B372:F8966,5,false)="","Y","N")</f>
        <v>Y</v>
      </c>
      <c r="O369" s="12" t="str">
        <f>if(vlookup(B:B,'ILC2412'!B372:F8811,5,false)="","Y","N")</f>
        <v>Y</v>
      </c>
      <c r="P369" s="12" t="str">
        <f>if(vlookup(B:B,'ILC2413'!B372:F9309,5,false)="","Y","N")</f>
        <v>Y</v>
      </c>
      <c r="Q369" s="12" t="str">
        <f>if(vlookup(B:B,'ILC3104'!B372:F8854,5,false)="","Y","N")</f>
        <v>Y</v>
      </c>
      <c r="R369" s="12" t="str">
        <f>if(vlookup(B:B,'ILC3310'!B204:F8793,5,false)="","Y","N")</f>
        <v>N</v>
      </c>
      <c r="S369" s="12" t="str">
        <f>if(vlookup(B:B,'ILC3312'!B372:F8811,5,false)="","Y","N")</f>
        <v>Y</v>
      </c>
      <c r="T369" s="12" t="str">
        <f>if(vlookup(B:B,'ILC3413'!B341:F8736,5,false)="","Y","N")</f>
        <v>Y</v>
      </c>
      <c r="U369" s="12" t="str">
        <f>if(vlookup(B:B,'ILC3415'!B369:F8761,5,false)="","Y","N")</f>
        <v>Y</v>
      </c>
      <c r="V369" s="12" t="str">
        <f>if(vlookup(B:B,'ILC4406'!B304:F8730,5,false)="","Y","N")</f>
        <v>Y</v>
      </c>
      <c r="W369" s="12" t="str">
        <f>if(vlookup(B:B,'ILC4410'!B372:F8978,5,false)="","Y","N")</f>
        <v>N</v>
      </c>
      <c r="X369" s="12" t="str">
        <f>if(vlookup(B:B,'JBV455'!B372:F9318,5,false)="","Y","N")</f>
        <v>Y</v>
      </c>
      <c r="Y369" s="12" t="str">
        <f>if(vlookup(B:B,'JBV462'!B372:F8811,5,false)="","Y","N")</f>
        <v>Y</v>
      </c>
      <c r="Z369" s="12" t="str">
        <f>if(vlookup(B:B,'JBV464'!B372:F8811,5,false)="","Y","N")</f>
        <v>Y</v>
      </c>
      <c r="AA369" s="12" t="str">
        <f>if(vlookup(B:B,'VDI208'!B304:F8811,5,false)="","Y","N")</f>
        <v>Y</v>
      </c>
      <c r="AB369" s="76" t="str">
        <f>if(vlookup(B:B,'STO2206'!B304:F8811,5,false)="","Y","N")</f>
        <v>Y</v>
      </c>
    </row>
    <row r="370">
      <c r="A370" s="67" t="str">
        <f t="shared" si="2"/>
        <v>Mon</v>
      </c>
      <c r="B370" s="69">
        <v>43815.0</v>
      </c>
      <c r="C370" s="12" t="str">
        <f>if(vlookup(B:B,'ILC1110'!$B235:F8812,5,false)="","Y","N")</f>
        <v>Y</v>
      </c>
      <c r="D370" s="12" t="str">
        <f>if(vlookup(B:B,'ILC1111'!$B235:F8819,5,false)="","Y","N")</f>
        <v>Y</v>
      </c>
      <c r="E370" s="12" t="str">
        <f>if(vlookup(B:B,'ILC1112'!$B235:F8812,5,false)="","Y","N")</f>
        <v>Y</v>
      </c>
      <c r="F370" s="12" t="str">
        <f>if(vlookup(B:B,'ILC1211'!B373:F8812,5,false)="","Y","N")</f>
        <v>Y</v>
      </c>
      <c r="G370" s="12" t="str">
        <f>if(vlookup(B:B,'ILC1213'!$B300:G8812,5,false)="","Y","N")</f>
        <v>Y</v>
      </c>
      <c r="H370" s="12" t="str">
        <f>if(vlookup(B:B,'ILC1314'!$B299:G1112,5,false)="","Y","N")</f>
        <v>Y</v>
      </c>
      <c r="I370" s="12" t="str">
        <f>if(vlookup(B:B,'ILC1404'!B373:F8535,5,false)="","Y","N")</f>
        <v>Y</v>
      </c>
      <c r="J370" s="12" t="str">
        <f>if(vlookup(B:B,'ILC2203'!B336:F8535,5,false)="","Y","N")</f>
        <v>Y</v>
      </c>
      <c r="K370" s="12" t="str">
        <f>if(vlookup(B:B,'ILC2206'!B321:H370,5,false)="","Y","N")</f>
        <v>Y</v>
      </c>
      <c r="L370" s="12" t="str">
        <f>if(vlookup(B:B,'ILC2303'!B373:F8812,5,false)="","Y","N")</f>
        <v>N</v>
      </c>
      <c r="M370" s="12" t="str">
        <f>if(vlookup(B:B,'ILC2307'!B373:F9328,5,false)="","Y","N")</f>
        <v>N</v>
      </c>
      <c r="N370" s="12" t="str">
        <f>if(vlookup(B:B,'ILC2313'!B373:F8967,5,false)="","Y","N")</f>
        <v>Y</v>
      </c>
      <c r="O370" s="12" t="str">
        <f>if(vlookup(B:B,'ILC2412'!B373:F8812,5,false)="","Y","N")</f>
        <v>Y</v>
      </c>
      <c r="P370" s="12" t="str">
        <f>if(vlookup(B:B,'ILC2413'!B373:F9310,5,false)="","Y","N")</f>
        <v>Y</v>
      </c>
      <c r="Q370" s="12" t="str">
        <f>if(vlookup(B:B,'ILC3104'!B373:F8855,5,false)="","Y","N")</f>
        <v>Y</v>
      </c>
      <c r="R370" s="12" t="str">
        <f>if(vlookup(B:B,'ILC3310'!B205:F8794,5,false)="","Y","N")</f>
        <v>N</v>
      </c>
      <c r="S370" s="12" t="str">
        <f>if(vlookup(B:B,'ILC3312'!B373:F8812,5,false)="","Y","N")</f>
        <v>Y</v>
      </c>
      <c r="T370" s="12" t="str">
        <f>if(vlookup(B:B,'ILC3413'!B342:F8737,5,false)="","Y","N")</f>
        <v>Y</v>
      </c>
      <c r="U370" s="12" t="str">
        <f>if(vlookup(B:B,'ILC3415'!B370:F8762,5,false)="","Y","N")</f>
        <v>Y</v>
      </c>
      <c r="V370" s="12" t="str">
        <f>if(vlookup(B:B,'ILC4406'!B305:F8731,5,false)="","Y","N")</f>
        <v>Y</v>
      </c>
      <c r="W370" s="12" t="str">
        <f>if(vlookup(B:B,'ILC4410'!B373:F8979,5,false)="","Y","N")</f>
        <v>N</v>
      </c>
      <c r="X370" s="12" t="str">
        <f>if(vlookup(B:B,'JBV455'!B373:F9319,5,false)="","Y","N")</f>
        <v>Y</v>
      </c>
      <c r="Y370" s="12" t="str">
        <f>if(vlookup(B:B,'JBV462'!B373:F8812,5,false)="","Y","N")</f>
        <v>Y</v>
      </c>
      <c r="Z370" s="12" t="str">
        <f>if(vlookup(B:B,'JBV464'!B373:F8812,5,false)="","Y","N")</f>
        <v>Y</v>
      </c>
      <c r="AA370" s="12" t="str">
        <f>if(vlookup(B:B,'VDI208'!B305:F8812,5,false)="","Y","N")</f>
        <v>Y</v>
      </c>
      <c r="AB370" s="76" t="str">
        <f>if(vlookup(B:B,'STO2206'!B305:F8812,5,false)="","Y","N")</f>
        <v>Y</v>
      </c>
    </row>
    <row r="371">
      <c r="A371" s="67" t="str">
        <f t="shared" si="2"/>
        <v>Tue</v>
      </c>
      <c r="B371" s="69">
        <v>43816.0</v>
      </c>
      <c r="C371" s="12" t="str">
        <f>if(vlookup(B:B,'ILC1110'!$B236:F8813,5,false)="","Y","N")</f>
        <v>Y</v>
      </c>
      <c r="D371" s="12" t="str">
        <f>if(vlookup(B:B,'ILC1111'!$B236:F8820,5,false)="","Y","N")</f>
        <v>Y</v>
      </c>
      <c r="E371" s="12" t="str">
        <f>if(vlookup(B:B,'ILC1112'!$B236:F8813,5,false)="","Y","N")</f>
        <v>Y</v>
      </c>
      <c r="F371" s="12" t="str">
        <f>if(vlookup(B:B,'ILC1211'!B374:F8813,5,false)="","Y","N")</f>
        <v>Y</v>
      </c>
      <c r="G371" s="12" t="str">
        <f>if(vlookup(B:B,'ILC1213'!$B301:G8813,5,false)="","Y","N")</f>
        <v>Y</v>
      </c>
      <c r="H371" s="12" t="str">
        <f>if(vlookup(B:B,'ILC1314'!$B300:G1113,5,false)="","Y","N")</f>
        <v>Y</v>
      </c>
      <c r="I371" s="12" t="str">
        <f>if(vlookup(B:B,'ILC1404'!B374:F8536,5,false)="","Y","N")</f>
        <v>Y</v>
      </c>
      <c r="J371" s="12" t="str">
        <f>if(vlookup(B:B,'ILC2203'!B337:F8536,5,false)="","Y","N")</f>
        <v>Y</v>
      </c>
      <c r="K371" s="12" t="str">
        <f>if(vlookup(B:B,'ILC2206'!B322:H370,5,false)="","Y","N")</f>
        <v>Y</v>
      </c>
      <c r="L371" s="12" t="str">
        <f>if(vlookup(B:B,'ILC2303'!B374:F8813,5,false)="","Y","N")</f>
        <v>N</v>
      </c>
      <c r="M371" s="12" t="str">
        <f>if(vlookup(B:B,'ILC2307'!B374:F9329,5,false)="","Y","N")</f>
        <v>N</v>
      </c>
      <c r="N371" s="12" t="str">
        <f>if(vlookup(B:B,'ILC2313'!B374:F8968,5,false)="","Y","N")</f>
        <v>Y</v>
      </c>
      <c r="O371" s="12" t="str">
        <f>if(vlookup(B:B,'ILC2412'!B374:F8813,5,false)="","Y","N")</f>
        <v>Y</v>
      </c>
      <c r="P371" s="12" t="str">
        <f>if(vlookup(B:B,'ILC2413'!B374:F9311,5,false)="","Y","N")</f>
        <v>Y</v>
      </c>
      <c r="Q371" s="12" t="str">
        <f>if(vlookup(B:B,'ILC3104'!B374:F8856,5,false)="","Y","N")</f>
        <v>Y</v>
      </c>
      <c r="R371" s="12" t="str">
        <f>if(vlookup(B:B,'ILC3310'!B206:F8795,5,false)="","Y","N")</f>
        <v>N</v>
      </c>
      <c r="S371" s="12" t="str">
        <f>if(vlookup(B:B,'ILC3312'!B374:F8813,5,false)="","Y","N")</f>
        <v>Y</v>
      </c>
      <c r="T371" s="12" t="str">
        <f>if(vlookup(B:B,'ILC3413'!B343:F8738,5,false)="","Y","N")</f>
        <v>Y</v>
      </c>
      <c r="U371" s="12" t="str">
        <f>if(vlookup(B:B,'ILC3415'!B371:F8763,5,false)="","Y","N")</f>
        <v>Y</v>
      </c>
      <c r="V371" s="12" t="str">
        <f>if(vlookup(B:B,'ILC4406'!B306:F8732,5,false)="","Y","N")</f>
        <v>Y</v>
      </c>
      <c r="W371" s="12" t="str">
        <f>if(vlookup(B:B,'ILC4410'!B374:F8980,5,false)="","Y","N")</f>
        <v>N</v>
      </c>
      <c r="X371" s="12" t="str">
        <f>if(vlookup(B:B,'JBV455'!B374:F9320,5,false)="","Y","N")</f>
        <v>Y</v>
      </c>
      <c r="Y371" s="12" t="str">
        <f>if(vlookup(B:B,'JBV462'!B374:F8813,5,false)="","Y","N")</f>
        <v>Y</v>
      </c>
      <c r="Z371" s="12" t="str">
        <f>if(vlookup(B:B,'JBV464'!B374:F8813,5,false)="","Y","N")</f>
        <v>Y</v>
      </c>
      <c r="AA371" s="12" t="str">
        <f>if(vlookup(B:B,'VDI208'!B306:F8813,5,false)="","Y","N")</f>
        <v>Y</v>
      </c>
      <c r="AB371" s="76" t="str">
        <f>if(vlookup(B:B,'STO2206'!B306:F8813,5,false)="","Y","N")</f>
        <v>Y</v>
      </c>
    </row>
    <row r="372">
      <c r="A372" s="67" t="str">
        <f t="shared" si="2"/>
        <v>Wed</v>
      </c>
      <c r="B372" s="69">
        <v>43817.0</v>
      </c>
      <c r="C372" s="12" t="str">
        <f>if(vlookup(B:B,'ILC1110'!$B237:F8814,5,false)="","Y","N")</f>
        <v>Y</v>
      </c>
      <c r="D372" s="12" t="str">
        <f>if(vlookup(B:B,'ILC1111'!$B237:F8821,5,false)="","Y","N")</f>
        <v>Y</v>
      </c>
      <c r="E372" s="12" t="str">
        <f>if(vlookup(B:B,'ILC1112'!$B237:F8814,5,false)="","Y","N")</f>
        <v>Y</v>
      </c>
      <c r="F372" s="12" t="str">
        <f>if(vlookup(B:B,'ILC1211'!B375:F8814,5,false)="","Y","N")</f>
        <v>Y</v>
      </c>
      <c r="G372" s="12" t="str">
        <f>if(vlookup(B:B,'ILC1213'!$B302:G8814,5,false)="","Y","N")</f>
        <v>Y</v>
      </c>
      <c r="H372" s="12" t="str">
        <f>if(vlookup(B:B,'ILC1314'!$B301:G1114,5,false)="","Y","N")</f>
        <v>Y</v>
      </c>
      <c r="I372" s="12" t="str">
        <f>if(vlookup(B:B,'ILC1404'!B375:F8537,5,false)="","Y","N")</f>
        <v>Y</v>
      </c>
      <c r="J372" s="12" t="str">
        <f>if(vlookup(B:B,'ILC2203'!B338:F8537,5,false)="","Y","N")</f>
        <v>Y</v>
      </c>
      <c r="K372" s="12" t="str">
        <f>if(vlookup(B:B,'ILC2206'!B323:H370,5,false)="","Y","N")</f>
        <v>Y</v>
      </c>
      <c r="L372" s="12" t="str">
        <f>if(vlookup(B:B,'ILC2303'!B375:F8814,5,false)="","Y","N")</f>
        <v>N</v>
      </c>
      <c r="M372" s="12" t="str">
        <f>if(vlookup(B:B,'ILC2307'!B375:F9330,5,false)="","Y","N")</f>
        <v>N</v>
      </c>
      <c r="N372" s="12" t="str">
        <f>if(vlookup(B:B,'ILC2313'!B375:F8969,5,false)="","Y","N")</f>
        <v>Y</v>
      </c>
      <c r="O372" s="12" t="str">
        <f>if(vlookup(B:B,'ILC2412'!B375:F8814,5,false)="","Y","N")</f>
        <v>Y</v>
      </c>
      <c r="P372" s="12" t="str">
        <f>if(vlookup(B:B,'ILC2413'!B375:F9312,5,false)="","Y","N")</f>
        <v>Y</v>
      </c>
      <c r="Q372" s="12" t="str">
        <f>if(vlookup(B:B,'ILC3104'!B375:F8857,5,false)="","Y","N")</f>
        <v>Y</v>
      </c>
      <c r="R372" s="12" t="str">
        <f>if(vlookup(B:B,'ILC3310'!B207:F8796,5,false)="","Y","N")</f>
        <v>N</v>
      </c>
      <c r="S372" s="12" t="str">
        <f>if(vlookup(B:B,'ILC3312'!B375:F8814,5,false)="","Y","N")</f>
        <v>Y</v>
      </c>
      <c r="T372" s="12" t="str">
        <f>if(vlookup(B:B,'ILC3413'!B344:F8739,5,false)="","Y","N")</f>
        <v>Y</v>
      </c>
      <c r="U372" s="12" t="str">
        <f>if(vlookup(B:B,'ILC3415'!B372:F8764,5,false)="","Y","N")</f>
        <v>Y</v>
      </c>
      <c r="V372" s="12" t="str">
        <f>if(vlookup(B:B,'ILC4406'!B307:F8733,5,false)="","Y","N")</f>
        <v>Y</v>
      </c>
      <c r="W372" s="12" t="str">
        <f>if(vlookup(B:B,'ILC4410'!B375:F8981,5,false)="","Y","N")</f>
        <v>N</v>
      </c>
      <c r="X372" s="12" t="str">
        <f>if(vlookup(B:B,'JBV455'!B375:F9321,5,false)="","Y","N")</f>
        <v>Y</v>
      </c>
      <c r="Y372" s="12" t="str">
        <f>if(vlookup(B:B,'JBV462'!B375:F8814,5,false)="","Y","N")</f>
        <v>Y</v>
      </c>
      <c r="Z372" s="12" t="str">
        <f>if(vlookup(B:B,'JBV464'!B375:F8814,5,false)="","Y","N")</f>
        <v>Y</v>
      </c>
      <c r="AA372" s="12" t="str">
        <f>if(vlookup(B:B,'VDI208'!B307:F8814,5,false)="","Y","N")</f>
        <v>Y</v>
      </c>
      <c r="AB372" s="76" t="str">
        <f>if(vlookup(B:B,'STO2206'!B307:F8814,5,false)="","Y","N")</f>
        <v>Y</v>
      </c>
    </row>
    <row r="373">
      <c r="A373" s="67" t="str">
        <f t="shared" si="2"/>
        <v>Thu</v>
      </c>
      <c r="B373" s="69">
        <v>43818.0</v>
      </c>
      <c r="C373" s="12" t="str">
        <f>if(vlookup(B:B,'ILC1110'!$B238:F8815,5,false)="","Y","N")</f>
        <v>Y</v>
      </c>
      <c r="D373" s="12" t="str">
        <f>if(vlookup(B:B,'ILC1111'!$B238:F8822,5,false)="","Y","N")</f>
        <v>Y</v>
      </c>
      <c r="E373" s="12" t="str">
        <f>if(vlookup(B:B,'ILC1112'!$B238:F8815,5,false)="","Y","N")</f>
        <v>Y</v>
      </c>
      <c r="F373" s="12" t="str">
        <f>if(vlookup(B:B,'ILC1211'!B376:F8815,5,false)="","Y","N")</f>
        <v>Y</v>
      </c>
      <c r="G373" s="12" t="str">
        <f>if(vlookup(B:B,'ILC1213'!$B303:G8815,5,false)="","Y","N")</f>
        <v>Y</v>
      </c>
      <c r="H373" s="12" t="str">
        <f>if(vlookup(B:B,'ILC1314'!$B302:G1115,5,false)="","Y","N")</f>
        <v>Y</v>
      </c>
      <c r="I373" s="12" t="str">
        <f>if(vlookup(B:B,'ILC1404'!B376:F8538,5,false)="","Y","N")</f>
        <v>Y</v>
      </c>
      <c r="J373" s="12" t="str">
        <f>if(vlookup(B:B,'ILC2203'!B339:F8538,5,false)="","Y","N")</f>
        <v>Y</v>
      </c>
      <c r="K373" s="12" t="str">
        <f>if(vlookup(B:B,'ILC2206'!B324:H370,5,false)="","Y","N")</f>
        <v>Y</v>
      </c>
      <c r="L373" s="12" t="str">
        <f>if(vlookup(B:B,'ILC2303'!B376:F8815,5,false)="","Y","N")</f>
        <v>N</v>
      </c>
      <c r="M373" s="12" t="str">
        <f>if(vlookup(B:B,'ILC2307'!B376:F9331,5,false)="","Y","N")</f>
        <v>Y</v>
      </c>
      <c r="N373" s="12" t="str">
        <f>if(vlookup(B:B,'ILC2313'!B376:F8970,5,false)="","Y","N")</f>
        <v>Y</v>
      </c>
      <c r="O373" s="12" t="str">
        <f>if(vlookup(B:B,'ILC2412'!B376:F8815,5,false)="","Y","N")</f>
        <v>Y</v>
      </c>
      <c r="P373" s="12" t="str">
        <f>if(vlookup(B:B,'ILC2413'!B376:F9313,5,false)="","Y","N")</f>
        <v>Y</v>
      </c>
      <c r="Q373" s="12" t="str">
        <f>if(vlookup(B:B,'ILC3104'!B376:F8858,5,false)="","Y","N")</f>
        <v>Y</v>
      </c>
      <c r="R373" s="12" t="str">
        <f>if(vlookup(B:B,'ILC3310'!B208:F8797,5,false)="","Y","N")</f>
        <v>Y</v>
      </c>
      <c r="S373" s="12" t="str">
        <f>if(vlookup(B:B,'ILC3312'!B376:F8815,5,false)="","Y","N")</f>
        <v>Y</v>
      </c>
      <c r="T373" s="12" t="str">
        <f>if(vlookup(B:B,'ILC3413'!B345:F8740,5,false)="","Y","N")</f>
        <v>Y</v>
      </c>
      <c r="U373" s="12" t="str">
        <f>if(vlookup(B:B,'ILC3415'!B373:F8765,5,false)="","Y","N")</f>
        <v>Y</v>
      </c>
      <c r="V373" s="12" t="str">
        <f>if(vlookup(B:B,'ILC4406'!B308:F8734,5,false)="","Y","N")</f>
        <v>Y</v>
      </c>
      <c r="W373" s="12" t="str">
        <f>if(vlookup(B:B,'ILC4410'!B376:F8982,5,false)="","Y","N")</f>
        <v>Y</v>
      </c>
      <c r="X373" s="12" t="str">
        <f>if(vlookup(B:B,'JBV455'!B376:F9322,5,false)="","Y","N")</f>
        <v>Y</v>
      </c>
      <c r="Y373" s="12" t="str">
        <f>if(vlookup(B:B,'JBV462'!B376:F8815,5,false)="","Y","N")</f>
        <v>Y</v>
      </c>
      <c r="Z373" s="12" t="str">
        <f>if(vlookup(B:B,'JBV464'!B376:F8815,5,false)="","Y","N")</f>
        <v>Y</v>
      </c>
      <c r="AA373" s="12" t="str">
        <f>if(vlookup(B:B,'VDI208'!B308:F8815,5,false)="","Y","N")</f>
        <v>Y</v>
      </c>
      <c r="AB373" s="76" t="str">
        <f>if(vlookup(B:B,'STO2206'!B308:F8815,5,false)="","Y","N")</f>
        <v>Y</v>
      </c>
    </row>
    <row r="374">
      <c r="A374" s="67" t="str">
        <f t="shared" si="2"/>
        <v>Fri</v>
      </c>
      <c r="B374" s="69">
        <v>43819.0</v>
      </c>
      <c r="C374" s="12" t="str">
        <f>if(vlookup(B:B,'ILC1110'!$B239:F8816,5,false)="","Y","N")</f>
        <v>Y</v>
      </c>
      <c r="D374" s="12" t="str">
        <f>if(vlookup(B:B,'ILC1111'!$B239:F8823,5,false)="","Y","N")</f>
        <v>Y</v>
      </c>
      <c r="E374" s="12" t="str">
        <f>if(vlookup(B:B,'ILC1112'!$B239:F8816,5,false)="","Y","N")</f>
        <v>Y</v>
      </c>
      <c r="F374" s="12" t="str">
        <f>if(vlookup(B:B,'ILC1211'!B377:F8816,5,false)="","Y","N")</f>
        <v>Y</v>
      </c>
      <c r="G374" s="12" t="str">
        <f>if(vlookup(B:B,'ILC1213'!$B304:G8816,5,false)="","Y","N")</f>
        <v>Y</v>
      </c>
      <c r="H374" s="12" t="str">
        <f>if(vlookup(B:B,'ILC1314'!$B303:G1116,5,false)="","Y","N")</f>
        <v>Y</v>
      </c>
      <c r="I374" s="12" t="str">
        <f>if(vlookup(B:B,'ILC1404'!B377:F8539,5,false)="","Y","N")</f>
        <v>N</v>
      </c>
      <c r="J374" s="12" t="str">
        <f>if(vlookup(B:B,'ILC2203'!B340:F8539,5,false)="","Y","N")</f>
        <v>Y</v>
      </c>
      <c r="K374" s="12" t="str">
        <f>if(vlookup(B:B,'ILC2206'!B325:H370,5,false)="","Y","N")</f>
        <v>Y</v>
      </c>
      <c r="L374" s="12" t="str">
        <f>if(vlookup(B:B,'ILC2303'!B377:F8816,5,false)="","Y","N")</f>
        <v>N</v>
      </c>
      <c r="M374" s="12" t="str">
        <f>if(vlookup(B:B,'ILC2307'!B377:F9332,5,false)="","Y","N")</f>
        <v>Y</v>
      </c>
      <c r="N374" s="12" t="str">
        <f>if(vlookup(B:B,'ILC2313'!B377:F8971,5,false)="","Y","N")</f>
        <v>Y</v>
      </c>
      <c r="O374" s="12" t="str">
        <f>if(vlookup(B:B,'ILC2412'!B377:F8816,5,false)="","Y","N")</f>
        <v>Y</v>
      </c>
      <c r="P374" s="12" t="str">
        <f>if(vlookup(B:B,'ILC2413'!B377:F9314,5,false)="","Y","N")</f>
        <v>Y</v>
      </c>
      <c r="Q374" s="12" t="str">
        <f>if(vlookup(B:B,'ILC3104'!B377:F8859,5,false)="","Y","N")</f>
        <v>Y</v>
      </c>
      <c r="R374" s="12" t="str">
        <f>if(vlookup(B:B,'ILC3310'!B209:F8798,5,false)="","Y","N")</f>
        <v>Y</v>
      </c>
      <c r="S374" s="12" t="str">
        <f>if(vlookup(B:B,'ILC3312'!B377:F8816,5,false)="","Y","N")</f>
        <v>Y</v>
      </c>
      <c r="T374" s="12" t="str">
        <f>if(vlookup(B:B,'ILC3413'!B346:F8741,5,false)="","Y","N")</f>
        <v>Y</v>
      </c>
      <c r="U374" s="12" t="str">
        <f>if(vlookup(B:B,'ILC3415'!B374:F8766,5,false)="","Y","N")</f>
        <v>Y</v>
      </c>
      <c r="V374" s="12" t="str">
        <f>if(vlookup(B:B,'ILC4406'!B309:F8735,5,false)="","Y","N")</f>
        <v>Y</v>
      </c>
      <c r="W374" s="12" t="str">
        <f>if(vlookup(B:B,'ILC4410'!B377:F8983,5,false)="","Y","N")</f>
        <v>Y</v>
      </c>
      <c r="X374" s="12" t="str">
        <f>if(vlookup(B:B,'JBV455'!B377:F9323,5,false)="","Y","N")</f>
        <v>N</v>
      </c>
      <c r="Y374" s="12" t="str">
        <f>if(vlookup(B:B,'JBV462'!B377:F8816,5,false)="","Y","N")</f>
        <v>Y</v>
      </c>
      <c r="Z374" s="12" t="str">
        <f>if(vlookup(B:B,'JBV464'!B377:F8816,5,false)="","Y","N")</f>
        <v>Y</v>
      </c>
      <c r="AA374" s="12" t="str">
        <f>if(vlookup(B:B,'VDI208'!B309:F8816,5,false)="","Y","N")</f>
        <v>Y</v>
      </c>
      <c r="AB374" s="76" t="str">
        <f>if(vlookup(B:B,'STO2206'!B309:F8816,5,false)="","Y","N")</f>
        <v>Y</v>
      </c>
    </row>
    <row r="375">
      <c r="A375" s="67" t="str">
        <f t="shared" si="2"/>
        <v>Sat</v>
      </c>
      <c r="B375" s="69">
        <v>43820.0</v>
      </c>
      <c r="C375" s="12" t="str">
        <f>if(vlookup(B:B,'ILC1110'!$B240:F8817,5,false)="","Y","N")</f>
        <v>Y</v>
      </c>
      <c r="D375" s="12" t="str">
        <f>if(vlookup(B:B,'ILC1111'!$B240:F8824,5,false)="","Y","N")</f>
        <v>Y</v>
      </c>
      <c r="E375" s="12" t="str">
        <f>if(vlookup(B:B,'ILC1112'!$B240:F8817,5,false)="","Y","N")</f>
        <v>Y</v>
      </c>
      <c r="F375" s="12" t="str">
        <f>if(vlookup(B:B,'ILC1211'!B378:F8817,5,false)="","Y","N")</f>
        <v>Y</v>
      </c>
      <c r="G375" s="12" t="str">
        <f>if(vlookup(B:B,'ILC1213'!$B305:G8817,5,false)="","Y","N")</f>
        <v>Y</v>
      </c>
      <c r="H375" s="12" t="str">
        <f>if(vlookup(B:B,'ILC1314'!$B304:G1117,5,false)="","Y","N")</f>
        <v>Y</v>
      </c>
      <c r="I375" s="12" t="str">
        <f>if(vlookup(B:B,'ILC1404'!B378:F8540,5,false)="","Y","N")</f>
        <v>N</v>
      </c>
      <c r="J375" s="12" t="str">
        <f>if(vlookup(B:B,'ILC2203'!B341:F8540,5,false)="","Y","N")</f>
        <v>Y</v>
      </c>
      <c r="K375" s="12" t="str">
        <f>if(vlookup(B:B,'ILC2206'!B326:H370,5,false)="","Y","N")</f>
        <v>Y</v>
      </c>
      <c r="L375" s="12" t="str">
        <f>if(vlookup(B:B,'ILC2303'!B378:F8817,5,false)="","Y","N")</f>
        <v>N</v>
      </c>
      <c r="M375" s="12" t="str">
        <f>if(vlookup(B:B,'ILC2307'!B378:F9333,5,false)="","Y","N")</f>
        <v>Y</v>
      </c>
      <c r="N375" s="12" t="str">
        <f>if(vlookup(B:B,'ILC2313'!B378:F8972,5,false)="","Y","N")</f>
        <v>Y</v>
      </c>
      <c r="O375" s="12" t="str">
        <f>if(vlookup(B:B,'ILC2412'!B378:F8817,5,false)="","Y","N")</f>
        <v>Y</v>
      </c>
      <c r="P375" s="12" t="str">
        <f>if(vlookup(B:B,'ILC2413'!B378:F9315,5,false)="","Y","N")</f>
        <v>Y</v>
      </c>
      <c r="Q375" s="12" t="str">
        <f>if(vlookup(B:B,'ILC3104'!B378:F8860,5,false)="","Y","N")</f>
        <v>Y</v>
      </c>
      <c r="R375" s="12" t="str">
        <f>if(vlookup(B:B,'ILC3310'!B210:F8799,5,false)="","Y","N")</f>
        <v>Y</v>
      </c>
      <c r="S375" s="12" t="str">
        <f>if(vlookup(B:B,'ILC3312'!B378:F8817,5,false)="","Y","N")</f>
        <v>Y</v>
      </c>
      <c r="T375" s="12" t="str">
        <f>if(vlookup(B:B,'ILC3413'!B347:F8742,5,false)="","Y","N")</f>
        <v>Y</v>
      </c>
      <c r="U375" s="12" t="str">
        <f>if(vlookup(B:B,'ILC3415'!B375:F8767,5,false)="","Y","N")</f>
        <v>Y</v>
      </c>
      <c r="V375" s="12" t="str">
        <f>if(vlookup(B:B,'ILC4406'!B310:F8736,5,false)="","Y","N")</f>
        <v>Y</v>
      </c>
      <c r="W375" s="12" t="str">
        <f>if(vlookup(B:B,'ILC4410'!B378:F8984,5,false)="","Y","N")</f>
        <v>Y</v>
      </c>
      <c r="X375" s="12" t="str">
        <f>if(vlookup(B:B,'JBV455'!B378:F9324,5,false)="","Y","N")</f>
        <v>N</v>
      </c>
      <c r="Y375" s="12" t="str">
        <f>if(vlookup(B:B,'JBV462'!B378:F8817,5,false)="","Y","N")</f>
        <v>Y</v>
      </c>
      <c r="Z375" s="12" t="str">
        <f>if(vlookup(B:B,'JBV464'!B378:F8817,5,false)="","Y","N")</f>
        <v>Y</v>
      </c>
      <c r="AA375" s="12" t="str">
        <f>if(vlookup(B:B,'VDI208'!B310:F8817,5,false)="","Y","N")</f>
        <v>Y</v>
      </c>
      <c r="AB375" s="76" t="str">
        <f>if(vlookup(B:B,'STO2206'!B310:F8817,5,false)="","Y","N")</f>
        <v>Y</v>
      </c>
    </row>
    <row r="376">
      <c r="A376" s="67" t="str">
        <f t="shared" si="2"/>
        <v>Sun</v>
      </c>
      <c r="B376" s="69">
        <v>43821.0</v>
      </c>
      <c r="C376" s="12" t="str">
        <f>if(vlookup(B:B,'ILC1110'!$B241:F8818,5,false)="","Y","N")</f>
        <v>Y</v>
      </c>
      <c r="D376" s="12" t="str">
        <f>if(vlookup(B:B,'ILC1111'!$B241:F8825,5,false)="","Y","N")</f>
        <v>Y</v>
      </c>
      <c r="E376" s="12" t="str">
        <f>if(vlookup(B:B,'ILC1112'!$B241:F8818,5,false)="","Y","N")</f>
        <v>Y</v>
      </c>
      <c r="F376" s="12" t="str">
        <f>if(vlookup(B:B,'ILC1211'!B379:F8818,5,false)="","Y","N")</f>
        <v>Y</v>
      </c>
      <c r="G376" s="12" t="str">
        <f>if(vlookup(B:B,'ILC1213'!$B306:G8818,5,false)="","Y","N")</f>
        <v>Y</v>
      </c>
      <c r="H376" s="12" t="str">
        <f>if(vlookup(B:B,'ILC1314'!$B305:G1118,5,false)="","Y","N")</f>
        <v>Y</v>
      </c>
      <c r="I376" s="12" t="str">
        <f>if(vlookup(B:B,'ILC1404'!B379:F8541,5,false)="","Y","N")</f>
        <v>N</v>
      </c>
      <c r="J376" s="12" t="str">
        <f>if(vlookup(B:B,'ILC2203'!B342:F8541,5,false)="","Y","N")</f>
        <v>Y</v>
      </c>
      <c r="K376" s="12" t="str">
        <f>if(vlookup(B:B,'ILC2206'!B327:H370,5,false)="","Y","N")</f>
        <v>Y</v>
      </c>
      <c r="L376" s="12" t="str">
        <f>if(vlookup(B:B,'ILC2303'!B379:F8818,5,false)="","Y","N")</f>
        <v>N</v>
      </c>
      <c r="M376" s="12" t="str">
        <f>if(vlookup(B:B,'ILC2307'!B379:F9334,5,false)="","Y","N")</f>
        <v>Y</v>
      </c>
      <c r="N376" s="12" t="str">
        <f>if(vlookup(B:B,'ILC2313'!B379:F8973,5,false)="","Y","N")</f>
        <v>Y</v>
      </c>
      <c r="O376" s="12" t="str">
        <f>if(vlookup(B:B,'ILC2412'!B379:F8818,5,false)="","Y","N")</f>
        <v>Y</v>
      </c>
      <c r="P376" s="12" t="str">
        <f>if(vlookup(B:B,'ILC2413'!B379:F9316,5,false)="","Y","N")</f>
        <v>Y</v>
      </c>
      <c r="Q376" s="12" t="str">
        <f>if(vlookup(B:B,'ILC3104'!B379:F8861,5,false)="","Y","N")</f>
        <v>Y</v>
      </c>
      <c r="R376" s="12" t="str">
        <f>if(vlookup(B:B,'ILC3310'!B211:F8800,5,false)="","Y","N")</f>
        <v>Y</v>
      </c>
      <c r="S376" s="12" t="str">
        <f>if(vlookup(B:B,'ILC3312'!B379:F8818,5,false)="","Y","N")</f>
        <v>Y</v>
      </c>
      <c r="T376" s="12" t="str">
        <f>if(vlookup(B:B,'ILC3413'!B348:F8743,5,false)="","Y","N")</f>
        <v>Y</v>
      </c>
      <c r="U376" s="12" t="str">
        <f>if(vlookup(B:B,'ILC3415'!B376:F8768,5,false)="","Y","N")</f>
        <v>Y</v>
      </c>
      <c r="V376" s="12" t="str">
        <f>if(vlookup(B:B,'ILC4406'!B311:F8737,5,false)="","Y","N")</f>
        <v>Y</v>
      </c>
      <c r="W376" s="12" t="str">
        <f>if(vlookup(B:B,'ILC4410'!B379:F8985,5,false)="","Y","N")</f>
        <v>Y</v>
      </c>
      <c r="X376" s="12" t="str">
        <f>if(vlookup(B:B,'JBV455'!B379:F9325,5,false)="","Y","N")</f>
        <v>N</v>
      </c>
      <c r="Y376" s="12" t="str">
        <f>if(vlookup(B:B,'JBV462'!B379:F8818,5,false)="","Y","N")</f>
        <v>Y</v>
      </c>
      <c r="Z376" s="12" t="str">
        <f>if(vlookup(B:B,'JBV464'!B379:F8818,5,false)="","Y","N")</f>
        <v>Y</v>
      </c>
      <c r="AA376" s="12" t="str">
        <f>if(vlookup(B:B,'VDI208'!B311:F8818,5,false)="","Y","N")</f>
        <v>Y</v>
      </c>
      <c r="AB376" s="76" t="str">
        <f>if(vlookup(B:B,'STO2206'!B311:F8818,5,false)="","Y","N")</f>
        <v>Y</v>
      </c>
    </row>
    <row r="377">
      <c r="A377" s="67" t="str">
        <f t="shared" si="2"/>
        <v>Mon</v>
      </c>
      <c r="B377" s="69">
        <v>43822.0</v>
      </c>
      <c r="C377" s="12" t="str">
        <f>if(vlookup(B:B,'ILC1110'!$B242:F8819,5,false)="","Y","N")</f>
        <v>Y</v>
      </c>
      <c r="D377" s="12" t="str">
        <f>if(vlookup(B:B,'ILC1111'!$B242:F8826,5,false)="","Y","N")</f>
        <v>Y</v>
      </c>
      <c r="E377" s="12" t="str">
        <f>if(vlookup(B:B,'ILC1112'!$B242:F8819,5,false)="","Y","N")</f>
        <v>Y</v>
      </c>
      <c r="F377" s="12" t="str">
        <f>if(vlookup(B:B,'ILC1211'!B380:F8819,5,false)="","Y","N")</f>
        <v>Y</v>
      </c>
      <c r="G377" s="12" t="str">
        <f>if(vlookup(B:B,'ILC1213'!$B307:G8819,5,false)="","Y","N")</f>
        <v>Y</v>
      </c>
      <c r="H377" s="12" t="str">
        <f>if(vlookup(B:B,'ILC1314'!$B306:G1119,5,false)="","Y","N")</f>
        <v>Y</v>
      </c>
      <c r="I377" s="12" t="str">
        <f>if(vlookup(B:B,'ILC1404'!B380:F8542,5,false)="","Y","N")</f>
        <v>N</v>
      </c>
      <c r="J377" s="12" t="str">
        <f>if(vlookup(B:B,'ILC2203'!B343:F8542,5,false)="","Y","N")</f>
        <v>Y</v>
      </c>
      <c r="K377" s="12" t="str">
        <f>if(vlookup(B:B,'ILC2206'!B328:H370,5,false)="","Y","N")</f>
        <v>Y</v>
      </c>
      <c r="L377" s="12" t="str">
        <f>if(vlookup(B:B,'ILC2303'!B380:F8819,5,false)="","Y","N")</f>
        <v>N</v>
      </c>
      <c r="M377" s="12" t="str">
        <f>if(vlookup(B:B,'ILC2307'!B380:F9335,5,false)="","Y","N")</f>
        <v>Y</v>
      </c>
      <c r="N377" s="12" t="str">
        <f>if(vlookup(B:B,'ILC2313'!B380:F8974,5,false)="","Y","N")</f>
        <v>Y</v>
      </c>
      <c r="O377" s="12" t="str">
        <f>if(vlookup(B:B,'ILC2412'!B380:F8819,5,false)="","Y","N")</f>
        <v>Y</v>
      </c>
      <c r="P377" s="12" t="str">
        <f>if(vlookup(B:B,'ILC2413'!B380:F9317,5,false)="","Y","N")</f>
        <v>Y</v>
      </c>
      <c r="Q377" s="12" t="str">
        <f>if(vlookup(B:B,'ILC3104'!B380:F8862,5,false)="","Y","N")</f>
        <v>Y</v>
      </c>
      <c r="R377" s="12" t="str">
        <f>if(vlookup(B:B,'ILC3310'!B212:F8801,5,false)="","Y","N")</f>
        <v>Y</v>
      </c>
      <c r="S377" s="12" t="str">
        <f>if(vlookup(B:B,'ILC3312'!B380:F8819,5,false)="","Y","N")</f>
        <v>Y</v>
      </c>
      <c r="T377" s="12" t="str">
        <f>if(vlookup(B:B,'ILC3413'!B349:F8744,5,false)="","Y","N")</f>
        <v>Y</v>
      </c>
      <c r="U377" s="12" t="str">
        <f>if(vlookup(B:B,'ILC3415'!B377:F8769,5,false)="","Y","N")</f>
        <v>Y</v>
      </c>
      <c r="V377" s="12" t="str">
        <f>if(vlookup(B:B,'ILC4406'!B312:F8738,5,false)="","Y","N")</f>
        <v>Y</v>
      </c>
      <c r="W377" s="12" t="str">
        <f>if(vlookup(B:B,'ILC4410'!B380:F8986,5,false)="","Y","N")</f>
        <v>Y</v>
      </c>
      <c r="X377" s="12" t="str">
        <f>if(vlookup(B:B,'JBV455'!B380:F9326,5,false)="","Y","N")</f>
        <v>N</v>
      </c>
      <c r="Y377" s="12" t="str">
        <f>if(vlookup(B:B,'JBV462'!B380:F8819,5,false)="","Y","N")</f>
        <v>Y</v>
      </c>
      <c r="Z377" s="12" t="str">
        <f>if(vlookup(B:B,'JBV464'!B380:F8819,5,false)="","Y","N")</f>
        <v>Y</v>
      </c>
      <c r="AA377" s="12" t="str">
        <f>if(vlookup(B:B,'VDI208'!B312:F8819,5,false)="","Y","N")</f>
        <v>Y</v>
      </c>
      <c r="AB377" s="76" t="str">
        <f>if(vlookup(B:B,'STO2206'!B312:F8819,5,false)="","Y","N")</f>
        <v>Y</v>
      </c>
    </row>
    <row r="378">
      <c r="A378" s="67" t="str">
        <f t="shared" si="2"/>
        <v>Tue</v>
      </c>
      <c r="B378" s="69">
        <v>43823.0</v>
      </c>
      <c r="C378" s="12" t="str">
        <f>if(vlookup(B:B,'ILC1110'!$B243:F8820,5,false)="","Y","N")</f>
        <v>Y</v>
      </c>
      <c r="D378" s="12" t="str">
        <f>if(vlookup(B:B,'ILC1111'!$B243:F8827,5,false)="","Y","N")</f>
        <v>Y</v>
      </c>
      <c r="E378" s="12" t="str">
        <f>if(vlookup(B:B,'ILC1112'!$B243:F8820,5,false)="","Y","N")</f>
        <v>Y</v>
      </c>
      <c r="F378" s="12" t="str">
        <f>if(vlookup(B:B,'ILC1211'!B381:F8820,5,false)="","Y","N")</f>
        <v>Y</v>
      </c>
      <c r="G378" s="12" t="str">
        <f>if(vlookup(B:B,'ILC1213'!$B308:G8820,5,false)="","Y","N")</f>
        <v>Y</v>
      </c>
      <c r="H378" s="12" t="str">
        <f>if(vlookup(B:B,'ILC1314'!$B307:G1120,5,false)="","Y","N")</f>
        <v>Y</v>
      </c>
      <c r="I378" s="12" t="str">
        <f>if(vlookup(B:B,'ILC1404'!B381:F8543,5,false)="","Y","N")</f>
        <v>N</v>
      </c>
      <c r="J378" s="12" t="str">
        <f>if(vlookup(B:B,'ILC2203'!B344:F8543,5,false)="","Y","N")</f>
        <v>Y</v>
      </c>
      <c r="K378" s="12" t="str">
        <f>if(vlookup(B:B,'ILC2206'!B329:H370,5,false)="","Y","N")</f>
        <v>Y</v>
      </c>
      <c r="L378" s="12" t="str">
        <f>if(vlookup(B:B,'ILC2303'!B381:F8820,5,false)="","Y","N")</f>
        <v>N</v>
      </c>
      <c r="M378" s="12" t="str">
        <f>if(vlookup(B:B,'ILC2307'!B381:F9336,5,false)="","Y","N")</f>
        <v>Y</v>
      </c>
      <c r="N378" s="12" t="str">
        <f>if(vlookup(B:B,'ILC2313'!B381:F8975,5,false)="","Y","N")</f>
        <v>Y</v>
      </c>
      <c r="O378" s="12" t="str">
        <f>if(vlookup(B:B,'ILC2412'!B381:F8820,5,false)="","Y","N")</f>
        <v>Y</v>
      </c>
      <c r="P378" s="12" t="str">
        <f>if(vlookup(B:B,'ILC2413'!B381:F9318,5,false)="","Y","N")</f>
        <v>Y</v>
      </c>
      <c r="Q378" s="12" t="str">
        <f>if(vlookup(B:B,'ILC3104'!B381:F8863,5,false)="","Y","N")</f>
        <v>Y</v>
      </c>
      <c r="R378" s="12" t="str">
        <f>if(vlookup(B:B,'ILC3310'!B213:F8802,5,false)="","Y","N")</f>
        <v>Y</v>
      </c>
      <c r="S378" s="12" t="str">
        <f>if(vlookup(B:B,'ILC3312'!B381:F8820,5,false)="","Y","N")</f>
        <v>Y</v>
      </c>
      <c r="T378" s="12" t="str">
        <f>if(vlookup(B:B,'ILC3413'!B350:F8745,5,false)="","Y","N")</f>
        <v>Y</v>
      </c>
      <c r="U378" s="12" t="str">
        <f>if(vlookup(B:B,'ILC3415'!B378:F8770,5,false)="","Y","N")</f>
        <v>Y</v>
      </c>
      <c r="V378" s="12" t="str">
        <f>if(vlookup(B:B,'ILC4406'!B313:F8739,5,false)="","Y","N")</f>
        <v>Y</v>
      </c>
      <c r="W378" s="12" t="str">
        <f>if(vlookup(B:B,'ILC4410'!B381:F8987,5,false)="","Y","N")</f>
        <v>Y</v>
      </c>
      <c r="X378" s="12" t="str">
        <f>if(vlookup(B:B,'JBV455'!B381:F9327,5,false)="","Y","N")</f>
        <v>N</v>
      </c>
      <c r="Y378" s="12" t="str">
        <f>if(vlookup(B:B,'JBV462'!B381:F8820,5,false)="","Y","N")</f>
        <v>Y</v>
      </c>
      <c r="Z378" s="12" t="str">
        <f>if(vlookup(B:B,'JBV464'!B381:F8820,5,false)="","Y","N")</f>
        <v>Y</v>
      </c>
      <c r="AA378" s="12" t="str">
        <f>if(vlookup(B:B,'VDI208'!B313:F8820,5,false)="","Y","N")</f>
        <v>Y</v>
      </c>
      <c r="AB378" s="76" t="str">
        <f>if(vlookup(B:B,'STO2206'!B313:F8820,5,false)="","Y","N")</f>
        <v>Y</v>
      </c>
    </row>
    <row r="379">
      <c r="A379" s="67" t="str">
        <f t="shared" si="2"/>
        <v>Wed</v>
      </c>
      <c r="B379" s="69">
        <v>43824.0</v>
      </c>
      <c r="C379" s="12" t="str">
        <f>if(vlookup(B:B,'ILC1110'!$B244:F8821,5,false)="","Y","N")</f>
        <v>Y</v>
      </c>
      <c r="D379" s="12" t="str">
        <f>if(vlookup(B:B,'ILC1111'!$B244:F8828,5,false)="","Y","N")</f>
        <v>Y</v>
      </c>
      <c r="E379" s="12" t="str">
        <f>if(vlookup(B:B,'ILC1112'!$B244:F8821,5,false)="","Y","N")</f>
        <v>Y</v>
      </c>
      <c r="F379" s="12" t="str">
        <f>if(vlookup(B:B,'ILC1211'!B382:F8821,5,false)="","Y","N")</f>
        <v>Y</v>
      </c>
      <c r="G379" s="12" t="str">
        <f>if(vlookup(B:B,'ILC1213'!$B309:G8821,5,false)="","Y","N")</f>
        <v>Y</v>
      </c>
      <c r="H379" s="12" t="str">
        <f>if(vlookup(B:B,'ILC1314'!$B308:G1121,5,false)="","Y","N")</f>
        <v>Y</v>
      </c>
      <c r="I379" s="12" t="str">
        <f>if(vlookup(B:B,'ILC1404'!B382:F8544,5,false)="","Y","N")</f>
        <v>N</v>
      </c>
      <c r="J379" s="12" t="str">
        <f>if(vlookup(B:B,'ILC2203'!B345:F8544,5,false)="","Y","N")</f>
        <v>Y</v>
      </c>
      <c r="K379" s="12" t="str">
        <f>if(vlookup(B:B,'ILC2206'!B330:H370,5,false)="","Y","N")</f>
        <v>Y</v>
      </c>
      <c r="L379" s="12" t="str">
        <f>if(vlookup(B:B,'ILC2303'!B382:F8821,5,false)="","Y","N")</f>
        <v>N</v>
      </c>
      <c r="M379" s="12" t="str">
        <f>if(vlookup(B:B,'ILC2307'!B382:F9337,5,false)="","Y","N")</f>
        <v>Y</v>
      </c>
      <c r="N379" s="12" t="str">
        <f>if(vlookup(B:B,'ILC2313'!B382:F8976,5,false)="","Y","N")</f>
        <v>Y</v>
      </c>
      <c r="O379" s="12" t="str">
        <f>if(vlookup(B:B,'ILC2412'!B382:F8821,5,false)="","Y","N")</f>
        <v>Y</v>
      </c>
      <c r="P379" s="12" t="str">
        <f>if(vlookup(B:B,'ILC2413'!B382:F9319,5,false)="","Y","N")</f>
        <v>Y</v>
      </c>
      <c r="Q379" s="12" t="str">
        <f>if(vlookup(B:B,'ILC3104'!B382:F8864,5,false)="","Y","N")</f>
        <v>Y</v>
      </c>
      <c r="R379" s="12" t="str">
        <f>if(vlookup(B:B,'ILC3310'!B214:F8803,5,false)="","Y","N")</f>
        <v>Y</v>
      </c>
      <c r="S379" s="12" t="str">
        <f>if(vlookup(B:B,'ILC3312'!B382:F8821,5,false)="","Y","N")</f>
        <v>Y</v>
      </c>
      <c r="T379" s="12" t="str">
        <f>if(vlookup(B:B,'ILC3413'!B351:F8746,5,false)="","Y","N")</f>
        <v>Y</v>
      </c>
      <c r="U379" s="12" t="str">
        <f>if(vlookup(B:B,'ILC3415'!B379:F8771,5,false)="","Y","N")</f>
        <v>Y</v>
      </c>
      <c r="V379" s="12" t="str">
        <f>if(vlookup(B:B,'ILC4406'!B314:F8740,5,false)="","Y","N")</f>
        <v>Y</v>
      </c>
      <c r="W379" s="12" t="str">
        <f>if(vlookup(B:B,'ILC4410'!B382:F8988,5,false)="","Y","N")</f>
        <v>Y</v>
      </c>
      <c r="X379" s="12" t="str">
        <f>if(vlookup(B:B,'JBV455'!B382:F9328,5,false)="","Y","N")</f>
        <v>N</v>
      </c>
      <c r="Y379" s="12" t="str">
        <f>if(vlookup(B:B,'JBV462'!B382:F8821,5,false)="","Y","N")</f>
        <v>Y</v>
      </c>
      <c r="Z379" s="12" t="str">
        <f>if(vlookup(B:B,'JBV464'!B382:F8821,5,false)="","Y","N")</f>
        <v>Y</v>
      </c>
      <c r="AA379" s="12" t="str">
        <f>if(vlookup(B:B,'VDI208'!B314:F8821,5,false)="","Y","N")</f>
        <v>Y</v>
      </c>
      <c r="AB379" s="76" t="str">
        <f>if(vlookup(B:B,'STO2206'!B314:F8821,5,false)="","Y","N")</f>
        <v>Y</v>
      </c>
    </row>
    <row r="380">
      <c r="A380" s="67" t="str">
        <f t="shared" si="2"/>
        <v>Thu</v>
      </c>
      <c r="B380" s="69">
        <v>43825.0</v>
      </c>
      <c r="C380" s="12" t="str">
        <f>if(vlookup(B:B,'ILC1110'!$B245:F8822,5,false)="","Y","N")</f>
        <v>Y</v>
      </c>
      <c r="D380" s="12" t="str">
        <f>if(vlookup(B:B,'ILC1111'!$B245:F8829,5,false)="","Y","N")</f>
        <v>N</v>
      </c>
      <c r="E380" s="12" t="str">
        <f>if(vlookup(B:B,'ILC1112'!$B245:F8822,5,false)="","Y","N")</f>
        <v>Y</v>
      </c>
      <c r="F380" s="12" t="str">
        <f>if(vlookup(B:B,'ILC1211'!B383:F8822,5,false)="","Y","N")</f>
        <v>Y</v>
      </c>
      <c r="G380" s="12" t="str">
        <f>if(vlookup(B:B,'ILC1213'!$B310:G8822,5,false)="","Y","N")</f>
        <v>Y</v>
      </c>
      <c r="H380" s="12" t="str">
        <f>if(vlookup(B:B,'ILC1314'!$B309:G1122,5,false)="","Y","N")</f>
        <v>Y</v>
      </c>
      <c r="I380" s="12" t="str">
        <f>if(vlookup(B:B,'ILC1404'!B383:F8545,5,false)="","Y","N")</f>
        <v>Y</v>
      </c>
      <c r="J380" s="12" t="str">
        <f>if(vlookup(B:B,'ILC2203'!B346:F8545,5,false)="","Y","N")</f>
        <v>Y</v>
      </c>
      <c r="K380" s="12" t="str">
        <f>if(vlookup(B:B,'ILC2206'!B331:H370,5,false)="","Y","N")</f>
        <v>Y</v>
      </c>
      <c r="L380" s="12" t="str">
        <f>if(vlookup(B:B,'ILC2303'!B383:F8822,5,false)="","Y","N")</f>
        <v>N</v>
      </c>
      <c r="M380" s="12" t="str">
        <f>if(vlookup(B:B,'ILC2307'!B383:F9338,5,false)="","Y","N")</f>
        <v>Y</v>
      </c>
      <c r="N380" s="12" t="str">
        <f>if(vlookup(B:B,'ILC2313'!B383:F8977,5,false)="","Y","N")</f>
        <v>Y</v>
      </c>
      <c r="O380" s="12" t="str">
        <f>if(vlookup(B:B,'ILC2412'!B383:F8822,5,false)="","Y","N")</f>
        <v>Y</v>
      </c>
      <c r="P380" s="12" t="str">
        <f>if(vlookup(B:B,'ILC2413'!B383:F9320,5,false)="","Y","N")</f>
        <v>Y</v>
      </c>
      <c r="Q380" s="12" t="str">
        <f>if(vlookup(B:B,'ILC3104'!B383:F8865,5,false)="","Y","N")</f>
        <v>N</v>
      </c>
      <c r="R380" s="12" t="str">
        <f>if(vlookup(B:B,'ILC3310'!B215:F8804,5,false)="","Y","N")</f>
        <v>Y</v>
      </c>
      <c r="S380" s="12" t="str">
        <f>if(vlookup(B:B,'ILC3312'!B383:F8822,5,false)="","Y","N")</f>
        <v>Y</v>
      </c>
      <c r="T380" s="12" t="str">
        <f>if(vlookup(B:B,'ILC3413'!B352:F8747,5,false)="","Y","N")</f>
        <v>Y</v>
      </c>
      <c r="U380" s="12" t="str">
        <f>if(vlookup(B:B,'ILC3415'!B380:F8772,5,false)="","Y","N")</f>
        <v>Y</v>
      </c>
      <c r="V380" s="12" t="str">
        <f>if(vlookup(B:B,'ILC4406'!B315:F8741,5,false)="","Y","N")</f>
        <v>Y</v>
      </c>
      <c r="W380" s="12" t="str">
        <f>if(vlookup(B:B,'ILC4410'!B383:F8989,5,false)="","Y","N")</f>
        <v>Y</v>
      </c>
      <c r="X380" s="12" t="str">
        <f>if(vlookup(B:B,'JBV455'!B383:F9329,5,false)="","Y","N")</f>
        <v>Y</v>
      </c>
      <c r="Y380" s="12" t="str">
        <f>if(vlookup(B:B,'JBV462'!B383:F8822,5,false)="","Y","N")</f>
        <v>Y</v>
      </c>
      <c r="Z380" s="12" t="str">
        <f>if(vlookup(B:B,'JBV464'!B383:F8822,5,false)="","Y","N")</f>
        <v>Y</v>
      </c>
      <c r="AA380" s="12" t="str">
        <f>if(vlookup(B:B,'VDI208'!B315:F8822,5,false)="","Y","N")</f>
        <v>Y</v>
      </c>
      <c r="AB380" s="76" t="str">
        <f>if(vlookup(B:B,'STO2206'!B315:F8822,5,false)="","Y","N")</f>
        <v>Y</v>
      </c>
    </row>
    <row r="381">
      <c r="A381" s="67" t="str">
        <f t="shared" si="2"/>
        <v>Fri</v>
      </c>
      <c r="B381" s="69">
        <v>43826.0</v>
      </c>
      <c r="C381" s="12" t="str">
        <f>if(vlookup(B:B,'ILC1110'!$B246:F8823,5,false)="","Y","N")</f>
        <v>Y</v>
      </c>
      <c r="D381" s="12" t="str">
        <f>if(vlookup(B:B,'ILC1111'!$B246:F8830,5,false)="","Y","N")</f>
        <v>N</v>
      </c>
      <c r="E381" s="12" t="str">
        <f>if(vlookup(B:B,'ILC1112'!$B246:F8823,5,false)="","Y","N")</f>
        <v>Y</v>
      </c>
      <c r="F381" s="12" t="str">
        <f>if(vlookup(B:B,'ILC1211'!B384:F8823,5,false)="","Y","N")</f>
        <v>Y</v>
      </c>
      <c r="G381" s="12" t="str">
        <f>if(vlookup(B:B,'ILC1213'!$B311:G8823,5,false)="","Y","N")</f>
        <v>Y</v>
      </c>
      <c r="H381" s="12" t="str">
        <f>if(vlookup(B:B,'ILC1314'!$B310:G1123,5,false)="","Y","N")</f>
        <v>Y</v>
      </c>
      <c r="I381" s="12" t="str">
        <f>if(vlookup(B:B,'ILC1404'!B384:F8546,5,false)="","Y","N")</f>
        <v>Y</v>
      </c>
      <c r="J381" s="12" t="str">
        <f>if(vlookup(B:B,'ILC2203'!B347:F8546,5,false)="","Y","N")</f>
        <v>Y</v>
      </c>
      <c r="K381" s="12" t="str">
        <f>if(vlookup(B:B,'ILC2206'!B332:H370,5,false)="","Y","N")</f>
        <v>Y</v>
      </c>
      <c r="L381" s="12" t="str">
        <f>if(vlookup(B:B,'ILC2303'!B384:F8823,5,false)="","Y","N")</f>
        <v>N</v>
      </c>
      <c r="M381" s="12" t="str">
        <f>if(vlookup(B:B,'ILC2307'!B384:F9339,5,false)="","Y","N")</f>
        <v>Y</v>
      </c>
      <c r="N381" s="12" t="str">
        <f>if(vlookup(B:B,'ILC2313'!B384:F8978,5,false)="","Y","N")</f>
        <v>Y</v>
      </c>
      <c r="O381" s="12" t="str">
        <f>if(vlookup(B:B,'ILC2412'!B384:F8823,5,false)="","Y","N")</f>
        <v>Y</v>
      </c>
      <c r="P381" s="12" t="str">
        <f>if(vlookup(B:B,'ILC2413'!B384:F9321,5,false)="","Y","N")</f>
        <v>Y</v>
      </c>
      <c r="Q381" s="12" t="str">
        <f>if(vlookup(B:B,'ILC3104'!B384:F8866,5,false)="","Y","N")</f>
        <v>N</v>
      </c>
      <c r="R381" s="12" t="str">
        <f>if(vlookup(B:B,'ILC3310'!B216:F8805,5,false)="","Y","N")</f>
        <v>Y</v>
      </c>
      <c r="S381" s="12" t="str">
        <f>if(vlookup(B:B,'ILC3312'!B384:F8823,5,false)="","Y","N")</f>
        <v>Y</v>
      </c>
      <c r="T381" s="12" t="str">
        <f>if(vlookup(B:B,'ILC3413'!B353:F8748,5,false)="","Y","N")</f>
        <v>Y</v>
      </c>
      <c r="U381" s="12" t="str">
        <f>if(vlookup(B:B,'ILC3415'!B381:F8773,5,false)="","Y","N")</f>
        <v>Y</v>
      </c>
      <c r="V381" s="12" t="str">
        <f>if(vlookup(B:B,'ILC4406'!B316:F8742,5,false)="","Y","N")</f>
        <v>Y</v>
      </c>
      <c r="W381" s="12" t="str">
        <f>if(vlookup(B:B,'ILC4410'!B384:F8990,5,false)="","Y","N")</f>
        <v>Y</v>
      </c>
      <c r="X381" s="12" t="str">
        <f>if(vlookup(B:B,'JBV455'!B384:F9330,5,false)="","Y","N")</f>
        <v>Y</v>
      </c>
      <c r="Y381" s="12" t="str">
        <f>if(vlookup(B:B,'JBV462'!B384:F8823,5,false)="","Y","N")</f>
        <v>Y</v>
      </c>
      <c r="Z381" s="12" t="str">
        <f>if(vlookup(B:B,'JBV464'!B384:F8823,5,false)="","Y","N")</f>
        <v>Y</v>
      </c>
      <c r="AA381" s="12" t="str">
        <f>if(vlookup(B:B,'VDI208'!B316:F8823,5,false)="","Y","N")</f>
        <v>Y</v>
      </c>
      <c r="AB381" s="76" t="str">
        <f>if(vlookup(B:B,'STO2206'!B316:F8823,5,false)="","Y","N")</f>
        <v>Y</v>
      </c>
    </row>
    <row r="382">
      <c r="A382" s="67" t="str">
        <f t="shared" si="2"/>
        <v>Sat</v>
      </c>
      <c r="B382" s="69">
        <v>43827.0</v>
      </c>
      <c r="C382" s="12" t="str">
        <f>if(vlookup(B:B,'ILC1110'!$B247:F8824,5,false)="","Y","N")</f>
        <v>Y</v>
      </c>
      <c r="D382" s="12" t="str">
        <f>if(vlookup(B:B,'ILC1111'!$B247:F8831,5,false)="","Y","N")</f>
        <v>N</v>
      </c>
      <c r="E382" s="12" t="str">
        <f>if(vlookup(B:B,'ILC1112'!$B247:F8824,5,false)="","Y","N")</f>
        <v>Y</v>
      </c>
      <c r="F382" s="12" t="str">
        <f>if(vlookup(B:B,'ILC1211'!B385:F8824,5,false)="","Y","N")</f>
        <v>Y</v>
      </c>
      <c r="G382" s="12" t="str">
        <f>if(vlookup(B:B,'ILC1213'!$B312:G8824,5,false)="","Y","N")</f>
        <v>Y</v>
      </c>
      <c r="H382" s="12" t="str">
        <f>if(vlookup(B:B,'ILC1314'!$B311:G1124,5,false)="","Y","N")</f>
        <v>Y</v>
      </c>
      <c r="I382" s="12" t="str">
        <f>if(vlookup(B:B,'ILC1404'!B385:F8547,5,false)="","Y","N")</f>
        <v>Y</v>
      </c>
      <c r="J382" s="12" t="str">
        <f>if(vlookup(B:B,'ILC2203'!B348:F8547,5,false)="","Y","N")</f>
        <v>Y</v>
      </c>
      <c r="K382" s="12" t="str">
        <f>if(vlookup(B:B,'ILC2206'!B333:H370,5,false)="","Y","N")</f>
        <v>Y</v>
      </c>
      <c r="L382" s="12" t="str">
        <f>if(vlookup(B:B,'ILC2303'!B385:F8824,5,false)="","Y","N")</f>
        <v>N</v>
      </c>
      <c r="M382" s="12" t="str">
        <f>if(vlookup(B:B,'ILC2307'!B385:F9340,5,false)="","Y","N")</f>
        <v>Y</v>
      </c>
      <c r="N382" s="12" t="str">
        <f>if(vlookup(B:B,'ILC2313'!B385:F8979,5,false)="","Y","N")</f>
        <v>Y</v>
      </c>
      <c r="O382" s="12" t="str">
        <f>if(vlookup(B:B,'ILC2412'!B385:F8824,5,false)="","Y","N")</f>
        <v>Y</v>
      </c>
      <c r="P382" s="12" t="str">
        <f>if(vlookup(B:B,'ILC2413'!B385:F9322,5,false)="","Y","N")</f>
        <v>Y</v>
      </c>
      <c r="Q382" s="12" t="str">
        <f>if(vlookup(B:B,'ILC3104'!B385:F8867,5,false)="","Y","N")</f>
        <v>N</v>
      </c>
      <c r="R382" s="12" t="str">
        <f>if(vlookup(B:B,'ILC3310'!B217:F8806,5,false)="","Y","N")</f>
        <v>Y</v>
      </c>
      <c r="S382" s="12" t="str">
        <f>if(vlookup(B:B,'ILC3312'!B385:F8824,5,false)="","Y","N")</f>
        <v>Y</v>
      </c>
      <c r="T382" s="12" t="str">
        <f>if(vlookup(B:B,'ILC3413'!B354:F8749,5,false)="","Y","N")</f>
        <v>Y</v>
      </c>
      <c r="U382" s="12" t="str">
        <f>if(vlookup(B:B,'ILC3415'!B382:F8774,5,false)="","Y","N")</f>
        <v>Y</v>
      </c>
      <c r="V382" s="12" t="str">
        <f>if(vlookup(B:B,'ILC4406'!B317:F8743,5,false)="","Y","N")</f>
        <v>Y</v>
      </c>
      <c r="W382" s="12" t="str">
        <f>if(vlookup(B:B,'ILC4410'!B385:F8991,5,false)="","Y","N")</f>
        <v>Y</v>
      </c>
      <c r="X382" s="12" t="str">
        <f>if(vlookup(B:B,'JBV455'!B385:F9331,5,false)="","Y","N")</f>
        <v>Y</v>
      </c>
      <c r="Y382" s="12" t="str">
        <f>if(vlookup(B:B,'JBV462'!B385:F8824,5,false)="","Y","N")</f>
        <v>Y</v>
      </c>
      <c r="Z382" s="12" t="str">
        <f>if(vlookup(B:B,'JBV464'!B385:F8824,5,false)="","Y","N")</f>
        <v>Y</v>
      </c>
      <c r="AA382" s="12" t="str">
        <f>if(vlookup(B:B,'VDI208'!B317:F8824,5,false)="","Y","N")</f>
        <v>Y</v>
      </c>
      <c r="AB382" s="76" t="str">
        <f>if(vlookup(B:B,'STO2206'!B317:F8824,5,false)="","Y","N")</f>
        <v>Y</v>
      </c>
    </row>
    <row r="383">
      <c r="A383" s="67" t="str">
        <f t="shared" si="2"/>
        <v>Sun</v>
      </c>
      <c r="B383" s="69">
        <v>43828.0</v>
      </c>
      <c r="C383" s="12" t="str">
        <f>if(vlookup(B:B,'ILC1110'!$B248:F8825,5,false)="","Y","N")</f>
        <v>Y</v>
      </c>
      <c r="D383" s="12" t="str">
        <f>if(vlookup(B:B,'ILC1111'!$B248:F8832,5,false)="","Y","N")</f>
        <v>N</v>
      </c>
      <c r="E383" s="12" t="str">
        <f>if(vlookup(B:B,'ILC1112'!$B248:F8825,5,false)="","Y","N")</f>
        <v>Y</v>
      </c>
      <c r="F383" s="12" t="str">
        <f>if(vlookup(B:B,'ILC1211'!B386:F8825,5,false)="","Y","N")</f>
        <v>Y</v>
      </c>
      <c r="G383" s="12" t="str">
        <f>if(vlookup(B:B,'ILC1213'!$B313:G8825,5,false)="","Y","N")</f>
        <v>Y</v>
      </c>
      <c r="H383" s="12" t="str">
        <f>if(vlookup(B:B,'ILC1314'!$B312:G1125,5,false)="","Y","N")</f>
        <v>Y</v>
      </c>
      <c r="I383" s="12" t="str">
        <f>if(vlookup(B:B,'ILC1404'!B386:F8548,5,false)="","Y","N")</f>
        <v>Y</v>
      </c>
      <c r="J383" s="12" t="str">
        <f>if(vlookup(B:B,'ILC2203'!B349:F8548,5,false)="","Y","N")</f>
        <v>Y</v>
      </c>
      <c r="K383" s="12" t="str">
        <f>if(vlookup(B:B,'ILC2206'!B334:H370,5,false)="","Y","N")</f>
        <v>Y</v>
      </c>
      <c r="L383" s="12" t="str">
        <f>if(vlookup(B:B,'ILC2303'!B386:F8825,5,false)="","Y","N")</f>
        <v>N</v>
      </c>
      <c r="M383" s="12" t="str">
        <f>if(vlookup(B:B,'ILC2307'!B386:F9341,5,false)="","Y","N")</f>
        <v>Y</v>
      </c>
      <c r="N383" s="12" t="str">
        <f>if(vlookup(B:B,'ILC2313'!B386:F8980,5,false)="","Y","N")</f>
        <v>Y</v>
      </c>
      <c r="O383" s="12" t="str">
        <f>if(vlookup(B:B,'ILC2412'!B386:F8825,5,false)="","Y","N")</f>
        <v>Y</v>
      </c>
      <c r="P383" s="12" t="str">
        <f>if(vlookup(B:B,'ILC2413'!B386:F9323,5,false)="","Y","N")</f>
        <v>Y</v>
      </c>
      <c r="Q383" s="12" t="str">
        <f>if(vlookup(B:B,'ILC3104'!B386:F8868,5,false)="","Y","N")</f>
        <v>N</v>
      </c>
      <c r="R383" s="12" t="str">
        <f>if(vlookup(B:B,'ILC3310'!B218:F8807,5,false)="","Y","N")</f>
        <v>Y</v>
      </c>
      <c r="S383" s="12" t="str">
        <f>if(vlookup(B:B,'ILC3312'!B386:F8825,5,false)="","Y","N")</f>
        <v>Y</v>
      </c>
      <c r="T383" s="12" t="str">
        <f>if(vlookup(B:B,'ILC3413'!B355:F8750,5,false)="","Y","N")</f>
        <v>Y</v>
      </c>
      <c r="U383" s="12" t="str">
        <f>if(vlookup(B:B,'ILC3415'!B383:F8775,5,false)="","Y","N")</f>
        <v>Y</v>
      </c>
      <c r="V383" s="12" t="str">
        <f>if(vlookup(B:B,'ILC4406'!B318:F8744,5,false)="","Y","N")</f>
        <v>Y</v>
      </c>
      <c r="W383" s="12" t="str">
        <f>if(vlookup(B:B,'ILC4410'!B386:F8992,5,false)="","Y","N")</f>
        <v>Y</v>
      </c>
      <c r="X383" s="12" t="str">
        <f>if(vlookup(B:B,'JBV455'!B386:F9332,5,false)="","Y","N")</f>
        <v>Y</v>
      </c>
      <c r="Y383" s="12" t="str">
        <f>if(vlookup(B:B,'JBV462'!B386:F8825,5,false)="","Y","N")</f>
        <v>Y</v>
      </c>
      <c r="Z383" s="12" t="str">
        <f>if(vlookup(B:B,'JBV464'!B386:F8825,5,false)="","Y","N")</f>
        <v>Y</v>
      </c>
      <c r="AA383" s="12" t="str">
        <f>if(vlookup(B:B,'VDI208'!B318:F8825,5,false)="","Y","N")</f>
        <v>Y</v>
      </c>
      <c r="AB383" s="76" t="str">
        <f>if(vlookup(B:B,'STO2206'!B318:F8825,5,false)="","Y","N")</f>
        <v>Y</v>
      </c>
    </row>
    <row r="384">
      <c r="A384" s="67" t="str">
        <f t="shared" si="2"/>
        <v>Mon</v>
      </c>
      <c r="B384" s="69">
        <v>43829.0</v>
      </c>
      <c r="C384" s="12" t="str">
        <f>if(vlookup(B:B,'ILC1110'!$B249:F8826,5,false)="","Y","N")</f>
        <v>Y</v>
      </c>
      <c r="D384" s="12" t="str">
        <f>if(vlookup(B:B,'ILC1111'!$B249:F8833,5,false)="","Y","N")</f>
        <v>N</v>
      </c>
      <c r="E384" s="12" t="str">
        <f>if(vlookup(B:B,'ILC1112'!$B249:F8826,5,false)="","Y","N")</f>
        <v>Y</v>
      </c>
      <c r="F384" s="12" t="str">
        <f>if(vlookup(B:B,'ILC1211'!B387:F8826,5,false)="","Y","N")</f>
        <v>Y</v>
      </c>
      <c r="G384" s="12" t="str">
        <f>if(vlookup(B:B,'ILC1213'!$B314:G8826,5,false)="","Y","N")</f>
        <v>Y</v>
      </c>
      <c r="H384" s="12" t="str">
        <f>if(vlookup(B:B,'ILC1314'!$B313:G1126,5,false)="","Y","N")</f>
        <v>Y</v>
      </c>
      <c r="I384" s="12" t="str">
        <f>if(vlookup(B:B,'ILC1404'!B387:F8549,5,false)="","Y","N")</f>
        <v>Y</v>
      </c>
      <c r="J384" s="12" t="str">
        <f>if(vlookup(B:B,'ILC2203'!B350:F8549,5,false)="","Y","N")</f>
        <v>Y</v>
      </c>
      <c r="K384" s="12" t="str">
        <f>if(vlookup(B:B,'ILC2206'!B335:H370,5,false)="","Y","N")</f>
        <v>Y</v>
      </c>
      <c r="L384" s="12" t="str">
        <f>if(vlookup(B:B,'ILC2303'!B387:F8826,5,false)="","Y","N")</f>
        <v>N</v>
      </c>
      <c r="M384" s="12" t="str">
        <f>if(vlookup(B:B,'ILC2307'!B387:F9342,5,false)="","Y","N")</f>
        <v>Y</v>
      </c>
      <c r="N384" s="12" t="str">
        <f>if(vlookup(B:B,'ILC2313'!B387:F8981,5,false)="","Y","N")</f>
        <v>Y</v>
      </c>
      <c r="O384" s="12" t="str">
        <f>if(vlookup(B:B,'ILC2412'!B387:F8826,5,false)="","Y","N")</f>
        <v>Y</v>
      </c>
      <c r="P384" s="12" t="str">
        <f>if(vlookup(B:B,'ILC2413'!B387:F9324,5,false)="","Y","N")</f>
        <v>Y</v>
      </c>
      <c r="Q384" s="12" t="str">
        <f>if(vlookup(B:B,'ILC3104'!B387:F8869,5,false)="","Y","N")</f>
        <v>N</v>
      </c>
      <c r="R384" s="12" t="str">
        <f>if(vlookup(B:B,'ILC3310'!B219:F8808,5,false)="","Y","N")</f>
        <v>Y</v>
      </c>
      <c r="S384" s="12" t="str">
        <f>if(vlookup(B:B,'ILC3312'!B387:F8826,5,false)="","Y","N")</f>
        <v>Y</v>
      </c>
      <c r="T384" s="12" t="str">
        <f>if(vlookup(B:B,'ILC3413'!B356:F8751,5,false)="","Y","N")</f>
        <v>Y</v>
      </c>
      <c r="U384" s="12" t="str">
        <f>if(vlookup(B:B,'ILC3415'!B384:F8776,5,false)="","Y","N")</f>
        <v>Y</v>
      </c>
      <c r="V384" s="12" t="str">
        <f>if(vlookup(B:B,'ILC4406'!B319:F8745,5,false)="","Y","N")</f>
        <v>Y</v>
      </c>
      <c r="W384" s="12" t="str">
        <f>if(vlookup(B:B,'ILC4410'!B387:F8993,5,false)="","Y","N")</f>
        <v>Y</v>
      </c>
      <c r="X384" s="12" t="str">
        <f>if(vlookup(B:B,'JBV455'!B387:F9333,5,false)="","Y","N")</f>
        <v>Y</v>
      </c>
      <c r="Y384" s="12" t="str">
        <f>if(vlookup(B:B,'JBV462'!B387:F8826,5,false)="","Y","N")</f>
        <v>Y</v>
      </c>
      <c r="Z384" s="12" t="str">
        <f>if(vlookup(B:B,'JBV464'!B387:F8826,5,false)="","Y","N")</f>
        <v>Y</v>
      </c>
      <c r="AA384" s="12" t="str">
        <f>if(vlookup(B:B,'VDI208'!B319:F8826,5,false)="","Y","N")</f>
        <v>Y</v>
      </c>
      <c r="AB384" s="76" t="str">
        <f>if(vlookup(B:B,'STO2206'!B319:F8826,5,false)="","Y","N")</f>
        <v>Y</v>
      </c>
    </row>
    <row r="385">
      <c r="A385" s="67" t="str">
        <f t="shared" si="2"/>
        <v>Tue</v>
      </c>
      <c r="B385" s="69">
        <v>43830.0</v>
      </c>
      <c r="C385" s="12" t="str">
        <f>if(vlookup(B:B,'ILC1110'!$B250:F8827,5,false)="","Y","N")</f>
        <v>Y</v>
      </c>
      <c r="D385" s="12" t="str">
        <f>if(vlookup(B:B,'ILC1111'!$B250:F8834,5,false)="","Y","N")</f>
        <v>N</v>
      </c>
      <c r="E385" s="12" t="str">
        <f>if(vlookup(B:B,'ILC1112'!$B250:F8827,5,false)="","Y","N")</f>
        <v>Y</v>
      </c>
      <c r="F385" s="12" t="str">
        <f>if(vlookup(B:B,'ILC1211'!B388:F8827,5,false)="","Y","N")</f>
        <v>Y</v>
      </c>
      <c r="G385" s="12" t="str">
        <f>if(vlookup(B:B,'ILC1213'!$B315:G8827,5,false)="","Y","N")</f>
        <v>Y</v>
      </c>
      <c r="H385" s="12" t="str">
        <f>if(vlookup(B:B,'ILC1314'!$B314:G1127,5,false)="","Y","N")</f>
        <v>Y</v>
      </c>
      <c r="I385" s="12" t="str">
        <f>if(vlookup(B:B,'ILC1404'!B388:F8550,5,false)="","Y","N")</f>
        <v>Y</v>
      </c>
      <c r="J385" s="12" t="str">
        <f>if(vlookup(B:B,'ILC2203'!B351:F8550,5,false)="","Y","N")</f>
        <v>Y</v>
      </c>
      <c r="K385" s="12" t="str">
        <f>if(vlookup(B:B,'ILC2206'!B336:H370,5,false)="","Y","N")</f>
        <v>Y</v>
      </c>
      <c r="L385" s="12" t="str">
        <f>if(vlookup(B:B,'ILC2303'!B388:F8827,5,false)="","Y","N")</f>
        <v>N</v>
      </c>
      <c r="M385" s="12" t="str">
        <f>if(vlookup(B:B,'ILC2307'!B388:F9343,5,false)="","Y","N")</f>
        <v>Y</v>
      </c>
      <c r="N385" s="12" t="str">
        <f>if(vlookup(B:B,'ILC2313'!B388:F8982,5,false)="","Y","N")</f>
        <v>Y</v>
      </c>
      <c r="O385" s="12" t="str">
        <f>if(vlookup(B:B,'ILC2412'!B388:F8827,5,false)="","Y","N")</f>
        <v>Y</v>
      </c>
      <c r="P385" s="12" t="str">
        <f>if(vlookup(B:B,'ILC2413'!B388:F9325,5,false)="","Y","N")</f>
        <v>Y</v>
      </c>
      <c r="Q385" s="12" t="str">
        <f>if(vlookup(B:B,'ILC3104'!B388:F8870,5,false)="","Y","N")</f>
        <v>N</v>
      </c>
      <c r="R385" s="12" t="str">
        <f>if(vlookup(B:B,'ILC3310'!B220:F8809,5,false)="","Y","N")</f>
        <v>Y</v>
      </c>
      <c r="S385" s="12" t="str">
        <f>if(vlookup(B:B,'ILC3312'!B388:F8827,5,false)="","Y","N")</f>
        <v>Y</v>
      </c>
      <c r="T385" s="12" t="str">
        <f>if(vlookup(B:B,'ILC3413'!B357:F8752,5,false)="","Y","N")</f>
        <v>Y</v>
      </c>
      <c r="U385" s="12" t="str">
        <f>if(vlookup(B:B,'ILC3415'!B385:F8777,5,false)="","Y","N")</f>
        <v>Y</v>
      </c>
      <c r="V385" s="12" t="str">
        <f>if(vlookup(B:B,'ILC4406'!B320:F8746,5,false)="","Y","N")</f>
        <v>Y</v>
      </c>
      <c r="W385" s="12" t="str">
        <f>if(vlookup(B:B,'ILC4410'!B388:F8994,5,false)="","Y","N")</f>
        <v>Y</v>
      </c>
      <c r="X385" s="12" t="str">
        <f>if(vlookup(B:B,'JBV455'!B388:F9334,5,false)="","Y","N")</f>
        <v>Y</v>
      </c>
      <c r="Y385" s="12" t="str">
        <f>if(vlookup(B:B,'JBV462'!B388:F8827,5,false)="","Y","N")</f>
        <v>Y</v>
      </c>
      <c r="Z385" s="12" t="str">
        <f>if(vlookup(B:B,'JBV464'!B388:F8827,5,false)="","Y","N")</f>
        <v>Y</v>
      </c>
      <c r="AA385" s="12" t="str">
        <f>if(vlookup(B:B,'VDI208'!B320:F8827,5,false)="","Y","N")</f>
        <v>Y</v>
      </c>
      <c r="AB385" s="76" t="str">
        <f>if(vlookup(B:B,'STO2206'!B320:F8827,5,false)="","Y","N")</f>
        <v>Y</v>
      </c>
    </row>
    <row r="386">
      <c r="A386" s="67"/>
      <c r="B386" s="69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4"/>
    </row>
    <row r="387">
      <c r="A387" s="67"/>
      <c r="B387" s="69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4"/>
    </row>
    <row r="388">
      <c r="A388" s="67"/>
      <c r="B388" s="69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4"/>
    </row>
    <row r="389">
      <c r="A389" s="67"/>
      <c r="B389" s="69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4"/>
    </row>
    <row r="390">
      <c r="A390" s="67"/>
      <c r="B390" s="69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4"/>
    </row>
    <row r="391">
      <c r="A391" s="67"/>
      <c r="B391" s="69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4"/>
    </row>
    <row r="392">
      <c r="A392" s="13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4"/>
    </row>
    <row r="393">
      <c r="A393" s="13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4"/>
    </row>
    <row r="394">
      <c r="A394" s="13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4"/>
    </row>
    <row r="395">
      <c r="A395" s="13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4"/>
    </row>
    <row r="396">
      <c r="A396" s="13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4"/>
    </row>
    <row r="397">
      <c r="A397" s="13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4"/>
    </row>
    <row r="398">
      <c r="A398" s="13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4"/>
    </row>
    <row r="399">
      <c r="A399" s="13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4"/>
    </row>
    <row r="400">
      <c r="A400" s="13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4"/>
    </row>
    <row r="401">
      <c r="A401" s="13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4"/>
    </row>
    <row r="402">
      <c r="A402" s="13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4"/>
    </row>
    <row r="403">
      <c r="A403" s="13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4"/>
    </row>
    <row r="404">
      <c r="A404" s="13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4"/>
    </row>
    <row r="405">
      <c r="A405" s="13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4"/>
    </row>
    <row r="406">
      <c r="A406" s="13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4"/>
    </row>
    <row r="407">
      <c r="A407" s="13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4"/>
    </row>
    <row r="408">
      <c r="A408" s="13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4"/>
    </row>
    <row r="409">
      <c r="A409" s="13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4"/>
    </row>
    <row r="410">
      <c r="A410" s="13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4"/>
    </row>
    <row r="411">
      <c r="A411" s="13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4"/>
    </row>
    <row r="412">
      <c r="A412" s="13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4"/>
    </row>
    <row r="413">
      <c r="A413" s="13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4"/>
    </row>
    <row r="414">
      <c r="A414" s="13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4"/>
    </row>
    <row r="415">
      <c r="A415" s="13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4"/>
    </row>
    <row r="416">
      <c r="A416" s="13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4"/>
    </row>
    <row r="417">
      <c r="A417" s="13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4"/>
    </row>
    <row r="418">
      <c r="A418" s="13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4"/>
    </row>
    <row r="419">
      <c r="A419" s="13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4"/>
    </row>
    <row r="420">
      <c r="A420" s="13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4"/>
    </row>
    <row r="421">
      <c r="A421" s="13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4"/>
    </row>
    <row r="422">
      <c r="A422" s="13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4"/>
    </row>
    <row r="423">
      <c r="A423" s="13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4"/>
    </row>
    <row r="424">
      <c r="A424" s="13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4"/>
    </row>
    <row r="425">
      <c r="A425" s="13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4"/>
    </row>
    <row r="426">
      <c r="A426" s="13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4"/>
    </row>
    <row r="427">
      <c r="A427" s="13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4"/>
    </row>
    <row r="428">
      <c r="A428" s="13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4"/>
    </row>
    <row r="429">
      <c r="A429" s="13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4"/>
    </row>
    <row r="430">
      <c r="A430" s="13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4"/>
    </row>
    <row r="431">
      <c r="A431" s="13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4"/>
    </row>
    <row r="432">
      <c r="A432" s="13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4"/>
    </row>
    <row r="433">
      <c r="A433" s="13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4"/>
    </row>
    <row r="434">
      <c r="A434" s="13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4"/>
    </row>
    <row r="435">
      <c r="A435" s="13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4"/>
    </row>
    <row r="436">
      <c r="A436" s="13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4"/>
    </row>
    <row r="437">
      <c r="A437" s="13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4"/>
    </row>
    <row r="438">
      <c r="A438" s="13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4"/>
    </row>
    <row r="439">
      <c r="A439" s="13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4"/>
    </row>
    <row r="440">
      <c r="A440" s="13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4"/>
    </row>
    <row r="441">
      <c r="A441" s="13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4"/>
    </row>
    <row r="442">
      <c r="A442" s="13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4"/>
    </row>
    <row r="443">
      <c r="A443" s="13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4"/>
    </row>
    <row r="444">
      <c r="A444" s="13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4"/>
    </row>
    <row r="445">
      <c r="A445" s="13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4"/>
    </row>
    <row r="446">
      <c r="A446" s="13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4"/>
    </row>
    <row r="447">
      <c r="A447" s="13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4"/>
    </row>
    <row r="448">
      <c r="A448" s="13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4"/>
    </row>
    <row r="449">
      <c r="A449" s="13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4"/>
    </row>
    <row r="450">
      <c r="A450" s="13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4"/>
    </row>
    <row r="451">
      <c r="A451" s="13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4"/>
    </row>
    <row r="452">
      <c r="A452" s="13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4"/>
    </row>
    <row r="453">
      <c r="A453" s="13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4"/>
    </row>
    <row r="454">
      <c r="A454" s="13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4"/>
    </row>
    <row r="455">
      <c r="A455" s="13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4"/>
    </row>
    <row r="456">
      <c r="A456" s="13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4"/>
    </row>
    <row r="457">
      <c r="A457" s="13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4"/>
    </row>
    <row r="458">
      <c r="A458" s="13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4"/>
    </row>
    <row r="459">
      <c r="A459" s="13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4"/>
    </row>
    <row r="460">
      <c r="A460" s="13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4"/>
    </row>
    <row r="461">
      <c r="A461" s="13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4"/>
    </row>
    <row r="462">
      <c r="A462" s="13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4"/>
    </row>
    <row r="463">
      <c r="A463" s="13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4"/>
    </row>
    <row r="464">
      <c r="A464" s="13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4"/>
    </row>
    <row r="465">
      <c r="A465" s="13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4"/>
    </row>
    <row r="466">
      <c r="A466" s="13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4"/>
    </row>
    <row r="467">
      <c r="A467" s="13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4"/>
    </row>
    <row r="468">
      <c r="A468" s="13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4"/>
    </row>
    <row r="469">
      <c r="A469" s="13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4"/>
    </row>
    <row r="470">
      <c r="A470" s="13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4"/>
    </row>
    <row r="471">
      <c r="A471" s="13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4"/>
    </row>
    <row r="472">
      <c r="A472" s="13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4"/>
    </row>
    <row r="473">
      <c r="A473" s="13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4"/>
    </row>
    <row r="474">
      <c r="A474" s="13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4"/>
    </row>
    <row r="475">
      <c r="A475" s="13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4"/>
    </row>
    <row r="476">
      <c r="A476" s="13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4"/>
    </row>
    <row r="477">
      <c r="A477" s="13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4"/>
    </row>
    <row r="478">
      <c r="A478" s="13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4"/>
    </row>
    <row r="479">
      <c r="A479" s="13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4"/>
    </row>
    <row r="480">
      <c r="A480" s="13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4"/>
    </row>
    <row r="481">
      <c r="A481" s="13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4"/>
    </row>
    <row r="482">
      <c r="A482" s="13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4"/>
    </row>
    <row r="483">
      <c r="A483" s="13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4"/>
    </row>
    <row r="484">
      <c r="A484" s="13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4"/>
    </row>
    <row r="485">
      <c r="A485" s="13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4"/>
    </row>
    <row r="486">
      <c r="A486" s="13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4"/>
    </row>
    <row r="487">
      <c r="A487" s="13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4"/>
    </row>
    <row r="488">
      <c r="A488" s="13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4"/>
    </row>
    <row r="489">
      <c r="A489" s="13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4"/>
    </row>
    <row r="490">
      <c r="A490" s="13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4"/>
    </row>
    <row r="491">
      <c r="A491" s="13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4"/>
    </row>
    <row r="492">
      <c r="A492" s="13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4"/>
    </row>
    <row r="493">
      <c r="A493" s="13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4"/>
    </row>
    <row r="494">
      <c r="A494" s="13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4"/>
    </row>
    <row r="495">
      <c r="A495" s="13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4"/>
    </row>
    <row r="496">
      <c r="A496" s="13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4"/>
    </row>
    <row r="497">
      <c r="A497" s="13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4"/>
    </row>
    <row r="498">
      <c r="A498" s="13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4"/>
    </row>
    <row r="499">
      <c r="A499" s="13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4"/>
    </row>
    <row r="500">
      <c r="A500" s="13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4"/>
    </row>
    <row r="501">
      <c r="A501" s="13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4"/>
    </row>
    <row r="502">
      <c r="A502" s="13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4"/>
    </row>
    <row r="503">
      <c r="A503" s="13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4"/>
    </row>
    <row r="504">
      <c r="A504" s="13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4"/>
    </row>
    <row r="505">
      <c r="A505" s="13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4"/>
    </row>
    <row r="506">
      <c r="A506" s="13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4"/>
    </row>
    <row r="507">
      <c r="A507" s="13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4"/>
    </row>
    <row r="508">
      <c r="A508" s="13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4"/>
    </row>
    <row r="509">
      <c r="A509" s="13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4"/>
    </row>
    <row r="510">
      <c r="A510" s="13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4"/>
    </row>
    <row r="511">
      <c r="A511" s="13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4"/>
    </row>
    <row r="512">
      <c r="A512" s="13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4"/>
    </row>
    <row r="513">
      <c r="A513" s="13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4"/>
    </row>
    <row r="514">
      <c r="A514" s="13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4"/>
    </row>
    <row r="515">
      <c r="A515" s="13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4"/>
    </row>
    <row r="516">
      <c r="A516" s="13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4"/>
    </row>
    <row r="517">
      <c r="A517" s="13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4"/>
    </row>
    <row r="518">
      <c r="A518" s="13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4"/>
    </row>
    <row r="519">
      <c r="A519" s="13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4"/>
    </row>
    <row r="520">
      <c r="A520" s="13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4"/>
    </row>
    <row r="521">
      <c r="A521" s="13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4"/>
    </row>
    <row r="522">
      <c r="A522" s="13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4"/>
    </row>
    <row r="523">
      <c r="A523" s="13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4"/>
    </row>
    <row r="524">
      <c r="A524" s="13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4"/>
    </row>
    <row r="525">
      <c r="A525" s="13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4"/>
    </row>
    <row r="526">
      <c r="A526" s="13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4"/>
    </row>
    <row r="527">
      <c r="A527" s="13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4"/>
    </row>
    <row r="528">
      <c r="A528" s="13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4"/>
    </row>
    <row r="529">
      <c r="A529" s="13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4"/>
    </row>
    <row r="530">
      <c r="A530" s="13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4"/>
    </row>
    <row r="531">
      <c r="A531" s="13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4"/>
    </row>
    <row r="532">
      <c r="A532" s="13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4"/>
    </row>
    <row r="533">
      <c r="A533" s="13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4"/>
    </row>
    <row r="534">
      <c r="A534" s="13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4"/>
    </row>
    <row r="535">
      <c r="A535" s="13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4"/>
    </row>
    <row r="536">
      <c r="A536" s="13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4"/>
    </row>
    <row r="537">
      <c r="A537" s="13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4"/>
    </row>
    <row r="538">
      <c r="A538" s="13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4"/>
    </row>
    <row r="539">
      <c r="A539" s="13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4"/>
    </row>
    <row r="540">
      <c r="A540" s="13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4"/>
    </row>
    <row r="541">
      <c r="A541" s="13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4"/>
    </row>
    <row r="542">
      <c r="A542" s="13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4"/>
    </row>
    <row r="543">
      <c r="A543" s="13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4"/>
    </row>
    <row r="544">
      <c r="A544" s="13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4"/>
    </row>
    <row r="545">
      <c r="A545" s="13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4"/>
    </row>
    <row r="546">
      <c r="A546" s="13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4"/>
    </row>
    <row r="547">
      <c r="A547" s="13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4"/>
    </row>
    <row r="548">
      <c r="A548" s="13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4"/>
    </row>
    <row r="549">
      <c r="A549" s="13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4"/>
    </row>
    <row r="550">
      <c r="A550" s="13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4"/>
    </row>
    <row r="551">
      <c r="A551" s="13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4"/>
    </row>
    <row r="552">
      <c r="A552" s="13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4"/>
    </row>
    <row r="553">
      <c r="A553" s="13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4"/>
    </row>
    <row r="554">
      <c r="A554" s="13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4"/>
    </row>
    <row r="555">
      <c r="A555" s="13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4"/>
    </row>
    <row r="556">
      <c r="A556" s="13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4"/>
    </row>
    <row r="557">
      <c r="A557" s="13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4"/>
    </row>
    <row r="558">
      <c r="A558" s="13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4"/>
    </row>
    <row r="559">
      <c r="A559" s="13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4"/>
    </row>
    <row r="560">
      <c r="A560" s="13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4"/>
    </row>
    <row r="561">
      <c r="A561" s="13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4"/>
    </row>
    <row r="562">
      <c r="A562" s="13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4"/>
    </row>
    <row r="563">
      <c r="A563" s="13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4"/>
    </row>
    <row r="564">
      <c r="A564" s="13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4"/>
    </row>
    <row r="565">
      <c r="A565" s="13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4"/>
    </row>
    <row r="566">
      <c r="A566" s="13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4"/>
    </row>
    <row r="567">
      <c r="A567" s="13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4"/>
    </row>
    <row r="568">
      <c r="A568" s="13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4"/>
    </row>
    <row r="569">
      <c r="A569" s="13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4"/>
    </row>
    <row r="570">
      <c r="A570" s="13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4"/>
    </row>
    <row r="571">
      <c r="A571" s="13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4"/>
    </row>
    <row r="572">
      <c r="A572" s="13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4"/>
    </row>
    <row r="573">
      <c r="A573" s="13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4"/>
    </row>
    <row r="574">
      <c r="A574" s="13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4"/>
    </row>
    <row r="575">
      <c r="A575" s="13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4"/>
    </row>
    <row r="576">
      <c r="A576" s="13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4"/>
    </row>
    <row r="577">
      <c r="A577" s="13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4"/>
    </row>
    <row r="578">
      <c r="A578" s="13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4"/>
    </row>
    <row r="579">
      <c r="A579" s="13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4"/>
    </row>
    <row r="580">
      <c r="A580" s="13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4"/>
    </row>
    <row r="581">
      <c r="A581" s="13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4"/>
    </row>
    <row r="582">
      <c r="A582" s="13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  <c r="AB582" s="14"/>
    </row>
    <row r="583">
      <c r="A583" s="13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  <c r="AB583" s="14"/>
    </row>
    <row r="584">
      <c r="A584" s="13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  <c r="AB584" s="14"/>
    </row>
    <row r="585">
      <c r="A585" s="13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  <c r="AB585" s="14"/>
    </row>
    <row r="586">
      <c r="A586" s="13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  <c r="AB586" s="14"/>
    </row>
    <row r="587">
      <c r="A587" s="13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  <c r="AB587" s="14"/>
    </row>
    <row r="588">
      <c r="A588" s="13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  <c r="AB588" s="14"/>
    </row>
    <row r="589">
      <c r="A589" s="13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  <c r="AB589" s="14"/>
    </row>
    <row r="590">
      <c r="A590" s="13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  <c r="AB590" s="14"/>
    </row>
    <row r="591">
      <c r="A591" s="13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  <c r="AB591" s="14"/>
    </row>
    <row r="592">
      <c r="A592" s="13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  <c r="AB592" s="14"/>
    </row>
    <row r="593">
      <c r="A593" s="13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  <c r="AB593" s="14"/>
    </row>
    <row r="594">
      <c r="A594" s="13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  <c r="AB594" s="14"/>
    </row>
    <row r="595">
      <c r="A595" s="13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  <c r="AB595" s="14"/>
    </row>
    <row r="596">
      <c r="A596" s="13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  <c r="AB596" s="14"/>
    </row>
    <row r="597">
      <c r="A597" s="13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  <c r="AB597" s="14"/>
    </row>
    <row r="598">
      <c r="A598" s="13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  <c r="AB598" s="14"/>
    </row>
    <row r="599">
      <c r="A599" s="13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  <c r="AB599" s="14"/>
    </row>
    <row r="600">
      <c r="A600" s="13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  <c r="AB600" s="14"/>
    </row>
    <row r="601">
      <c r="A601" s="13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  <c r="AB601" s="14"/>
    </row>
    <row r="602">
      <c r="A602" s="13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  <c r="AB602" s="14"/>
    </row>
    <row r="603">
      <c r="A603" s="13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  <c r="AB603" s="14"/>
    </row>
    <row r="604">
      <c r="A604" s="13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  <c r="AB604" s="14"/>
    </row>
    <row r="605">
      <c r="A605" s="13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  <c r="AB605" s="14"/>
    </row>
    <row r="606">
      <c r="A606" s="13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  <c r="AB606" s="14"/>
    </row>
    <row r="607">
      <c r="A607" s="13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  <c r="AB607" s="14"/>
    </row>
    <row r="608">
      <c r="A608" s="13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  <c r="AB608" s="14"/>
    </row>
    <row r="609">
      <c r="A609" s="13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  <c r="AB609" s="14"/>
    </row>
    <row r="610">
      <c r="A610" s="13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  <c r="AB610" s="14"/>
    </row>
    <row r="611">
      <c r="A611" s="13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  <c r="AB611" s="14"/>
    </row>
    <row r="612">
      <c r="A612" s="13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  <c r="AB612" s="14"/>
    </row>
    <row r="613">
      <c r="A613" s="13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  <c r="AB613" s="14"/>
    </row>
    <row r="614">
      <c r="A614" s="13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  <c r="AB614" s="14"/>
    </row>
    <row r="615">
      <c r="A615" s="13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  <c r="AB615" s="14"/>
    </row>
    <row r="616">
      <c r="A616" s="13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  <c r="AB616" s="14"/>
    </row>
    <row r="617">
      <c r="A617" s="13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  <c r="AB617" s="14"/>
    </row>
    <row r="618">
      <c r="A618" s="13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  <c r="AB618" s="14"/>
    </row>
    <row r="619">
      <c r="A619" s="13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  <c r="AB619" s="14"/>
    </row>
    <row r="620">
      <c r="A620" s="13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  <c r="AB620" s="14"/>
    </row>
    <row r="621">
      <c r="A621" s="13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  <c r="AB621" s="14"/>
    </row>
    <row r="622">
      <c r="A622" s="13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  <c r="AB622" s="14"/>
    </row>
    <row r="623">
      <c r="A623" s="13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  <c r="AB623" s="14"/>
    </row>
    <row r="624">
      <c r="A624" s="13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  <c r="AB624" s="14"/>
    </row>
    <row r="625">
      <c r="A625" s="13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  <c r="AB625" s="14"/>
    </row>
    <row r="626">
      <c r="A626" s="13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  <c r="AB626" s="14"/>
    </row>
    <row r="627">
      <c r="A627" s="13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  <c r="AB627" s="14"/>
    </row>
    <row r="628">
      <c r="A628" s="13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  <c r="AB628" s="14"/>
    </row>
    <row r="629">
      <c r="A629" s="13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  <c r="AB629" s="14"/>
    </row>
    <row r="630">
      <c r="A630" s="13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  <c r="AB630" s="14"/>
    </row>
    <row r="631">
      <c r="A631" s="13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  <c r="AB631" s="14"/>
    </row>
    <row r="632">
      <c r="A632" s="13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  <c r="AB632" s="14"/>
    </row>
    <row r="633">
      <c r="A633" s="13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  <c r="AB633" s="14"/>
    </row>
    <row r="634">
      <c r="A634" s="13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  <c r="AB634" s="14"/>
    </row>
    <row r="635">
      <c r="A635" s="13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  <c r="AB635" s="14"/>
    </row>
    <row r="636">
      <c r="A636" s="13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  <c r="AB636" s="14"/>
    </row>
    <row r="637">
      <c r="A637" s="13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  <c r="AB637" s="14"/>
    </row>
    <row r="638">
      <c r="A638" s="13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  <c r="AB638" s="14"/>
    </row>
    <row r="639">
      <c r="A639" s="13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  <c r="AB639" s="14"/>
    </row>
    <row r="640">
      <c r="A640" s="13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  <c r="AB640" s="14"/>
    </row>
    <row r="641">
      <c r="A641" s="13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  <c r="AB641" s="14"/>
    </row>
    <row r="642">
      <c r="A642" s="13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  <c r="AB642" s="14"/>
    </row>
    <row r="643">
      <c r="A643" s="13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  <c r="AB643" s="14"/>
    </row>
    <row r="644">
      <c r="A644" s="13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  <c r="AB644" s="14"/>
    </row>
    <row r="645">
      <c r="A645" s="13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  <c r="AB645" s="14"/>
    </row>
    <row r="646">
      <c r="A646" s="13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  <c r="AB646" s="14"/>
    </row>
    <row r="647">
      <c r="A647" s="13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  <c r="AB647" s="14"/>
    </row>
    <row r="648">
      <c r="A648" s="13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  <c r="AB648" s="14"/>
    </row>
    <row r="649">
      <c r="A649" s="13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  <c r="AB649" s="14"/>
    </row>
    <row r="650">
      <c r="A650" s="13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  <c r="AB650" s="14"/>
    </row>
    <row r="651">
      <c r="A651" s="13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  <c r="AB651" s="14"/>
    </row>
    <row r="652">
      <c r="A652" s="13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  <c r="AB652" s="14"/>
    </row>
    <row r="653">
      <c r="A653" s="13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  <c r="AB653" s="14"/>
    </row>
    <row r="654">
      <c r="A654" s="13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  <c r="AB654" s="14"/>
    </row>
    <row r="655">
      <c r="A655" s="13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  <c r="AB655" s="14"/>
    </row>
    <row r="656">
      <c r="A656" s="13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  <c r="AB656" s="14"/>
    </row>
    <row r="657">
      <c r="A657" s="13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  <c r="AB657" s="14"/>
    </row>
    <row r="658">
      <c r="A658" s="13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  <c r="AB658" s="14"/>
    </row>
    <row r="659">
      <c r="A659" s="13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  <c r="AB659" s="14"/>
    </row>
    <row r="660">
      <c r="A660" s="13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  <c r="AB660" s="14"/>
    </row>
    <row r="661">
      <c r="A661" s="13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  <c r="AB661" s="14"/>
    </row>
    <row r="662">
      <c r="A662" s="13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  <c r="AB662" s="14"/>
    </row>
    <row r="663">
      <c r="A663" s="13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  <c r="AB663" s="14"/>
    </row>
    <row r="664">
      <c r="A664" s="13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  <c r="AB664" s="14"/>
    </row>
    <row r="665">
      <c r="A665" s="13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  <c r="AB665" s="14"/>
    </row>
    <row r="666">
      <c r="A666" s="13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  <c r="AB666" s="14"/>
    </row>
    <row r="667">
      <c r="A667" s="13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  <c r="AB667" s="14"/>
    </row>
    <row r="668">
      <c r="A668" s="13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  <c r="AB668" s="14"/>
    </row>
    <row r="669">
      <c r="A669" s="13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  <c r="AB669" s="14"/>
    </row>
    <row r="670">
      <c r="A670" s="13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  <c r="AB670" s="14"/>
    </row>
    <row r="671">
      <c r="A671" s="13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  <c r="AB671" s="14"/>
    </row>
    <row r="672">
      <c r="A672" s="13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  <c r="AB672" s="14"/>
    </row>
    <row r="673">
      <c r="A673" s="13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  <c r="AB673" s="14"/>
    </row>
    <row r="674">
      <c r="A674" s="13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  <c r="AB674" s="14"/>
    </row>
    <row r="675">
      <c r="A675" s="13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  <c r="AB675" s="14"/>
    </row>
    <row r="676">
      <c r="A676" s="13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  <c r="AB676" s="14"/>
    </row>
    <row r="677">
      <c r="A677" s="13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  <c r="AB677" s="14"/>
    </row>
    <row r="678">
      <c r="A678" s="13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  <c r="AB678" s="14"/>
    </row>
    <row r="679">
      <c r="A679" s="13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  <c r="AB679" s="14"/>
    </row>
    <row r="680">
      <c r="A680" s="13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  <c r="AB680" s="14"/>
    </row>
    <row r="681">
      <c r="A681" s="13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  <c r="AB681" s="14"/>
    </row>
    <row r="682">
      <c r="A682" s="13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  <c r="AB682" s="14"/>
    </row>
    <row r="683">
      <c r="A683" s="13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  <c r="AB683" s="14"/>
    </row>
    <row r="684">
      <c r="A684" s="13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  <c r="AB684" s="14"/>
    </row>
    <row r="685">
      <c r="A685" s="13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  <c r="AB685" s="14"/>
    </row>
    <row r="686">
      <c r="A686" s="13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  <c r="AB686" s="14"/>
    </row>
    <row r="687">
      <c r="A687" s="13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  <c r="AB687" s="14"/>
    </row>
    <row r="688">
      <c r="A688" s="13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  <c r="AB688" s="14"/>
    </row>
    <row r="689">
      <c r="A689" s="13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  <c r="AB689" s="14"/>
    </row>
    <row r="690">
      <c r="A690" s="13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  <c r="AB690" s="14"/>
    </row>
    <row r="691">
      <c r="A691" s="13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  <c r="AB691" s="14"/>
    </row>
    <row r="692">
      <c r="A692" s="13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  <c r="AB692" s="14"/>
    </row>
    <row r="693">
      <c r="A693" s="13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  <c r="AB693" s="14"/>
    </row>
    <row r="694">
      <c r="A694" s="13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  <c r="AB694" s="14"/>
    </row>
    <row r="695">
      <c r="A695" s="13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  <c r="AB695" s="14"/>
    </row>
    <row r="696">
      <c r="A696" s="13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  <c r="AB696" s="14"/>
    </row>
    <row r="697">
      <c r="A697" s="13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  <c r="AB697" s="14"/>
    </row>
    <row r="698">
      <c r="A698" s="13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  <c r="AB698" s="14"/>
    </row>
    <row r="699">
      <c r="A699" s="13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  <c r="AB699" s="14"/>
    </row>
    <row r="700">
      <c r="A700" s="13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  <c r="AB700" s="14"/>
    </row>
    <row r="701">
      <c r="A701" s="13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  <c r="AB701" s="14"/>
    </row>
    <row r="702">
      <c r="A702" s="13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  <c r="AB702" s="14"/>
    </row>
    <row r="703">
      <c r="A703" s="13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  <c r="AB703" s="14"/>
    </row>
    <row r="704">
      <c r="A704" s="13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  <c r="AB704" s="14"/>
    </row>
    <row r="705">
      <c r="A705" s="13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  <c r="AB705" s="14"/>
    </row>
    <row r="706">
      <c r="A706" s="13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  <c r="AB706" s="14"/>
    </row>
    <row r="707">
      <c r="A707" s="13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  <c r="AB707" s="14"/>
    </row>
    <row r="708">
      <c r="A708" s="13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  <c r="AB708" s="14"/>
    </row>
    <row r="709">
      <c r="A709" s="13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  <c r="AB709" s="14"/>
    </row>
    <row r="710">
      <c r="A710" s="13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  <c r="AB710" s="14"/>
    </row>
    <row r="711">
      <c r="A711" s="13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  <c r="AB711" s="14"/>
    </row>
    <row r="712">
      <c r="A712" s="13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  <c r="AB712" s="14"/>
    </row>
    <row r="713">
      <c r="A713" s="13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  <c r="AB713" s="14"/>
    </row>
    <row r="714">
      <c r="A714" s="13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  <c r="AB714" s="14"/>
    </row>
    <row r="715">
      <c r="A715" s="13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  <c r="AB715" s="14"/>
    </row>
    <row r="716">
      <c r="A716" s="13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  <c r="AB716" s="14"/>
    </row>
    <row r="717">
      <c r="A717" s="13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  <c r="AB717" s="14"/>
    </row>
    <row r="718">
      <c r="A718" s="13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  <c r="AB718" s="14"/>
    </row>
    <row r="719">
      <c r="A719" s="13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  <c r="AB719" s="14"/>
    </row>
    <row r="720">
      <c r="A720" s="13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  <c r="AB720" s="14"/>
    </row>
    <row r="721">
      <c r="A721" s="13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  <c r="AB721" s="14"/>
    </row>
    <row r="722">
      <c r="A722" s="13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  <c r="AB722" s="14"/>
    </row>
    <row r="723">
      <c r="A723" s="13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  <c r="AB723" s="14"/>
    </row>
    <row r="724">
      <c r="A724" s="13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  <c r="AB724" s="14"/>
    </row>
    <row r="725">
      <c r="A725" s="13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  <c r="AB725" s="14"/>
    </row>
    <row r="726">
      <c r="A726" s="13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  <c r="AB726" s="14"/>
    </row>
    <row r="727">
      <c r="A727" s="13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  <c r="AB727" s="14"/>
    </row>
    <row r="728">
      <c r="A728" s="13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  <c r="AB728" s="14"/>
    </row>
    <row r="729">
      <c r="A729" s="13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  <c r="AB729" s="14"/>
    </row>
    <row r="730">
      <c r="A730" s="13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  <c r="AB730" s="14"/>
    </row>
    <row r="731">
      <c r="A731" s="13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  <c r="AB731" s="14"/>
    </row>
    <row r="732">
      <c r="A732" s="13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  <c r="AB732" s="14"/>
    </row>
    <row r="733">
      <c r="A733" s="13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  <c r="AB733" s="14"/>
    </row>
    <row r="734">
      <c r="A734" s="13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  <c r="AB734" s="14"/>
    </row>
    <row r="735">
      <c r="A735" s="13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  <c r="AB735" s="14"/>
    </row>
    <row r="736">
      <c r="A736" s="13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  <c r="AB736" s="14"/>
    </row>
    <row r="737">
      <c r="A737" s="13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  <c r="AB737" s="14"/>
    </row>
    <row r="738">
      <c r="A738" s="13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  <c r="AB738" s="14"/>
    </row>
    <row r="739">
      <c r="A739" s="13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  <c r="AB739" s="14"/>
    </row>
    <row r="740">
      <c r="A740" s="13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  <c r="AB740" s="14"/>
    </row>
    <row r="741">
      <c r="A741" s="13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  <c r="AB741" s="14"/>
    </row>
    <row r="742">
      <c r="A742" s="13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  <c r="AB742" s="14"/>
    </row>
    <row r="743">
      <c r="A743" s="13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  <c r="AB743" s="14"/>
    </row>
    <row r="744">
      <c r="A744" s="13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  <c r="AB744" s="14"/>
    </row>
    <row r="745">
      <c r="A745" s="13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  <c r="AB745" s="14"/>
    </row>
    <row r="746">
      <c r="A746" s="13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  <c r="AB746" s="14"/>
    </row>
    <row r="747">
      <c r="A747" s="13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  <c r="AB747" s="14"/>
    </row>
    <row r="748">
      <c r="A748" s="13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  <c r="AB748" s="14"/>
    </row>
    <row r="749">
      <c r="A749" s="13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  <c r="AB749" s="14"/>
    </row>
    <row r="750">
      <c r="A750" s="13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  <c r="AB750" s="14"/>
    </row>
    <row r="751">
      <c r="A751" s="13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  <c r="AB751" s="14"/>
    </row>
    <row r="752">
      <c r="A752" s="13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  <c r="AB752" s="14"/>
    </row>
    <row r="753">
      <c r="A753" s="13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  <c r="AB753" s="14"/>
    </row>
    <row r="754">
      <c r="A754" s="13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  <c r="AB754" s="14"/>
    </row>
    <row r="755">
      <c r="A755" s="13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  <c r="AB755" s="14"/>
    </row>
    <row r="756">
      <c r="A756" s="13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  <c r="AB756" s="14"/>
    </row>
    <row r="757">
      <c r="A757" s="13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  <c r="AB757" s="14"/>
    </row>
    <row r="758">
      <c r="A758" s="13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  <c r="AB758" s="14"/>
    </row>
    <row r="759">
      <c r="A759" s="13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  <c r="AB759" s="14"/>
    </row>
    <row r="760">
      <c r="A760" s="13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  <c r="AB760" s="14"/>
    </row>
    <row r="761">
      <c r="A761" s="13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  <c r="AB761" s="14"/>
    </row>
    <row r="762">
      <c r="A762" s="13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  <c r="AB762" s="14"/>
    </row>
    <row r="763">
      <c r="A763" s="13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  <c r="AB763" s="14"/>
    </row>
    <row r="764">
      <c r="A764" s="13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  <c r="AB764" s="14"/>
    </row>
    <row r="765">
      <c r="A765" s="13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  <c r="AB765" s="14"/>
    </row>
    <row r="766">
      <c r="A766" s="13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  <c r="AB766" s="14"/>
    </row>
    <row r="767">
      <c r="A767" s="13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  <c r="AB767" s="14"/>
    </row>
    <row r="768">
      <c r="A768" s="13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  <c r="AB768" s="14"/>
    </row>
    <row r="769">
      <c r="A769" s="13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  <c r="AB769" s="14"/>
    </row>
    <row r="770">
      <c r="A770" s="13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  <c r="AB770" s="14"/>
    </row>
    <row r="771">
      <c r="A771" s="13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  <c r="AB771" s="14"/>
    </row>
    <row r="772">
      <c r="A772" s="13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  <c r="AB772" s="14"/>
    </row>
    <row r="773">
      <c r="A773" s="13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  <c r="AB773" s="14"/>
    </row>
    <row r="774">
      <c r="A774" s="13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  <c r="AB774" s="14"/>
    </row>
    <row r="775">
      <c r="A775" s="13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  <c r="AB775" s="14"/>
    </row>
    <row r="776">
      <c r="A776" s="13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  <c r="AB776" s="14"/>
    </row>
    <row r="777">
      <c r="A777" s="13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  <c r="AB777" s="14"/>
    </row>
    <row r="778">
      <c r="A778" s="13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  <c r="AB778" s="14"/>
    </row>
    <row r="779">
      <c r="A779" s="13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  <c r="AB779" s="14"/>
    </row>
    <row r="780">
      <c r="A780" s="13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  <c r="AB780" s="14"/>
    </row>
    <row r="781">
      <c r="A781" s="13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  <c r="AB781" s="14"/>
    </row>
    <row r="782">
      <c r="A782" s="13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  <c r="AB782" s="14"/>
    </row>
    <row r="783">
      <c r="A783" s="13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  <c r="AB783" s="14"/>
    </row>
    <row r="784">
      <c r="A784" s="13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  <c r="AB784" s="14"/>
    </row>
    <row r="785">
      <c r="A785" s="13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  <c r="AB785" s="14"/>
    </row>
    <row r="786">
      <c r="A786" s="13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  <c r="AB786" s="14"/>
    </row>
    <row r="787">
      <c r="A787" s="13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  <c r="AB787" s="14"/>
    </row>
    <row r="788">
      <c r="A788" s="13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  <c r="AB788" s="14"/>
    </row>
    <row r="789">
      <c r="A789" s="13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  <c r="AB789" s="14"/>
    </row>
    <row r="790">
      <c r="A790" s="13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  <c r="AB790" s="14"/>
    </row>
    <row r="791">
      <c r="A791" s="13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  <c r="AB791" s="14"/>
    </row>
    <row r="792">
      <c r="A792" s="13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  <c r="AB792" s="14"/>
    </row>
    <row r="793">
      <c r="A793" s="13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  <c r="AB793" s="14"/>
    </row>
    <row r="794">
      <c r="A794" s="13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  <c r="AB794" s="14"/>
    </row>
    <row r="795">
      <c r="A795" s="13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  <c r="AB795" s="14"/>
    </row>
    <row r="796">
      <c r="A796" s="13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  <c r="AB796" s="14"/>
    </row>
    <row r="797">
      <c r="A797" s="13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  <c r="AB797" s="14"/>
    </row>
    <row r="798">
      <c r="A798" s="13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  <c r="AB798" s="14"/>
    </row>
    <row r="799">
      <c r="A799" s="13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  <c r="AB799" s="14"/>
    </row>
    <row r="800">
      <c r="A800" s="13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  <c r="AB800" s="14"/>
    </row>
    <row r="801">
      <c r="A801" s="13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  <c r="AB801" s="14"/>
    </row>
    <row r="802">
      <c r="A802" s="13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  <c r="AB802" s="14"/>
    </row>
    <row r="803">
      <c r="A803" s="13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  <c r="AB803" s="14"/>
    </row>
    <row r="804">
      <c r="A804" s="13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  <c r="AB804" s="14"/>
    </row>
    <row r="805">
      <c r="A805" s="13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  <c r="AB805" s="14"/>
    </row>
    <row r="806">
      <c r="A806" s="13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  <c r="AB806" s="14"/>
    </row>
    <row r="807">
      <c r="A807" s="13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  <c r="AB807" s="14"/>
    </row>
    <row r="808">
      <c r="A808" s="13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  <c r="AB808" s="14"/>
    </row>
    <row r="809">
      <c r="A809" s="13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  <c r="AB809" s="14"/>
    </row>
    <row r="810">
      <c r="A810" s="13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  <c r="AB810" s="14"/>
    </row>
    <row r="811">
      <c r="A811" s="13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  <c r="AB811" s="14"/>
    </row>
    <row r="812">
      <c r="A812" s="13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  <c r="AB812" s="14"/>
    </row>
    <row r="813">
      <c r="A813" s="13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  <c r="AB813" s="14"/>
    </row>
    <row r="814">
      <c r="A814" s="13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  <c r="AB814" s="14"/>
    </row>
    <row r="815">
      <c r="A815" s="13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  <c r="AB815" s="14"/>
    </row>
    <row r="816">
      <c r="A816" s="13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  <c r="AB816" s="14"/>
    </row>
    <row r="817">
      <c r="A817" s="13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  <c r="AB817" s="14"/>
    </row>
    <row r="818">
      <c r="A818" s="13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  <c r="AB818" s="14"/>
    </row>
    <row r="819">
      <c r="A819" s="13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  <c r="AB819" s="14"/>
    </row>
    <row r="820">
      <c r="A820" s="13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  <c r="AB820" s="14"/>
    </row>
    <row r="821">
      <c r="A821" s="13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  <c r="AB821" s="14"/>
    </row>
    <row r="822">
      <c r="A822" s="13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  <c r="AB822" s="14"/>
    </row>
    <row r="823">
      <c r="A823" s="13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  <c r="AB823" s="14"/>
    </row>
    <row r="824">
      <c r="A824" s="13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  <c r="AB824" s="14"/>
    </row>
    <row r="825">
      <c r="A825" s="13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  <c r="AB825" s="14"/>
    </row>
    <row r="826">
      <c r="A826" s="13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  <c r="AB826" s="14"/>
    </row>
    <row r="827">
      <c r="A827" s="13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  <c r="AB827" s="14"/>
    </row>
    <row r="828">
      <c r="A828" s="13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  <c r="AB828" s="14"/>
    </row>
    <row r="829">
      <c r="A829" s="13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  <c r="AB829" s="14"/>
    </row>
    <row r="830">
      <c r="A830" s="13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  <c r="AB830" s="14"/>
    </row>
    <row r="831">
      <c r="A831" s="13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  <c r="AB831" s="14"/>
    </row>
    <row r="832">
      <c r="A832" s="13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  <c r="AB832" s="14"/>
    </row>
    <row r="833">
      <c r="A833" s="13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  <c r="AB833" s="14"/>
    </row>
    <row r="834">
      <c r="A834" s="13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  <c r="AB834" s="14"/>
    </row>
    <row r="835">
      <c r="A835" s="13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  <c r="AB835" s="14"/>
    </row>
    <row r="836">
      <c r="A836" s="13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  <c r="AB836" s="14"/>
    </row>
    <row r="837">
      <c r="A837" s="13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  <c r="AB837" s="14"/>
    </row>
    <row r="838">
      <c r="A838" s="13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  <c r="AB838" s="14"/>
    </row>
    <row r="839">
      <c r="A839" s="13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  <c r="AB839" s="14"/>
    </row>
    <row r="840">
      <c r="A840" s="13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  <c r="AB840" s="14"/>
    </row>
    <row r="841">
      <c r="A841" s="13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  <c r="AB841" s="14"/>
    </row>
    <row r="842">
      <c r="A842" s="13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  <c r="AB842" s="14"/>
    </row>
    <row r="843">
      <c r="A843" s="13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  <c r="AB843" s="14"/>
    </row>
    <row r="844">
      <c r="A844" s="13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  <c r="AB844" s="14"/>
    </row>
    <row r="845">
      <c r="A845" s="13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  <c r="AB845" s="14"/>
    </row>
    <row r="846">
      <c r="A846" s="13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  <c r="AB846" s="14"/>
    </row>
    <row r="847">
      <c r="A847" s="13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  <c r="AB847" s="14"/>
    </row>
    <row r="848">
      <c r="A848" s="13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  <c r="AB848" s="14"/>
    </row>
    <row r="849">
      <c r="A849" s="13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  <c r="AB849" s="14"/>
    </row>
    <row r="850">
      <c r="A850" s="13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  <c r="AB850" s="14"/>
    </row>
    <row r="851">
      <c r="A851" s="13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  <c r="AB851" s="14"/>
    </row>
    <row r="852">
      <c r="A852" s="13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  <c r="AB852" s="14"/>
    </row>
    <row r="853">
      <c r="A853" s="13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  <c r="AB853" s="14"/>
    </row>
    <row r="854">
      <c r="A854" s="13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  <c r="AB854" s="14"/>
    </row>
    <row r="855">
      <c r="A855" s="13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  <c r="AB855" s="14"/>
    </row>
    <row r="856">
      <c r="A856" s="13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  <c r="AB856" s="14"/>
    </row>
    <row r="857">
      <c r="A857" s="13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  <c r="AB857" s="14"/>
    </row>
    <row r="858">
      <c r="A858" s="13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  <c r="AB858" s="14"/>
    </row>
    <row r="859">
      <c r="A859" s="13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  <c r="AB859" s="14"/>
    </row>
    <row r="860">
      <c r="A860" s="13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  <c r="AB860" s="14"/>
    </row>
    <row r="861">
      <c r="A861" s="13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  <c r="AB861" s="14"/>
    </row>
    <row r="862">
      <c r="A862" s="13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  <c r="AB862" s="14"/>
    </row>
    <row r="863">
      <c r="A863" s="13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  <c r="AB863" s="14"/>
    </row>
    <row r="864">
      <c r="A864" s="13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  <c r="AB864" s="14"/>
    </row>
    <row r="865">
      <c r="A865" s="13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  <c r="AB865" s="14"/>
    </row>
    <row r="866">
      <c r="A866" s="13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  <c r="AB866" s="14"/>
    </row>
    <row r="867">
      <c r="A867" s="13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  <c r="AB867" s="14"/>
    </row>
    <row r="868">
      <c r="A868" s="13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  <c r="AB868" s="14"/>
    </row>
    <row r="869">
      <c r="A869" s="13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  <c r="AB869" s="14"/>
    </row>
    <row r="870">
      <c r="A870" s="13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  <c r="AB870" s="14"/>
    </row>
    <row r="871">
      <c r="A871" s="13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  <c r="AB871" s="14"/>
    </row>
    <row r="872">
      <c r="A872" s="13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  <c r="AB872" s="14"/>
    </row>
    <row r="873">
      <c r="A873" s="13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  <c r="AB873" s="14"/>
    </row>
    <row r="874">
      <c r="A874" s="13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  <c r="AB874" s="14"/>
    </row>
    <row r="875">
      <c r="A875" s="13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  <c r="AB875" s="14"/>
    </row>
    <row r="876">
      <c r="A876" s="13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  <c r="AB876" s="14"/>
    </row>
    <row r="877">
      <c r="A877" s="13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  <c r="AB877" s="14"/>
    </row>
    <row r="878">
      <c r="A878" s="13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  <c r="AB878" s="14"/>
    </row>
    <row r="879">
      <c r="A879" s="13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  <c r="AB879" s="14"/>
    </row>
    <row r="880">
      <c r="A880" s="13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  <c r="AB880" s="14"/>
    </row>
    <row r="881">
      <c r="A881" s="13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  <c r="AB881" s="14"/>
    </row>
    <row r="882">
      <c r="A882" s="13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  <c r="AB882" s="14"/>
    </row>
    <row r="883">
      <c r="A883" s="13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  <c r="AB883" s="14"/>
    </row>
    <row r="884">
      <c r="A884" s="13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  <c r="AB884" s="14"/>
    </row>
    <row r="885">
      <c r="A885" s="13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  <c r="AB885" s="14"/>
    </row>
    <row r="886">
      <c r="A886" s="13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  <c r="AB886" s="14"/>
    </row>
    <row r="887">
      <c r="A887" s="13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  <c r="AB887" s="14"/>
    </row>
    <row r="888">
      <c r="A888" s="13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  <c r="AB888" s="14"/>
    </row>
    <row r="889">
      <c r="A889" s="13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  <c r="AB889" s="14"/>
    </row>
    <row r="890">
      <c r="A890" s="13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  <c r="AB890" s="14"/>
    </row>
    <row r="891">
      <c r="A891" s="13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  <c r="AB891" s="14"/>
    </row>
    <row r="892">
      <c r="A892" s="13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  <c r="AB892" s="14"/>
    </row>
    <row r="893">
      <c r="A893" s="13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  <c r="AB893" s="14"/>
    </row>
    <row r="894">
      <c r="A894" s="13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  <c r="AB894" s="14"/>
    </row>
    <row r="895">
      <c r="A895" s="13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  <c r="AB895" s="14"/>
    </row>
    <row r="896">
      <c r="A896" s="13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  <c r="AB896" s="14"/>
    </row>
    <row r="897">
      <c r="A897" s="13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  <c r="AB897" s="14"/>
    </row>
    <row r="898">
      <c r="A898" s="13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  <c r="AB898" s="14"/>
    </row>
    <row r="899">
      <c r="A899" s="13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  <c r="AB899" s="14"/>
    </row>
    <row r="900">
      <c r="A900" s="13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  <c r="AB900" s="14"/>
    </row>
    <row r="901">
      <c r="A901" s="13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  <c r="AB901" s="14"/>
    </row>
    <row r="902">
      <c r="A902" s="13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  <c r="AB902" s="14"/>
    </row>
    <row r="903">
      <c r="A903" s="13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  <c r="AB903" s="14"/>
    </row>
    <row r="904">
      <c r="A904" s="13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  <c r="AB904" s="14"/>
    </row>
    <row r="905">
      <c r="A905" s="13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  <c r="AB905" s="14"/>
    </row>
    <row r="906">
      <c r="A906" s="13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  <c r="AB906" s="14"/>
    </row>
    <row r="907">
      <c r="A907" s="13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  <c r="AB907" s="14"/>
    </row>
    <row r="908">
      <c r="A908" s="13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  <c r="AB908" s="14"/>
    </row>
    <row r="909">
      <c r="A909" s="13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  <c r="AB909" s="14"/>
    </row>
    <row r="910">
      <c r="A910" s="13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  <c r="AB910" s="14"/>
    </row>
    <row r="911">
      <c r="A911" s="13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  <c r="AB911" s="14"/>
    </row>
    <row r="912">
      <c r="A912" s="13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  <c r="AB912" s="14"/>
    </row>
    <row r="913">
      <c r="A913" s="13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  <c r="AB913" s="14"/>
    </row>
    <row r="914">
      <c r="A914" s="13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  <c r="AB914" s="14"/>
    </row>
    <row r="915">
      <c r="A915" s="13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  <c r="AB915" s="14"/>
    </row>
    <row r="916">
      <c r="A916" s="13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  <c r="AB916" s="14"/>
    </row>
    <row r="917">
      <c r="A917" s="13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  <c r="AB917" s="14"/>
    </row>
    <row r="918">
      <c r="A918" s="13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  <c r="AB918" s="14"/>
    </row>
    <row r="919">
      <c r="A919" s="13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  <c r="AB919" s="14"/>
    </row>
    <row r="920">
      <c r="A920" s="13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  <c r="AB920" s="14"/>
    </row>
    <row r="921">
      <c r="A921" s="13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  <c r="AB921" s="14"/>
    </row>
    <row r="922">
      <c r="A922" s="13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  <c r="AB922" s="14"/>
    </row>
    <row r="923">
      <c r="A923" s="13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  <c r="AB923" s="14"/>
    </row>
    <row r="924">
      <c r="A924" s="13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  <c r="AB924" s="14"/>
    </row>
    <row r="925">
      <c r="A925" s="13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  <c r="AB925" s="14"/>
    </row>
    <row r="926">
      <c r="A926" s="13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  <c r="AB926" s="14"/>
    </row>
    <row r="927">
      <c r="A927" s="13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  <c r="AB927" s="14"/>
    </row>
    <row r="928">
      <c r="A928" s="13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  <c r="AB928" s="14"/>
    </row>
    <row r="929">
      <c r="A929" s="13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  <c r="AB929" s="14"/>
    </row>
    <row r="930">
      <c r="A930" s="13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  <c r="AB930" s="14"/>
    </row>
    <row r="931">
      <c r="A931" s="13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  <c r="AB931" s="14"/>
    </row>
    <row r="932">
      <c r="A932" s="13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  <c r="AB932" s="14"/>
    </row>
    <row r="933">
      <c r="A933" s="13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  <c r="AB933" s="14"/>
    </row>
    <row r="934">
      <c r="A934" s="13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  <c r="AB934" s="14"/>
    </row>
    <row r="935">
      <c r="A935" s="13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  <c r="AB935" s="14"/>
    </row>
    <row r="936">
      <c r="A936" s="13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  <c r="AB936" s="14"/>
    </row>
    <row r="937">
      <c r="A937" s="13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  <c r="AB937" s="14"/>
    </row>
    <row r="938">
      <c r="A938" s="13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  <c r="AB938" s="14"/>
    </row>
    <row r="939">
      <c r="A939" s="13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  <c r="AB939" s="14"/>
    </row>
    <row r="940">
      <c r="A940" s="17"/>
      <c r="B940" s="19"/>
      <c r="C940" s="31"/>
      <c r="D940" s="31"/>
      <c r="E940" s="31"/>
      <c r="F940" s="31"/>
      <c r="G940" s="31"/>
      <c r="H940" s="31"/>
      <c r="I940" s="31"/>
      <c r="J940" s="31"/>
      <c r="K940" s="31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12"/>
      <c r="Z940" s="12"/>
      <c r="AA940" s="12"/>
      <c r="AB940" s="14"/>
    </row>
  </sheetData>
  <conditionalFormatting sqref="R4:S4 R6:S940">
    <cfRule type="cellIs" dxfId="0" priority="1" operator="equal">
      <formula>"Enviar email para hotel"</formula>
    </cfRule>
  </conditionalFormatting>
  <conditionalFormatting sqref="C6:I385 J6:K427 L6:AB385">
    <cfRule type="containsText" dxfId="1" priority="2" operator="containsText" text="Y">
      <formula>NOT(ISERROR(SEARCH(("Y"),(C6))))</formula>
    </cfRule>
  </conditionalFormatting>
  <conditionalFormatting sqref="C6:I385 J6:K427 L6:AB385">
    <cfRule type="containsText" dxfId="0" priority="3" operator="containsText" text="N">
      <formula>NOT(ISERROR(SEARCH(("N"),(C6))))</formula>
    </cfRule>
  </conditionalFormatting>
  <hyperlinks>
    <hyperlink display="ILC1110" location="ILC1110!A1" ref="C5"/>
    <hyperlink display="ILC1111" location="ILC1111!A1" ref="D5"/>
    <hyperlink display="ILC1112" location="ILC1112!A1" ref="E5"/>
    <hyperlink display="ILC1211" location="ILC1211!A1" ref="F5"/>
    <hyperlink display="ILC1213" location="ILC1213!A1" ref="G5"/>
    <hyperlink display="ILC1314" location="ILC1314!A1" ref="H5"/>
    <hyperlink display="ILC1404" location="ILC1404!A1" ref="I5"/>
    <hyperlink display="ILC2203" location="ILC2203!A1" ref="J5"/>
    <hyperlink display="ILC2206" location="ILC2206!A1" ref="K5"/>
    <hyperlink display="ILC2303" location="ILC2303!A1" ref="L5"/>
    <hyperlink display="ILC2307" location="ILC2307!A1" ref="M5"/>
    <hyperlink display="ILC2313" location="ILC2313!A1" ref="N5"/>
    <hyperlink display="ILC2412" location="ILC2412!A1" ref="O5"/>
    <hyperlink display="ILC2413" location="ILC2413!A1" ref="P5"/>
    <hyperlink display="ILC3104" location="ILC3104!A1" ref="Q5"/>
    <hyperlink display="ILC3310" location="ILC3310!A1" ref="R5"/>
    <hyperlink display="ILC3312" location="ILC3312!A1" ref="S5"/>
    <hyperlink display="ILC3413" location="null!A1" ref="T5"/>
    <hyperlink display="ILC3415" location="null!A1" ref="U5"/>
    <hyperlink display="ILC4406" location="ILC4406!A1" ref="V5"/>
    <hyperlink display="ILC4410" location="ILC4410!A1" ref="W5"/>
    <hyperlink display="JBV455" location="JBV455!A1" ref="X5"/>
    <hyperlink display="JBV462" location="JBV462!A1" ref="Y5"/>
    <hyperlink display="JBV464" location="JBV464!A1" ref="Z5"/>
    <hyperlink display="VDI208" location="VDI208!A1" ref="AA5"/>
    <hyperlink display="STO2206" location="STO2206!A1" ref="AB5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topLeftCell="E1" activePane="topRight" state="frozen"/>
      <selection activeCell="F2" sqref="F2" pane="topRight"/>
    </sheetView>
  </sheetViews>
  <sheetFormatPr customHeight="1" defaultColWidth="14.43" defaultRowHeight="15.75"/>
  <cols>
    <col customWidth="1" min="1" max="1" width="12.0"/>
    <col customWidth="1" min="2" max="2" width="11.29"/>
    <col customWidth="1" min="3" max="3" width="14.71"/>
    <col customWidth="1" min="4" max="4" width="9.0"/>
    <col customWidth="1" min="5" max="5" width="6.0"/>
    <col customWidth="1" min="6" max="6" width="8.57"/>
    <col customWidth="1" min="7" max="7" width="8.29"/>
    <col customWidth="1" min="8" max="8" width="3.14"/>
    <col customWidth="1" min="9" max="9" width="6.14"/>
    <col customWidth="1" min="10" max="10" width="8.43"/>
    <col customWidth="1" min="11" max="11" width="3.14"/>
    <col customWidth="1" min="12" max="12" width="6.14"/>
    <col customWidth="1" min="13" max="13" width="8.43"/>
    <col customWidth="1" min="14" max="14" width="4.14"/>
    <col customWidth="1" min="15" max="15" width="6.14"/>
    <col customWidth="1" min="16" max="16" width="8.43"/>
    <col customWidth="1" min="17" max="17" width="4.14"/>
    <col customWidth="1" min="18" max="18" width="6.14"/>
    <col customWidth="1" min="19" max="19" width="11.29"/>
    <col customWidth="1" min="20" max="20" width="5.0"/>
    <col customWidth="1" min="21" max="21" width="6.14"/>
    <col customWidth="1" min="22" max="22" width="9.29"/>
    <col customWidth="1" min="23" max="23" width="4.86"/>
    <col customWidth="1" min="24" max="24" width="6.14"/>
    <col customWidth="1" min="25" max="25" width="8.43"/>
    <col customWidth="1" min="26" max="26" width="5.71"/>
    <col customWidth="1" min="27" max="27" width="6.14"/>
    <col customWidth="1" min="28" max="28" width="8.43"/>
    <col customWidth="1" min="29" max="29" width="3.14"/>
    <col customWidth="1" min="30" max="30" width="6.14"/>
    <col customWidth="1" min="31" max="31" width="8.0"/>
    <col customWidth="1" min="32" max="32" width="3.29"/>
    <col customWidth="1" min="33" max="33" width="6.14"/>
    <col customWidth="1" min="34" max="34" width="9.14"/>
    <col customWidth="1" min="35" max="35" width="3.29"/>
    <col customWidth="1" min="36" max="36" width="6.14"/>
    <col customWidth="1" min="37" max="37" width="8.57"/>
    <col customWidth="1" min="38" max="38" width="3.29"/>
    <col customWidth="1" min="39" max="39" width="6.14"/>
    <col customWidth="1" min="40" max="40" width="8.71"/>
    <col customWidth="1" min="41" max="41" width="3.29"/>
    <col customWidth="1" min="42" max="42" width="6.14"/>
    <col customWidth="1" min="43" max="43" width="9.14"/>
    <col customWidth="1" min="44" max="44" width="3.29"/>
    <col customWidth="1" min="45" max="45" width="6.14"/>
    <col customWidth="1" min="46" max="46" width="9.0"/>
    <col customWidth="1" min="47" max="47" width="3.29"/>
  </cols>
  <sheetData>
    <row r="1">
      <c r="A1" s="1"/>
      <c r="B1" s="2"/>
      <c r="C1" s="2"/>
      <c r="D1" s="3"/>
      <c r="E1" s="34" t="s">
        <v>7</v>
      </c>
      <c r="G1" s="36">
        <v>100000.0</v>
      </c>
      <c r="J1" s="6"/>
      <c r="K1" s="38"/>
      <c r="L1" s="6"/>
      <c r="M1" s="6"/>
      <c r="N1" s="38"/>
      <c r="O1" s="6"/>
      <c r="P1" s="6"/>
      <c r="Q1" s="38"/>
      <c r="R1" s="6"/>
      <c r="S1" s="6"/>
      <c r="T1" s="40"/>
      <c r="U1" s="9"/>
      <c r="V1" s="9"/>
      <c r="W1" s="40"/>
      <c r="X1" s="9"/>
      <c r="Y1" s="9"/>
      <c r="Z1" s="40"/>
      <c r="AA1" s="9"/>
      <c r="AB1" s="9"/>
      <c r="AC1" s="43"/>
    </row>
    <row r="2">
      <c r="A2" s="13"/>
      <c r="D2" s="15"/>
      <c r="E2" s="34" t="s">
        <v>34</v>
      </c>
      <c r="G2" s="36">
        <v>80000.0</v>
      </c>
      <c r="J2" s="6"/>
      <c r="K2" s="38"/>
      <c r="L2" s="6"/>
      <c r="M2" s="6"/>
      <c r="N2" s="38"/>
      <c r="O2" s="6"/>
      <c r="P2" s="6"/>
      <c r="Q2" s="38"/>
      <c r="R2" s="6"/>
      <c r="S2" s="6"/>
      <c r="T2" s="40"/>
      <c r="U2" s="9"/>
      <c r="V2" s="9"/>
      <c r="W2" s="40"/>
      <c r="X2" s="9"/>
      <c r="Y2" s="9"/>
      <c r="Z2" s="40"/>
      <c r="AA2" s="9"/>
      <c r="AB2" s="9"/>
      <c r="AC2" s="40"/>
    </row>
    <row r="3">
      <c r="A3" s="17"/>
      <c r="B3" s="19"/>
      <c r="C3" s="19"/>
      <c r="D3" s="21"/>
      <c r="E3" s="34" t="s">
        <v>37</v>
      </c>
      <c r="G3" s="36">
        <v>60000.0</v>
      </c>
      <c r="J3" s="24"/>
      <c r="K3" s="46"/>
      <c r="L3" s="24"/>
      <c r="M3" s="24"/>
      <c r="N3" s="46"/>
      <c r="O3" s="24"/>
      <c r="P3" s="24"/>
      <c r="Q3" s="46"/>
      <c r="R3" s="24"/>
      <c r="S3" s="24"/>
      <c r="T3" s="47"/>
      <c r="U3" s="26"/>
      <c r="V3" s="26"/>
      <c r="W3" s="47"/>
      <c r="X3" s="26"/>
      <c r="Y3" s="26"/>
      <c r="Z3" s="47"/>
      <c r="AA3" s="26"/>
      <c r="AB3" s="26"/>
      <c r="AC3" s="47"/>
    </row>
    <row r="4">
      <c r="H4" s="12"/>
      <c r="K4" s="12"/>
      <c r="N4" s="12"/>
      <c r="Q4" s="12"/>
      <c r="T4" s="12"/>
      <c r="W4" s="12"/>
      <c r="Z4" s="12"/>
      <c r="AC4" s="12"/>
    </row>
    <row r="5">
      <c r="A5" s="32" t="s">
        <v>6</v>
      </c>
      <c r="B5" s="37" t="s">
        <v>9</v>
      </c>
      <c r="C5" s="37" t="s">
        <v>10</v>
      </c>
      <c r="D5" s="37" t="s">
        <v>19</v>
      </c>
      <c r="E5" s="37" t="s">
        <v>39</v>
      </c>
      <c r="F5" s="50">
        <v>2019.0</v>
      </c>
      <c r="G5" s="52"/>
      <c r="H5" s="54" t="s">
        <v>44</v>
      </c>
      <c r="I5" s="56"/>
      <c r="J5" s="56">
        <v>43435.0</v>
      </c>
      <c r="K5" s="54" t="s">
        <v>44</v>
      </c>
      <c r="L5" s="56">
        <v>43466.0</v>
      </c>
      <c r="M5" s="56">
        <v>43466.0</v>
      </c>
      <c r="N5" s="54" t="s">
        <v>44</v>
      </c>
      <c r="O5" s="56">
        <v>43497.0</v>
      </c>
      <c r="P5" s="56">
        <v>43497.0</v>
      </c>
      <c r="Q5" s="54" t="s">
        <v>44</v>
      </c>
      <c r="R5" s="56">
        <v>43525.0</v>
      </c>
      <c r="S5" s="56">
        <v>43525.0</v>
      </c>
      <c r="T5" s="54" t="s">
        <v>44</v>
      </c>
      <c r="U5" s="56">
        <v>43556.0</v>
      </c>
      <c r="V5" s="56">
        <v>43556.0</v>
      </c>
      <c r="W5" s="54" t="s">
        <v>44</v>
      </c>
      <c r="X5" s="57">
        <v>43586.0</v>
      </c>
      <c r="Y5" s="57">
        <v>43586.0</v>
      </c>
      <c r="Z5" s="58" t="s">
        <v>44</v>
      </c>
      <c r="AA5" s="56">
        <v>43617.0</v>
      </c>
      <c r="AB5" s="56">
        <v>43617.0</v>
      </c>
      <c r="AC5" s="54" t="s">
        <v>44</v>
      </c>
      <c r="AD5" s="56">
        <v>43647.0</v>
      </c>
      <c r="AE5" s="56">
        <v>43647.0</v>
      </c>
      <c r="AF5" s="54" t="s">
        <v>44</v>
      </c>
      <c r="AG5" s="56">
        <v>43678.0</v>
      </c>
      <c r="AH5" s="56">
        <v>43678.0</v>
      </c>
      <c r="AI5" s="54" t="s">
        <v>44</v>
      </c>
      <c r="AJ5" s="56">
        <v>43709.0</v>
      </c>
      <c r="AK5" s="56">
        <v>43709.0</v>
      </c>
      <c r="AL5" s="54" t="s">
        <v>44</v>
      </c>
      <c r="AM5" s="56">
        <v>43739.0</v>
      </c>
      <c r="AN5" s="56">
        <v>43739.0</v>
      </c>
      <c r="AO5" s="54" t="s">
        <v>44</v>
      </c>
      <c r="AP5" s="56">
        <v>43770.0</v>
      </c>
      <c r="AQ5" s="56">
        <v>43770.0</v>
      </c>
      <c r="AR5" s="54" t="s">
        <v>44</v>
      </c>
      <c r="AS5" s="56">
        <v>43800.0</v>
      </c>
      <c r="AT5" s="56">
        <v>43800.0</v>
      </c>
      <c r="AU5" s="54" t="s">
        <v>44</v>
      </c>
    </row>
    <row r="6">
      <c r="A6" s="59"/>
      <c r="B6" s="60"/>
      <c r="C6" s="60"/>
      <c r="D6" s="60"/>
      <c r="E6" s="60"/>
      <c r="F6" s="61" t="s">
        <v>66</v>
      </c>
      <c r="G6" s="62" t="s">
        <v>69</v>
      </c>
      <c r="H6" s="63"/>
      <c r="I6" s="61" t="s">
        <v>66</v>
      </c>
      <c r="J6" s="62" t="s">
        <v>69</v>
      </c>
      <c r="K6" s="63"/>
      <c r="L6" s="61" t="s">
        <v>66</v>
      </c>
      <c r="M6" s="62" t="s">
        <v>69</v>
      </c>
      <c r="N6" s="63"/>
      <c r="O6" s="61" t="s">
        <v>66</v>
      </c>
      <c r="P6" s="62" t="s">
        <v>69</v>
      </c>
      <c r="Q6" s="63"/>
      <c r="R6" s="61" t="s">
        <v>66</v>
      </c>
      <c r="S6" s="62" t="s">
        <v>69</v>
      </c>
      <c r="T6" s="63"/>
      <c r="U6" s="61" t="s">
        <v>66</v>
      </c>
      <c r="V6" s="62" t="s">
        <v>69</v>
      </c>
      <c r="W6" s="63"/>
      <c r="X6" s="61" t="s">
        <v>66</v>
      </c>
      <c r="Y6" s="62" t="s">
        <v>69</v>
      </c>
      <c r="Z6" s="63"/>
      <c r="AA6" s="61" t="s">
        <v>66</v>
      </c>
      <c r="AB6" s="62" t="s">
        <v>69</v>
      </c>
      <c r="AC6" s="63"/>
      <c r="AD6" s="61" t="s">
        <v>66</v>
      </c>
      <c r="AE6" s="62" t="s">
        <v>69</v>
      </c>
      <c r="AF6" s="63"/>
      <c r="AG6" s="61" t="s">
        <v>66</v>
      </c>
      <c r="AH6" s="62" t="s">
        <v>69</v>
      </c>
      <c r="AI6" s="63"/>
      <c r="AJ6" s="61" t="s">
        <v>66</v>
      </c>
      <c r="AK6" s="62" t="s">
        <v>69</v>
      </c>
      <c r="AL6" s="63"/>
      <c r="AM6" s="61" t="s">
        <v>66</v>
      </c>
      <c r="AN6" s="62" t="s">
        <v>69</v>
      </c>
      <c r="AO6" s="63"/>
      <c r="AP6" s="61" t="s">
        <v>66</v>
      </c>
      <c r="AQ6" s="62" t="s">
        <v>69</v>
      </c>
      <c r="AR6" s="63"/>
      <c r="AS6" s="61" t="s">
        <v>66</v>
      </c>
      <c r="AT6" s="62" t="s">
        <v>69</v>
      </c>
      <c r="AU6" s="63"/>
    </row>
    <row r="7">
      <c r="A7" s="48" t="s">
        <v>38</v>
      </c>
      <c r="B7" s="4">
        <v>1110.0</v>
      </c>
      <c r="C7" s="4" t="s">
        <v>76</v>
      </c>
      <c r="D7" s="4" t="s">
        <v>77</v>
      </c>
      <c r="E7" s="64">
        <v>0.05</v>
      </c>
      <c r="F7" s="65">
        <f>43620*0.05</f>
        <v>2181</v>
      </c>
      <c r="G7" s="66">
        <f t="shared" ref="G7:G32" si="1">sum(M7,P7,S7,V7,Y7,AB7,AE7,AH7,AK7,AN7,AQ7,AT7)</f>
        <v>556.3085</v>
      </c>
      <c r="H7" s="68">
        <f t="shared" ref="H7:H32" si="2">iferror(G7/F7,0)</f>
        <v>0.2550703806</v>
      </c>
      <c r="I7" s="65"/>
      <c r="J7" s="71">
        <v>0.0</v>
      </c>
      <c r="K7" s="68">
        <v>0.0</v>
      </c>
      <c r="L7" s="65"/>
      <c r="M7" s="71">
        <v>0.0</v>
      </c>
      <c r="N7" s="68">
        <v>0.0</v>
      </c>
      <c r="O7" s="65"/>
      <c r="P7" s="71">
        <v>0.0</v>
      </c>
      <c r="Q7" s="68">
        <v>0.0</v>
      </c>
      <c r="R7" s="65"/>
      <c r="S7" s="71">
        <v>0.0</v>
      </c>
      <c r="T7" s="68">
        <v>0.0</v>
      </c>
      <c r="U7" s="65"/>
      <c r="V7" s="71">
        <v>0.0</v>
      </c>
      <c r="W7" s="68">
        <v>0.0</v>
      </c>
      <c r="X7" s="72"/>
      <c r="Y7" s="73">
        <f>IFERROR(__xludf.DUMMYFUNCTION("(IFERROR(SUM((filter('ILC1110'!$D:$D,MONTH('ILC1110'!$B:$B)=MONTH(Y$5),YEAR('ILC1110'!$B:$B)=YEAR(Y$5),'ILC1110'!$I:$I=""Fernando""))),0) + IFERROR(SUM((filter('ILC1110'!$D:$D,MONTH('ILC1110'!$B:$B)=MONTH(Y$5),YEAR('ILC1110'!$B:$B)=YEAR(Y$5),'ILC1110'!$I:"&amp;"$I=""Kremer""))),0) + IFERROR(SUM((filter('ILC1110'!$D:$D,MONTH('ILC1110'!$B:$B)=MONTH(Y$5),YEAR('ILC1110'!$B:$B)=YEAR(Y$5),'ILC1110'!$I:$I=""Fer""))),0))*$E7"),158.49800000000002)</f>
        <v>158.498</v>
      </c>
      <c r="Z7" s="74">
        <f t="shared" ref="Z7:Z10" si="3">iferror(Y7/X7,0)</f>
        <v>0</v>
      </c>
      <c r="AA7" s="75">
        <f>IFERROR(__xludf.DUMMYFUNCTION("(iferror(sum((filter(TO!$D:$D,month(TO!$B:$B)=month(AB$5),year(TO!$B:$B)=year(AB$5)))),0) )*(iferror(sum((filter(TO!$C:$C,month(TO!$B:$B)=month(AB$5),year(TO!$B:$B)=year(AB$5)))),0) )*(iferror(sum((filter(TO!$A:$A,month(TO!$B:$B)=month(AB$5),year(TO!$B:$B"&amp;")=year(AB$5)))),0) )*$E7"),155.601)</f>
        <v>155.601</v>
      </c>
      <c r="AB7" s="71">
        <f>IFERROR(__xludf.DUMMYFUNCTION("(IFERROR(SUM((filter('ILC1110'!$D:$D,MONTH('ILC1110'!$B:$B)=MONTH(AB$5),YEAR('ILC1110'!$B:$B)=YEAR(AB$5),'ILC1110'!$I:$I=""Fernando""))),0) + IFERROR(SUM((filter('ILC1110'!$D:$D,MONTH('ILC1110'!$B:$B)=MONTH(AB$5),YEAR('ILC1110'!$B:$B)=YEAR(AB$5),'ILC1110'"&amp;"!$I:$I=""Kremer""))),0) + IFERROR(SUM((filter('ILC1110'!$D:$D,MONTH('ILC1110'!$B:$B)=MONTH(AB$5),YEAR('ILC1110'!$B:$B)=YEAR(AB$5),'ILC1110'!$I:$I=""Fer""))),0))*$E7"),118.44100000000002)</f>
        <v>118.441</v>
      </c>
      <c r="AC7" s="68">
        <f t="shared" ref="AC7:AC32" si="4">iferror(AB7/AA7,0)</f>
        <v>0.7611840541</v>
      </c>
      <c r="AD7" s="75">
        <f>IFERROR(__xludf.DUMMYFUNCTION("(iferror(sum((filter(TO!$D:$D,month(TO!$B:$B)=month(AE$5),year(TO!$B:$B)=year(AE$5)))),0) )*(iferror(sum((filter(TO!$C:$C,month(TO!$B:$B)=month(AE$5),year(TO!$B:$B)=year(AE$5)))),0) )*(iferror(sum((filter(TO!$A:$A,month(TO!$B:$B)=month(AE$5),year(TO!$B:$B"&amp;")=year(AE$5)))),0) )*$E7"),256.116575)</f>
        <v>256.116575</v>
      </c>
      <c r="AE7" s="71">
        <f>IFERROR(__xludf.DUMMYFUNCTION("(IFERROR(SUM((filter('ILC1110'!$D:$D,MONTH('ILC1110'!$B:$B)=MONTH(AE$5),YEAR('ILC1110'!$B:$B)=YEAR(AE$5),'ILC1110'!$I:$I=""Fernando""))),0) + IFERROR(SUM((filter('ILC1110'!$D:$D,MONTH('ILC1110'!$B:$B)=MONTH(AE$5),YEAR('ILC1110'!$B:$B)=YEAR(AE$5),'ILC1110'"&amp;"!$I:$I=""Kremer""))),0) + IFERROR(SUM((filter('ILC1110'!$D:$D,MONTH('ILC1110'!$B:$B)=MONTH(AE$5),YEAR('ILC1110'!$B:$B)=YEAR(AE$5),'ILC1110'!$I:$I=""Fer""))),0))*$E7"),0.0)</f>
        <v>0</v>
      </c>
      <c r="AF7" s="68">
        <f t="shared" ref="AF7:AF32" si="5">iferror(AE7/AD7,0)</f>
        <v>0</v>
      </c>
      <c r="AG7" s="75">
        <f>IFERROR(__xludf.DUMMYFUNCTION("(iferror(sum((filter(TO!$D:$D,month(TO!$B:$B)=month(AH$5),year(TO!$B:$B)=year(AH$5)))),0) )*(iferror(sum((filter(TO!$C:$C,month(TO!$B:$B)=month(AH$5),year(TO!$B:$B)=year(AH$5)))),0) )*(iferror(sum((filter(TO!$A:$A,month(TO!$B:$B)=month(AH$5),year(TO!$B:$B"&amp;")=year(AH$5)))),0) )*$E7"),196.9647)</f>
        <v>196.9647</v>
      </c>
      <c r="AH7" s="71">
        <f>IFERROR(__xludf.DUMMYFUNCTION("(IFERROR(SUM((filter('ILC1110'!$D:$D,MONTH('ILC1110'!$B:$B)=MONTH(AH$5),YEAR('ILC1110'!$B:$B)=YEAR(AH$5),'ILC1110'!$I:$I=""Fernando""))),0) + IFERROR(SUM((filter('ILC1110'!$D:$D,MONTH('ILC1110'!$B:$B)=MONTH(AH$5),YEAR('ILC1110'!$B:$B)=YEAR(AH$5),'ILC1110'"&amp;"!$I:$I=""Kremer""))),0) + IFERROR(SUM((filter('ILC1110'!$D:$D,MONTH('ILC1110'!$B:$B)=MONTH(AH$5),YEAR('ILC1110'!$B:$B)=YEAR(AH$5),'ILC1110'!$I:$I=""Fer""))),0))*$E7"),181.0115)</f>
        <v>181.0115</v>
      </c>
      <c r="AI7" s="68">
        <f t="shared" ref="AI7:AI32" si="6">iferror(AH7/AG7,0)</f>
        <v>0.919004776</v>
      </c>
      <c r="AJ7" s="75">
        <f>IFERROR(__xludf.DUMMYFUNCTION("(iferror(sum((filter(TO!$D:$D,month(TO!$B:$B)=month(AK$5),year(TO!$B:$B)=year(AK$5)))),0) )*(iferror(sum((filter(TO!$C:$C,month(TO!$B:$B)=month(AK$5),year(TO!$B:$B)=year(AK$5)))),0) )*(iferror(sum((filter(TO!$A:$A,month(TO!$B:$B)=month(AK$5),year(TO!$B:$B"&amp;")=year(AK$5)))),0) )*$E7"),218.448)</f>
        <v>218.448</v>
      </c>
      <c r="AK7" s="71">
        <f>IFERROR(__xludf.DUMMYFUNCTION("(IFERROR(SUM((filter('ILC1110'!$D:$D,MONTH('ILC1110'!$B:$B)=MONTH(AK$5),YEAR('ILC1110'!$B:$B)=YEAR(AK$5),'ILC1110'!$I:$I=""Fernando""))),0) + IFERROR(SUM((filter('ILC1110'!$D:$D,MONTH('ILC1110'!$B:$B)=MONTH(AK$5),YEAR('ILC1110'!$B:$B)=YEAR(AK$5),'ILC1110'"&amp;"!$I:$I=""Kremer""))),0) + IFERROR(SUM((filter('ILC1110'!$D:$D,MONTH('ILC1110'!$B:$B)=MONTH(AK$5),YEAR('ILC1110'!$B:$B)=YEAR(AK$5),'ILC1110'!$I:$I=""Fer""))),0))*$E7"),98.358)</f>
        <v>98.358</v>
      </c>
      <c r="AL7" s="68">
        <f t="shared" ref="AL7:AL32" si="7">iferror(AK7/AJ7,0)</f>
        <v>0.450258185</v>
      </c>
      <c r="AM7" s="75">
        <f>IFERROR(__xludf.DUMMYFUNCTION("(iferror(sum((filter(TO!$D:$D,month(TO!$B:$B)=month(AN$5),year(TO!$B:$B)=year(AN$5)))),0) )*(iferror(sum((filter(TO!$C:$C,month(TO!$B:$B)=month(AN$5),year(TO!$B:$B)=year(AN$5)))),0) )*(iferror(sum((filter(TO!$A:$A,month(TO!$B:$B)=month(AN$5),year(TO!$B:$B"&amp;")=year(AN$5)))),0) )*$E7"),318.206475)</f>
        <v>318.206475</v>
      </c>
      <c r="AN7" s="71">
        <f>IFERROR(__xludf.DUMMYFUNCTION("(IFERROR(SUM((filter('ILC1110'!$D:$D,MONTH('ILC1110'!$B:$B)=MONTH(AN$5),YEAR('ILC1110'!$B:$B)=YEAR(AN$5),'ILC1110'!$I:$I=""Fernando""))),0) + IFERROR(SUM((filter('ILC1110'!$D:$D,MONTH('ILC1110'!$B:$B)=MONTH(AN$5),YEAR('ILC1110'!$B:$B)=YEAR(AN$5),'ILC1110'"&amp;"!$I:$I=""Kremer""))),0) + IFERROR(SUM((filter('ILC1110'!$D:$D,MONTH('ILC1110'!$B:$B)=MONTH(AN$5),YEAR('ILC1110'!$B:$B)=YEAR(AN$5),'ILC1110'!$I:$I=""Fer""))),0))*$E7"),0.0)</f>
        <v>0</v>
      </c>
      <c r="AO7" s="68">
        <f t="shared" ref="AO7:AO32" si="8">iferror(AN7/AM7,0)</f>
        <v>0</v>
      </c>
      <c r="AP7" s="75">
        <f>IFERROR(__xludf.DUMMYFUNCTION("(iferror(sum((filter(TO!$D:$D,month(TO!$B:$B)=month(AQ$5),year(TO!$B:$B)=year(AQ$5)))),0) )*(iferror(sum((filter(TO!$C:$C,month(TO!$B:$B)=month(AQ$5),year(TO!$B:$B)=year(AQ$5)))),0) )*(iferror(sum((filter(TO!$A:$A,month(TO!$B:$B)=month(AQ$5),year(TO!$B:$B"&amp;")=year(AQ$5)))),0) )*$E7"),380.60894999999994)</f>
        <v>380.60895</v>
      </c>
      <c r="AQ7" s="71">
        <f>IFERROR(__xludf.DUMMYFUNCTION("(IFERROR(SUM((filter('ILC1110'!$D:$D,MONTH('ILC1110'!$B:$B)=MONTH(AQ$5),YEAR('ILC1110'!$B:$B)=YEAR(AQ$5),'ILC1110'!$I:$I=""Fernando""))),0) + IFERROR(SUM((filter('ILC1110'!$D:$D,MONTH('ILC1110'!$B:$B)=MONTH(AQ$5),YEAR('ILC1110'!$B:$B)=YEAR(AQ$5),'ILC1110'"&amp;"!$I:$I=""Kremer""))),0) + IFERROR(SUM((filter('ILC1110'!$D:$D,MONTH('ILC1110'!$B:$B)=MONTH(AQ$5),YEAR('ILC1110'!$B:$B)=YEAR(AQ$5),'ILC1110'!$I:$I=""Fer""))),0))*$E7"),0.0)</f>
        <v>0</v>
      </c>
      <c r="AR7" s="68">
        <f t="shared" ref="AR7:AR32" si="9">iferror(AQ7/AP7,0)</f>
        <v>0</v>
      </c>
      <c r="AS7" s="75">
        <f>IFERROR(__xludf.DUMMYFUNCTION("(iferror(sum((filter(TO!$D:$D,month(TO!$B:$B)=month(AT$5),year(TO!$B:$B)=year(AT$5)))),0) )*(iferror(sum((filter(TO!$C:$C,month(TO!$B:$B)=month(AT$5),year(TO!$B:$B)=year(AT$5)))),0) )*(iferror(sum((filter(TO!$A:$A,month(TO!$B:$B)=month(AT$5),year(TO!$B:$B"&amp;")=year(AT$5)))),0) )*$E7"),654.8130000000001)</f>
        <v>654.813</v>
      </c>
      <c r="AT7" s="71">
        <f>IFERROR(__xludf.DUMMYFUNCTION("(IFERROR(SUM((filter('ILC1110'!$D:$D,MONTH('ILC1110'!$B:$B)=MONTH(AT$5),YEAR('ILC1110'!$B:$B)=YEAR(AT$5),'ILC1110'!$I:$I=""Fernando""))),0) + IFERROR(SUM((filter('ILC1110'!$D:$D,MONTH('ILC1110'!$B:$B)=MONTH(AT$5),YEAR('ILC1110'!$B:$B)=YEAR(AT$5),'ILC1110'"&amp;"!$I:$I=""Kremer""))),0) + IFERROR(SUM((filter('ILC1110'!$D:$D,MONTH('ILC1110'!$B:$B)=MONTH(AT$5),YEAR('ILC1110'!$B:$B)=YEAR(AT$5),'ILC1110'!$I:$I=""Fer""))),0))*$E7"),0.0)</f>
        <v>0</v>
      </c>
      <c r="AU7" s="68">
        <f t="shared" ref="AU7:AU32" si="10">iferror(AT7/AS7,0)</f>
        <v>0</v>
      </c>
    </row>
    <row r="8">
      <c r="A8" s="48" t="s">
        <v>41</v>
      </c>
      <c r="B8" s="4">
        <v>1111.0</v>
      </c>
      <c r="C8" s="4" t="s">
        <v>119</v>
      </c>
      <c r="D8" s="4" t="s">
        <v>120</v>
      </c>
      <c r="E8" s="64">
        <v>0.07</v>
      </c>
      <c r="F8" s="65">
        <f>43620*0.07</f>
        <v>3053.4</v>
      </c>
      <c r="G8" s="66">
        <f t="shared" si="1"/>
        <v>265.3532</v>
      </c>
      <c r="H8" s="68">
        <f t="shared" si="2"/>
        <v>0.0869041724</v>
      </c>
      <c r="I8" s="65"/>
      <c r="J8" s="71">
        <v>0.0</v>
      </c>
      <c r="K8" s="68">
        <v>0.0</v>
      </c>
      <c r="L8" s="65"/>
      <c r="M8" s="71">
        <v>0.0</v>
      </c>
      <c r="N8" s="68">
        <v>0.0</v>
      </c>
      <c r="O8" s="65"/>
      <c r="P8" s="71">
        <v>0.0</v>
      </c>
      <c r="Q8" s="68">
        <v>0.0</v>
      </c>
      <c r="R8" s="65"/>
      <c r="S8" s="71">
        <v>0.0</v>
      </c>
      <c r="T8" s="68">
        <v>0.0</v>
      </c>
      <c r="U8" s="65"/>
      <c r="V8" s="71">
        <v>0.0</v>
      </c>
      <c r="W8" s="68">
        <v>0.0</v>
      </c>
      <c r="X8" s="72"/>
      <c r="Y8" s="73">
        <f>IFERROR(__xludf.DUMMYFUNCTION("(IFERROR(SUM((filter('ILC1111'!$D:$D,MONTH('ILC1111'!$B:$B)=MONTH(Y$5),YEAR('ILC1111'!$B:$B)=YEAR(Y$5),'ILC1111'!$I:$I=""Fernando""))),0) + IFERROR(SUM((filter('ILC1111'!$D:$D,MONTH('ILC1111'!$B:$B)=MONTH(Y$5),YEAR('ILC1111'!$B:$B)=YEAR(Y$5),'ILC1111'!$I:"&amp;"$I=""Kremer""))),0) + IFERROR(SUM((filter('ILC1111'!$D:$D,MONTH('ILC1111'!$B:$B)=MONTH(Y$5),YEAR('ILC1111'!$B:$B)=YEAR(Y$5),'ILC1111'!$I:$I=""Fer""))),0))*$E8"),0.0)</f>
        <v>0</v>
      </c>
      <c r="Z8" s="74">
        <f t="shared" si="3"/>
        <v>0</v>
      </c>
      <c r="AA8" s="75">
        <f>IFERROR(__xludf.DUMMYFUNCTION("(iferror(sum((filter(TO!$D:$D,month(TO!$B:$B)=month(AB$5),year(TO!$B:$B)=year(AB$5)))),0) )*(iferror(sum((filter(TO!$C:$C,month(TO!$B:$B)=month(AB$5),year(TO!$B:$B)=year(AB$5)))),0) )*(iferror(sum((filter(TO!$A:$A,month(TO!$B:$B)=month(AB$5),year(TO!$B:$B"&amp;")=year(AB$5)))),0) )*$E8"),217.84140000000002)</f>
        <v>217.8414</v>
      </c>
      <c r="AB8" s="71">
        <f>IFERROR(__xludf.DUMMYFUNCTION("(IFERROR(SUM((filter('ILC1111'!$D:$D,MONTH('ILC1111'!$B:$B)=MONTH(AB$5),YEAR('ILC1111'!$B:$B)=YEAR(AB$5),'ILC1111'!$I:$I=""Fernando""))),0) + IFERROR(SUM((filter('ILC1111'!$D:$D,MONTH('ILC1111'!$B:$B)=MONTH(AB$5),YEAR('ILC1111'!$B:$B)=YEAR(AB$5),'ILC1111'"&amp;"!$I:$I=""Kremer""))),0) + IFERROR(SUM((filter('ILC1111'!$D:$D,MONTH('ILC1111'!$B:$B)=MONTH(AB$5),YEAR('ILC1111'!$B:$B)=YEAR(AB$5),'ILC1111'!$I:$I=""Fer""))),0))*$E8"),188.33196666666672)</f>
        <v>188.3319667</v>
      </c>
      <c r="AC8" s="68">
        <f t="shared" si="4"/>
        <v>0.8645370745</v>
      </c>
      <c r="AD8" s="75">
        <f>IFERROR(__xludf.DUMMYFUNCTION("(iferror(sum((filter(TO!$D:$D,month(TO!$B:$B)=month(AE$5),year(TO!$B:$B)=year(AE$5)))),0) )*(iferror(sum((filter(TO!$C:$C,month(TO!$B:$B)=month(AE$5),year(TO!$B:$B)=year(AE$5)))),0) )*(iferror(sum((filter(TO!$A:$A,month(TO!$B:$B)=month(AE$5),year(TO!$B:$B"&amp;")=year(AE$5)))),0) )*$E8"),358.56320500000004)</f>
        <v>358.563205</v>
      </c>
      <c r="AE8" s="71">
        <f>IFERROR(__xludf.DUMMYFUNCTION("(IFERROR(SUM((filter('ILC1111'!$D:$D,MONTH('ILC1111'!$B:$B)=MONTH(AE$5),YEAR('ILC1111'!$B:$B)=YEAR(AE$5),'ILC1111'!$I:$I=""Fernando""))),0) + IFERROR(SUM((filter('ILC1111'!$D:$D,MONTH('ILC1111'!$B:$B)=MONTH(AE$5),YEAR('ILC1111'!$B:$B)=YEAR(AE$5),'ILC1111'"&amp;"!$I:$I=""Kremer""))),0) + IFERROR(SUM((filter('ILC1111'!$D:$D,MONTH('ILC1111'!$B:$B)=MONTH(AE$5),YEAR('ILC1111'!$B:$B)=YEAR(AE$5),'ILC1111'!$I:$I=""Fer""))),0))*$E8"),17.065533333333335)</f>
        <v>17.06553333</v>
      </c>
      <c r="AF8" s="68">
        <f t="shared" si="5"/>
        <v>0.04759421239</v>
      </c>
      <c r="AG8" s="75">
        <f>IFERROR(__xludf.DUMMYFUNCTION("(iferror(sum((filter(TO!$D:$D,month(TO!$B:$B)=month(AH$5),year(TO!$B:$B)=year(AH$5)))),0) )*(iferror(sum((filter(TO!$C:$C,month(TO!$B:$B)=month(AH$5),year(TO!$B:$B)=year(AH$5)))),0) )*(iferror(sum((filter(TO!$A:$A,month(TO!$B:$B)=month(AH$5),year(TO!$B:$B"&amp;")=year(AH$5)))),0) )*$E8"),275.75058)</f>
        <v>275.75058</v>
      </c>
      <c r="AH8" s="71">
        <f>IFERROR(__xludf.DUMMYFUNCTION("(IFERROR(SUM((filter('ILC1111'!$D:$D,MONTH('ILC1111'!$B:$B)=MONTH(AH$5),YEAR('ILC1111'!$B:$B)=YEAR(AH$5),'ILC1111'!$I:$I=""Fernando""))),0) + IFERROR(SUM((filter('ILC1111'!$D:$D,MONTH('ILC1111'!$B:$B)=MONTH(AH$5),YEAR('ILC1111'!$B:$B)=YEAR(AH$5),'ILC1111'"&amp;"!$I:$I=""Kremer""))),0) + IFERROR(SUM((filter('ILC1111'!$D:$D,MONTH('ILC1111'!$B:$B)=MONTH(AH$5),YEAR('ILC1111'!$B:$B)=YEAR(AH$5),'ILC1111'!$I:$I=""Fer""))),0))*$E8"),0.0)</f>
        <v>0</v>
      </c>
      <c r="AI8" s="68">
        <f t="shared" si="6"/>
        <v>0</v>
      </c>
      <c r="AJ8" s="75">
        <f>IFERROR(__xludf.DUMMYFUNCTION("(iferror(sum((filter(TO!$D:$D,month(TO!$B:$B)=month(AK$5),year(TO!$B:$B)=year(AK$5)))),0) )*(iferror(sum((filter(TO!$C:$C,month(TO!$B:$B)=month(AK$5),year(TO!$B:$B)=year(AK$5)))),0) )*(iferror(sum((filter(TO!$A:$A,month(TO!$B:$B)=month(AK$5),year(TO!$B:$B"&amp;")=year(AK$5)))),0) )*$E8"),305.8272)</f>
        <v>305.8272</v>
      </c>
      <c r="AK8" s="71">
        <f>IFERROR(__xludf.DUMMYFUNCTION("(IFERROR(SUM((filter('ILC1111'!$D:$D,MONTH('ILC1111'!$B:$B)=MONTH(AK$5),YEAR('ILC1111'!$B:$B)=YEAR(AK$5),'ILC1111'!$I:$I=""Fernando""))),0) + IFERROR(SUM((filter('ILC1111'!$D:$D,MONTH('ILC1111'!$B:$B)=MONTH(AK$5),YEAR('ILC1111'!$B:$B)=YEAR(AK$5),'ILC1111'"&amp;"!$I:$I=""Kremer""))),0) + IFERROR(SUM((filter('ILC1111'!$D:$D,MONTH('ILC1111'!$B:$B)=MONTH(AK$5),YEAR('ILC1111'!$B:$B)=YEAR(AK$5),'ILC1111'!$I:$I=""Fer""))),0))*$E8"),59.95570000000001)</f>
        <v>59.9557</v>
      </c>
      <c r="AL8" s="68">
        <f t="shared" si="7"/>
        <v>0.1960443675</v>
      </c>
      <c r="AM8" s="75">
        <f>IFERROR(__xludf.DUMMYFUNCTION("(iferror(sum((filter(TO!$D:$D,month(TO!$B:$B)=month(AN$5),year(TO!$B:$B)=year(AN$5)))),0) )*(iferror(sum((filter(TO!$C:$C,month(TO!$B:$B)=month(AN$5),year(TO!$B:$B)=year(AN$5)))),0) )*(iferror(sum((filter(TO!$A:$A,month(TO!$B:$B)=month(AN$5),year(TO!$B:$B"&amp;")=year(AN$5)))),0) )*$E8"),445.48906500000004)</f>
        <v>445.489065</v>
      </c>
      <c r="AN8" s="71">
        <f>IFERROR(__xludf.DUMMYFUNCTION("(IFERROR(SUM((filter('ILC1111'!$D:$D,MONTH('ILC1111'!$B:$B)=MONTH(AN$5),YEAR('ILC1111'!$B:$B)=YEAR(AN$5),'ILC1111'!$I:$I=""Fernando""))),0) + IFERROR(SUM((filter('ILC1111'!$D:$D,MONTH('ILC1111'!$B:$B)=MONTH(AN$5),YEAR('ILC1111'!$B:$B)=YEAR(AN$5),'ILC1111'"&amp;"!$I:$I=""Kremer""))),0) + IFERROR(SUM((filter('ILC1111'!$D:$D,MONTH('ILC1111'!$B:$B)=MONTH(AN$5),YEAR('ILC1111'!$B:$B)=YEAR(AN$5),'ILC1111'!$I:$I=""Fer""))),0))*$E8"),0.0)</f>
        <v>0</v>
      </c>
      <c r="AO8" s="68">
        <f t="shared" si="8"/>
        <v>0</v>
      </c>
      <c r="AP8" s="75">
        <f>IFERROR(__xludf.DUMMYFUNCTION("(iferror(sum((filter(TO!$D:$D,month(TO!$B:$B)=month(AQ$5),year(TO!$B:$B)=year(AQ$5)))),0) )*(iferror(sum((filter(TO!$C:$C,month(TO!$B:$B)=month(AQ$5),year(TO!$B:$B)=year(AQ$5)))),0) )*(iferror(sum((filter(TO!$A:$A,month(TO!$B:$B)=month(AQ$5),year(TO!$B:$B"&amp;")=year(AQ$5)))),0) )*$E8"),532.8525299999999)</f>
        <v>532.85253</v>
      </c>
      <c r="AQ8" s="71">
        <f>IFERROR(__xludf.DUMMYFUNCTION("(IFERROR(SUM((filter('ILC1111'!$D:$D,MONTH('ILC1111'!$B:$B)=MONTH(AQ$5),YEAR('ILC1111'!$B:$B)=YEAR(AQ$5),'ILC1111'!$I:$I=""Fernando""))),0) + IFERROR(SUM((filter('ILC1111'!$D:$D,MONTH('ILC1111'!$B:$B)=MONTH(AQ$5),YEAR('ILC1111'!$B:$B)=YEAR(AQ$5),'ILC1111'"&amp;"!$I:$I=""Kremer""))),0) + IFERROR(SUM((filter('ILC1111'!$D:$D,MONTH('ILC1111'!$B:$B)=MONTH(AQ$5),YEAR('ILC1111'!$B:$B)=YEAR(AQ$5),'ILC1111'!$I:$I=""Fer""))),0))*$E8"),0.0)</f>
        <v>0</v>
      </c>
      <c r="AR8" s="68">
        <f t="shared" si="9"/>
        <v>0</v>
      </c>
      <c r="AS8" s="75">
        <f>IFERROR(__xludf.DUMMYFUNCTION("(iferror(sum((filter(TO!$D:$D,month(TO!$B:$B)=month(AT$5),year(TO!$B:$B)=year(AT$5)))),0) )*(iferror(sum((filter(TO!$C:$C,month(TO!$B:$B)=month(AT$5),year(TO!$B:$B)=year(AT$5)))),0) )*(iferror(sum((filter(TO!$A:$A,month(TO!$B:$B)=month(AT$5),year(TO!$B:$B"&amp;")=year(AT$5)))),0) )*$E8"),916.7382000000001)</f>
        <v>916.7382</v>
      </c>
      <c r="AT8" s="71">
        <f>IFERROR(__xludf.DUMMYFUNCTION("(IFERROR(SUM((filter('ILC1111'!$D:$D,MONTH('ILC1111'!$B:$B)=MONTH(AT$5),YEAR('ILC1111'!$B:$B)=YEAR(AT$5),'ILC1111'!$I:$I=""Fernando""))),0) + IFERROR(SUM((filter('ILC1111'!$D:$D,MONTH('ILC1111'!$B:$B)=MONTH(AT$5),YEAR('ILC1111'!$B:$B)=YEAR(AT$5),'ILC1111'"&amp;"!$I:$I=""Kremer""))),0) + IFERROR(SUM((filter('ILC1111'!$D:$D,MONTH('ILC1111'!$B:$B)=MONTH(AT$5),YEAR('ILC1111'!$B:$B)=YEAR(AT$5),'ILC1111'!$I:$I=""Fer""))),0))*$E8"),0.0)</f>
        <v>0</v>
      </c>
      <c r="AU8" s="68">
        <f t="shared" si="10"/>
        <v>0</v>
      </c>
    </row>
    <row r="9">
      <c r="A9" s="48" t="s">
        <v>42</v>
      </c>
      <c r="B9" s="4">
        <v>1112.0</v>
      </c>
      <c r="C9" s="4" t="s">
        <v>76</v>
      </c>
      <c r="D9" s="4" t="s">
        <v>77</v>
      </c>
      <c r="E9" s="64">
        <v>0.05</v>
      </c>
      <c r="F9" s="65">
        <f>43620*0.05</f>
        <v>2181</v>
      </c>
      <c r="G9" s="66">
        <f t="shared" si="1"/>
        <v>604.006</v>
      </c>
      <c r="H9" s="68">
        <f t="shared" si="2"/>
        <v>0.2769399358</v>
      </c>
      <c r="I9" s="75"/>
      <c r="J9" s="79">
        <v>0.0</v>
      </c>
      <c r="K9" s="68">
        <v>0.0</v>
      </c>
      <c r="L9" s="75"/>
      <c r="M9" s="79">
        <v>0.0</v>
      </c>
      <c r="N9" s="68">
        <v>0.0</v>
      </c>
      <c r="O9" s="75"/>
      <c r="P9" s="79">
        <v>0.0</v>
      </c>
      <c r="Q9" s="68">
        <v>0.0</v>
      </c>
      <c r="R9" s="75"/>
      <c r="S9" s="71">
        <v>0.0</v>
      </c>
      <c r="T9" s="68">
        <v>0.0</v>
      </c>
      <c r="U9" s="75"/>
      <c r="V9" s="71">
        <v>0.0</v>
      </c>
      <c r="W9" s="68">
        <v>0.0</v>
      </c>
      <c r="X9" s="80"/>
      <c r="Y9" s="81">
        <f>IFERROR(__xludf.DUMMYFUNCTION("(IFERROR(SUM((filter('ILC1112'!$D:$D,MONTH('ILC1112'!$B:$B)=MONTH(Y$5),YEAR('ILC1112'!$B:$B)=YEAR(Y$5),'ILC1112'!$I:$I=""Fernando""))),0) + IFERROR(SUM((filter('ILC1112'!$D:$D,MONTH('ILC1112'!$B:$B)=MONTH(Y$5),YEAR('ILC1112'!$B:$B)=YEAR(Y$5),'ILC1112'!$I:"&amp;"$I=""Kremer""))),0) + IFERROR(SUM((filter('ILC1112'!$D:$D,MONTH('ILC1112'!$B:$B)=MONTH(Y$5),YEAR('ILC1112'!$B:$B)=YEAR(Y$5),'ILC1112'!$I:$I=""Fer""))),0))*$E9"),200.0625)</f>
        <v>200.0625</v>
      </c>
      <c r="Z9" s="74">
        <f t="shared" si="3"/>
        <v>0</v>
      </c>
      <c r="AA9" s="75">
        <f>IFERROR(__xludf.DUMMYFUNCTION("(iferror(sum((filter(TO!$D:$D,month(TO!$B:$B)=month(AB$5),year(TO!$B:$B)=year(AB$5)))),0) )*(iferror(sum((filter(TO!$C:$C,month(TO!$B:$B)=month(AB$5),year(TO!$B:$B)=year(AB$5)))),0) )*(iferror(sum((filter(TO!$A:$A,month(TO!$B:$B)=month(AB$5),year(TO!$B:$B"&amp;")=year(AB$5)))),0) )*$E9"),155.601)</f>
        <v>155.601</v>
      </c>
      <c r="AB9" s="79">
        <f>IFERROR(__xludf.DUMMYFUNCTION("(IFERROR(SUM((filter('ILC1112'!$D:$D,MONTH('ILC1112'!$B:$B)=MONTH(AB$5),YEAR('ILC1112'!$B:$B)=YEAR(AB$5),'ILC1112'!$I:$I=""Fernando""))),0) + IFERROR(SUM((filter('ILC1112'!$D:$D,MONTH('ILC1112'!$B:$B)=MONTH(AB$5),YEAR('ILC1112'!$B:$B)=YEAR(AB$5),'ILC1112'"&amp;"!$I:$I=""Kremer""))),0) + IFERROR(SUM((filter('ILC1112'!$D:$D,MONTH('ILC1112'!$B:$B)=MONTH(AB$5),YEAR('ILC1112'!$B:$B)=YEAR(AB$5),'ILC1112'!$I:$I=""Fer""))),0))*$E9"),115.6725)</f>
        <v>115.6725</v>
      </c>
      <c r="AC9" s="68">
        <f t="shared" si="4"/>
        <v>0.743391752</v>
      </c>
      <c r="AD9" s="75">
        <f>IFERROR(__xludf.DUMMYFUNCTION("(iferror(sum((filter(TO!$D:$D,month(TO!$B:$B)=month(AE$5),year(TO!$B:$B)=year(AE$5)))),0) )*(iferror(sum((filter(TO!$C:$C,month(TO!$B:$B)=month(AE$5),year(TO!$B:$B)=year(AE$5)))),0) )*(iferror(sum((filter(TO!$A:$A,month(TO!$B:$B)=month(AE$5),year(TO!$B:$B"&amp;")=year(AE$5)))),0) )*$E9"),256.116575)</f>
        <v>256.116575</v>
      </c>
      <c r="AE9" s="79">
        <f>IFERROR(__xludf.DUMMYFUNCTION("(IFERROR(SUM((filter('ILC1112'!$D:$D,MONTH('ILC1112'!$B:$B)=MONTH(AE$5),YEAR('ILC1112'!$B:$B)=YEAR(AE$5),'ILC1112'!$I:$I=""Fernando""))),0) + IFERROR(SUM((filter('ILC1112'!$D:$D,MONTH('ILC1112'!$B:$B)=MONTH(AE$5),YEAR('ILC1112'!$B:$B)=YEAR(AE$5),'ILC1112'"&amp;"!$I:$I=""Kremer""))),0) + IFERROR(SUM((filter('ILC1112'!$D:$D,MONTH('ILC1112'!$B:$B)=MONTH(AE$5),YEAR('ILC1112'!$B:$B)=YEAR(AE$5),'ILC1112'!$I:$I=""Fer""))),0))*$E9"),115.708)</f>
        <v>115.708</v>
      </c>
      <c r="AF9" s="68">
        <f t="shared" si="5"/>
        <v>0.4517786481</v>
      </c>
      <c r="AG9" s="75">
        <f>IFERROR(__xludf.DUMMYFUNCTION("(iferror(sum((filter(TO!$D:$D,month(TO!$B:$B)=month(AH$5),year(TO!$B:$B)=year(AH$5)))),0) )*(iferror(sum((filter(TO!$C:$C,month(TO!$B:$B)=month(AH$5),year(TO!$B:$B)=year(AH$5)))),0) )*(iferror(sum((filter(TO!$A:$A,month(TO!$B:$B)=month(AH$5),year(TO!$B:$B"&amp;")=year(AH$5)))),0) )*$E9"),196.9647)</f>
        <v>196.9647</v>
      </c>
      <c r="AH9" s="79">
        <f>IFERROR(__xludf.DUMMYFUNCTION("(IFERROR(SUM((filter('ILC1112'!$D:$D,MONTH('ILC1112'!$B:$B)=MONTH(AH$5),YEAR('ILC1112'!$B:$B)=YEAR(AH$5),'ILC1112'!$I:$I=""Fernando""))),0) + IFERROR(SUM((filter('ILC1112'!$D:$D,MONTH('ILC1112'!$B:$B)=MONTH(AH$5),YEAR('ILC1112'!$B:$B)=YEAR(AH$5),'ILC1112'"&amp;"!$I:$I=""Kremer""))),0) + IFERROR(SUM((filter('ILC1112'!$D:$D,MONTH('ILC1112'!$B:$B)=MONTH(AH$5),YEAR('ILC1112'!$B:$B)=YEAR(AH$5),'ILC1112'!$I:$I=""Fer""))),0))*$E9"),94.575)</f>
        <v>94.575</v>
      </c>
      <c r="AI9" s="68">
        <f t="shared" si="6"/>
        <v>0.4801621813</v>
      </c>
      <c r="AJ9" s="75">
        <f>IFERROR(__xludf.DUMMYFUNCTION("(iferror(sum((filter(TO!$D:$D,month(TO!$B:$B)=month(AK$5),year(TO!$B:$B)=year(AK$5)))),0) )*(iferror(sum((filter(TO!$C:$C,month(TO!$B:$B)=month(AK$5),year(TO!$B:$B)=year(AK$5)))),0) )*(iferror(sum((filter(TO!$A:$A,month(TO!$B:$B)=month(AK$5),year(TO!$B:$B"&amp;")=year(AK$5)))),0) )*$E9"),218.448)</f>
        <v>218.448</v>
      </c>
      <c r="AK9" s="79">
        <f>IFERROR(__xludf.DUMMYFUNCTION("(IFERROR(SUM((filter('ILC1112'!$D:$D,MONTH('ILC1112'!$B:$B)=MONTH(AK$5),YEAR('ILC1112'!$B:$B)=YEAR(AK$5),'ILC1112'!$I:$I=""Fernando""))),0) + IFERROR(SUM((filter('ILC1112'!$D:$D,MONTH('ILC1112'!$B:$B)=MONTH(AK$5),YEAR('ILC1112'!$B:$B)=YEAR(AK$5),'ILC1112'"&amp;"!$I:$I=""Kremer""))),0) + IFERROR(SUM((filter('ILC1112'!$D:$D,MONTH('ILC1112'!$B:$B)=MONTH(AK$5),YEAR('ILC1112'!$B:$B)=YEAR(AK$5),'ILC1112'!$I:$I=""Fer""))),0))*$E9"),77.988)</f>
        <v>77.988</v>
      </c>
      <c r="AL9" s="68">
        <f t="shared" si="7"/>
        <v>0.3570094485</v>
      </c>
      <c r="AM9" s="75">
        <f>IFERROR(__xludf.DUMMYFUNCTION("(iferror(sum((filter(TO!$D:$D,month(TO!$B:$B)=month(AN$5),year(TO!$B:$B)=year(AN$5)))),0) )*(iferror(sum((filter(TO!$C:$C,month(TO!$B:$B)=month(AN$5),year(TO!$B:$B)=year(AN$5)))),0) )*(iferror(sum((filter(TO!$A:$A,month(TO!$B:$B)=month(AN$5),year(TO!$B:$B"&amp;")=year(AN$5)))),0) )*$E9"),318.206475)</f>
        <v>318.206475</v>
      </c>
      <c r="AN9" s="79">
        <f>IFERROR(__xludf.DUMMYFUNCTION("(IFERROR(SUM((filter('ILC1112'!$D:$D,MONTH('ILC1112'!$B:$B)=MONTH(AN$5),YEAR('ILC1112'!$B:$B)=YEAR(AN$5),'ILC1112'!$I:$I=""Fernando""))),0) + IFERROR(SUM((filter('ILC1112'!$D:$D,MONTH('ILC1112'!$B:$B)=MONTH(AN$5),YEAR('ILC1112'!$B:$B)=YEAR(AN$5),'ILC1112'"&amp;"!$I:$I=""Kremer""))),0) + IFERROR(SUM((filter('ILC1112'!$D:$D,MONTH('ILC1112'!$B:$B)=MONTH(AN$5),YEAR('ILC1112'!$B:$B)=YEAR(AN$5),'ILC1112'!$I:$I=""Fer""))),0))*$E9"),0.0)</f>
        <v>0</v>
      </c>
      <c r="AO9" s="68">
        <f t="shared" si="8"/>
        <v>0</v>
      </c>
      <c r="AP9" s="75">
        <f>IFERROR(__xludf.DUMMYFUNCTION("(iferror(sum((filter(TO!$D:$D,month(TO!$B:$B)=month(AQ$5),year(TO!$B:$B)=year(AQ$5)))),0) )*(iferror(sum((filter(TO!$C:$C,month(TO!$B:$B)=month(AQ$5),year(TO!$B:$B)=year(AQ$5)))),0) )*(iferror(sum((filter(TO!$A:$A,month(TO!$B:$B)=month(AQ$5),year(TO!$B:$B"&amp;")=year(AQ$5)))),0) )*$E9"),380.60894999999994)</f>
        <v>380.60895</v>
      </c>
      <c r="AQ9" s="79">
        <f>IFERROR(__xludf.DUMMYFUNCTION("(IFERROR(SUM((filter('ILC1112'!$D:$D,MONTH('ILC1112'!$B:$B)=MONTH(AQ$5),YEAR('ILC1112'!$B:$B)=YEAR(AQ$5),'ILC1112'!$I:$I=""Fernando""))),0) + IFERROR(SUM((filter('ILC1112'!$D:$D,MONTH('ILC1112'!$B:$B)=MONTH(AQ$5),YEAR('ILC1112'!$B:$B)=YEAR(AQ$5),'ILC1112'"&amp;"!$I:$I=""Kremer""))),0) + IFERROR(SUM((filter('ILC1112'!$D:$D,MONTH('ILC1112'!$B:$B)=MONTH(AQ$5),YEAR('ILC1112'!$B:$B)=YEAR(AQ$5),'ILC1112'!$I:$I=""Fer""))),0))*$E9"),0.0)</f>
        <v>0</v>
      </c>
      <c r="AR9" s="68">
        <f t="shared" si="9"/>
        <v>0</v>
      </c>
      <c r="AS9" s="75">
        <f>IFERROR(__xludf.DUMMYFUNCTION("(iferror(sum((filter(TO!$D:$D,month(TO!$B:$B)=month(AT$5),year(TO!$B:$B)=year(AT$5)))),0) )*(iferror(sum((filter(TO!$C:$C,month(TO!$B:$B)=month(AT$5),year(TO!$B:$B)=year(AT$5)))),0) )*(iferror(sum((filter(TO!$A:$A,month(TO!$B:$B)=month(AT$5),year(TO!$B:$B"&amp;")=year(AT$5)))),0) )*$E9"),654.8130000000001)</f>
        <v>654.813</v>
      </c>
      <c r="AT9" s="79">
        <f>IFERROR(__xludf.DUMMYFUNCTION("(IFERROR(SUM((filter('ILC1112'!$D:$D,MONTH('ILC1112'!$B:$B)=MONTH(AT$5),YEAR('ILC1112'!$B:$B)=YEAR(AT$5),'ILC1112'!$I:$I=""Fernando""))),0) + IFERROR(SUM((filter('ILC1112'!$D:$D,MONTH('ILC1112'!$B:$B)=MONTH(AT$5),YEAR('ILC1112'!$B:$B)=YEAR(AT$5),'ILC1112'"&amp;"!$I:$I=""Kremer""))),0) + IFERROR(SUM((filter('ILC1112'!$D:$D,MONTH('ILC1112'!$B:$B)=MONTH(AT$5),YEAR('ILC1112'!$B:$B)=YEAR(AT$5),'ILC1112'!$I:$I=""Fer""))),0))*$E9"),0.0)</f>
        <v>0</v>
      </c>
      <c r="AU9" s="68">
        <f t="shared" si="10"/>
        <v>0</v>
      </c>
    </row>
    <row r="10">
      <c r="A10" s="48" t="s">
        <v>45</v>
      </c>
      <c r="B10" s="4">
        <v>1211.0</v>
      </c>
      <c r="C10" s="4" t="s">
        <v>71</v>
      </c>
      <c r="D10" s="64"/>
      <c r="E10" s="83">
        <v>0.1</v>
      </c>
      <c r="F10" s="65">
        <f>(($G$1*$E$10) -2086-1572)</f>
        <v>6342</v>
      </c>
      <c r="G10" s="66">
        <f t="shared" si="1"/>
        <v>2706.642</v>
      </c>
      <c r="H10" s="68">
        <f t="shared" si="2"/>
        <v>0.4267805109</v>
      </c>
      <c r="I10" s="75"/>
      <c r="J10" s="79">
        <f>IFERROR(__xludf.DUMMYFUNCTION("(IFERROR(SUM((filter('ILC1211'!$D:$D,MONTH('ILC1211'!$B:$B)=MONTH(J$5),YEAR('ILC1211'!$B:$B)=YEAR(J$5),'ILC1211'!$I:$I=""Fernando""))),0) + IFERROR(SUM((filter('ILC1211'!$D:$D,MONTH('ILC1211'!$B:$B)=MONTH(J$5),YEAR('ILC1211'!$B:$B)=YEAR(J$5),'ILC1211'!$I:"&amp;"$I=""Kremer""))),0) + IFERROR(SUM((filter('ILC1211'!$D:$D,MONTH('ILC1211'!$B:$B)=MONTH(J$5),YEAR('ILC1211'!$B:$B)=YEAR(J$5),'ILC1211'!$I:$I=""Fer""))),0))*$E10"),0.0)</f>
        <v>0</v>
      </c>
      <c r="K10" s="68">
        <f>iferror(J10/I10,0)</f>
        <v>0</v>
      </c>
      <c r="L10" s="75"/>
      <c r="M10" s="79">
        <v>0.0</v>
      </c>
      <c r="N10" s="68">
        <f>iferror(M10/L10,0)</f>
        <v>0</v>
      </c>
      <c r="O10" s="75"/>
      <c r="P10" s="71">
        <v>0.0</v>
      </c>
      <c r="Q10" s="68">
        <f>iferror(P10/O10,0)</f>
        <v>0</v>
      </c>
      <c r="R10" s="75">
        <f>IFERROR(__xludf.DUMMYFUNCTION("(iferror(sum((filter(TO!$D:$D,month(TO!$B:$B)=month(S$5),year(TO!$B:$B)=year(S$5)))),0) )*(iferror(sum((filter(TO!$C:$C,month(TO!$B:$B)=month(S$5),year(TO!$B:$B)=year(S$5)))),0) )*(iferror(sum((filter(TO!$A:$A,month(TO!$B:$B)=month(S$5),year(TO!$B:$B)=yea"&amp;"r(S$5)))),0) )*$E10"),761.6712400000001)</f>
        <v>761.67124</v>
      </c>
      <c r="S10" s="71">
        <f>IFERROR(__xludf.DUMMYFUNCTION("(iferror(sum((filter('ILC1211'!$D:$D,month('ILC1211'!$B:$B)=month(S$5),year('ILC1211'!$B:$B)=year(S$5),'ILC1211'!$I:$I=""Fernando""))),0) + iferror(sum((filter('ILC1211'!$D:$D,month('ILC1211'!$B:$B)=month(S$5),year('ILC1211'!$B:$B)=year(S$5),'ILC1211'!$I:"&amp;"$I=""Kremer""))),0) + iferror(sum((filter('ILC1211'!$D:$D,month('ILC1211'!$B:$B)=month(S$5),year('ILC1211'!$B:$B)=year(S$5),'ILC1211'!$I:$I=""Fer""))),0))*$E10"),1135.0940000000005)</f>
        <v>1135.094</v>
      </c>
      <c r="T10" s="68">
        <f>iferror(S10/R10,0)</f>
        <v>1.490267638</v>
      </c>
      <c r="U10" s="75">
        <f>IFERROR(__xludf.DUMMYFUNCTION("(iferror(sum((filter(TO!$D:$D,month(TO!$B:$B)=month(V$5),year(TO!$B:$B)=year(V$5)))),0) )*(iferror(sum((filter(TO!$C:$C,month(TO!$B:$B)=month(V$5),year(TO!$B:$B)=year(V$5)))),0) )*(iferror(sum((filter(TO!$A:$A,month(TO!$B:$B)=month(V$5),year(TO!$B:$B)=yea"&amp;"r(V$5)))),0) )*$E10"),565.3032000000001)</f>
        <v>565.3032</v>
      </c>
      <c r="V10" s="71">
        <f>IFERROR(__xludf.DUMMYFUNCTION("(iferror(sum((filter('ILC1211'!$D:$D,month('ILC1211'!$B:$B)=month(V$5),year('ILC1211'!$B:$B)=year(V$5),'ILC1211'!$I:$I=""Fernando""))),0) + iferror(sum((filter('ILC1211'!$D:$D,month('ILC1211'!$B:$B)=month(V$5),year('ILC1211'!$B:$B)=year(V$5),'ILC1211'!$I:"&amp;"$I=""Kremer""))),0) + iferror(sum((filter('ILC1211'!$D:$D,month('ILC1211'!$B:$B)=month(V$5),year('ILC1211'!$B:$B)=year(V$5),'ILC1211'!$I:$I=""Fer""))),0))*$E10"),698.548)</f>
        <v>698.548</v>
      </c>
      <c r="W10" s="68">
        <f>iferror(V10/U10,0)</f>
        <v>1.235705016</v>
      </c>
      <c r="X10" s="80">
        <f>IFERROR(__xludf.DUMMYFUNCTION("(iferror(sum((filter(TO!$D:$D,month(TO!$B:$B)=month(Y$5),year(TO!$B:$B)=year(Y$5)))),0) )*(iferror(sum((filter(TO!$C:$C,month(TO!$B:$B)=month(Y$5),year(TO!$B:$B)=year(Y$5)))),0) )*(iferror(sum((filter(TO!$A:$A,month(TO!$B:$B)=month(Y$5),year(TO!$B:$B)=yea"&amp;"r(Y$5)))),0) )*$E10"),655.8775400000001)</f>
        <v>655.87754</v>
      </c>
      <c r="Y10" s="81">
        <f>IFERROR(__xludf.DUMMYFUNCTION("(IFERROR(SUM((filter('ILC1211'!$D:$D,MONTH('ILC1211'!$B:$B)=MONTH(Y$5),YEAR('ILC1211'!$B:$B)=YEAR(Y$5),'ILC1211'!$I:$I=""Fernando""))),0) + IFERROR(SUM((filter('ILC1211'!$D:$D,MONTH('ILC1211'!$B:$B)=MONTH(Y$5),YEAR('ILC1211'!$B:$B)=YEAR(Y$5),'ILC1211'!$I:"&amp;"$I=""Kremer""))),0) + IFERROR(SUM((filter('ILC1211'!$D:$D,MONTH('ILC1211'!$B:$B)=MONTH(Y$5),YEAR('ILC1211'!$B:$B)=YEAR(Y$5),'ILC1211'!$I:$I=""Fer""))),0))*$E10"),475.29999999999995)</f>
        <v>475.3</v>
      </c>
      <c r="Z10" s="74">
        <f t="shared" si="3"/>
        <v>0.7246779635</v>
      </c>
      <c r="AA10" s="75">
        <f>IFERROR(__xludf.DUMMYFUNCTION("(iferror(sum((filter(TO!$D:$D,month(TO!$B:$B)=month(AB$5),year(TO!$B:$B)=year(AB$5)))),0) )*(iferror(sum((filter(TO!$C:$C,month(TO!$B:$B)=month(AB$5),year(TO!$B:$B)=year(AB$5)))),0) )*(iferror(sum((filter(TO!$A:$A,month(TO!$B:$B)=month(AB$5),year(TO!$B:$B"&amp;")=year(AB$5)))),0) )*$E10"),311.202)</f>
        <v>311.202</v>
      </c>
      <c r="AB10" s="79">
        <f>IFERROR(__xludf.DUMMYFUNCTION("(IFERROR(SUM((filter('ILC1211'!$D:$D,MONTH('ILC1211'!$B:$B)=MONTH(AB$5),YEAR('ILC1211'!$B:$B)=YEAR(AB$5),'ILC1211'!$I:$I=""Fernando""))),0) + IFERROR(SUM((filter('ILC1211'!$D:$D,MONTH('ILC1211'!$B:$B)=MONTH(AB$5),YEAR('ILC1211'!$B:$B)=YEAR(AB$5),'ILC1211'"&amp;"!$I:$I=""Kremer""))),0) + IFERROR(SUM((filter('ILC1211'!$D:$D,MONTH('ILC1211'!$B:$B)=MONTH(AB$5),YEAR('ILC1211'!$B:$B)=YEAR(AB$5),'ILC1211'!$I:$I=""Fer""))),0))*$E10"),169.75)</f>
        <v>169.75</v>
      </c>
      <c r="AC10" s="68">
        <f t="shared" si="4"/>
        <v>0.5454656461</v>
      </c>
      <c r="AD10" s="75">
        <f>IFERROR(__xludf.DUMMYFUNCTION("(iferror(sum((filter(TO!$D:$D,month(TO!$B:$B)=month(AE$5),year(TO!$B:$B)=year(AE$5)))),0) )*(iferror(sum((filter(TO!$C:$C,month(TO!$B:$B)=month(AE$5),year(TO!$B:$B)=year(AE$5)))),0) )*(iferror(sum((filter(TO!$A:$A,month(TO!$B:$B)=month(AE$5),year(TO!$B:$B"&amp;")=year(AE$5)))),0) )*$E10"),512.23315)</f>
        <v>512.23315</v>
      </c>
      <c r="AE10" s="79">
        <f>IFERROR(__xludf.DUMMYFUNCTION("(IFERROR(SUM((filter('ILC1211'!$D:$D,MONTH('ILC1211'!$B:$B)=MONTH(AE$5),YEAR('ILC1211'!$B:$B)=YEAR(AE$5),'ILC1211'!$I:$I=""Fernando""))),0) + IFERROR(SUM((filter('ILC1211'!$D:$D,MONTH('ILC1211'!$B:$B)=MONTH(AE$5),YEAR('ILC1211'!$B:$B)=YEAR(AE$5),'ILC1211'"&amp;"!$I:$I=""Kremer""))),0) + IFERROR(SUM((filter('ILC1211'!$D:$D,MONTH('ILC1211'!$B:$B)=MONTH(AE$5),YEAR('ILC1211'!$B:$B)=YEAR(AE$5),'ILC1211'!$I:$I=""Fer""))),0))*$E10"),0.0)</f>
        <v>0</v>
      </c>
      <c r="AF10" s="68">
        <f t="shared" si="5"/>
        <v>0</v>
      </c>
      <c r="AG10" s="75">
        <f>IFERROR(__xludf.DUMMYFUNCTION("(iferror(sum((filter(TO!$D:$D,month(TO!$B:$B)=month(AH$5),year(TO!$B:$B)=year(AH$5)))),0) )*(iferror(sum((filter(TO!$C:$C,month(TO!$B:$B)=month(AH$5),year(TO!$B:$B)=year(AH$5)))),0) )*(iferror(sum((filter(TO!$A:$A,month(TO!$B:$B)=month(AH$5),year(TO!$B:$B"&amp;")=year(AH$5)))),0) )*$E10"),393.9294)</f>
        <v>393.9294</v>
      </c>
      <c r="AH10" s="79">
        <f>IFERROR(__xludf.DUMMYFUNCTION("(IFERROR(SUM((filter('ILC1211'!$D:$D,MONTH('ILC1211'!$B:$B)=MONTH(AH$5),YEAR('ILC1211'!$B:$B)=YEAR(AH$5),'ILC1211'!$I:$I=""Fernando""))),0) + IFERROR(SUM((filter('ILC1211'!$D:$D,MONTH('ILC1211'!$B:$B)=MONTH(AH$5),YEAR('ILC1211'!$B:$B)=YEAR(AH$5),'ILC1211'"&amp;"!$I:$I=""Kremer""))),0) + IFERROR(SUM((filter('ILC1211'!$D:$D,MONTH('ILC1211'!$B:$B)=MONTH(AH$5),YEAR('ILC1211'!$B:$B)=YEAR(AH$5),'ILC1211'!$I:$I=""Fer""))),0))*$E10"),0.0)</f>
        <v>0</v>
      </c>
      <c r="AI10" s="68">
        <f t="shared" si="6"/>
        <v>0</v>
      </c>
      <c r="AJ10" s="75">
        <f>IFERROR(__xludf.DUMMYFUNCTION("(iferror(sum((filter(TO!$D:$D,month(TO!$B:$B)=month(AK$5),year(TO!$B:$B)=year(AK$5)))),0) )*(iferror(sum((filter(TO!$C:$C,month(TO!$B:$B)=month(AK$5),year(TO!$B:$B)=year(AK$5)))),0) )*(iferror(sum((filter(TO!$A:$A,month(TO!$B:$B)=month(AK$5),year(TO!$B:$B"&amp;")=year(AK$5)))),0) )*$E10"),436.896)</f>
        <v>436.896</v>
      </c>
      <c r="AK10" s="79">
        <f>IFERROR(__xludf.DUMMYFUNCTION("(IFERROR(SUM((filter('ILC1211'!$D:$D,MONTH('ILC1211'!$B:$B)=MONTH(AK$5),YEAR('ILC1211'!$B:$B)=YEAR(AK$5),'ILC1211'!$I:$I=""Fernando""))),0) + IFERROR(SUM((filter('ILC1211'!$D:$D,MONTH('ILC1211'!$B:$B)=MONTH(AK$5),YEAR('ILC1211'!$B:$B)=YEAR(AK$5),'ILC1211'"&amp;"!$I:$I=""Kremer""))),0) + IFERROR(SUM((filter('ILC1211'!$D:$D,MONTH('ILC1211'!$B:$B)=MONTH(AK$5),YEAR('ILC1211'!$B:$B)=YEAR(AK$5),'ILC1211'!$I:$I=""Fer""))),0))*$E10"),0.0)</f>
        <v>0</v>
      </c>
      <c r="AL10" s="68">
        <f t="shared" si="7"/>
        <v>0</v>
      </c>
      <c r="AM10" s="75">
        <f>IFERROR(__xludf.DUMMYFUNCTION("(iferror(sum((filter(TO!$D:$D,month(TO!$B:$B)=month(AN$5),year(TO!$B:$B)=year(AN$5)))),0) )*(iferror(sum((filter(TO!$C:$C,month(TO!$B:$B)=month(AN$5),year(TO!$B:$B)=year(AN$5)))),0) )*(iferror(sum((filter(TO!$A:$A,month(TO!$B:$B)=month(AN$5),year(TO!$B:$B"&amp;")=year(AN$5)))),0) )*$E10"),636.41295)</f>
        <v>636.41295</v>
      </c>
      <c r="AN10" s="79">
        <f>IFERROR(__xludf.DUMMYFUNCTION("(IFERROR(SUM((filter('ILC1211'!$D:$D,MONTH('ILC1211'!$B:$B)=MONTH(AN$5),YEAR('ILC1211'!$B:$B)=YEAR(AN$5),'ILC1211'!$I:$I=""Fernando""))),0) + IFERROR(SUM((filter('ILC1211'!$D:$D,MONTH('ILC1211'!$B:$B)=MONTH(AN$5),YEAR('ILC1211'!$B:$B)=YEAR(AN$5),'ILC1211'"&amp;"!$I:$I=""Kremer""))),0) + IFERROR(SUM((filter('ILC1211'!$D:$D,MONTH('ILC1211'!$B:$B)=MONTH(AN$5),YEAR('ILC1211'!$B:$B)=YEAR(AN$5),'ILC1211'!$I:$I=""Fer""))),0))*$E10"),0.0)</f>
        <v>0</v>
      </c>
      <c r="AO10" s="68">
        <f t="shared" si="8"/>
        <v>0</v>
      </c>
      <c r="AP10" s="75">
        <f>IFERROR(__xludf.DUMMYFUNCTION("(iferror(sum((filter(TO!$D:$D,month(TO!$B:$B)=month(AQ$5),year(TO!$B:$B)=year(AQ$5)))),0) )*(iferror(sum((filter(TO!$C:$C,month(TO!$B:$B)=month(AQ$5),year(TO!$B:$B)=year(AQ$5)))),0) )*(iferror(sum((filter(TO!$A:$A,month(TO!$B:$B)=month(AQ$5),year(TO!$B:$B"&amp;")=year(AQ$5)))),0) )*$E10"),761.2178999999999)</f>
        <v>761.2179</v>
      </c>
      <c r="AQ10" s="79">
        <f>IFERROR(__xludf.DUMMYFUNCTION("(IFERROR(SUM((filter('ILC1211'!$D:$D,MONTH('ILC1211'!$B:$B)=MONTH(AQ$5),YEAR('ILC1211'!$B:$B)=YEAR(AQ$5),'ILC1211'!$I:$I=""Fernando""))),0) + IFERROR(SUM((filter('ILC1211'!$D:$D,MONTH('ILC1211'!$B:$B)=MONTH(AQ$5),YEAR('ILC1211'!$B:$B)=YEAR(AQ$5),'ILC1211'"&amp;"!$I:$I=""Kremer""))),0) + IFERROR(SUM((filter('ILC1211'!$D:$D,MONTH('ILC1211'!$B:$B)=MONTH(AQ$5),YEAR('ILC1211'!$B:$B)=YEAR(AQ$5),'ILC1211'!$I:$I=""Fer""))),0))*$E10"),0.0)</f>
        <v>0</v>
      </c>
      <c r="AR10" s="68">
        <f t="shared" si="9"/>
        <v>0</v>
      </c>
      <c r="AS10" s="75">
        <f>IFERROR(__xludf.DUMMYFUNCTION("(iferror(sum((filter(TO!$D:$D,month(TO!$B:$B)=month(AT$5),year(TO!$B:$B)=year(AT$5)))),0) )*(iferror(sum((filter(TO!$C:$C,month(TO!$B:$B)=month(AT$5),year(TO!$B:$B)=year(AT$5)))),0) )*(iferror(sum((filter(TO!$A:$A,month(TO!$B:$B)=month(AT$5),year(TO!$B:$B"&amp;")=year(AT$5)))),0) )*$E10"),1309.6260000000002)</f>
        <v>1309.626</v>
      </c>
      <c r="AT10" s="79">
        <f>IFERROR(__xludf.DUMMYFUNCTION("(IFERROR(SUM((filter('ILC1211'!$D:$D,MONTH('ILC1211'!$B:$B)=MONTH(AT$5),YEAR('ILC1211'!$B:$B)=YEAR(AT$5),'ILC1211'!$I:$I=""Fernando""))),0) + IFERROR(SUM((filter('ILC1211'!$D:$D,MONTH('ILC1211'!$B:$B)=MONTH(AT$5),YEAR('ILC1211'!$B:$B)=YEAR(AT$5),'ILC1211'"&amp;"!$I:$I=""Kremer""))),0) + IFERROR(SUM((filter('ILC1211'!$D:$D,MONTH('ILC1211'!$B:$B)=MONTH(AT$5),YEAR('ILC1211'!$B:$B)=YEAR(AT$5),'ILC1211'!$I:$I=""Fer""))),0))*$E10"),227.95000000000002)</f>
        <v>227.95</v>
      </c>
      <c r="AU10" s="68">
        <f t="shared" si="10"/>
        <v>0.1740573263</v>
      </c>
    </row>
    <row r="11">
      <c r="A11" s="48" t="s">
        <v>47</v>
      </c>
      <c r="B11" s="4">
        <v>1213.0</v>
      </c>
      <c r="C11" s="4" t="s">
        <v>89</v>
      </c>
      <c r="D11" s="4"/>
      <c r="E11" s="83">
        <v>0.05</v>
      </c>
      <c r="F11" s="65">
        <f>(($G$1*$E$11) +(-2086-1572-762-565-656)/2)</f>
        <v>2179.5</v>
      </c>
      <c r="G11" s="66">
        <f t="shared" si="1"/>
        <v>66.9785</v>
      </c>
      <c r="H11" s="68">
        <f t="shared" si="2"/>
        <v>0.03073113099</v>
      </c>
      <c r="I11" s="65"/>
      <c r="J11" s="71">
        <f>IFERROR(__xludf.DUMMYFUNCTION("(iferror(sum((filter('ILC1213'!$D:$D,month('ILC1213'!$B:$B)=month(J$5),year('ILC1213'!$B:$B)=year(J$5),'ILC1213'!$I:$I=""Fernando""))),0) + iferror(sum((filter('ILC1213'!$D:$D,month('ILC1213'!$B:$B)=month(J$5),year('ILC1213'!$B:$B)=year(J$5),'ILC1213'!$I:"&amp;"$I=""Kremer""))),0) + iferror(sum((filter('ILC1213'!$D:$D,month('ILC1213'!$B:$B)=month(J$5),year('ILC1213'!$B:$B)=year(J$5),'ILC1213'!$I:$I=""Fer""))),0))*$E11"),0.0)</f>
        <v>0</v>
      </c>
      <c r="K11" s="91">
        <v>0.0</v>
      </c>
      <c r="L11" s="65"/>
      <c r="M11" s="71">
        <v>0.0</v>
      </c>
      <c r="N11" s="91">
        <v>0.0</v>
      </c>
      <c r="O11" s="65"/>
      <c r="P11" s="71">
        <v>0.0</v>
      </c>
      <c r="Q11" s="91">
        <v>0.0</v>
      </c>
      <c r="R11" s="65"/>
      <c r="S11" s="71">
        <v>0.0</v>
      </c>
      <c r="T11" s="91">
        <v>0.0</v>
      </c>
      <c r="U11" s="65"/>
      <c r="V11" s="71">
        <f>IFERROR(__xludf.DUMMYFUNCTION("(iferror(sum((filter('ILC1213'!$D:$D,month('ILC1213'!$B:$B)=month(V$5),year('ILC1213'!$B:$B)=year(V$5),'ILC1213'!$I:$I=""Fernando""))),0) + iferror(sum((filter('ILC1213'!$D:$D,month('ILC1213'!$B:$B)=month(V$5),year('ILC1213'!$B:$B)=year(V$5),'ILC1213'!$I:"&amp;"$I=""Kremer""))),0) + iferror(sum((filter('ILC1213'!$D:$D,month('ILC1213'!$B:$B)=month(V$5),year('ILC1213'!$B:$B)=year(V$5),'ILC1213'!$I:$I=""Fer""))),0))*$E11"),0.0)</f>
        <v>0</v>
      </c>
      <c r="W11" s="91">
        <v>0.0</v>
      </c>
      <c r="X11" s="72"/>
      <c r="Y11" s="73">
        <f>IFERROR(__xludf.DUMMYFUNCTION("(iferror(sum((filter('ILC1213'!$D:$D,month('ILC1213'!$B:$B)=month(Y$5),year('ILC1213'!$B:$B)=year(Y$5),'ILC1213'!$I:$I=""Fernando""))),0) + iferror(sum((filter('ILC1213'!$D:$D,month('ILC1213'!$B:$B)=month(Y$5),year('ILC1213'!$B:$B)=year(Y$5),'ILC1213'!$I:"&amp;"$I=""Kremer""))),0) + iferror(sum((filter('ILC1213'!$D:$D,month('ILC1213'!$B:$B)=month(Y$5),year('ILC1213'!$B:$B)=year(Y$5),'ILC1213'!$I:$I=""Fer""))),0))*$E11"),0.0)</f>
        <v>0</v>
      </c>
      <c r="Z11" s="94">
        <v>0.0</v>
      </c>
      <c r="AA11" s="75">
        <f>IFERROR(__xludf.DUMMYFUNCTION("(iferror(sum((filter(TO!$D:$D,month(TO!$B:$B)=month(AB$5),year(TO!$B:$B)=year(AB$5)))),0) )*(iferror(sum((filter(TO!$C:$C,month(TO!$B:$B)=month(AB$5),year(TO!$B:$B)=year(AB$5)))),0) )*(iferror(sum((filter(TO!$A:$A,month(TO!$B:$B)=month(AB$5),year(TO!$B:$B"&amp;")=year(AB$5)))),0) )*$E11"),155.601)</f>
        <v>155.601</v>
      </c>
      <c r="AB11" s="71">
        <f>IFERROR(__xludf.DUMMYFUNCTION("(iferror(sum((filter('ILC1213'!$D:$D,month('ILC1213'!$B:$B)=month(AB$5),year('ILC1213'!$B:$B)=year(AB$5),'ILC1213'!$I:$I=""Fernando""))),0) + iferror(sum((filter('ILC1213'!$D:$D,month('ILC1213'!$B:$B)=month(AB$5),year('ILC1213'!$B:$B)=year(AB$5),'ILC1213'"&amp;"!$I:$I=""Kremer""))),0) + iferror(sum((filter('ILC1213'!$D:$D,month('ILC1213'!$B:$B)=month(AB$5),year('ILC1213'!$B:$B)=year(AB$5),'ILC1213'!$I:$I=""Fer""))),0))*$E11"),24.153000000000002)</f>
        <v>24.153</v>
      </c>
      <c r="AC11" s="68">
        <f t="shared" si="4"/>
        <v>0.1552239381</v>
      </c>
      <c r="AD11" s="75">
        <f>IFERROR(__xludf.DUMMYFUNCTION("(iferror(sum((filter(TO!$D:$D,month(TO!$B:$B)=month(AE$5),year(TO!$B:$B)=year(AE$5)))),0) )*(iferror(sum((filter(TO!$C:$C,month(TO!$B:$B)=month(AE$5),year(TO!$B:$B)=year(AE$5)))),0) )*(iferror(sum((filter(TO!$A:$A,month(TO!$B:$B)=month(AE$5),year(TO!$B:$B"&amp;")=year(AE$5)))),0) )*$E11"),256.116575)</f>
        <v>256.116575</v>
      </c>
      <c r="AE11" s="71">
        <f>IFERROR(__xludf.DUMMYFUNCTION("(iferror(sum((filter('ILC1213'!$D:$D,month('ILC1213'!$B:$B)=month(AE$5),year('ILC1213'!$B:$B)=year(AE$5),'ILC1213'!$I:$I=""Fernando""))),0) + iferror(sum((filter('ILC1213'!$D:$D,month('ILC1213'!$B:$B)=month(AE$5),year('ILC1213'!$B:$B)=year(AE$5),'ILC1213'"&amp;"!$I:$I=""Kremer""))),0) + iferror(sum((filter('ILC1213'!$D:$D,month('ILC1213'!$B:$B)=month(AE$5),year('ILC1213'!$B:$B)=year(AE$5),'ILC1213'!$I:$I=""Fer""))),0))*$E11"),0.0)</f>
        <v>0</v>
      </c>
      <c r="AF11" s="68">
        <f t="shared" si="5"/>
        <v>0</v>
      </c>
      <c r="AG11" s="75">
        <f>IFERROR(__xludf.DUMMYFUNCTION("(iferror(sum((filter(TO!$D:$D,month(TO!$B:$B)=month(AH$5),year(TO!$B:$B)=year(AH$5)))),0) )*(iferror(sum((filter(TO!$C:$C,month(TO!$B:$B)=month(AH$5),year(TO!$B:$B)=year(AH$5)))),0) )*(iferror(sum((filter(TO!$A:$A,month(TO!$B:$B)=month(AH$5),year(TO!$B:$B"&amp;")=year(AH$5)))),0) )*$E11"),196.9647)</f>
        <v>196.9647</v>
      </c>
      <c r="AH11" s="71">
        <f>IFERROR(__xludf.DUMMYFUNCTION("(iferror(sum((filter('ILC1213'!$D:$D,month('ILC1213'!$B:$B)=month(AH$5),year('ILC1213'!$B:$B)=year(AH$5),'ILC1213'!$I:$I=""Fernando""))),0) + iferror(sum((filter('ILC1213'!$D:$D,month('ILC1213'!$B:$B)=month(AH$5),year('ILC1213'!$B:$B)=year(AH$5),'ILC1213'"&amp;"!$I:$I=""Kremer""))),0) + iferror(sum((filter('ILC1213'!$D:$D,month('ILC1213'!$B:$B)=month(AH$5),year('ILC1213'!$B:$B)=year(AH$5),'ILC1213'!$I:$I=""Fer""))),0))*$E11"),0.0)</f>
        <v>0</v>
      </c>
      <c r="AI11" s="68">
        <f t="shared" si="6"/>
        <v>0</v>
      </c>
      <c r="AJ11" s="75">
        <f>IFERROR(__xludf.DUMMYFUNCTION("(iferror(sum((filter(TO!$D:$D,month(TO!$B:$B)=month(AK$5),year(TO!$B:$B)=year(AK$5)))),0) )*(iferror(sum((filter(TO!$C:$C,month(TO!$B:$B)=month(AK$5),year(TO!$B:$B)=year(AK$5)))),0) )*(iferror(sum((filter(TO!$A:$A,month(TO!$B:$B)=month(AK$5),year(TO!$B:$B"&amp;")=year(AK$5)))),0) )*$E11"),218.448)</f>
        <v>218.448</v>
      </c>
      <c r="AK11" s="71">
        <f>IFERROR(__xludf.DUMMYFUNCTION("(iferror(sum((filter('ILC1213'!$D:$D,month('ILC1213'!$B:$B)=month(AK$5),year('ILC1213'!$B:$B)=year(AK$5),'ILC1213'!$I:$I=""Fernando""))),0) + iferror(sum((filter('ILC1213'!$D:$D,month('ILC1213'!$B:$B)=month(AK$5),year('ILC1213'!$B:$B)=year(AK$5),'ILC1213'"&amp;"!$I:$I=""Kremer""))),0) + iferror(sum((filter('ILC1213'!$D:$D,month('ILC1213'!$B:$B)=month(AK$5),year('ILC1213'!$B:$B)=year(AK$5),'ILC1213'!$I:$I=""Fer""))),0))*$E11"),42.825500000000005)</f>
        <v>42.8255</v>
      </c>
      <c r="AL11" s="68">
        <f t="shared" si="7"/>
        <v>0.1960443675</v>
      </c>
      <c r="AM11" s="75">
        <f>IFERROR(__xludf.DUMMYFUNCTION("(iferror(sum((filter(TO!$D:$D,month(TO!$B:$B)=month(AN$5),year(TO!$B:$B)=year(AN$5)))),0) )*(iferror(sum((filter(TO!$C:$C,month(TO!$B:$B)=month(AN$5),year(TO!$B:$B)=year(AN$5)))),0) )*(iferror(sum((filter(TO!$A:$A,month(TO!$B:$B)=month(AN$5),year(TO!$B:$B"&amp;")=year(AN$5)))),0) )*$E11"),318.206475)</f>
        <v>318.206475</v>
      </c>
      <c r="AN11" s="71">
        <f>IFERROR(__xludf.DUMMYFUNCTION("(iferror(sum((filter('ILC1213'!$D:$D,month('ILC1213'!$B:$B)=month(AN$5),year('ILC1213'!$B:$B)=year(AN$5),'ILC1213'!$I:$I=""Fernando""))),0) + iferror(sum((filter('ILC1213'!$D:$D,month('ILC1213'!$B:$B)=month(AN$5),year('ILC1213'!$B:$B)=year(AN$5),'ILC1213'"&amp;"!$I:$I=""Kremer""))),0) + iferror(sum((filter('ILC1213'!$D:$D,month('ILC1213'!$B:$B)=month(AN$5),year('ILC1213'!$B:$B)=year(AN$5),'ILC1213'!$I:$I=""Fer""))),0))*$E11"),0.0)</f>
        <v>0</v>
      </c>
      <c r="AO11" s="68">
        <f t="shared" si="8"/>
        <v>0</v>
      </c>
      <c r="AP11" s="75">
        <f>IFERROR(__xludf.DUMMYFUNCTION("(iferror(sum((filter(TO!$D:$D,month(TO!$B:$B)=month(AQ$5),year(TO!$B:$B)=year(AQ$5)))),0) )*(iferror(sum((filter(TO!$C:$C,month(TO!$B:$B)=month(AQ$5),year(TO!$B:$B)=year(AQ$5)))),0) )*(iferror(sum((filter(TO!$A:$A,month(TO!$B:$B)=month(AQ$5),year(TO!$B:$B"&amp;")=year(AQ$5)))),0) )*$E11"),380.60894999999994)</f>
        <v>380.60895</v>
      </c>
      <c r="AQ11" s="71">
        <f>IFERROR(__xludf.DUMMYFUNCTION("(iferror(sum((filter('ILC1213'!$D:$D,month('ILC1213'!$B:$B)=month(AQ$5),year('ILC1213'!$B:$B)=year(AQ$5),'ILC1213'!$I:$I=""Fernando""))),0) + iferror(sum((filter('ILC1213'!$D:$D,month('ILC1213'!$B:$B)=month(AQ$5),year('ILC1213'!$B:$B)=year(AQ$5),'ILC1213'"&amp;"!$I:$I=""Kremer""))),0) + iferror(sum((filter('ILC1213'!$D:$D,month('ILC1213'!$B:$B)=month(AQ$5),year('ILC1213'!$B:$B)=year(AQ$5),'ILC1213'!$I:$I=""Fer""))),0))*$E11"),0.0)</f>
        <v>0</v>
      </c>
      <c r="AR11" s="68">
        <f t="shared" si="9"/>
        <v>0</v>
      </c>
      <c r="AS11" s="75">
        <f>IFERROR(__xludf.DUMMYFUNCTION("(iferror(sum((filter(TO!$D:$D,month(TO!$B:$B)=month(AT$5),year(TO!$B:$B)=year(AT$5)))),0) )*(iferror(sum((filter(TO!$C:$C,month(TO!$B:$B)=month(AT$5),year(TO!$B:$B)=year(AT$5)))),0) )*(iferror(sum((filter(TO!$A:$A,month(TO!$B:$B)=month(AT$5),year(TO!$B:$B"&amp;")=year(AT$5)))),0) )*$E11"),654.8130000000001)</f>
        <v>654.813</v>
      </c>
      <c r="AT11" s="71">
        <f>IFERROR(__xludf.DUMMYFUNCTION("(iferror(sum((filter('ILC1213'!$D:$D,month('ILC1213'!$B:$B)=month(AT$5),year('ILC1213'!$B:$B)=year(AT$5),'ILC1213'!$I:$I=""Fernando""))),0) + iferror(sum((filter('ILC1213'!$D:$D,month('ILC1213'!$B:$B)=month(AT$5),year('ILC1213'!$B:$B)=year(AT$5),'ILC1213'"&amp;"!$I:$I=""Kremer""))),0) + iferror(sum((filter('ILC1213'!$D:$D,month('ILC1213'!$B:$B)=month(AT$5),year('ILC1213'!$B:$B)=year(AT$5),'ILC1213'!$I:$I=""Fer""))),0))*$E11"),0.0)</f>
        <v>0</v>
      </c>
      <c r="AU11" s="68">
        <f t="shared" si="10"/>
        <v>0</v>
      </c>
    </row>
    <row r="12">
      <c r="A12" s="48" t="s">
        <v>51</v>
      </c>
      <c r="B12" s="4">
        <v>1314.0</v>
      </c>
      <c r="C12" s="4" t="s">
        <v>90</v>
      </c>
      <c r="D12" s="4" t="s">
        <v>143</v>
      </c>
      <c r="E12" s="83">
        <v>0.05</v>
      </c>
      <c r="F12" s="65">
        <f>(($G$1*$E$12) +(-2086-1572-762-565-656)/2)</f>
        <v>2179.5</v>
      </c>
      <c r="G12" s="66">
        <f t="shared" si="1"/>
        <v>327.49</v>
      </c>
      <c r="H12" s="68">
        <f t="shared" si="2"/>
        <v>0.1502592338</v>
      </c>
      <c r="I12" s="65"/>
      <c r="J12" s="71">
        <f>IFERROR(__xludf.DUMMYFUNCTION("(iferror(sum((filter('ILC1314'!$D:$D,month('ILC1314'!$B:$B)=month(J$5),year('ILC1314'!$B:$B)=year(J$5),'ILC1314'!$I:$I=""Fernando""))),0) + iferror(sum((filter('ILC1314'!$D:$D,month('ILC1314'!$B:$B)=month(J$5),year('ILC1314'!$B:$B)=year(J$5),'ILC1314'!$I:"&amp;"$I=""Kremer""))),0)+iferror(sum((filter('ILC1314'!$D:$D,month('ILC1314'!$B:$B)=month(J$5),year('ILC1314'!$B:$B)=year(J$5),'ILC1314'!$I:$I=""Fer""))),0))*$E$12"),0.0)</f>
        <v>0</v>
      </c>
      <c r="K12" s="68">
        <f t="shared" ref="K12:K32" si="11">iferror(J12/I12,0)</f>
        <v>0</v>
      </c>
      <c r="L12" s="65"/>
      <c r="M12" s="71">
        <v>0.0</v>
      </c>
      <c r="N12" s="68">
        <f t="shared" ref="N12:N32" si="12">iferror(M12/L12,0)</f>
        <v>0</v>
      </c>
      <c r="O12" s="65"/>
      <c r="P12" s="71">
        <v>0.0</v>
      </c>
      <c r="Q12" s="68">
        <f t="shared" ref="Q12:Q32" si="13">iferror(P12/O12,0)</f>
        <v>0</v>
      </c>
      <c r="R12" s="65"/>
      <c r="S12" s="71">
        <f>IFERROR(__xludf.DUMMYFUNCTION("(iferror(sum((filter('ILC1314'!$D:$D,month('ILC1314'!$B:$B)=month(S$5),year('ILC1314'!$B:$B)=year(S$5),'ILC1314'!$I:$I=""Fernando""))),0) + iferror(sum((filter('ILC1314'!$D:$D,month('ILC1314'!$B:$B)=month(S$5),year('ILC1314'!$B:$B)=year(S$5),'ILC1314'!$I:"&amp;"$I=""Kremer""))),0)+iferror(sum((filter('ILC1314'!$D:$D,month('ILC1314'!$B:$B)=month(S$5),year('ILC1314'!$B:$B)=year(S$5),'ILC1314'!$I:$I=""Fer""))),0))*$E$12"),249.25)</f>
        <v>249.25</v>
      </c>
      <c r="T12" s="68">
        <f t="shared" ref="T12:T32" si="14">iferror(S12/R12,0)</f>
        <v>0</v>
      </c>
      <c r="U12" s="65"/>
      <c r="V12" s="71">
        <f>IFERROR(__xludf.DUMMYFUNCTION("(iferror(sum((filter('ILC1314'!$D:$D,month('ILC1314'!$B:$B)=month(V$5),year('ILC1314'!$B:$B)=year(V$5),'ILC1314'!$I:$I=""Fernando""))),0) + iferror(sum((filter('ILC1314'!$D:$D,month('ILC1314'!$B:$B)=month(V$5),year('ILC1314'!$B:$B)=year(V$5),'ILC1314'!$I:"&amp;"$I=""Kremer""))),0)+iferror(sum((filter('ILC1314'!$D:$D,month('ILC1314'!$B:$B)=month(V$5),year('ILC1314'!$B:$B)=year(V$5),'ILC1314'!$I:$I=""Fer""))),0))*$E$12"),0.0)</f>
        <v>0</v>
      </c>
      <c r="W12" s="68">
        <f t="shared" ref="W12:W32" si="15">iferror(V12/U12,0)</f>
        <v>0</v>
      </c>
      <c r="X12" s="72"/>
      <c r="Y12" s="73">
        <f>IFERROR(__xludf.DUMMYFUNCTION("(iferror(sum((filter('ILC1314'!$D:$D,month('ILC1314'!$B:$B)=month(Y$5),year('ILC1314'!$B:$B)=year(Y$5),'ILC1314'!$I:$I=""Fernando""))),0) + iferror(sum((filter('ILC1314'!$D:$D,month('ILC1314'!$B:$B)=month(Y$5),year('ILC1314'!$B:$B)=year(Y$5),'ILC1314'!$I:"&amp;"$I=""Kremer""))),0)+iferror(sum((filter('ILC1314'!$D:$D,month('ILC1314'!$B:$B)=month(Y$5),year('ILC1314'!$B:$B)=year(Y$5),'ILC1314'!$I:$I=""Fer""))),0))*$E$12"),0.0)</f>
        <v>0</v>
      </c>
      <c r="Z12" s="74">
        <f t="shared" ref="Z12:Z32" si="16">iferror(Y12/X12,0)</f>
        <v>0</v>
      </c>
      <c r="AA12" s="75">
        <f>IFERROR(__xludf.DUMMYFUNCTION("(iferror(sum((filter(TO!$D:$D,month(TO!$B:$B)=month(AB$5),year(TO!$B:$B)=year(AB$5)))),0) )*(iferror(sum((filter(TO!$C:$C,month(TO!$B:$B)=month(AB$5),year(TO!$B:$B)=year(AB$5)))),0) )*(iferror(sum((filter(TO!$A:$A,month(TO!$B:$B)=month(AB$5),year(TO!$B:$B"&amp;")=year(AB$5)))),0) )*$E12"),155.601)</f>
        <v>155.601</v>
      </c>
      <c r="AB12" s="71">
        <f>IFERROR(__xludf.DUMMYFUNCTION("(iferror(sum((filter('ILC1314'!$D:$D,month('ILC1314'!$B:$B)=month(AB$5),year('ILC1314'!$B:$B)=year(AB$5),'ILC1314'!$I:$I=""Fernando""))),0) + iferror(sum((filter('ILC1314'!$D:$D,month('ILC1314'!$B:$B)=month(AB$5),year('ILC1314'!$B:$B)=year(AB$5),'ILC1314'"&amp;"!$I:$I=""Kremer""))),0)+iferror(sum((filter('ILC1314'!$D:$D,month('ILC1314'!$B:$B)=month(AB$5),year('ILC1314'!$B:$B)=year(AB$5),'ILC1314'!$I:$I=""Fer""))),0))*$E$12"),52.050000000000004)</f>
        <v>52.05</v>
      </c>
      <c r="AC12" s="68">
        <f t="shared" si="4"/>
        <v>0.3345094183</v>
      </c>
      <c r="AD12" s="75">
        <f>IFERROR(__xludf.DUMMYFUNCTION("(iferror(sum((filter(TO!$D:$D,month(TO!$B:$B)=month(AE$5),year(TO!$B:$B)=year(AE$5)))),0) )*(iferror(sum((filter(TO!$C:$C,month(TO!$B:$B)=month(AE$5),year(TO!$B:$B)=year(AE$5)))),0) )*(iferror(sum((filter(TO!$A:$A,month(TO!$B:$B)=month(AE$5),year(TO!$B:$B"&amp;")=year(AE$5)))),0) )*$E12"),256.116575)</f>
        <v>256.116575</v>
      </c>
      <c r="AE12" s="71">
        <f>IFERROR(__xludf.DUMMYFUNCTION("(iferror(sum((filter('ILC1314'!$D:$D,month('ILC1314'!$B:$B)=month(AE$5),year('ILC1314'!$B:$B)=year(AE$5),'ILC1314'!$I:$I=""Fernando""))),0) + iferror(sum((filter('ILC1314'!$D:$D,month('ILC1314'!$B:$B)=month(AE$5),year('ILC1314'!$B:$B)=year(AE$5),'ILC1314'"&amp;"!$I:$I=""Kremer""))),0)+iferror(sum((filter('ILC1314'!$D:$D,month('ILC1314'!$B:$B)=month(AE$5),year('ILC1314'!$B:$B)=year(AE$5),'ILC1314'!$I:$I=""Fer""))),0))*$E$12"),0.0)</f>
        <v>0</v>
      </c>
      <c r="AF12" s="68">
        <f t="shared" si="5"/>
        <v>0</v>
      </c>
      <c r="AG12" s="75">
        <f>IFERROR(__xludf.DUMMYFUNCTION("(iferror(sum((filter(TO!$D:$D,month(TO!$B:$B)=month(AH$5),year(TO!$B:$B)=year(AH$5)))),0) )*(iferror(sum((filter(TO!$C:$C,month(TO!$B:$B)=month(AH$5),year(TO!$B:$B)=year(AH$5)))),0) )*(iferror(sum((filter(TO!$A:$A,month(TO!$B:$B)=month(AH$5),year(TO!$B:$B"&amp;")=year(AH$5)))),0) )*$E12"),196.9647)</f>
        <v>196.9647</v>
      </c>
      <c r="AH12" s="71">
        <f>IFERROR(__xludf.DUMMYFUNCTION("(iferror(sum((filter('ILC1314'!$D:$D,month('ILC1314'!$B:$B)=month(AH$5),year('ILC1314'!$B:$B)=year(AH$5),'ILC1314'!$I:$I=""Fernando""))),0) + iferror(sum((filter('ILC1314'!$D:$D,month('ILC1314'!$B:$B)=month(AH$5),year('ILC1314'!$B:$B)=year(AH$5),'ILC1314'"&amp;"!$I:$I=""Kremer""))),0)+iferror(sum((filter('ILC1314'!$D:$D,month('ILC1314'!$B:$B)=month(AH$5),year('ILC1314'!$B:$B)=year(AH$5),'ILC1314'!$I:$I=""Fer""))),0))*$E$12"),0.0)</f>
        <v>0</v>
      </c>
      <c r="AI12" s="68">
        <f t="shared" si="6"/>
        <v>0</v>
      </c>
      <c r="AJ12" s="75">
        <f>IFERROR(__xludf.DUMMYFUNCTION("(iferror(sum((filter(TO!$D:$D,month(TO!$B:$B)=month(AK$5),year(TO!$B:$B)=year(AK$5)))),0) )*(iferror(sum((filter(TO!$C:$C,month(TO!$B:$B)=month(AK$5),year(TO!$B:$B)=year(AK$5)))),0) )*(iferror(sum((filter(TO!$A:$A,month(TO!$B:$B)=month(AK$5),year(TO!$B:$B"&amp;")=year(AK$5)))),0) )*$E12"),218.448)</f>
        <v>218.448</v>
      </c>
      <c r="AK12" s="71">
        <f>IFERROR(__xludf.DUMMYFUNCTION("(iferror(sum((filter('ILC1314'!$D:$D,month('ILC1314'!$B:$B)=month(AK$5),year('ILC1314'!$B:$B)=year(AK$5),'ILC1314'!$I:$I=""Fernando""))),0) + iferror(sum((filter('ILC1314'!$D:$D,month('ILC1314'!$B:$B)=month(AK$5),year('ILC1314'!$B:$B)=year(AK$5),'ILC1314'"&amp;"!$I:$I=""Kremer""))),0)+iferror(sum((filter('ILC1314'!$D:$D,month('ILC1314'!$B:$B)=month(AK$5),year('ILC1314'!$B:$B)=year(AK$5),'ILC1314'!$I:$I=""Fer""))),0))*$E$12"),26.189999999999998)</f>
        <v>26.19</v>
      </c>
      <c r="AL12" s="68">
        <f t="shared" si="7"/>
        <v>0.1198912327</v>
      </c>
      <c r="AM12" s="75">
        <f>IFERROR(__xludf.DUMMYFUNCTION("(iferror(sum((filter(TO!$D:$D,month(TO!$B:$B)=month(AN$5),year(TO!$B:$B)=year(AN$5)))),0) )*(iferror(sum((filter(TO!$C:$C,month(TO!$B:$B)=month(AN$5),year(TO!$B:$B)=year(AN$5)))),0) )*(iferror(sum((filter(TO!$A:$A,month(TO!$B:$B)=month(AN$5),year(TO!$B:$B"&amp;")=year(AN$5)))),0) )*$E12"),318.206475)</f>
        <v>318.206475</v>
      </c>
      <c r="AN12" s="71">
        <f>IFERROR(__xludf.DUMMYFUNCTION("(iferror(sum((filter('ILC1314'!$D:$D,month('ILC1314'!$B:$B)=month(AN$5),year('ILC1314'!$B:$B)=year(AN$5),'ILC1314'!$I:$I=""Fernando""))),0) + iferror(sum((filter('ILC1314'!$D:$D,month('ILC1314'!$B:$B)=month(AN$5),year('ILC1314'!$B:$B)=year(AN$5),'ILC1314'"&amp;"!$I:$I=""Kremer""))),0)+iferror(sum((filter('ILC1314'!$D:$D,month('ILC1314'!$B:$B)=month(AN$5),year('ILC1314'!$B:$B)=year(AN$5),'ILC1314'!$I:$I=""Fer""))),0))*$E$12"),0.0)</f>
        <v>0</v>
      </c>
      <c r="AO12" s="68">
        <f t="shared" si="8"/>
        <v>0</v>
      </c>
      <c r="AP12" s="75">
        <f>IFERROR(__xludf.DUMMYFUNCTION("(iferror(sum((filter(TO!$D:$D,month(TO!$B:$B)=month(AQ$5),year(TO!$B:$B)=year(AQ$5)))),0) )*(iferror(sum((filter(TO!$C:$C,month(TO!$B:$B)=month(AQ$5),year(TO!$B:$B)=year(AQ$5)))),0) )*(iferror(sum((filter(TO!$A:$A,month(TO!$B:$B)=month(AQ$5),year(TO!$B:$B"&amp;")=year(AQ$5)))),0) )*$E12"),380.60894999999994)</f>
        <v>380.60895</v>
      </c>
      <c r="AQ12" s="71">
        <f>IFERROR(__xludf.DUMMYFUNCTION("(iferror(sum((filter('ILC1314'!$D:$D,month('ILC1314'!$B:$B)=month(AQ$5),year('ILC1314'!$B:$B)=year(AQ$5),'ILC1314'!$I:$I=""Fernando""))),0) + iferror(sum((filter('ILC1314'!$D:$D,month('ILC1314'!$B:$B)=month(AQ$5),year('ILC1314'!$B:$B)=year(AQ$5),'ILC1314'"&amp;"!$I:$I=""Kremer""))),0)+iferror(sum((filter('ILC1314'!$D:$D,month('ILC1314'!$B:$B)=month(AQ$5),year('ILC1314'!$B:$B)=year(AQ$5),'ILC1314'!$I:$I=""Fer""))),0))*$E$12"),0.0)</f>
        <v>0</v>
      </c>
      <c r="AR12" s="68">
        <f t="shared" si="9"/>
        <v>0</v>
      </c>
      <c r="AS12" s="75">
        <f>IFERROR(__xludf.DUMMYFUNCTION("(iferror(sum((filter(TO!$D:$D,month(TO!$B:$B)=month(AT$5),year(TO!$B:$B)=year(AT$5)))),0) )*(iferror(sum((filter(TO!$C:$C,month(TO!$B:$B)=month(AT$5),year(TO!$B:$B)=year(AT$5)))),0) )*(iferror(sum((filter(TO!$A:$A,month(TO!$B:$B)=month(AT$5),year(TO!$B:$B"&amp;")=year(AT$5)))),0) )*$E12"),654.8130000000001)</f>
        <v>654.813</v>
      </c>
      <c r="AT12" s="71">
        <f>IFERROR(__xludf.DUMMYFUNCTION("(iferror(sum((filter('ILC1314'!$D:$D,month('ILC1314'!$B:$B)=month(AT$5),year('ILC1314'!$B:$B)=year(AT$5),'ILC1314'!$I:$I=""Fernando""))),0) + iferror(sum((filter('ILC1314'!$D:$D,month('ILC1314'!$B:$B)=month(AT$5),year('ILC1314'!$B:$B)=year(AT$5),'ILC1314'"&amp;"!$I:$I=""Kremer""))),0)+iferror(sum((filter('ILC1314'!$D:$D,month('ILC1314'!$B:$B)=month(AT$5),year('ILC1314'!$B:$B)=year(AT$5),'ILC1314'!$I:$I=""Fer""))),0))*$E$12"),0.0)</f>
        <v>0</v>
      </c>
      <c r="AU12" s="68">
        <f t="shared" si="10"/>
        <v>0</v>
      </c>
    </row>
    <row r="13">
      <c r="A13" s="48" t="s">
        <v>55</v>
      </c>
      <c r="B13" s="4">
        <v>1404.0</v>
      </c>
      <c r="C13" s="4" t="s">
        <v>93</v>
      </c>
      <c r="D13" s="64"/>
      <c r="E13" s="64">
        <v>0.1</v>
      </c>
      <c r="F13" s="75">
        <f>$G$1*E13</f>
        <v>10000</v>
      </c>
      <c r="G13" s="66">
        <f t="shared" si="1"/>
        <v>2155.964</v>
      </c>
      <c r="H13" s="68">
        <f t="shared" si="2"/>
        <v>0.2155964</v>
      </c>
      <c r="I13" s="75"/>
      <c r="J13" s="93">
        <v>0.0</v>
      </c>
      <c r="K13" s="68">
        <f t="shared" si="11"/>
        <v>0</v>
      </c>
      <c r="L13" s="75"/>
      <c r="M13" s="79">
        <v>0.0</v>
      </c>
      <c r="N13" s="68">
        <f t="shared" si="12"/>
        <v>0</v>
      </c>
      <c r="O13" s="75"/>
      <c r="P13" s="79">
        <v>0.0</v>
      </c>
      <c r="Q13" s="68">
        <f t="shared" si="13"/>
        <v>0</v>
      </c>
      <c r="R13" s="75"/>
      <c r="S13" s="71">
        <v>0.0</v>
      </c>
      <c r="T13" s="68">
        <f t="shared" si="14"/>
        <v>0</v>
      </c>
      <c r="U13" s="75"/>
      <c r="V13" s="71">
        <f>IFERROR(__xludf.DUMMYFUNCTION("(IFERROR(SUM((filter('ILC1404'!$D:$D,MONTH('ILC1404'!$B:$B)=MONTH(V$5),YEAR('ILC1404'!$B:$B)=YEAR(V$5),'ILC1404'!$I:$I=""Fernando""))),0) + IFERROR(SUM((filter('ILC1404'!$D:$D,MONTH('ILC1404'!$B:$B)=MONTH(V$5),YEAR('ILC1404'!$B:$B)=YEAR(V$5),'ILC1404'!$I:"&amp;"$I=""Kremer""))),0) + IFERROR(SUM((filter('ILC1404'!$D:$D,MONTH('ILC1404'!$B:$B)=MONTH(V$5),YEAR('ILC1404'!$B:$B)=YEAR(V$5),'ILC1404'!$I:$I=""Fer""))),0))*$E13"),563.764)</f>
        <v>563.764</v>
      </c>
      <c r="W13" s="68">
        <f t="shared" si="15"/>
        <v>0</v>
      </c>
      <c r="X13" s="80">
        <f>IFERROR(__xludf.DUMMYFUNCTION("(iferror(sum((filter(TO!$D:$D,month(TO!$B:$B)=month(Y$5),year(TO!$B:$B)=year(Y$5)))),0) )*(iferror(sum((filter(TO!$C:$C,month(TO!$B:$B)=month(Y$5),year(TO!$B:$B)=year(Y$5)))),0) )*(iferror(sum((filter(TO!$A:$A,month(TO!$B:$B)=month(Y$5),year(TO!$B:$B)=yea"&amp;"r(Y$5)))),0) )*$E13"),655.8775400000001)</f>
        <v>655.87754</v>
      </c>
      <c r="Y13" s="81">
        <f>IFERROR(__xludf.DUMMYFUNCTION("(IFERROR(SUM((filter('ILC1404'!$D:$D,MONTH('ILC1404'!$B:$B)=MONTH(Y$5),YEAR('ILC1404'!$B:$B)=YEAR(Y$5),'ILC1404'!$I:$I=""Fernando""))),0) + IFERROR(SUM((filter('ILC1404'!$D:$D,MONTH('ILC1404'!$B:$B)=MONTH(Y$5),YEAR('ILC1404'!$B:$B)=YEAR(Y$5),'ILC1404'!$I:"&amp;"$I=""Kremer""))),0) + IFERROR(SUM((filter('ILC1404'!$D:$D,MONTH('ILC1404'!$B:$B)=MONTH(Y$5),YEAR('ILC1404'!$B:$B)=YEAR(Y$5),'ILC1404'!$I:$I=""Fer""))),0))*$E13"),690.2750000000001)</f>
        <v>690.275</v>
      </c>
      <c r="Z13" s="74">
        <f t="shared" si="16"/>
        <v>1.052444943</v>
      </c>
      <c r="AA13" s="75">
        <f>IFERROR(__xludf.DUMMYFUNCTION("(iferror(sum((filter(TO!$D:$D,month(TO!$B:$B)=month(AB$5),year(TO!$B:$B)=year(AB$5)))),0) )*(iferror(sum((filter(TO!$C:$C,month(TO!$B:$B)=month(AB$5),year(TO!$B:$B)=year(AB$5)))),0) )*(iferror(sum((filter(TO!$A:$A,month(TO!$B:$B)=month(AB$5),year(TO!$B:$B"&amp;")=year(AB$5)))),0) )*$E13"),311.202)</f>
        <v>311.202</v>
      </c>
      <c r="AB13" s="79">
        <f>IFERROR(__xludf.DUMMYFUNCTION("(IFERROR(SUM((filter('ILC1404'!$D:$D,MONTH('ILC1404'!$B:$B)=MONTH(AB$5),YEAR('ILC1404'!$B:$B)=YEAR(AB$5),'ILC1404'!$I:$I=""Fernando""))),0) + IFERROR(SUM((filter('ILC1404'!$D:$D,MONTH('ILC1404'!$B:$B)=MONTH(AB$5),YEAR('ILC1404'!$B:$B)=YEAR(AB$5),'ILC1404'"&amp;"!$I:$I=""Kremer""))),0) + IFERROR(SUM((filter('ILC1404'!$D:$D,MONTH('ILC1404'!$B:$B)=MONTH(AB$5),YEAR('ILC1404'!$B:$B)=YEAR(AB$5),'ILC1404'!$I:$I=""Fer""))),0))*$E13"),271.328)</f>
        <v>271.328</v>
      </c>
      <c r="AC13" s="68">
        <f t="shared" si="4"/>
        <v>0.8718710034</v>
      </c>
      <c r="AD13" s="75">
        <f>IFERROR(__xludf.DUMMYFUNCTION("(iferror(sum((filter(TO!$D:$D,month(TO!$B:$B)=month(AE$5),year(TO!$B:$B)=year(AE$5)))),0) )*(iferror(sum((filter(TO!$C:$C,month(TO!$B:$B)=month(AE$5),year(TO!$B:$B)=year(AE$5)))),0) )*(iferror(sum((filter(TO!$A:$A,month(TO!$B:$B)=month(AE$5),year(TO!$B:$B"&amp;")=year(AE$5)))),0) )*$E13"),512.23315)</f>
        <v>512.23315</v>
      </c>
      <c r="AE13" s="79">
        <f>IFERROR(__xludf.DUMMYFUNCTION("(IFERROR(SUM((filter('ILC1404'!$D:$D,MONTH('ILC1404'!$B:$B)=MONTH(AE$5),YEAR('ILC1404'!$B:$B)=YEAR(AE$5),'ILC1404'!$I:$I=""Fernando""))),0) + IFERROR(SUM((filter('ILC1404'!$D:$D,MONTH('ILC1404'!$B:$B)=MONTH(AE$5),YEAR('ILC1404'!$B:$B)=YEAR(AE$5),'ILC1404'"&amp;"!$I:$I=""Kremer""))),0) + IFERROR(SUM((filter('ILC1404'!$D:$D,MONTH('ILC1404'!$B:$B)=MONTH(AE$5),YEAR('ILC1404'!$B:$B)=YEAR(AE$5),'ILC1404'!$I:$I=""Fer""))),0))*$E13"),65.47500000000001)</f>
        <v>65.475</v>
      </c>
      <c r="AF13" s="68">
        <f t="shared" si="5"/>
        <v>0.1278226526</v>
      </c>
      <c r="AG13" s="75">
        <f>IFERROR(__xludf.DUMMYFUNCTION("(iferror(sum((filter(TO!$D:$D,month(TO!$B:$B)=month(AH$5),year(TO!$B:$B)=year(AH$5)))),0) )*(iferror(sum((filter(TO!$C:$C,month(TO!$B:$B)=month(AH$5),year(TO!$B:$B)=year(AH$5)))),0) )*(iferror(sum((filter(TO!$A:$A,month(TO!$B:$B)=month(AH$5),year(TO!$B:$B"&amp;")=year(AH$5)))),0) )*$E13"),393.9294)</f>
        <v>393.9294</v>
      </c>
      <c r="AH13" s="79">
        <f>IFERROR(__xludf.DUMMYFUNCTION("(IFERROR(SUM((filter('ILC1404'!$D:$D,MONTH('ILC1404'!$B:$B)=MONTH(AH$5),YEAR('ILC1404'!$B:$B)=YEAR(AH$5),'ILC1404'!$I:$I=""Fernando""))),0) + IFERROR(SUM((filter('ILC1404'!$D:$D,MONTH('ILC1404'!$B:$B)=MONTH(AH$5),YEAR('ILC1404'!$B:$B)=YEAR(AH$5),'ILC1404'"&amp;"!$I:$I=""Kremer""))),0) + IFERROR(SUM((filter('ILC1404'!$D:$D,MONTH('ILC1404'!$B:$B)=MONTH(AH$5),YEAR('ILC1404'!$B:$B)=YEAR(AH$5),'ILC1404'!$I:$I=""Fer""))),0))*$E13"),78.57000000000001)</f>
        <v>78.57</v>
      </c>
      <c r="AI13" s="68">
        <f t="shared" si="6"/>
        <v>0.199451983</v>
      </c>
      <c r="AJ13" s="75">
        <f>IFERROR(__xludf.DUMMYFUNCTION("(iferror(sum((filter(TO!$D:$D,month(TO!$B:$B)=month(AK$5),year(TO!$B:$B)=year(AK$5)))),0) )*(iferror(sum((filter(TO!$C:$C,month(TO!$B:$B)=month(AK$5),year(TO!$B:$B)=year(AK$5)))),0) )*(iferror(sum((filter(TO!$A:$A,month(TO!$B:$B)=month(AK$5),year(TO!$B:$B"&amp;")=year(AK$5)))),0) )*$E13"),436.896)</f>
        <v>436.896</v>
      </c>
      <c r="AK13" s="79">
        <f>IFERROR(__xludf.DUMMYFUNCTION("(IFERROR(SUM((filter('ILC1404'!$D:$D,MONTH('ILC1404'!$B:$B)=MONTH(AK$5),YEAR('ILC1404'!$B:$B)=YEAR(AK$5),'ILC1404'!$I:$I=""Fernando""))),0) + IFERROR(SUM((filter('ILC1404'!$D:$D,MONTH('ILC1404'!$B:$B)=MONTH(AK$5),YEAR('ILC1404'!$B:$B)=YEAR(AK$5),'ILC1404'"&amp;"!$I:$I=""Kremer""))),0) + IFERROR(SUM((filter('ILC1404'!$D:$D,MONTH('ILC1404'!$B:$B)=MONTH(AK$5),YEAR('ILC1404'!$B:$B)=YEAR(AK$5),'ILC1404'!$I:$I=""Fer""))),0))*$E13"),163.54200000000003)</f>
        <v>163.542</v>
      </c>
      <c r="AL13" s="68">
        <f t="shared" si="7"/>
        <v>0.374327071</v>
      </c>
      <c r="AM13" s="75">
        <f>IFERROR(__xludf.DUMMYFUNCTION("(iferror(sum((filter(TO!$D:$D,month(TO!$B:$B)=month(AN$5),year(TO!$B:$B)=year(AN$5)))),0) )*(iferror(sum((filter(TO!$C:$C,month(TO!$B:$B)=month(AN$5),year(TO!$B:$B)=year(AN$5)))),0) )*(iferror(sum((filter(TO!$A:$A,month(TO!$B:$B)=month(AN$5),year(TO!$B:$B"&amp;")=year(AN$5)))),0) )*$E13"),636.41295)</f>
        <v>636.41295</v>
      </c>
      <c r="AN13" s="79">
        <f>IFERROR(__xludf.DUMMYFUNCTION("(IFERROR(SUM((filter('ILC1404'!$D:$D,MONTH('ILC1404'!$B:$B)=MONTH(AN$5),YEAR('ILC1404'!$B:$B)=YEAR(AN$5),'ILC1404'!$I:$I=""Fernando""))),0) + IFERROR(SUM((filter('ILC1404'!$D:$D,MONTH('ILC1404'!$B:$B)=MONTH(AN$5),YEAR('ILC1404'!$B:$B)=YEAR(AN$5),'ILC1404'"&amp;"!$I:$I=""Kremer""))),0) + IFERROR(SUM((filter('ILC1404'!$D:$D,MONTH('ILC1404'!$B:$B)=MONTH(AN$5),YEAR('ILC1404'!$B:$B)=YEAR(AN$5),'ILC1404'!$I:$I=""Fer""))),0))*$E13"),0.0)</f>
        <v>0</v>
      </c>
      <c r="AO13" s="68">
        <f t="shared" si="8"/>
        <v>0</v>
      </c>
      <c r="AP13" s="75">
        <f>IFERROR(__xludf.DUMMYFUNCTION("(iferror(sum((filter(TO!$D:$D,month(TO!$B:$B)=month(AQ$5),year(TO!$B:$B)=year(AQ$5)))),0) )*(iferror(sum((filter(TO!$C:$C,month(TO!$B:$B)=month(AQ$5),year(TO!$B:$B)=year(AQ$5)))),0) )*(iferror(sum((filter(TO!$A:$A,month(TO!$B:$B)=month(AQ$5),year(TO!$B:$B"&amp;")=year(AQ$5)))),0) )*$E13"),761.2178999999999)</f>
        <v>761.2179</v>
      </c>
      <c r="AQ13" s="79">
        <f>IFERROR(__xludf.DUMMYFUNCTION("(IFERROR(SUM((filter('ILC1404'!$D:$D,MONTH('ILC1404'!$B:$B)=MONTH(AQ$5),YEAR('ILC1404'!$B:$B)=YEAR(AQ$5),'ILC1404'!$I:$I=""Fernando""))),0) + IFERROR(SUM((filter('ILC1404'!$D:$D,MONTH('ILC1404'!$B:$B)=MONTH(AQ$5),YEAR('ILC1404'!$B:$B)=YEAR(AQ$5),'ILC1404'"&amp;"!$I:$I=""Kremer""))),0) + IFERROR(SUM((filter('ILC1404'!$D:$D,MONTH('ILC1404'!$B:$B)=MONTH(AQ$5),YEAR('ILC1404'!$B:$B)=YEAR(AQ$5),'ILC1404'!$I:$I=""Fer""))),0))*$E13"),0.0)</f>
        <v>0</v>
      </c>
      <c r="AR13" s="68">
        <f t="shared" si="9"/>
        <v>0</v>
      </c>
      <c r="AS13" s="75">
        <f>IFERROR(__xludf.DUMMYFUNCTION("(iferror(sum((filter(TO!$D:$D,month(TO!$B:$B)=month(AT$5),year(TO!$B:$B)=year(AT$5)))),0) )*(iferror(sum((filter(TO!$C:$C,month(TO!$B:$B)=month(AT$5),year(TO!$B:$B)=year(AT$5)))),0) )*(iferror(sum((filter(TO!$A:$A,month(TO!$B:$B)=month(AT$5),year(TO!$B:$B"&amp;")=year(AT$5)))),0) )*$E13"),1309.6260000000002)</f>
        <v>1309.626</v>
      </c>
      <c r="AT13" s="79">
        <f>IFERROR(__xludf.DUMMYFUNCTION("(IFERROR(SUM((filter('ILC1404'!$D:$D,MONTH('ILC1404'!$B:$B)=MONTH(AT$5),YEAR('ILC1404'!$B:$B)=YEAR(AT$5),'ILC1404'!$I:$I=""Fernando""))),0) + IFERROR(SUM((filter('ILC1404'!$D:$D,MONTH('ILC1404'!$B:$B)=MONTH(AT$5),YEAR('ILC1404'!$B:$B)=YEAR(AT$5),'ILC1404'"&amp;"!$I:$I=""Kremer""))),0) + IFERROR(SUM((filter('ILC1404'!$D:$D,MONTH('ILC1404'!$B:$B)=MONTH(AT$5),YEAR('ILC1404'!$B:$B)=YEAR(AT$5),'ILC1404'!$I:$I=""Fer""))),0))*$E13"),323.01)</f>
        <v>323.01</v>
      </c>
      <c r="AU13" s="68">
        <f t="shared" si="10"/>
        <v>0.2466429347</v>
      </c>
    </row>
    <row r="14">
      <c r="A14" s="48" t="s">
        <v>56</v>
      </c>
      <c r="B14" s="4">
        <v>2203.0</v>
      </c>
      <c r="C14" s="4" t="s">
        <v>95</v>
      </c>
      <c r="D14" s="64"/>
      <c r="E14" s="64">
        <v>0.1</v>
      </c>
      <c r="F14" s="75">
        <f>$G$1*E14-(2086+1572)/2</f>
        <v>8171</v>
      </c>
      <c r="G14" s="66">
        <f t="shared" si="1"/>
        <v>1652.401</v>
      </c>
      <c r="H14" s="68">
        <f t="shared" si="2"/>
        <v>0.2022275119</v>
      </c>
      <c r="I14" s="75"/>
      <c r="J14" s="79">
        <f>IFERROR(__xludf.DUMMYFUNCTION("(IFERROR(SUM((filter('ILC2203'!$D:$D,MONTH('ILC2203'!$B:$B)=MONTH(J$5),YEAR('ILC2203'!$B:$B)=YEAR(J$5),'ILC2203'!$I:$I=""Fernando""))),0) + IFERROR(SUM((filter('ILC2203'!$D:$D,MONTH('ILC2203'!$B:$B)=MONTH(J$5),YEAR('ILC2203'!$B:$B)=YEAR(J$5),'ILC2203'!$I:"&amp;"$I=""Kremer""))),0) + IFERROR(SUM((filter('ILC2203'!$D:$D,MONTH('ILC2203'!$B:$B)=MONTH(J$5),YEAR('ILC2203'!$B:$B)=YEAR(J$5),'ILC2203'!$I:$I=""Fer""))),0)) * $E$14"),0.0)</f>
        <v>0</v>
      </c>
      <c r="K14" s="68">
        <f t="shared" si="11"/>
        <v>0</v>
      </c>
      <c r="L14" s="75"/>
      <c r="M14" s="79">
        <v>0.0</v>
      </c>
      <c r="N14" s="68">
        <f t="shared" si="12"/>
        <v>0</v>
      </c>
      <c r="O14" s="75"/>
      <c r="P14" s="71">
        <f>IFERROR(__xludf.DUMMYFUNCTION("(IFERROR(SUM((filter('ILC2203'!$D:$D,MONTH('ILC2203'!$B:$B)=MONTH(P$5),YEAR('ILC2203'!$B:$B)=YEAR(P$5),'ILC2203'!$I:$I=""Fernando""))),0) + IFERROR(SUM((filter('ILC2203'!$D:$D,MONTH('ILC2203'!$B:$B)=MONTH(P$5),YEAR('ILC2203'!$B:$B)=YEAR(P$5),'ILC2203'!$I:"&amp;"$I=""Kremer""))),0) + IFERROR(SUM((filter('ILC2203'!$D:$D,MONTH('ILC2203'!$B:$B)=MONTH(P$5),YEAR('ILC2203'!$B:$B)=YEAR(P$5),'ILC2203'!$I:$I=""Fer""))),0))*$E14"),0.0)</f>
        <v>0</v>
      </c>
      <c r="Q14" s="68">
        <f t="shared" si="13"/>
        <v>0</v>
      </c>
      <c r="R14" s="75">
        <f>IFERROR(__xludf.DUMMYFUNCTION("(iferror(sum((filter(TO!$D:$D,month(TO!$B:$B)=month(S$5),year(TO!$B:$B)=year(S$5)))),0) )*(iferror(sum((filter(TO!$C:$C,month(TO!$B:$B)=month(S$5),year(TO!$B:$B)=year(S$5)))),0) )*(iferror(sum((filter(TO!$A:$A,month(TO!$B:$B)=month(S$5),year(TO!$B:$B)=yea"&amp;"r(S$5)))),0) )*$E14"),761.6712400000001)</f>
        <v>761.67124</v>
      </c>
      <c r="S14" s="71">
        <f>IFERROR(__xludf.DUMMYFUNCTION("(IFERROR(SUM((filter('ILC2203'!$D:$D,MONTH('ILC2203'!$B:$B)=MONTH(S$5),YEAR('ILC2203'!$B:$B)=YEAR(S$5),'ILC2203'!$I:$I=""Fernando""))),0) + IFERROR(SUM((filter('ILC2203'!$D:$D,MONTH('ILC2203'!$B:$B)=MONTH(S$5),YEAR('ILC2203'!$B:$B)=YEAR(S$5),'ILC2203'!$I:"&amp;"$I=""Kremer""))),0) + IFERROR(SUM((filter('ILC2203'!$D:$D,MONTH('ILC2203'!$B:$B)=MONTH(S$5),YEAR('ILC2203'!$B:$B)=YEAR(S$5),'ILC2203'!$I:$I=""Fer""))),0))*$E14"),597.9)</f>
        <v>597.9</v>
      </c>
      <c r="T14" s="68">
        <f t="shared" si="14"/>
        <v>0.7849843457</v>
      </c>
      <c r="U14" s="75">
        <f>IFERROR(__xludf.DUMMYFUNCTION("(iferror(sum((filter(TO!$D:$D,month(TO!$B:$B)=month(V$5),year(TO!$B:$B)=year(V$5)))),0) )*(iferror(sum((filter(TO!$C:$C,month(TO!$B:$B)=month(V$5),year(TO!$B:$B)=year(V$5)))),0) )*(iferror(sum((filter(TO!$A:$A,month(TO!$B:$B)=month(V$5),year(TO!$B:$B)=yea"&amp;"r(V$5)))),0) )*$E14"),565.3032000000001)</f>
        <v>565.3032</v>
      </c>
      <c r="V14" s="71">
        <f>IFERROR(__xludf.DUMMYFUNCTION("(IFERROR(SUM((filter('ILC2203'!$D:$D,MONTH('ILC2203'!$B:$B)=MONTH(V$5),YEAR('ILC2203'!$B:$B)=YEAR(V$5),'ILC2203'!$I:$I=""Fernando""))),0) + IFERROR(SUM((filter('ILC2203'!$D:$D,MONTH('ILC2203'!$B:$B)=MONTH(V$5),YEAR('ILC2203'!$B:$B)=YEAR(V$5),'ILC2203'!$I:"&amp;"$I=""Kremer""))),0) + IFERROR(SUM((filter('ILC2203'!$D:$D,MONTH('ILC2203'!$B:$B)=MONTH(V$5),YEAR('ILC2203'!$B:$B)=YEAR(V$5),'ILC2203'!$I:$I=""Fer""))),0))*$E14"),600.1960000000003)</f>
        <v>600.196</v>
      </c>
      <c r="W14" s="68">
        <f t="shared" si="15"/>
        <v>1.061724045</v>
      </c>
      <c r="X14" s="80">
        <f>IFERROR(__xludf.DUMMYFUNCTION("(iferror(sum((filter(TO!$D:$D,month(TO!$B:$B)=month(Y$5),year(TO!$B:$B)=year(Y$5)))),0) )*(iferror(sum((filter(TO!$C:$C,month(TO!$B:$B)=month(Y$5),year(TO!$B:$B)=year(Y$5)))),0) )*(iferror(sum((filter(TO!$A:$A,month(TO!$B:$B)=month(Y$5),year(TO!$B:$B)=yea"&amp;"r(Y$5)))),0) )*$E14"),655.8775400000001)</f>
        <v>655.87754</v>
      </c>
      <c r="Y14" s="81">
        <f>IFERROR(__xludf.DUMMYFUNCTION("(IFERROR(SUM((filter('ILC2203'!$D:$D,MONTH('ILC2203'!$B:$B)=MONTH(Y$5),YEAR('ILC2203'!$B:$B)=YEAR(Y$5),'ILC2203'!$I:$I=""Fernando""))),0) + IFERROR(SUM((filter('ILC2203'!$D:$D,MONTH('ILC2203'!$B:$B)=MONTH(Y$5),YEAR('ILC2203'!$B:$B)=YEAR(Y$5),'ILC2203'!$I:"&amp;"$I=""Kremer""))),0) + IFERROR(SUM((filter('ILC2203'!$D:$D,MONTH('ILC2203'!$B:$B)=MONTH(Y$5),YEAR('ILC2203'!$B:$B)=YEAR(Y$5),'ILC2203'!$I:$I=""Fer""))),0)) * $E$14"),120.47000000000001)</f>
        <v>120.47</v>
      </c>
      <c r="Z14" s="74">
        <f t="shared" si="16"/>
        <v>0.183677581</v>
      </c>
      <c r="AA14" s="75">
        <f>IFERROR(__xludf.DUMMYFUNCTION("(iferror(sum((filter(TO!$D:$D,month(TO!$B:$B)=month(AB$5),year(TO!$B:$B)=year(AB$5)))),0) )*(iferror(sum((filter(TO!$C:$C,month(TO!$B:$B)=month(AB$5),year(TO!$B:$B)=year(AB$5)))),0) )*(iferror(sum((filter(TO!$A:$A,month(TO!$B:$B)=month(AB$5),year(TO!$B:$B"&amp;")=year(AB$5)))),0) )*$E14"),311.202)</f>
        <v>311.202</v>
      </c>
      <c r="AB14" s="79">
        <f>IFERROR(__xludf.DUMMYFUNCTION("(IFERROR(SUM((filter('ILC2203'!$D:$D,MONTH('ILC2203'!$B:$B)=MONTH(AB$5),YEAR('ILC2203'!$B:$B)=YEAR(AB$5),'ILC2203'!$I:$I=""Fernando""))),0) + IFERROR(SUM((filter('ILC2203'!$D:$D,MONTH('ILC2203'!$B:$B)=MONTH(AB$5),YEAR('ILC2203'!$B:$B)=YEAR(AB$5),'ILC2203'"&amp;"!$I:$I=""Kremer""))),0) + IFERROR(SUM((filter('ILC2203'!$D:$D,MONTH('ILC2203'!$B:$B)=MONTH(AB$5),YEAR('ILC2203'!$B:$B)=YEAR(AB$5),'ILC2203'!$I:$I=""Fer""))),0)) * $E$14"),202.885)</f>
        <v>202.885</v>
      </c>
      <c r="AC14" s="68">
        <f t="shared" si="4"/>
        <v>0.6519398976</v>
      </c>
      <c r="AD14" s="75">
        <f>IFERROR(__xludf.DUMMYFUNCTION("(iferror(sum((filter(TO!$D:$D,month(TO!$B:$B)=month(AE$5),year(TO!$B:$B)=year(AE$5)))),0) )*(iferror(sum((filter(TO!$C:$C,month(TO!$B:$B)=month(AE$5),year(TO!$B:$B)=year(AE$5)))),0) )*(iferror(sum((filter(TO!$A:$A,month(TO!$B:$B)=month(AE$5),year(TO!$B:$B"&amp;")=year(AE$5)))),0) )*$E14"),512.23315)</f>
        <v>512.23315</v>
      </c>
      <c r="AE14" s="79">
        <f>IFERROR(__xludf.DUMMYFUNCTION("(IFERROR(SUM((filter('ILC2203'!$D:$D,MONTH('ILC2203'!$B:$B)=MONTH(AE$5),YEAR('ILC2203'!$B:$B)=YEAR(AE$5),'ILC2203'!$I:$I=""Fernando""))),0) + IFERROR(SUM((filter('ILC2203'!$D:$D,MONTH('ILC2203'!$B:$B)=MONTH(AE$5),YEAR('ILC2203'!$B:$B)=YEAR(AE$5),'ILC2203'"&amp;"!$I:$I=""Kremer""))),0) + IFERROR(SUM((filter('ILC2203'!$D:$D,MONTH('ILC2203'!$B:$B)=MONTH(AE$5),YEAR('ILC2203'!$B:$B)=YEAR(AE$5),'ILC2203'!$I:$I=""Fer""))),0)) * $E$14"),0.0)</f>
        <v>0</v>
      </c>
      <c r="AF14" s="68">
        <f t="shared" si="5"/>
        <v>0</v>
      </c>
      <c r="AG14" s="75">
        <f>IFERROR(__xludf.DUMMYFUNCTION("(iferror(sum((filter(TO!$D:$D,month(TO!$B:$B)=month(AH$5),year(TO!$B:$B)=year(AH$5)))),0) )*(iferror(sum((filter(TO!$C:$C,month(TO!$B:$B)=month(AH$5),year(TO!$B:$B)=year(AH$5)))),0) )*(iferror(sum((filter(TO!$A:$A,month(TO!$B:$B)=month(AH$5),year(TO!$B:$B"&amp;")=year(AH$5)))),0) )*$E14"),393.9294)</f>
        <v>393.9294</v>
      </c>
      <c r="AH14" s="79">
        <f>IFERROR(__xludf.DUMMYFUNCTION("(IFERROR(SUM((filter('ILC2203'!$D:$D,MONTH('ILC2203'!$B:$B)=MONTH(AH$5),YEAR('ILC2203'!$B:$B)=YEAR(AH$5),'ILC2203'!$I:$I=""Fernando""))),0) + IFERROR(SUM((filter('ILC2203'!$D:$D,MONTH('ILC2203'!$B:$B)=MONTH(AH$5),YEAR('ILC2203'!$B:$B)=YEAR(AH$5),'ILC2203'"&amp;"!$I:$I=""Kremer""))),0) + IFERROR(SUM((filter('ILC2203'!$D:$D,MONTH('ILC2203'!$B:$B)=MONTH(AH$5),YEAR('ILC2203'!$B:$B)=YEAR(AH$5),'ILC2203'!$I:$I=""Fer""))),0)) * $E$14"),0.0)</f>
        <v>0</v>
      </c>
      <c r="AI14" s="68">
        <f t="shared" si="6"/>
        <v>0</v>
      </c>
      <c r="AJ14" s="75">
        <f>IFERROR(__xludf.DUMMYFUNCTION("(iferror(sum((filter(TO!$D:$D,month(TO!$B:$B)=month(AK$5),year(TO!$B:$B)=year(AK$5)))),0) )*(iferror(sum((filter(TO!$C:$C,month(TO!$B:$B)=month(AK$5),year(TO!$B:$B)=year(AK$5)))),0) )*(iferror(sum((filter(TO!$A:$A,month(TO!$B:$B)=month(AK$5),year(TO!$B:$B"&amp;")=year(AK$5)))),0) )*$E14"),436.896)</f>
        <v>436.896</v>
      </c>
      <c r="AK14" s="79">
        <f>IFERROR(__xludf.DUMMYFUNCTION("(IFERROR(SUM((filter('ILC2203'!$D:$D,MONTH('ILC2203'!$B:$B)=MONTH(AK$5),YEAR('ILC2203'!$B:$B)=YEAR(AK$5),'ILC2203'!$I:$I=""Fernando""))),0) + IFERROR(SUM((filter('ILC2203'!$D:$D,MONTH('ILC2203'!$B:$B)=MONTH(AK$5),YEAR('ILC2203'!$B:$B)=YEAR(AK$5),'ILC2203'"&amp;"!$I:$I=""Kremer""))),0) + IFERROR(SUM((filter('ILC2203'!$D:$D,MONTH('ILC2203'!$B:$B)=MONTH(AK$5),YEAR('ILC2203'!$B:$B)=YEAR(AK$5),'ILC2203'!$I:$I=""Fer""))),0)) * $E$14"),130.95000000000002)</f>
        <v>130.95</v>
      </c>
      <c r="AL14" s="68">
        <f t="shared" si="7"/>
        <v>0.2997280817</v>
      </c>
      <c r="AM14" s="75">
        <f>IFERROR(__xludf.DUMMYFUNCTION("(iferror(sum((filter(TO!$D:$D,month(TO!$B:$B)=month(AN$5),year(TO!$B:$B)=year(AN$5)))),0) )*(iferror(sum((filter(TO!$C:$C,month(TO!$B:$B)=month(AN$5),year(TO!$B:$B)=year(AN$5)))),0) )*(iferror(sum((filter(TO!$A:$A,month(TO!$B:$B)=month(AN$5),year(TO!$B:$B"&amp;")=year(AN$5)))),0) )*$E14"),636.41295)</f>
        <v>636.41295</v>
      </c>
      <c r="AN14" s="79">
        <f>IFERROR(__xludf.DUMMYFUNCTION("(IFERROR(SUM((filter('ILC2203'!$D:$D,MONTH('ILC2203'!$B:$B)=MONTH(AN$5),YEAR('ILC2203'!$B:$B)=YEAR(AN$5),'ILC2203'!$I:$I=""Fernando""))),0) + IFERROR(SUM((filter('ILC2203'!$D:$D,MONTH('ILC2203'!$B:$B)=MONTH(AN$5),YEAR('ILC2203'!$B:$B)=YEAR(AN$5),'ILC2203'"&amp;"!$I:$I=""Kremer""))),0) + IFERROR(SUM((filter('ILC2203'!$D:$D,MONTH('ILC2203'!$B:$B)=MONTH(AN$5),YEAR('ILC2203'!$B:$B)=YEAR(AN$5),'ILC2203'!$I:$I=""Fer""))),0)) * $E$14"),0.0)</f>
        <v>0</v>
      </c>
      <c r="AO14" s="68">
        <f t="shared" si="8"/>
        <v>0</v>
      </c>
      <c r="AP14" s="75">
        <f>IFERROR(__xludf.DUMMYFUNCTION("(iferror(sum((filter(TO!$D:$D,month(TO!$B:$B)=month(AQ$5),year(TO!$B:$B)=year(AQ$5)))),0) )*(iferror(sum((filter(TO!$C:$C,month(TO!$B:$B)=month(AQ$5),year(TO!$B:$B)=year(AQ$5)))),0) )*(iferror(sum((filter(TO!$A:$A,month(TO!$B:$B)=month(AQ$5),year(TO!$B:$B"&amp;")=year(AQ$5)))),0) )*$E14"),761.2178999999999)</f>
        <v>761.2179</v>
      </c>
      <c r="AQ14" s="79">
        <f>IFERROR(__xludf.DUMMYFUNCTION("(IFERROR(SUM((filter('ILC2203'!$D:$D,MONTH('ILC2203'!$B:$B)=MONTH(AQ$5),YEAR('ILC2203'!$B:$B)=YEAR(AQ$5),'ILC2203'!$I:$I=""Fernando""))),0) + IFERROR(SUM((filter('ILC2203'!$D:$D,MONTH('ILC2203'!$B:$B)=MONTH(AQ$5),YEAR('ILC2203'!$B:$B)=YEAR(AQ$5),'ILC2203'"&amp;"!$I:$I=""Kremer""))),0) + IFERROR(SUM((filter('ILC2203'!$D:$D,MONTH('ILC2203'!$B:$B)=MONTH(AQ$5),YEAR('ILC2203'!$B:$B)=YEAR(AQ$5),'ILC2203'!$I:$I=""Fer""))),0)) * $E$14"),0.0)</f>
        <v>0</v>
      </c>
      <c r="AR14" s="68">
        <f t="shared" si="9"/>
        <v>0</v>
      </c>
      <c r="AS14" s="75">
        <f>IFERROR(__xludf.DUMMYFUNCTION("(iferror(sum((filter(TO!$D:$D,month(TO!$B:$B)=month(AT$5),year(TO!$B:$B)=year(AT$5)))),0) )*(iferror(sum((filter(TO!$C:$C,month(TO!$B:$B)=month(AT$5),year(TO!$B:$B)=year(AT$5)))),0) )*(iferror(sum((filter(TO!$A:$A,month(TO!$B:$B)=month(AT$5),year(TO!$B:$B"&amp;")=year(AT$5)))),0) )*$E14"),1309.6260000000002)</f>
        <v>1309.626</v>
      </c>
      <c r="AT14" s="79">
        <f>IFERROR(__xludf.DUMMYFUNCTION("(IFERROR(SUM((filter('ILC2203'!$D:$D,MONTH('ILC2203'!$B:$B)=MONTH(AT$5),YEAR('ILC2203'!$B:$B)=YEAR(AT$5),'ILC2203'!$I:$I=""Fernando""))),0) + IFERROR(SUM((filter('ILC2203'!$D:$D,MONTH('ILC2203'!$B:$B)=MONTH(AT$5),YEAR('ILC2203'!$B:$B)=YEAR(AT$5),'ILC2203'"&amp;"!$I:$I=""Kremer""))),0) + IFERROR(SUM((filter('ILC2203'!$D:$D,MONTH('ILC2203'!$B:$B)=MONTH(AT$5),YEAR('ILC2203'!$B:$B)=YEAR(AT$5),'ILC2203'!$I:$I=""Fer""))),0)) * $E$14"),0.0)</f>
        <v>0</v>
      </c>
      <c r="AU14" s="68">
        <f t="shared" si="10"/>
        <v>0</v>
      </c>
    </row>
    <row r="15">
      <c r="A15" s="48" t="s">
        <v>57</v>
      </c>
      <c r="B15" s="4">
        <v>2206.0</v>
      </c>
      <c r="C15" s="4" t="s">
        <v>98</v>
      </c>
      <c r="D15" s="64"/>
      <c r="E15" s="83">
        <v>0.1</v>
      </c>
      <c r="F15" s="65">
        <f>(($G$1*$E$15) -2086-1572)</f>
        <v>6342</v>
      </c>
      <c r="G15" s="66">
        <f t="shared" si="1"/>
        <v>2567.006</v>
      </c>
      <c r="H15" s="68">
        <f t="shared" si="2"/>
        <v>0.4047628508</v>
      </c>
      <c r="I15" s="75"/>
      <c r="J15" s="79">
        <f>IFERROR(__xludf.DUMMYFUNCTION("(IFERROR(SUM((filter('ILC2206'!$D:$D,MONTH('ILC2206'!$B:$B)=MONTH(J$5),YEAR('ILC2206'!$B:$B)=YEAR(J$5),'ILC2206'!$I:$I=""Fernando""))),0) + IFERROR(SUM((filter('ILC2206'!$D:$D,MONTH('ILC2206'!$B:$B)=MONTH(J$5),YEAR('ILC2206'!$B:$B)=YEAR(J$5),'ILC2206'!$I:"&amp;"$I=""Kremer""))),0) + IFERROR(SUM((filter('ILC2206'!$D:$D,MONTH('ILC2206'!$B:$B)=MONTH(J$5),YEAR('ILC2206'!$B:$B)=YEAR(J$5),'ILC2206'!$I:$I=""Fer""))),0))*$E15"),0.0)</f>
        <v>0</v>
      </c>
      <c r="K15" s="68">
        <f t="shared" si="11"/>
        <v>0</v>
      </c>
      <c r="L15" s="75"/>
      <c r="M15" s="79">
        <v>0.0</v>
      </c>
      <c r="N15" s="68">
        <f t="shared" si="12"/>
        <v>0</v>
      </c>
      <c r="O15" s="75"/>
      <c r="P15" s="79">
        <v>0.0</v>
      </c>
      <c r="Q15" s="68">
        <f t="shared" si="13"/>
        <v>0</v>
      </c>
      <c r="R15" s="75">
        <f>IFERROR(__xludf.DUMMYFUNCTION("(iferror(sum((filter(TO!$D:$D,month(TO!$B:$B)=month(S$5),year(TO!$B:$B)=year(S$5)))),0) )*(iferror(sum((filter(TO!$C:$C,month(TO!$B:$B)=month(S$5),year(TO!$B:$B)=year(S$5)))),0) )*(iferror(sum((filter(TO!$A:$A,month(TO!$B:$B)=month(S$5),year(TO!$B:$B)=yea"&amp;"r(S$5)))),0) )*$E15"),761.6712400000001)</f>
        <v>761.67124</v>
      </c>
      <c r="S15" s="71">
        <f>IFERROR(__xludf.DUMMYFUNCTION("(IFERROR(SUM((filter('ILC2206'!$D:$D,MONTH('ILC2206'!$B:$B)=MONTH(S$5),YEAR('ILC2206'!$B:$B)=YEAR(S$5),'ILC2206'!$I:$I=""Fernando""))),0) + IFERROR(SUM((filter('ILC2206'!$D:$D,MONTH('ILC2206'!$B:$B)=MONTH(S$5),YEAR('ILC2206'!$B:$B)=YEAR(S$5),'ILC2206'!$I:"&amp;"$I=""Kremer""))),0) + IFERROR(SUM((filter('ILC2206'!$D:$D,MONTH('ILC2206'!$B:$B)=MONTH(S$5),YEAR('ILC2206'!$B:$B)=YEAR(S$5),'ILC2206'!$I:$I=""Fer""))),0))*$E15"),1310.9159999999997)</f>
        <v>1310.916</v>
      </c>
      <c r="T15" s="68">
        <f t="shared" si="14"/>
        <v>1.721104764</v>
      </c>
      <c r="U15" s="75">
        <f>IFERROR(__xludf.DUMMYFUNCTION("(iferror(sum((filter(TO!$D:$D,month(TO!$B:$B)=month(V$5),year(TO!$B:$B)=year(V$5)))),0) )*(iferror(sum((filter(TO!$C:$C,month(TO!$B:$B)=month(V$5),year(TO!$B:$B)=year(V$5)))),0) )*(iferror(sum((filter(TO!$A:$A,month(TO!$B:$B)=month(V$5),year(TO!$B:$B)=yea"&amp;"r(V$5)))),0) )*$E15"),565.3032000000001)</f>
        <v>565.3032</v>
      </c>
      <c r="V15" s="71">
        <f>IFERROR(__xludf.DUMMYFUNCTION("(IFERROR(SUM((filter('ILC2206'!$D:$D,MONTH('ILC2206'!$B:$B)=MONTH(V$5),YEAR('ILC2206'!$B:$B)=YEAR(V$5),'ILC2206'!$I:$I=""Fernando""))),0) + IFERROR(SUM((filter('ILC2206'!$D:$D,MONTH('ILC2206'!$B:$B)=MONTH(V$5),YEAR('ILC2206'!$B:$B)=YEAR(V$5),'ILC2206'!$I:"&amp;"$I=""Kremer""))),0) + IFERROR(SUM((filter('ILC2206'!$D:$D,MONTH('ILC2206'!$B:$B)=MONTH(V$5),YEAR('ILC2206'!$B:$B)=YEAR(V$5),'ILC2206'!$I:$I=""Fer""))),0))*$E15"),550.64)</f>
        <v>550.64</v>
      </c>
      <c r="W15" s="68">
        <f t="shared" si="15"/>
        <v>0.9740613533</v>
      </c>
      <c r="X15" s="80">
        <f>IFERROR(__xludf.DUMMYFUNCTION("(iferror(sum((filter(TO!$D:$D,month(TO!$B:$B)=month(Y$5),year(TO!$B:$B)=year(Y$5)))),0) )*(iferror(sum((filter(TO!$C:$C,month(TO!$B:$B)=month(Y$5),year(TO!$B:$B)=year(Y$5)))),0) )*(iferror(sum((filter(TO!$A:$A,month(TO!$B:$B)=month(Y$5),year(TO!$B:$B)=yea"&amp;"r(Y$5)))),0) )*$E15"),655.8775400000001)</f>
        <v>655.87754</v>
      </c>
      <c r="Y15" s="81">
        <f>IFERROR(__xludf.DUMMYFUNCTION("(IFERROR(SUM((filter('ILC2206'!$D:$D,MONTH('ILC2206'!$B:$B)=MONTH(Y$5),YEAR('ILC2206'!$B:$B)=YEAR(Y$5),'ILC2206'!$I:$I=""Fernando""))),0) + IFERROR(SUM((filter('ILC2206'!$D:$D,MONTH('ILC2206'!$B:$B)=MONTH(Y$5),YEAR('ILC2206'!$B:$B)=YEAR(Y$5),'ILC2206'!$I:"&amp;"$I=""Kremer""))),0) + IFERROR(SUM((filter('ILC2206'!$D:$D,MONTH('ILC2206'!$B:$B)=MONTH(Y$5),YEAR('ILC2206'!$B:$B)=YEAR(Y$5),'ILC2206'!$I:$I=""Fer""))),0))*$E15"),588.0)</f>
        <v>588</v>
      </c>
      <c r="Z15" s="74">
        <f t="shared" si="16"/>
        <v>0.8965088208</v>
      </c>
      <c r="AA15" s="75">
        <f>IFERROR(__xludf.DUMMYFUNCTION("(iferror(sum((filter(TO!$D:$D,month(TO!$B:$B)=month(AB$5),year(TO!$B:$B)=year(AB$5)))),0) )*(iferror(sum((filter(TO!$C:$C,month(TO!$B:$B)=month(AB$5),year(TO!$B:$B)=year(AB$5)))),0) )*(iferror(sum((filter(TO!$A:$A,month(TO!$B:$B)=month(AB$5),year(TO!$B:$B"&amp;")=year(AB$5)))),0) )*$E15"),311.202)</f>
        <v>311.202</v>
      </c>
      <c r="AB15" s="79">
        <f>IFERROR(__xludf.DUMMYFUNCTION("(IFERROR(SUM((filter('ILC2206'!$D:$D,MONTH('ILC2206'!$B:$B)=MONTH(AB$5),YEAR('ILC2206'!$B:$B)=YEAR(AB$5),'ILC2206'!$I:$I=""Fernando""))),0) + IFERROR(SUM((filter('ILC2206'!$D:$D,MONTH('ILC2206'!$B:$B)=MONTH(AB$5),YEAR('ILC2206'!$B:$B)=YEAR(AB$5),'ILC2206'"&amp;"!$I:$I=""Kremer""))),0) + IFERROR(SUM((filter('ILC2206'!$D:$D,MONTH('ILC2206'!$B:$B)=MONTH(AB$5),YEAR('ILC2206'!$B:$B)=YEAR(AB$5),'ILC2206'!$I:$I=""Fer""))),0))*$E15"),0.0)</f>
        <v>0</v>
      </c>
      <c r="AC15" s="68">
        <f t="shared" si="4"/>
        <v>0</v>
      </c>
      <c r="AD15" s="75">
        <f>IFERROR(__xludf.DUMMYFUNCTION("(iferror(sum((filter(TO!$D:$D,month(TO!$B:$B)=month(AE$5),year(TO!$B:$B)=year(AE$5)))),0) )*(iferror(sum((filter(TO!$C:$C,month(TO!$B:$B)=month(AE$5),year(TO!$B:$B)=year(AE$5)))),0) )*(iferror(sum((filter(TO!$A:$A,month(TO!$B:$B)=month(AE$5),year(TO!$B:$B"&amp;")=year(AE$5)))),0) )*$E15"),512.23315)</f>
        <v>512.23315</v>
      </c>
      <c r="AE15" s="79">
        <f>IFERROR(__xludf.DUMMYFUNCTION("(IFERROR(SUM((filter('ILC2206'!$D:$D,MONTH('ILC2206'!$B:$B)=MONTH(AE$5),YEAR('ILC2206'!$B:$B)=YEAR(AE$5),'ILC2206'!$I:$I=""Fernando""))),0) + IFERROR(SUM((filter('ILC2206'!$D:$D,MONTH('ILC2206'!$B:$B)=MONTH(AE$5),YEAR('ILC2206'!$B:$B)=YEAR(AE$5),'ILC2206'"&amp;"!$I:$I=""Kremer""))),0) + IFERROR(SUM((filter('ILC2206'!$D:$D,MONTH('ILC2206'!$B:$B)=MONTH(AE$5),YEAR('ILC2206'!$B:$B)=YEAR(AE$5),'ILC2206'!$I:$I=""Fer""))),0))*$E15"),0.0)</f>
        <v>0</v>
      </c>
      <c r="AF15" s="68">
        <f t="shared" si="5"/>
        <v>0</v>
      </c>
      <c r="AG15" s="75">
        <f>IFERROR(__xludf.DUMMYFUNCTION("(iferror(sum((filter(TO!$D:$D,month(TO!$B:$B)=month(AH$5),year(TO!$B:$B)=year(AH$5)))),0) )*(iferror(sum((filter(TO!$C:$C,month(TO!$B:$B)=month(AH$5),year(TO!$B:$B)=year(AH$5)))),0) )*(iferror(sum((filter(TO!$A:$A,month(TO!$B:$B)=month(AH$5),year(TO!$B:$B"&amp;")=year(AH$5)))),0) )*$E15"),393.9294)</f>
        <v>393.9294</v>
      </c>
      <c r="AH15" s="79">
        <f>IFERROR(__xludf.DUMMYFUNCTION("(IFERROR(SUM((filter('ILC2206'!$D:$D,MONTH('ILC2206'!$B:$B)=MONTH(AH$5),YEAR('ILC2206'!$B:$B)=YEAR(AH$5),'ILC2206'!$I:$I=""Fernando""))),0) + IFERROR(SUM((filter('ILC2206'!$D:$D,MONTH('ILC2206'!$B:$B)=MONTH(AH$5),YEAR('ILC2206'!$B:$B)=YEAR(AH$5),'ILC2206'"&amp;"!$I:$I=""Kremer""))),0) + IFERROR(SUM((filter('ILC2206'!$D:$D,MONTH('ILC2206'!$B:$B)=MONTH(AH$5),YEAR('ILC2206'!$B:$B)=YEAR(AH$5),'ILC2206'!$I:$I=""Fer""))),0))*$E15"),0.0)</f>
        <v>0</v>
      </c>
      <c r="AI15" s="68">
        <f t="shared" si="6"/>
        <v>0</v>
      </c>
      <c r="AJ15" s="75">
        <f>IFERROR(__xludf.DUMMYFUNCTION("(iferror(sum((filter(TO!$D:$D,month(TO!$B:$B)=month(AK$5),year(TO!$B:$B)=year(AK$5)))),0) )*(iferror(sum((filter(TO!$C:$C,month(TO!$B:$B)=month(AK$5),year(TO!$B:$B)=year(AK$5)))),0) )*(iferror(sum((filter(TO!$A:$A,month(TO!$B:$B)=month(AK$5),year(TO!$B:$B"&amp;")=year(AK$5)))),0) )*$E15"),436.896)</f>
        <v>436.896</v>
      </c>
      <c r="AK15" s="79">
        <f>IFERROR(__xludf.DUMMYFUNCTION("(IFERROR(SUM((filter('ILC2206'!$D:$D,MONTH('ILC2206'!$B:$B)=MONTH(AK$5),YEAR('ILC2206'!$B:$B)=YEAR(AK$5),'ILC2206'!$I:$I=""Fernando""))),0) + IFERROR(SUM((filter('ILC2206'!$D:$D,MONTH('ILC2206'!$B:$B)=MONTH(AK$5),YEAR('ILC2206'!$B:$B)=YEAR(AK$5),'ILC2206'"&amp;"!$I:$I=""Kremer""))),0) + IFERROR(SUM((filter('ILC2206'!$D:$D,MONTH('ILC2206'!$B:$B)=MONTH(AK$5),YEAR('ILC2206'!$B:$B)=YEAR(AK$5),'ILC2206'!$I:$I=""Fer""))),0))*$E15"),0.0)</f>
        <v>0</v>
      </c>
      <c r="AL15" s="68">
        <f t="shared" si="7"/>
        <v>0</v>
      </c>
      <c r="AM15" s="75">
        <f>IFERROR(__xludf.DUMMYFUNCTION("(iferror(sum((filter(TO!$D:$D,month(TO!$B:$B)=month(AN$5),year(TO!$B:$B)=year(AN$5)))),0) )*(iferror(sum((filter(TO!$C:$C,month(TO!$B:$B)=month(AN$5),year(TO!$B:$B)=year(AN$5)))),0) )*(iferror(sum((filter(TO!$A:$A,month(TO!$B:$B)=month(AN$5),year(TO!$B:$B"&amp;")=year(AN$5)))),0) )*$E15"),636.41295)</f>
        <v>636.41295</v>
      </c>
      <c r="AN15" s="79">
        <f>IFERROR(__xludf.DUMMYFUNCTION("(IFERROR(SUM((filter('ILC2206'!$D:$D,MONTH('ILC2206'!$B:$B)=MONTH(AN$5),YEAR('ILC2206'!$B:$B)=YEAR(AN$5),'ILC2206'!$I:$I=""Fernando""))),0) + IFERROR(SUM((filter('ILC2206'!$D:$D,MONTH('ILC2206'!$B:$B)=MONTH(AN$5),YEAR('ILC2206'!$B:$B)=YEAR(AN$5),'ILC2206'"&amp;"!$I:$I=""Kremer""))),0) + IFERROR(SUM((filter('ILC2206'!$D:$D,MONTH('ILC2206'!$B:$B)=MONTH(AN$5),YEAR('ILC2206'!$B:$B)=YEAR(AN$5),'ILC2206'!$I:$I=""Fer""))),0))*$E15"),117.45)</f>
        <v>117.45</v>
      </c>
      <c r="AO15" s="68">
        <f t="shared" si="8"/>
        <v>0.1845499844</v>
      </c>
      <c r="AP15" s="75">
        <f>IFERROR(__xludf.DUMMYFUNCTION("(iferror(sum((filter(TO!$D:$D,month(TO!$B:$B)=month(AQ$5),year(TO!$B:$B)=year(AQ$5)))),0) )*(iferror(sum((filter(TO!$C:$C,month(TO!$B:$B)=month(AQ$5),year(TO!$B:$B)=year(AQ$5)))),0) )*(iferror(sum((filter(TO!$A:$A,month(TO!$B:$B)=month(AQ$5),year(TO!$B:$B"&amp;")=year(AQ$5)))),0) )*$E15"),761.2178999999999)</f>
        <v>761.2179</v>
      </c>
      <c r="AQ15" s="79">
        <f>IFERROR(__xludf.DUMMYFUNCTION("(IFERROR(SUM((filter('ILC2206'!$D:$D,MONTH('ILC2206'!$B:$B)=MONTH(AQ$5),YEAR('ILC2206'!$B:$B)=YEAR(AQ$5),'ILC2206'!$I:$I=""Fernando""))),0) + IFERROR(SUM((filter('ILC2206'!$D:$D,MONTH('ILC2206'!$B:$B)=MONTH(AQ$5),YEAR('ILC2206'!$B:$B)=YEAR(AQ$5),'ILC2206'"&amp;"!$I:$I=""Kremer""))),0) + IFERROR(SUM((filter('ILC2206'!$D:$D,MONTH('ILC2206'!$B:$B)=MONTH(AQ$5),YEAR('ILC2206'!$B:$B)=YEAR(AQ$5),'ILC2206'!$I:$I=""Fer""))),0))*$E15"),0.0)</f>
        <v>0</v>
      </c>
      <c r="AR15" s="68">
        <f t="shared" si="9"/>
        <v>0</v>
      </c>
      <c r="AS15" s="75">
        <f>IFERROR(__xludf.DUMMYFUNCTION("(iferror(sum((filter(TO!$D:$D,month(TO!$B:$B)=month(AT$5),year(TO!$B:$B)=year(AT$5)))),0) )*(iferror(sum((filter(TO!$C:$C,month(TO!$B:$B)=month(AT$5),year(TO!$B:$B)=year(AT$5)))),0) )*(iferror(sum((filter(TO!$A:$A,month(TO!$B:$B)=month(AT$5),year(TO!$B:$B"&amp;")=year(AT$5)))),0) )*$E15"),1309.6260000000002)</f>
        <v>1309.626</v>
      </c>
      <c r="AT15" s="79">
        <f>IFERROR(__xludf.DUMMYFUNCTION("(IFERROR(SUM((filter('ILC2206'!$D:$D,MONTH('ILC2206'!$B:$B)=MONTH(AT$5),YEAR('ILC2206'!$B:$B)=YEAR(AT$5),'ILC2206'!$I:$I=""Fernando""))),0) + IFERROR(SUM((filter('ILC2206'!$D:$D,MONTH('ILC2206'!$B:$B)=MONTH(AT$5),YEAR('ILC2206'!$B:$B)=YEAR(AT$5),'ILC2206'"&amp;"!$I:$I=""Kremer""))),0) + IFERROR(SUM((filter('ILC2206'!$D:$D,MONTH('ILC2206'!$B:$B)=MONTH(AT$5),YEAR('ILC2206'!$B:$B)=YEAR(AT$5),'ILC2206'!$I:$I=""Fer""))),0))*$E15"),0.0)</f>
        <v>0</v>
      </c>
      <c r="AU15" s="68">
        <f t="shared" si="10"/>
        <v>0</v>
      </c>
    </row>
    <row r="16" hidden="1">
      <c r="A16" s="48" t="s">
        <v>58</v>
      </c>
      <c r="B16" s="4">
        <v>2303.0</v>
      </c>
      <c r="C16" s="4" t="s">
        <v>100</v>
      </c>
      <c r="D16" s="64"/>
      <c r="E16" s="83">
        <v>0.1</v>
      </c>
      <c r="F16" s="75"/>
      <c r="G16" s="66">
        <f t="shared" si="1"/>
        <v>160</v>
      </c>
      <c r="H16" s="68">
        <f t="shared" si="2"/>
        <v>0</v>
      </c>
      <c r="I16" s="75">
        <f>IFERROR(__xludf.DUMMYFUNCTION("(iferror(sum((filter(TO!$D:$D,month(TO!$B:$B)=month(J$5),year(TO!$B:$B)=year(J$5)))),0) )*(iferror(sum((filter(TO!$C:$C,month(TO!$B:$B)=month(J$5),year(TO!$B:$B)=year(J$5)))),0) )*(iferror(sum((filter(TO!$A:$A,month(TO!$B:$B)=month(J$5),year(TO!$B:$B)=yea"&amp;"r(J$5)))),0) )*$E16"),1309.6260000000002)</f>
        <v>1309.626</v>
      </c>
      <c r="J16" s="79">
        <f>IFERROR(__xludf.DUMMYFUNCTION("(IFERROR(SUM((filter('ILC2303'!$D:$D,MONTH('ILC2303'!$B:$B)=MONTH(J$5),YEAR('ILC2303'!$B:$B)=YEAR(J$5),'ILC2303'!$I:$I=""Fernando""))),0) + IFERROR(SUM((filter('ILC2303'!$D:$D,MONTH('ILC2303'!$B:$B)=MONTH(J$5),YEAR('ILC2303'!$B:$B)=YEAR(J$5),'ILC2303'!$I:"&amp;"$I=""Kremer""))),0) + IFERROR(SUM((filter('ILC2303'!$D:$D,MONTH('ILC2303'!$B:$B)=MONTH(J$5),YEAR('ILC2303'!$B:$B)=YEAR(J$5),'ILC2303'!$I:$I=""Fer""))),0))*$E16"),640.0)</f>
        <v>640</v>
      </c>
      <c r="K16" s="68">
        <f t="shared" si="11"/>
        <v>0.4886891372</v>
      </c>
      <c r="L16" s="65">
        <v>0.0</v>
      </c>
      <c r="M16" s="79">
        <v>160.0</v>
      </c>
      <c r="N16" s="68">
        <f t="shared" si="12"/>
        <v>0</v>
      </c>
      <c r="O16" s="75"/>
      <c r="P16" s="79">
        <v>0.0</v>
      </c>
      <c r="Q16" s="68">
        <f t="shared" si="13"/>
        <v>0</v>
      </c>
      <c r="R16" s="75"/>
      <c r="S16" s="71">
        <v>0.0</v>
      </c>
      <c r="T16" s="68">
        <f t="shared" si="14"/>
        <v>0</v>
      </c>
      <c r="U16" s="75"/>
      <c r="V16" s="71">
        <f>IFERROR(__xludf.DUMMYFUNCTION("(IFERROR(SUM((filter('ILC2303'!$D:$D,MONTH('ILC2303'!$B:$B)=MONTH(V$5),YEAR('ILC2303'!$B:$B)=YEAR(V$5),'ILC2303'!$I:$I=""Fernando""))),0) + IFERROR(SUM((filter('ILC2303'!$D:$D,MONTH('ILC2303'!$B:$B)=MONTH(V$5),YEAR('ILC2303'!$B:$B)=YEAR(V$5),'ILC2303'!$I:"&amp;"$I=""Kremer""))),0) + IFERROR(SUM((filter('ILC2303'!$D:$D,MONTH('ILC2303'!$B:$B)=MONTH(V$5),YEAR('ILC2303'!$B:$B)=YEAR(V$5),'ILC2303'!$I:$I=""Fer""))),0))*$E16"),0.0)</f>
        <v>0</v>
      </c>
      <c r="W16" s="68">
        <f t="shared" si="15"/>
        <v>0</v>
      </c>
      <c r="X16" s="80"/>
      <c r="Y16" s="81">
        <f>IFERROR(__xludf.DUMMYFUNCTION("(IFERROR(SUM((filter('ILC2303'!$D:$D,MONTH('ILC2303'!$B:$B)=MONTH(Y$5),YEAR('ILC2303'!$B:$B)=YEAR(Y$5),'ILC2303'!$I:$I=""Fernando""))),0) + IFERROR(SUM((filter('ILC2303'!$D:$D,MONTH('ILC2303'!$B:$B)=MONTH(Y$5),YEAR('ILC2303'!$B:$B)=YEAR(Y$5),'ILC2303'!$I:"&amp;"$I=""Kremer""))),0) + IFERROR(SUM((filter('ILC2303'!$D:$D,MONTH('ILC2303'!$B:$B)=MONTH(Y$5),YEAR('ILC2303'!$B:$B)=YEAR(Y$5),'ILC2303'!$I:$I=""Fer""))),0))*$E16"),0.0)</f>
        <v>0</v>
      </c>
      <c r="Z16" s="74">
        <f t="shared" si="16"/>
        <v>0</v>
      </c>
      <c r="AA16" s="75"/>
      <c r="AB16" s="79">
        <f>IFERROR(__xludf.DUMMYFUNCTION("(IFERROR(SUM((filter('ILC2303'!$D:$D,MONTH('ILC2303'!$B:$B)=MONTH(AB$5),YEAR('ILC2303'!$B:$B)=YEAR(AB$5),'ILC2303'!$I:$I=""Fernando""))),0) + IFERROR(SUM((filter('ILC2303'!$D:$D,MONTH('ILC2303'!$B:$B)=MONTH(AB$5),YEAR('ILC2303'!$B:$B)=YEAR(AB$5),'ILC2303'"&amp;"!$I:$I=""Kremer""))),0) + IFERROR(SUM((filter('ILC2303'!$D:$D,MONTH('ILC2303'!$B:$B)=MONTH(AB$5),YEAR('ILC2303'!$B:$B)=YEAR(AB$5),'ILC2303'!$I:$I=""Fer""))),0))*$E16"),0.0)</f>
        <v>0</v>
      </c>
      <c r="AC16" s="68">
        <f t="shared" si="4"/>
        <v>0</v>
      </c>
      <c r="AD16" s="75"/>
      <c r="AE16" s="79">
        <f>IFERROR(__xludf.DUMMYFUNCTION("(IFERROR(SUM((filter('ILC2303'!$D:$D,MONTH('ILC2303'!$B:$B)=MONTH(AE$5),YEAR('ILC2303'!$B:$B)=YEAR(AE$5),'ILC2303'!$I:$I=""Fernando""))),0) + IFERROR(SUM((filter('ILC2303'!$D:$D,MONTH('ILC2303'!$B:$B)=MONTH(AE$5),YEAR('ILC2303'!$B:$B)=YEAR(AE$5),'ILC2303'"&amp;"!$I:$I=""Kremer""))),0) + IFERROR(SUM((filter('ILC2303'!$D:$D,MONTH('ILC2303'!$B:$B)=MONTH(AE$5),YEAR('ILC2303'!$B:$B)=YEAR(AE$5),'ILC2303'!$I:$I=""Fer""))),0))*$E16"),0.0)</f>
        <v>0</v>
      </c>
      <c r="AF16" s="68">
        <f t="shared" si="5"/>
        <v>0</v>
      </c>
      <c r="AG16" s="75"/>
      <c r="AH16" s="79">
        <f>IFERROR(__xludf.DUMMYFUNCTION("(IFERROR(SUM((filter('ILC2303'!$D:$D,MONTH('ILC2303'!$B:$B)=MONTH(AH$5),YEAR('ILC2303'!$B:$B)=YEAR(AH$5),'ILC2303'!$I:$I=""Fernando""))),0) + IFERROR(SUM((filter('ILC2303'!$D:$D,MONTH('ILC2303'!$B:$B)=MONTH(AH$5),YEAR('ILC2303'!$B:$B)=YEAR(AH$5),'ILC2303'"&amp;"!$I:$I=""Kremer""))),0) + IFERROR(SUM((filter('ILC2303'!$D:$D,MONTH('ILC2303'!$B:$B)=MONTH(AH$5),YEAR('ILC2303'!$B:$B)=YEAR(AH$5),'ILC2303'!$I:$I=""Fer""))),0))*$E16"),0.0)</f>
        <v>0</v>
      </c>
      <c r="AI16" s="68">
        <f t="shared" si="6"/>
        <v>0</v>
      </c>
      <c r="AJ16" s="75"/>
      <c r="AK16" s="79">
        <f>IFERROR(__xludf.DUMMYFUNCTION("(IFERROR(SUM((filter('ILC2303'!$D:$D,MONTH('ILC2303'!$B:$B)=MONTH(AK$5),YEAR('ILC2303'!$B:$B)=YEAR(AK$5),'ILC2303'!$I:$I=""Fernando""))),0) + IFERROR(SUM((filter('ILC2303'!$D:$D,MONTH('ILC2303'!$B:$B)=MONTH(AK$5),YEAR('ILC2303'!$B:$B)=YEAR(AK$5),'ILC2303'"&amp;"!$I:$I=""Kremer""))),0) + IFERROR(SUM((filter('ILC2303'!$D:$D,MONTH('ILC2303'!$B:$B)=MONTH(AK$5),YEAR('ILC2303'!$B:$B)=YEAR(AK$5),'ILC2303'!$I:$I=""Fer""))),0))*$E16"),0.0)</f>
        <v>0</v>
      </c>
      <c r="AL16" s="68">
        <f t="shared" si="7"/>
        <v>0</v>
      </c>
      <c r="AM16" s="75"/>
      <c r="AN16" s="79">
        <f>IFERROR(__xludf.DUMMYFUNCTION("(IFERROR(SUM((filter('ILC2303'!$D:$D,MONTH('ILC2303'!$B:$B)=MONTH(AN$5),YEAR('ILC2303'!$B:$B)=YEAR(AN$5),'ILC2303'!$I:$I=""Fernando""))),0) + IFERROR(SUM((filter('ILC2303'!$D:$D,MONTH('ILC2303'!$B:$B)=MONTH(AN$5),YEAR('ILC2303'!$B:$B)=YEAR(AN$5),'ILC2303'"&amp;"!$I:$I=""Kremer""))),0) + IFERROR(SUM((filter('ILC2303'!$D:$D,MONTH('ILC2303'!$B:$B)=MONTH(AN$5),YEAR('ILC2303'!$B:$B)=YEAR(AN$5),'ILC2303'!$I:$I=""Fer""))),0))*$E16"),0.0)</f>
        <v>0</v>
      </c>
      <c r="AO16" s="68">
        <f t="shared" si="8"/>
        <v>0</v>
      </c>
      <c r="AP16" s="75"/>
      <c r="AQ16" s="79">
        <f>IFERROR(__xludf.DUMMYFUNCTION("(IFERROR(SUM((filter('ILC2303'!$D:$D,MONTH('ILC2303'!$B:$B)=MONTH(AQ$5),YEAR('ILC2303'!$B:$B)=YEAR(AQ$5),'ILC2303'!$I:$I=""Fernando""))),0) + IFERROR(SUM((filter('ILC2303'!$D:$D,MONTH('ILC2303'!$B:$B)=MONTH(AQ$5),YEAR('ILC2303'!$B:$B)=YEAR(AQ$5),'ILC2303'"&amp;"!$I:$I=""Kremer""))),0) + IFERROR(SUM((filter('ILC2303'!$D:$D,MONTH('ILC2303'!$B:$B)=MONTH(AQ$5),YEAR('ILC2303'!$B:$B)=YEAR(AQ$5),'ILC2303'!$I:$I=""Fer""))),0))*$E16"),0.0)</f>
        <v>0</v>
      </c>
      <c r="AR16" s="68">
        <f t="shared" si="9"/>
        <v>0</v>
      </c>
      <c r="AS16" s="75"/>
      <c r="AT16" s="79">
        <f>IFERROR(__xludf.DUMMYFUNCTION("(IFERROR(SUM((filter('ILC2303'!$D:$D,MONTH('ILC2303'!$B:$B)=MONTH(AT$5),YEAR('ILC2303'!$B:$B)=YEAR(AT$5),'ILC2303'!$I:$I=""Fernando""))),0) + IFERROR(SUM((filter('ILC2303'!$D:$D,MONTH('ILC2303'!$B:$B)=MONTH(AT$5),YEAR('ILC2303'!$B:$B)=YEAR(AT$5),'ILC2303'"&amp;"!$I:$I=""Kremer""))),0) + IFERROR(SUM((filter('ILC2303'!$D:$D,MONTH('ILC2303'!$B:$B)=MONTH(AT$5),YEAR('ILC2303'!$B:$B)=YEAR(AT$5),'ILC2303'!$I:$I=""Fer""))),0))*$E16"),0.0)</f>
        <v>0</v>
      </c>
      <c r="AU16" s="68">
        <f t="shared" si="10"/>
        <v>0</v>
      </c>
    </row>
    <row r="17">
      <c r="A17" s="48" t="s">
        <v>62</v>
      </c>
      <c r="B17" s="4">
        <v>2307.0</v>
      </c>
      <c r="C17" s="4" t="s">
        <v>93</v>
      </c>
      <c r="D17" s="64"/>
      <c r="E17" s="64">
        <v>0.1</v>
      </c>
      <c r="F17" s="75">
        <f t="shared" ref="F17:F20" si="17">$G$1*E17</f>
        <v>10000</v>
      </c>
      <c r="G17" s="66">
        <f t="shared" si="1"/>
        <v>828.955</v>
      </c>
      <c r="H17" s="68">
        <f t="shared" si="2"/>
        <v>0.0828955</v>
      </c>
      <c r="I17" s="75"/>
      <c r="J17" s="93">
        <v>0.0</v>
      </c>
      <c r="K17" s="68">
        <f t="shared" si="11"/>
        <v>0</v>
      </c>
      <c r="L17" s="75"/>
      <c r="M17" s="79">
        <v>0.0</v>
      </c>
      <c r="N17" s="68">
        <f t="shared" si="12"/>
        <v>0</v>
      </c>
      <c r="O17" s="75"/>
      <c r="P17" s="79">
        <v>0.0</v>
      </c>
      <c r="Q17" s="68">
        <f t="shared" si="13"/>
        <v>0</v>
      </c>
      <c r="R17" s="75"/>
      <c r="S17" s="71">
        <v>0.0</v>
      </c>
      <c r="T17" s="68">
        <f t="shared" si="14"/>
        <v>0</v>
      </c>
      <c r="U17" s="75"/>
      <c r="V17" s="95">
        <v>0.0</v>
      </c>
      <c r="W17" s="68">
        <f t="shared" si="15"/>
        <v>0</v>
      </c>
      <c r="X17" s="80">
        <f>IFERROR(__xludf.DUMMYFUNCTION("(iferror(sum((filter(TO!$D:$D,month(TO!$B:$B)=month(Y$5),year(TO!$B:$B)=year(Y$5)))),0) )*(iferror(sum((filter(TO!$C:$C,month(TO!$B:$B)=month(Y$5),year(TO!$B:$B)=year(Y$5)))),0) )*(iferror(sum((filter(TO!$A:$A,month(TO!$B:$B)=month(Y$5),year(TO!$B:$B)=yea"&amp;"r(Y$5)))),0) )*$E17"),655.8775400000001)</f>
        <v>655.87754</v>
      </c>
      <c r="Y17" s="81">
        <f>IFERROR(__xludf.DUMMYFUNCTION("(IFERROR(SUM((filter('ILC2307'!$D:$D,MONTH('ILC2307'!$B:$B)=MONTH(Y$5),YEAR('ILC2307'!$B:$B)=YEAR(Y$5),'ILC2307'!$I:$I=""Fernando""))),0) + IFERROR(SUM((filter('ILC2307'!$D:$D,MONTH('ILC2307'!$B:$B)=MONTH(Y$5),YEAR('ILC2307'!$B:$B)=YEAR(Y$5),'ILC2307'!$I:"&amp;"$I=""Kremer""))),0) + IFERROR(SUM((filter('ILC2307'!$D:$D,MONTH('ILC2307'!$B:$B)=MONTH(Y$5),YEAR('ILC2307'!$B:$B)=YEAR(Y$5),'ILC2307'!$I:$I=""Fer""))),0))*$E17"),196.62)</f>
        <v>196.62</v>
      </c>
      <c r="Z17" s="74">
        <f t="shared" si="16"/>
        <v>0.299781572</v>
      </c>
      <c r="AA17" s="75">
        <f>IFERROR(__xludf.DUMMYFUNCTION("(iferror(sum((filter(TO!$D:$D,month(TO!$B:$B)=month(AB$5),year(TO!$B:$B)=year(AB$5)))),0) )*(iferror(sum((filter(TO!$C:$C,month(TO!$B:$B)=month(AB$5),year(TO!$B:$B)=year(AB$5)))),0) )*(iferror(sum((filter(TO!$A:$A,month(TO!$B:$B)=month(AB$5),year(TO!$B:$B"&amp;")=year(AB$5)))),0) )*$E17"),311.202)</f>
        <v>311.202</v>
      </c>
      <c r="AB17" s="79">
        <f>IFERROR(__xludf.DUMMYFUNCTION("(IFERROR(SUM((filter('ILC2307'!$D:$D,MONTH('ILC2307'!$B:$B)=MONTH(AB$5),YEAR('ILC2307'!$B:$B)=YEAR(AB$5),'ILC2307'!$I:$I=""Fernando""))),0) + IFERROR(SUM((filter('ILC2307'!$D:$D,MONTH('ILC2307'!$B:$B)=MONTH(AB$5),YEAR('ILC2307'!$B:$B)=YEAR(AB$5),'ILC2307'"&amp;"!$I:$I=""Kremer""))),0) + IFERROR(SUM((filter('ILC2307'!$D:$D,MONTH('ILC2307'!$B:$B)=MONTH(AB$5),YEAR('ILC2307'!$B:$B)=YEAR(AB$5),'ILC2307'!$I:$I=""Fer""))),0))*$E17"),102.33500000000001)</f>
        <v>102.335</v>
      </c>
      <c r="AC17" s="68">
        <f t="shared" si="4"/>
        <v>0.3288378609</v>
      </c>
      <c r="AD17" s="75">
        <f>IFERROR(__xludf.DUMMYFUNCTION("(iferror(sum((filter(TO!$D:$D,month(TO!$B:$B)=month(AE$5),year(TO!$B:$B)=year(AE$5)))),0) )*(iferror(sum((filter(TO!$C:$C,month(TO!$B:$B)=month(AE$5),year(TO!$B:$B)=year(AE$5)))),0) )*(iferror(sum((filter(TO!$A:$A,month(TO!$B:$B)=month(AE$5),year(TO!$B:$B"&amp;")=year(AE$5)))),0) )*$E17"),512.23315)</f>
        <v>512.23315</v>
      </c>
      <c r="AE17" s="79">
        <f>IFERROR(__xludf.DUMMYFUNCTION("(IFERROR(SUM((filter('ILC2307'!$D:$D,MONTH('ILC2307'!$B:$B)=MONTH(AE$5),YEAR('ILC2307'!$B:$B)=YEAR(AE$5),'ILC2307'!$I:$I=""Fernando""))),0) + IFERROR(SUM((filter('ILC2307'!$D:$D,MONTH('ILC2307'!$B:$B)=MONTH(AE$5),YEAR('ILC2307'!$B:$B)=YEAR(AE$5),'ILC2307'"&amp;"!$I:$I=""Kremer""))),0) + IFERROR(SUM((filter('ILC2307'!$D:$D,MONTH('ILC2307'!$B:$B)=MONTH(AE$5),YEAR('ILC2307'!$B:$B)=YEAR(AE$5),'ILC2307'!$I:$I=""Fer""))),0))*$E17"),0.0)</f>
        <v>0</v>
      </c>
      <c r="AF17" s="68">
        <f t="shared" si="5"/>
        <v>0</v>
      </c>
      <c r="AG17" s="75">
        <f>IFERROR(__xludf.DUMMYFUNCTION("(iferror(sum((filter(TO!$D:$D,month(TO!$B:$B)=month(AH$5),year(TO!$B:$B)=year(AH$5)))),0) )*(iferror(sum((filter(TO!$C:$C,month(TO!$B:$B)=month(AH$5),year(TO!$B:$B)=year(AH$5)))),0) )*(iferror(sum((filter(TO!$A:$A,month(TO!$B:$B)=month(AH$5),year(TO!$B:$B"&amp;")=year(AH$5)))),0) )*$E17"),393.9294)</f>
        <v>393.9294</v>
      </c>
      <c r="AH17" s="79">
        <f>IFERROR(__xludf.DUMMYFUNCTION("(IFERROR(SUM((filter('ILC2307'!$D:$D,MONTH('ILC2307'!$B:$B)=MONTH(AH$5),YEAR('ILC2307'!$B:$B)=YEAR(AH$5),'ILC2307'!$I:$I=""Fernando""))),0) + IFERROR(SUM((filter('ILC2307'!$D:$D,MONTH('ILC2307'!$B:$B)=MONTH(AH$5),YEAR('ILC2307'!$B:$B)=YEAR(AH$5),'ILC2307'"&amp;"!$I:$I=""Kremer""))),0) + IFERROR(SUM((filter('ILC2307'!$D:$D,MONTH('ILC2307'!$B:$B)=MONTH(AH$5),YEAR('ILC2307'!$B:$B)=YEAR(AH$5),'ILC2307'!$I:$I=""Fer""))),0))*$E17"),0.0)</f>
        <v>0</v>
      </c>
      <c r="AI17" s="68">
        <f t="shared" si="6"/>
        <v>0</v>
      </c>
      <c r="AJ17" s="75">
        <f>IFERROR(__xludf.DUMMYFUNCTION("(iferror(sum((filter(TO!$D:$D,month(TO!$B:$B)=month(AK$5),year(TO!$B:$B)=year(AK$5)))),0) )*(iferror(sum((filter(TO!$C:$C,month(TO!$B:$B)=month(AK$5),year(TO!$B:$B)=year(AK$5)))),0) )*(iferror(sum((filter(TO!$A:$A,month(TO!$B:$B)=month(AK$5),year(TO!$B:$B"&amp;")=year(AK$5)))),0) )*$E17"),436.896)</f>
        <v>436.896</v>
      </c>
      <c r="AK17" s="79">
        <f>IFERROR(__xludf.DUMMYFUNCTION("(IFERROR(SUM((filter('ILC2307'!$D:$D,MONTH('ILC2307'!$B:$B)=MONTH(AK$5),YEAR('ILC2307'!$B:$B)=YEAR(AK$5),'ILC2307'!$I:$I=""Fernando""))),0) + IFERROR(SUM((filter('ILC2307'!$D:$D,MONTH('ILC2307'!$B:$B)=MONTH(AK$5),YEAR('ILC2307'!$B:$B)=YEAR(AK$5),'ILC2307'"&amp;"!$I:$I=""Kremer""))),0) + IFERROR(SUM((filter('ILC2307'!$D:$D,MONTH('ILC2307'!$B:$B)=MONTH(AK$5),YEAR('ILC2307'!$B:$B)=YEAR(AK$5),'ILC2307'!$I:$I=""Fer""))),0))*$E17"),0.0)</f>
        <v>0</v>
      </c>
      <c r="AL17" s="68">
        <f t="shared" si="7"/>
        <v>0</v>
      </c>
      <c r="AM17" s="75">
        <f>IFERROR(__xludf.DUMMYFUNCTION("(iferror(sum((filter(TO!$D:$D,month(TO!$B:$B)=month(AN$5),year(TO!$B:$B)=year(AN$5)))),0) )*(iferror(sum((filter(TO!$C:$C,month(TO!$B:$B)=month(AN$5),year(TO!$B:$B)=year(AN$5)))),0) )*(iferror(sum((filter(TO!$A:$A,month(TO!$B:$B)=month(AN$5),year(TO!$B:$B"&amp;")=year(AN$5)))),0) )*$E17"),636.41295)</f>
        <v>636.41295</v>
      </c>
      <c r="AN17" s="79">
        <f>IFERROR(__xludf.DUMMYFUNCTION("(IFERROR(SUM((filter('ILC2307'!$D:$D,MONTH('ILC2307'!$B:$B)=MONTH(AN$5),YEAR('ILC2307'!$B:$B)=YEAR(AN$5),'ILC2307'!$I:$I=""Fernando""))),0) + IFERROR(SUM((filter('ILC2307'!$D:$D,MONTH('ILC2307'!$B:$B)=MONTH(AN$5),YEAR('ILC2307'!$B:$B)=YEAR(AN$5),'ILC2307'"&amp;"!$I:$I=""Kremer""))),0) + IFERROR(SUM((filter('ILC2307'!$D:$D,MONTH('ILC2307'!$B:$B)=MONTH(AN$5),YEAR('ILC2307'!$B:$B)=YEAR(AN$5),'ILC2307'!$I:$I=""Fer""))),0))*$E17"),0.0)</f>
        <v>0</v>
      </c>
      <c r="AO17" s="68">
        <f t="shared" si="8"/>
        <v>0</v>
      </c>
      <c r="AP17" s="75">
        <f>IFERROR(__xludf.DUMMYFUNCTION("(iferror(sum((filter(TO!$D:$D,month(TO!$B:$B)=month(AQ$5),year(TO!$B:$B)=year(AQ$5)))),0) )*(iferror(sum((filter(TO!$C:$C,month(TO!$B:$B)=month(AQ$5),year(TO!$B:$B)=year(AQ$5)))),0) )*(iferror(sum((filter(TO!$A:$A,month(TO!$B:$B)=month(AQ$5),year(TO!$B:$B"&amp;")=year(AQ$5)))),0) )*$E17"),761.2178999999999)</f>
        <v>761.2179</v>
      </c>
      <c r="AQ17" s="79">
        <f>IFERROR(__xludf.DUMMYFUNCTION("(IFERROR(SUM((filter('ILC2307'!$D:$D,MONTH('ILC2307'!$B:$B)=MONTH(AQ$5),YEAR('ILC2307'!$B:$B)=YEAR(AQ$5),'ILC2307'!$I:$I=""Fernando""))),0) + IFERROR(SUM((filter('ILC2307'!$D:$D,MONTH('ILC2307'!$B:$B)=MONTH(AQ$5),YEAR('ILC2307'!$B:$B)=YEAR(AQ$5),'ILC2307'"&amp;"!$I:$I=""Kremer""))),0) + IFERROR(SUM((filter('ILC2307'!$D:$D,MONTH('ILC2307'!$B:$B)=MONTH(AQ$5),YEAR('ILC2307'!$B:$B)=YEAR(AQ$5),'ILC2307'!$I:$I=""Fer""))),0))*$E17"),0.0)</f>
        <v>0</v>
      </c>
      <c r="AR17" s="68">
        <f t="shared" si="9"/>
        <v>0</v>
      </c>
      <c r="AS17" s="75">
        <f>IFERROR(__xludf.DUMMYFUNCTION("(iferror(sum((filter(TO!$D:$D,month(TO!$B:$B)=month(AT$5),year(TO!$B:$B)=year(AT$5)))),0) )*(iferror(sum((filter(TO!$C:$C,month(TO!$B:$B)=month(AT$5),year(TO!$B:$B)=year(AT$5)))),0) )*(iferror(sum((filter(TO!$A:$A,month(TO!$B:$B)=month(AT$5),year(TO!$B:$B"&amp;")=year(AT$5)))),0) )*$E17"),1309.6260000000002)</f>
        <v>1309.626</v>
      </c>
      <c r="AT17" s="79">
        <f>IFERROR(__xludf.DUMMYFUNCTION("(IFERROR(SUM((filter('ILC2307'!$D:$D,MONTH('ILC2307'!$B:$B)=MONTH(AT$5),YEAR('ILC2307'!$B:$B)=YEAR(AT$5),'ILC2307'!$I:$I=""Fernando""))),0) + IFERROR(SUM((filter('ILC2307'!$D:$D,MONTH('ILC2307'!$B:$B)=MONTH(AT$5),YEAR('ILC2307'!$B:$B)=YEAR(AT$5),'ILC2307'"&amp;"!$I:$I=""Kremer""))),0) + IFERROR(SUM((filter('ILC2307'!$D:$D,MONTH('ILC2307'!$B:$B)=MONTH(AT$5),YEAR('ILC2307'!$B:$B)=YEAR(AT$5),'ILC2307'!$I:$I=""Fer""))),0))*$E17"),530.0)</f>
        <v>530</v>
      </c>
      <c r="AU17" s="68">
        <f t="shared" si="10"/>
        <v>0.4046956917</v>
      </c>
    </row>
    <row r="18">
      <c r="A18" s="48" t="s">
        <v>64</v>
      </c>
      <c r="B18" s="4">
        <v>2313.0</v>
      </c>
      <c r="C18" s="4" t="s">
        <v>93</v>
      </c>
      <c r="D18" s="64"/>
      <c r="E18" s="64">
        <v>0.1</v>
      </c>
      <c r="F18" s="75">
        <f t="shared" si="17"/>
        <v>10000</v>
      </c>
      <c r="G18" s="66">
        <f t="shared" si="1"/>
        <v>955.05</v>
      </c>
      <c r="H18" s="68">
        <f t="shared" si="2"/>
        <v>0.095505</v>
      </c>
      <c r="I18" s="75"/>
      <c r="J18" s="93">
        <v>0.0</v>
      </c>
      <c r="K18" s="68">
        <f t="shared" si="11"/>
        <v>0</v>
      </c>
      <c r="L18" s="75"/>
      <c r="M18" s="79">
        <v>0.0</v>
      </c>
      <c r="N18" s="68">
        <f t="shared" si="12"/>
        <v>0</v>
      </c>
      <c r="O18" s="75"/>
      <c r="P18" s="79">
        <v>0.0</v>
      </c>
      <c r="Q18" s="68">
        <f t="shared" si="13"/>
        <v>0</v>
      </c>
      <c r="R18" s="75"/>
      <c r="S18" s="71">
        <v>0.0</v>
      </c>
      <c r="T18" s="68">
        <f t="shared" si="14"/>
        <v>0</v>
      </c>
      <c r="U18" s="75"/>
      <c r="V18" s="95">
        <v>0.0</v>
      </c>
      <c r="W18" s="68">
        <f t="shared" si="15"/>
        <v>0</v>
      </c>
      <c r="X18" s="80">
        <f>IFERROR(__xludf.DUMMYFUNCTION("(iferror(sum((filter(TO!$D:$D,month(TO!$B:$B)=month(Y$5),year(TO!$B:$B)=year(Y$5)))),0) )*(iferror(sum((filter(TO!$C:$C,month(TO!$B:$B)=month(Y$5),year(TO!$B:$B)=year(Y$5)))),0) )*(iferror(sum((filter(TO!$A:$A,month(TO!$B:$B)=month(Y$5),year(TO!$B:$B)=yea"&amp;"r(Y$5)))),0) )*$E18"),655.8775400000001)</f>
        <v>655.87754</v>
      </c>
      <c r="Y18" s="81">
        <f>IFERROR(__xludf.DUMMYFUNCTION("(IFERROR(SUM((filter('ILC2313'!$D:$D,MONTH('ILC2313'!$B:$B)=MONTH(Y$5),YEAR('ILC2313'!$B:$B)=YEAR(Y$5),'ILC2313'!$I:$I=""Fernando""))),0) + IFERROR(SUM((filter('ILC2313'!$D:$D,MONTH('ILC2313'!$B:$B)=MONTH(Y$5),YEAR('ILC2313'!$B:$B)=YEAR(Y$5),'ILC2313'!$I:"&amp;"$I=""Kremer""))),0) + IFERROR(SUM((filter('ILC2313'!$D:$D,MONTH('ILC2313'!$B:$B)=MONTH(Y$5),YEAR('ILC2313'!$B:$B)=YEAR(Y$5),'ILC2313'!$I:$I=""Fer""))),0))*$E18"),719.106)</f>
        <v>719.106</v>
      </c>
      <c r="Z18" s="74">
        <f t="shared" si="16"/>
        <v>1.096402844</v>
      </c>
      <c r="AA18" s="75">
        <f>IFERROR(__xludf.DUMMYFUNCTION("(iferror(sum((filter(TO!$D:$D,month(TO!$B:$B)=month(AB$5),year(TO!$B:$B)=year(AB$5)))),0) )*(iferror(sum((filter(TO!$C:$C,month(TO!$B:$B)=month(AB$5),year(TO!$B:$B)=year(AB$5)))),0) )*(iferror(sum((filter(TO!$A:$A,month(TO!$B:$B)=month(AB$5),year(TO!$B:$B"&amp;")=year(AB$5)))),0) )*$E18"),311.202)</f>
        <v>311.202</v>
      </c>
      <c r="AB18" s="79">
        <f>IFERROR(__xludf.DUMMYFUNCTION("(IFERROR(SUM((filter('ILC2313'!$D:$D,MONTH('ILC2313'!$B:$B)=MONTH(AB$5),YEAR('ILC2313'!$B:$B)=YEAR(AB$5),'ILC2313'!$I:$I=""Fernando""))),0) + IFERROR(SUM((filter('ILC2313'!$D:$D,MONTH('ILC2313'!$B:$B)=MONTH(AB$5),YEAR('ILC2313'!$B:$B)=YEAR(AB$5),'ILC2313'"&amp;"!$I:$I=""Kremer""))),0) + IFERROR(SUM((filter('ILC2313'!$D:$D,MONTH('ILC2313'!$B:$B)=MONTH(AB$5),YEAR('ILC2313'!$B:$B)=YEAR(AB$5),'ILC2313'!$I:$I=""Fer""))),0))*$E18"),0.0)</f>
        <v>0</v>
      </c>
      <c r="AC18" s="68">
        <f t="shared" si="4"/>
        <v>0</v>
      </c>
      <c r="AD18" s="75">
        <f>IFERROR(__xludf.DUMMYFUNCTION("(iferror(sum((filter(TO!$D:$D,month(TO!$B:$B)=month(AE$5),year(TO!$B:$B)=year(AE$5)))),0) )*(iferror(sum((filter(TO!$C:$C,month(TO!$B:$B)=month(AE$5),year(TO!$B:$B)=year(AE$5)))),0) )*(iferror(sum((filter(TO!$A:$A,month(TO!$B:$B)=month(AE$5),year(TO!$B:$B"&amp;")=year(AE$5)))),0) )*$E18"),512.23315)</f>
        <v>512.23315</v>
      </c>
      <c r="AE18" s="79">
        <f>IFERROR(__xludf.DUMMYFUNCTION("(IFERROR(SUM((filter('ILC2313'!$D:$D,MONTH('ILC2313'!$B:$B)=MONTH(AE$5),YEAR('ILC2313'!$B:$B)=YEAR(AE$5),'ILC2313'!$I:$I=""Fernando""))),0) + IFERROR(SUM((filter('ILC2313'!$D:$D,MONTH('ILC2313'!$B:$B)=MONTH(AE$5),YEAR('ILC2313'!$B:$B)=YEAR(AE$5),'ILC2313'"&amp;"!$I:$I=""Kremer""))),0) + IFERROR(SUM((filter('ILC2313'!$D:$D,MONTH('ILC2313'!$B:$B)=MONTH(AE$5),YEAR('ILC2313'!$B:$B)=YEAR(AE$5),'ILC2313'!$I:$I=""Fer""))),0))*$E18"),235.94400000000002)</f>
        <v>235.944</v>
      </c>
      <c r="AF18" s="68">
        <f t="shared" si="5"/>
        <v>0.4606183727</v>
      </c>
      <c r="AG18" s="75">
        <f>IFERROR(__xludf.DUMMYFUNCTION("(iferror(sum((filter(TO!$D:$D,month(TO!$B:$B)=month(AH$5),year(TO!$B:$B)=year(AH$5)))),0) )*(iferror(sum((filter(TO!$C:$C,month(TO!$B:$B)=month(AH$5),year(TO!$B:$B)=year(AH$5)))),0) )*(iferror(sum((filter(TO!$A:$A,month(TO!$B:$B)=month(AH$5),year(TO!$B:$B"&amp;")=year(AH$5)))),0) )*$E18"),393.9294)</f>
        <v>393.9294</v>
      </c>
      <c r="AH18" s="79">
        <f>IFERROR(__xludf.DUMMYFUNCTION("(IFERROR(SUM((filter('ILC2313'!$D:$D,MONTH('ILC2313'!$B:$B)=MONTH(AH$5),YEAR('ILC2313'!$B:$B)=YEAR(AH$5),'ILC2313'!$I:$I=""Fernando""))),0) + IFERROR(SUM((filter('ILC2313'!$D:$D,MONTH('ILC2313'!$B:$B)=MONTH(AH$5),YEAR('ILC2313'!$B:$B)=YEAR(AH$5),'ILC2313'"&amp;"!$I:$I=""Kremer""))),0) + IFERROR(SUM((filter('ILC2313'!$D:$D,MONTH('ILC2313'!$B:$B)=MONTH(AH$5),YEAR('ILC2313'!$B:$B)=YEAR(AH$5),'ILC2313'!$I:$I=""Fer""))),0))*$E18"),0.0)</f>
        <v>0</v>
      </c>
      <c r="AI18" s="68">
        <f t="shared" si="6"/>
        <v>0</v>
      </c>
      <c r="AJ18" s="75">
        <f>IFERROR(__xludf.DUMMYFUNCTION("(iferror(sum((filter(TO!$D:$D,month(TO!$B:$B)=month(AK$5),year(TO!$B:$B)=year(AK$5)))),0) )*(iferror(sum((filter(TO!$C:$C,month(TO!$B:$B)=month(AK$5),year(TO!$B:$B)=year(AK$5)))),0) )*(iferror(sum((filter(TO!$A:$A,month(TO!$B:$B)=month(AK$5),year(TO!$B:$B"&amp;")=year(AK$5)))),0) )*$E18"),436.896)</f>
        <v>436.896</v>
      </c>
      <c r="AK18" s="79">
        <f>IFERROR(__xludf.DUMMYFUNCTION("(IFERROR(SUM((filter('ILC2313'!$D:$D,MONTH('ILC2313'!$B:$B)=MONTH(AK$5),YEAR('ILC2313'!$B:$B)=YEAR(AK$5),'ILC2313'!$I:$I=""Fernando""))),0) + IFERROR(SUM((filter('ILC2313'!$D:$D,MONTH('ILC2313'!$B:$B)=MONTH(AK$5),YEAR('ILC2313'!$B:$B)=YEAR(AK$5),'ILC2313'"&amp;"!$I:$I=""Kremer""))),0) + IFERROR(SUM((filter('ILC2313'!$D:$D,MONTH('ILC2313'!$B:$B)=MONTH(AK$5),YEAR('ILC2313'!$B:$B)=YEAR(AK$5),'ILC2313'!$I:$I=""Fer""))),0))*$E18"),0.0)</f>
        <v>0</v>
      </c>
      <c r="AL18" s="68">
        <f t="shared" si="7"/>
        <v>0</v>
      </c>
      <c r="AM18" s="75">
        <f>IFERROR(__xludf.DUMMYFUNCTION("(iferror(sum((filter(TO!$D:$D,month(TO!$B:$B)=month(AN$5),year(TO!$B:$B)=year(AN$5)))),0) )*(iferror(sum((filter(TO!$C:$C,month(TO!$B:$B)=month(AN$5),year(TO!$B:$B)=year(AN$5)))),0) )*(iferror(sum((filter(TO!$A:$A,month(TO!$B:$B)=month(AN$5),year(TO!$B:$B"&amp;")=year(AN$5)))),0) )*$E18"),636.41295)</f>
        <v>636.41295</v>
      </c>
      <c r="AN18" s="79">
        <f>IFERROR(__xludf.DUMMYFUNCTION("(IFERROR(SUM((filter('ILC2313'!$D:$D,MONTH('ILC2313'!$B:$B)=MONTH(AN$5),YEAR('ILC2313'!$B:$B)=YEAR(AN$5),'ILC2313'!$I:$I=""Fernando""))),0) + IFERROR(SUM((filter('ILC2313'!$D:$D,MONTH('ILC2313'!$B:$B)=MONTH(AN$5),YEAR('ILC2313'!$B:$B)=YEAR(AN$5),'ILC2313'"&amp;"!$I:$I=""Kremer""))),0) + IFERROR(SUM((filter('ILC2313'!$D:$D,MONTH('ILC2313'!$B:$B)=MONTH(AN$5),YEAR('ILC2313'!$B:$B)=YEAR(AN$5),'ILC2313'!$I:$I=""Fer""))),0))*$E18"),0.0)</f>
        <v>0</v>
      </c>
      <c r="AO18" s="68">
        <f t="shared" si="8"/>
        <v>0</v>
      </c>
      <c r="AP18" s="75">
        <f>IFERROR(__xludf.DUMMYFUNCTION("(iferror(sum((filter(TO!$D:$D,month(TO!$B:$B)=month(AQ$5),year(TO!$B:$B)=year(AQ$5)))),0) )*(iferror(sum((filter(TO!$C:$C,month(TO!$B:$B)=month(AQ$5),year(TO!$B:$B)=year(AQ$5)))),0) )*(iferror(sum((filter(TO!$A:$A,month(TO!$B:$B)=month(AQ$5),year(TO!$B:$B"&amp;")=year(AQ$5)))),0) )*$E18"),761.2178999999999)</f>
        <v>761.2179</v>
      </c>
      <c r="AQ18" s="79">
        <f>IFERROR(__xludf.DUMMYFUNCTION("(IFERROR(SUM((filter('ILC2313'!$D:$D,MONTH('ILC2313'!$B:$B)=MONTH(AQ$5),YEAR('ILC2313'!$B:$B)=YEAR(AQ$5),'ILC2313'!$I:$I=""Fernando""))),0) + IFERROR(SUM((filter('ILC2313'!$D:$D,MONTH('ILC2313'!$B:$B)=MONTH(AQ$5),YEAR('ILC2313'!$B:$B)=YEAR(AQ$5),'ILC2313'"&amp;"!$I:$I=""Kremer""))),0) + IFERROR(SUM((filter('ILC2313'!$D:$D,MONTH('ILC2313'!$B:$B)=MONTH(AQ$5),YEAR('ILC2313'!$B:$B)=YEAR(AQ$5),'ILC2313'!$I:$I=""Fer""))),0))*$E18"),0.0)</f>
        <v>0</v>
      </c>
      <c r="AR18" s="68">
        <f t="shared" si="9"/>
        <v>0</v>
      </c>
      <c r="AS18" s="75">
        <f>IFERROR(__xludf.DUMMYFUNCTION("(iferror(sum((filter(TO!$D:$D,month(TO!$B:$B)=month(AT$5),year(TO!$B:$B)=year(AT$5)))),0) )*(iferror(sum((filter(TO!$C:$C,month(TO!$B:$B)=month(AT$5),year(TO!$B:$B)=year(AT$5)))),0) )*(iferror(sum((filter(TO!$A:$A,month(TO!$B:$B)=month(AT$5),year(TO!$B:$B"&amp;")=year(AT$5)))),0) )*$E18"),1309.6260000000002)</f>
        <v>1309.626</v>
      </c>
      <c r="AT18" s="79">
        <f>IFERROR(__xludf.DUMMYFUNCTION("(IFERROR(SUM((filter('ILC2313'!$D:$D,MONTH('ILC2313'!$B:$B)=MONTH(AT$5),YEAR('ILC2313'!$B:$B)=YEAR(AT$5),'ILC2313'!$I:$I=""Fernando""))),0) + IFERROR(SUM((filter('ILC2313'!$D:$D,MONTH('ILC2313'!$B:$B)=MONTH(AT$5),YEAR('ILC2313'!$B:$B)=YEAR(AT$5),'ILC2313'"&amp;"!$I:$I=""Kremer""))),0) + IFERROR(SUM((filter('ILC2313'!$D:$D,MONTH('ILC2313'!$B:$B)=MONTH(AT$5),YEAR('ILC2313'!$B:$B)=YEAR(AT$5),'ILC2313'!$I:$I=""Fer""))),0))*$E18"),0.0)</f>
        <v>0</v>
      </c>
      <c r="AU18" s="68">
        <f t="shared" si="10"/>
        <v>0</v>
      </c>
    </row>
    <row r="19">
      <c r="A19" s="48" t="s">
        <v>65</v>
      </c>
      <c r="B19" s="4">
        <v>2412.0</v>
      </c>
      <c r="C19" s="4" t="s">
        <v>106</v>
      </c>
      <c r="E19" s="83">
        <v>0.1</v>
      </c>
      <c r="F19" s="75">
        <f t="shared" si="17"/>
        <v>10000</v>
      </c>
      <c r="G19" s="66">
        <f t="shared" si="1"/>
        <v>5592.527</v>
      </c>
      <c r="H19" s="68">
        <f t="shared" si="2"/>
        <v>0.5592527</v>
      </c>
      <c r="I19" s="75">
        <f>IFERROR(__xludf.DUMMYFUNCTION("(iferror(sum((filter(TO!$D:$D,month(TO!$B:$B)=month(J$5),year(TO!$B:$B)=year(J$5)))),0) )*(iferror(sum((filter(TO!$C:$C,month(TO!$B:$B)=month(J$5),year(TO!$B:$B)=year(J$5)))),0) )*(iferror(sum((filter(TO!$A:$A,month(TO!$B:$B)=month(J$5),year(TO!$B:$B)=yea"&amp;"r(J$5)))),0) )*$E19"),1309.6260000000002)</f>
        <v>1309.626</v>
      </c>
      <c r="J19" s="79">
        <f>IFERROR(__xludf.DUMMYFUNCTION("(IFERROR(SUM((filter('ILC2412'!$D:$D,MONTH('ILC2412'!$B:$B)=MONTH(J$5),YEAR('ILC2412'!$B:$B)=YEAR(J$5),'ILC2412'!$I:$I=""Fernando""))),0) + IFERROR(SUM((filter('ILC2412'!$D:$D,MONTH('ILC2412'!$B:$B)=MONTH(J$5),YEAR('ILC2412'!$B:$B)=YEAR(J$5),'ILC2412'!$I:"&amp;"$I=""Kremer""))),0) + IFERROR(SUM((filter('ILC2412'!$D:$D,MONTH('ILC2412'!$B:$B)=MONTH(J$5),YEAR('ILC2412'!$B:$B)=YEAR(J$5),'ILC2412'!$I:$I=""Fer""))),0))*$E19"),956.5200000000001)</f>
        <v>956.52</v>
      </c>
      <c r="K19" s="68">
        <f t="shared" si="11"/>
        <v>0.7303764586</v>
      </c>
      <c r="L19" s="75">
        <f>IFERROR(__xludf.DUMMYFUNCTION("(iferror(sum((filter(TO!$D:$D,month(TO!$B:$B)=month(M$5),year(TO!$B:$B)=year(M$5)))),0) )*(iferror(sum((filter(TO!$C:$C,month(TO!$B:$B)=month(M$5),year(TO!$B:$B)=year(M$5)))),0) )*(iferror(sum((filter(TO!$A:$A,month(TO!$B:$B)=month(M$5),year(TO!$B:$B)=yea"&amp;"r(M$5)))),0) )*$E19"),2086.1388)</f>
        <v>2086.1388</v>
      </c>
      <c r="M19" s="71">
        <f>IFERROR(__xludf.DUMMYFUNCTION("(IFERROR(SUM((filter('ILC2412'!$D:$D,MONTH('ILC2412'!$B:$B)=MONTH(M$5),YEAR('ILC2412'!$B:$B)=YEAR(M$5),'ILC2412'!$I:$I=""Fernando""))),0) + IFERROR(SUM((filter('ILC2412'!$D:$D,MONTH('ILC2412'!$B:$B)=MONTH(M$5),YEAR('ILC2412'!$B:$B)=YEAR(M$5),'ILC2412'!$I:"&amp;"$I=""Kremer""))),0) + IFERROR(SUM((filter('ILC2412'!$D:$D,MONTH('ILC2412'!$B:$B)=MONTH(M$5),YEAR('ILC2412'!$B:$B)=YEAR(M$5),'ILC2412'!$I:$I=""Fer""))),0))*$E19"),1278.28)</f>
        <v>1278.28</v>
      </c>
      <c r="N19" s="68">
        <f t="shared" si="12"/>
        <v>0.6127492571</v>
      </c>
      <c r="O19" s="75">
        <f>IFERROR(__xludf.DUMMYFUNCTION("(iferror(sum((filter(TO!$D:$D,month(TO!$B:$B)=month(P$5),year(TO!$B:$B)=year(P$5)))),0) )*(iferror(sum((filter(TO!$C:$C,month(TO!$B:$B)=month(P$5),year(TO!$B:$B)=year(P$5)))),0) )*(iferror(sum((filter(TO!$A:$A,month(TO!$B:$B)=month(P$5),year(TO!$B:$B)=yea"&amp;"r(P$5)))),0) )*$E19"),1572.47552)</f>
        <v>1572.47552</v>
      </c>
      <c r="P19" s="71">
        <f>IFERROR(__xludf.DUMMYFUNCTION("(IFERROR(SUM((filter('ILC2412'!$D:$D,MONTH('ILC2412'!$B:$B)=MONTH(P$5),YEAR('ILC2412'!$B:$B)=YEAR(P$5),'ILC2412'!$I:$I=""Fernando""))),0) + IFERROR(SUM((filter('ILC2412'!$D:$D,MONTH('ILC2412'!$B:$B)=MONTH(P$5),YEAR('ILC2412'!$B:$B)=YEAR(P$5),'ILC2412'!$I:"&amp;"$I=""Kremer""))),0) + IFERROR(SUM((filter('ILC2412'!$D:$D,MONTH('ILC2412'!$B:$B)=MONTH(P$5),YEAR('ILC2412'!$B:$B)=YEAR(P$5),'ILC2412'!$I:$I=""Fer""))),0))*$E19"),1436.6200000000001)</f>
        <v>1436.62</v>
      </c>
      <c r="Q19" s="68">
        <f t="shared" si="13"/>
        <v>0.9136040477</v>
      </c>
      <c r="R19" s="75">
        <f>IFERROR(__xludf.DUMMYFUNCTION("(iferror(sum((filter(TO!$D:$D,month(TO!$B:$B)=month(S$5),year(TO!$B:$B)=year(S$5)))),0) )*(iferror(sum((filter(TO!$C:$C,month(TO!$B:$B)=month(S$5),year(TO!$B:$B)=year(S$5)))),0) )*(iferror(sum((filter(TO!$A:$A,month(TO!$B:$B)=month(S$5),year(TO!$B:$B)=yea"&amp;"r(S$5)))),0) )*$E19"),761.6712400000001)</f>
        <v>761.67124</v>
      </c>
      <c r="S19" s="71">
        <f>IFERROR(__xludf.DUMMYFUNCTION("(IFERROR(SUM((filter('ILC2412'!$D:$D,MONTH('ILC2412'!$B:$B)=MONTH(S$5),YEAR('ILC2412'!$B:$B)=YEAR(S$5),'ILC2412'!$I:$I=""Fernando""))),0) + IFERROR(SUM((filter('ILC2412'!$D:$D,MONTH('ILC2412'!$B:$B)=MONTH(S$5),YEAR('ILC2412'!$B:$B)=YEAR(S$5),'ILC2412'!$I:"&amp;"$I=""Kremer""))),0) + IFERROR(SUM((filter('ILC2412'!$D:$D,MONTH('ILC2412'!$B:$B)=MONTH(S$5),YEAR('ILC2412'!$B:$B)=YEAR(S$5),'ILC2412'!$I:$I=""Fer""))),0))*$E19"),1324.8100000000002)</f>
        <v>1324.81</v>
      </c>
      <c r="T19" s="68">
        <f t="shared" si="14"/>
        <v>1.73934623</v>
      </c>
      <c r="U19" s="75">
        <f>IFERROR(__xludf.DUMMYFUNCTION("(iferror(sum((filter(TO!$D:$D,month(TO!$B:$B)=month(V$5),year(TO!$B:$B)=year(V$5)))),0) )*(iferror(sum((filter(TO!$C:$C,month(TO!$B:$B)=month(V$5),year(TO!$B:$B)=year(V$5)))),0) )*(iferror(sum((filter(TO!$A:$A,month(TO!$B:$B)=month(V$5),year(TO!$B:$B)=yea"&amp;"r(V$5)))),0) )*$E19"),565.3032000000001)</f>
        <v>565.3032</v>
      </c>
      <c r="V19" s="71">
        <f>IFERROR(__xludf.DUMMYFUNCTION("(IFERROR(SUM((filter('ILC2412'!$D:$D,MONTH('ILC2412'!$B:$B)=MONTH(V$5),YEAR('ILC2412'!$B:$B)=YEAR(V$5),'ILC2412'!$I:$I=""Fernando""))),0) + IFERROR(SUM((filter('ILC2412'!$D:$D,MONTH('ILC2412'!$B:$B)=MONTH(V$5),YEAR('ILC2412'!$B:$B)=YEAR(V$5),'ILC2412'!$I:"&amp;"$I=""Kremer""))),0) + IFERROR(SUM((filter('ILC2412'!$D:$D,MONTH('ILC2412'!$B:$B)=MONTH(V$5),YEAR('ILC2412'!$B:$B)=YEAR(V$5),'ILC2412'!$I:$I=""Fer""))),0))*$E19"),736.937)</f>
        <v>736.937</v>
      </c>
      <c r="W19" s="68">
        <f t="shared" si="15"/>
        <v>1.303613707</v>
      </c>
      <c r="X19" s="80">
        <f>IFERROR(__xludf.DUMMYFUNCTION("(iferror(sum((filter(TO!$D:$D,month(TO!$B:$B)=month(Y$5),year(TO!$B:$B)=year(Y$5)))),0) )*(iferror(sum((filter(TO!$C:$C,month(TO!$B:$B)=month(Y$5),year(TO!$B:$B)=year(Y$5)))),0) )*(iferror(sum((filter(TO!$A:$A,month(TO!$B:$B)=month(Y$5),year(TO!$B:$B)=yea"&amp;"r(Y$5)))),0) )*$E19"),655.8775400000001)</f>
        <v>655.87754</v>
      </c>
      <c r="Y19" s="81">
        <f>IFERROR(__xludf.DUMMYFUNCTION("(IFERROR(SUM((filter('ILC2412'!$D:$D,MONTH('ILC2412'!$B:$B)=MONTH(Y$5),YEAR('ILC2412'!$B:$B)=YEAR(Y$5),'ILC2412'!$I:$I=""Fernando""))),0) + IFERROR(SUM((filter('ILC2412'!$D:$D,MONTH('ILC2412'!$B:$B)=MONTH(Y$5),YEAR('ILC2412'!$B:$B)=YEAR(Y$5),'ILC2412'!$I:"&amp;"$I=""Kremer""))),0) + IFERROR(SUM((filter('ILC2412'!$D:$D,MONTH('ILC2412'!$B:$B)=MONTH(Y$5),YEAR('ILC2412'!$B:$B)=YEAR(Y$5),'ILC2412'!$I:$I=""Fer""))),0))*$E19"),627.49)</f>
        <v>627.49</v>
      </c>
      <c r="Z19" s="74">
        <f t="shared" si="16"/>
        <v>0.9567182313</v>
      </c>
      <c r="AA19" s="75">
        <f>IFERROR(__xludf.DUMMYFUNCTION("(iferror(sum((filter(TO!$D:$D,month(TO!$B:$B)=month(AB$5),year(TO!$B:$B)=year(AB$5)))),0) )*(iferror(sum((filter(TO!$C:$C,month(TO!$B:$B)=month(AB$5),year(TO!$B:$B)=year(AB$5)))),0) )*(iferror(sum((filter(TO!$A:$A,month(TO!$B:$B)=month(AB$5),year(TO!$B:$B"&amp;")=year(AB$5)))),0) )*$E19"),311.202)</f>
        <v>311.202</v>
      </c>
      <c r="AB19" s="79">
        <f>IFERROR(__xludf.DUMMYFUNCTION("(IFERROR(SUM((filter('ILC2412'!$D:$D,MONTH('ILC2412'!$B:$B)=MONTH(AB$5),YEAR('ILC2412'!$B:$B)=YEAR(AB$5),'ILC2412'!$I:$I=""Fernando""))),0) + IFERROR(SUM((filter('ILC2412'!$D:$D,MONTH('ILC2412'!$B:$B)=MONTH(AB$5),YEAR('ILC2412'!$B:$B)=YEAR(AB$5),'ILC2412'"&amp;"!$I:$I=""Kremer""))),0) + IFERROR(SUM((filter('ILC2412'!$D:$D,MONTH('ILC2412'!$B:$B)=MONTH(AB$5),YEAR('ILC2412'!$B:$B)=YEAR(AB$5),'ILC2412'!$I:$I=""Fer""))),0))*$E19"),74.25)</f>
        <v>74.25</v>
      </c>
      <c r="AC19" s="68">
        <f t="shared" si="4"/>
        <v>0.2385910116</v>
      </c>
      <c r="AD19" s="75">
        <f>IFERROR(__xludf.DUMMYFUNCTION("(iferror(sum((filter(TO!$D:$D,month(TO!$B:$B)=month(AE$5),year(TO!$B:$B)=year(AE$5)))),0) )*(iferror(sum((filter(TO!$C:$C,month(TO!$B:$B)=month(AE$5),year(TO!$B:$B)=year(AE$5)))),0) )*(iferror(sum((filter(TO!$A:$A,month(TO!$B:$B)=month(AE$5),year(TO!$B:$B"&amp;")=year(AE$5)))),0) )*$E19"),512.23315)</f>
        <v>512.23315</v>
      </c>
      <c r="AE19" s="79">
        <f>IFERROR(__xludf.DUMMYFUNCTION("(IFERROR(SUM((filter('ILC2412'!$D:$D,MONTH('ILC2412'!$B:$B)=MONTH(AE$5),YEAR('ILC2412'!$B:$B)=YEAR(AE$5),'ILC2412'!$I:$I=""Fernando""))),0) + IFERROR(SUM((filter('ILC2412'!$D:$D,MONTH('ILC2412'!$B:$B)=MONTH(AE$5),YEAR('ILC2412'!$B:$B)=YEAR(AE$5),'ILC2412'"&amp;"!$I:$I=""Kremer""))),0) + IFERROR(SUM((filter('ILC2412'!$D:$D,MONTH('ILC2412'!$B:$B)=MONTH(AE$5),YEAR('ILC2412'!$B:$B)=YEAR(AE$5),'ILC2412'!$I:$I=""Fer""))),0))*$E19"),0.0)</f>
        <v>0</v>
      </c>
      <c r="AF19" s="68">
        <f t="shared" si="5"/>
        <v>0</v>
      </c>
      <c r="AG19" s="75">
        <f>IFERROR(__xludf.DUMMYFUNCTION("(iferror(sum((filter(TO!$D:$D,month(TO!$B:$B)=month(AH$5),year(TO!$B:$B)=year(AH$5)))),0) )*(iferror(sum((filter(TO!$C:$C,month(TO!$B:$B)=month(AH$5),year(TO!$B:$B)=year(AH$5)))),0) )*(iferror(sum((filter(TO!$A:$A,month(TO!$B:$B)=month(AH$5),year(TO!$B:$B"&amp;")=year(AH$5)))),0) )*$E19"),393.9294)</f>
        <v>393.9294</v>
      </c>
      <c r="AH19" s="79">
        <f>IFERROR(__xludf.DUMMYFUNCTION("(IFERROR(SUM((filter('ILC2412'!$D:$D,MONTH('ILC2412'!$B:$B)=MONTH(AH$5),YEAR('ILC2412'!$B:$B)=YEAR(AH$5),'ILC2412'!$I:$I=""Fernando""))),0) + IFERROR(SUM((filter('ILC2412'!$D:$D,MONTH('ILC2412'!$B:$B)=MONTH(AH$5),YEAR('ILC2412'!$B:$B)=YEAR(AH$5),'ILC2412'"&amp;"!$I:$I=""Kremer""))),0) + IFERROR(SUM((filter('ILC2412'!$D:$D,MONTH('ILC2412'!$B:$B)=MONTH(AH$5),YEAR('ILC2412'!$B:$B)=YEAR(AH$5),'ILC2412'!$I:$I=""Fer""))),0))*$E19"),54.0)</f>
        <v>54</v>
      </c>
      <c r="AI19" s="68">
        <f t="shared" si="6"/>
        <v>0.1370804007</v>
      </c>
      <c r="AJ19" s="75">
        <f>IFERROR(__xludf.DUMMYFUNCTION("(iferror(sum((filter(TO!$D:$D,month(TO!$B:$B)=month(AK$5),year(TO!$B:$B)=year(AK$5)))),0) )*(iferror(sum((filter(TO!$C:$C,month(TO!$B:$B)=month(AK$5),year(TO!$B:$B)=year(AK$5)))),0) )*(iferror(sum((filter(TO!$A:$A,month(TO!$B:$B)=month(AK$5),year(TO!$B:$B"&amp;")=year(AK$5)))),0) )*$E19"),436.896)</f>
        <v>436.896</v>
      </c>
      <c r="AK19" s="79">
        <f>IFERROR(__xludf.DUMMYFUNCTION("(IFERROR(SUM((filter('ILC2412'!$D:$D,MONTH('ILC2412'!$B:$B)=MONTH(AK$5),YEAR('ILC2412'!$B:$B)=YEAR(AK$5),'ILC2412'!$I:$I=""Fernando""))),0) + IFERROR(SUM((filter('ILC2412'!$D:$D,MONTH('ILC2412'!$B:$B)=MONTH(AK$5),YEAR('ILC2412'!$B:$B)=YEAR(AK$5),'ILC2412'"&amp;"!$I:$I=""Kremer""))),0) + IFERROR(SUM((filter('ILC2412'!$D:$D,MONTH('ILC2412'!$B:$B)=MONTH(AK$5),YEAR('ILC2412'!$B:$B)=YEAR(AK$5),'ILC2412'!$I:$I=""Fer""))),0))*$E19"),60.14)</f>
        <v>60.14</v>
      </c>
      <c r="AL19" s="68">
        <f t="shared" si="7"/>
        <v>0.1376528968</v>
      </c>
      <c r="AM19" s="75">
        <f>IFERROR(__xludf.DUMMYFUNCTION("(iferror(sum((filter(TO!$D:$D,month(TO!$B:$B)=month(AN$5),year(TO!$B:$B)=year(AN$5)))),0) )*(iferror(sum((filter(TO!$C:$C,month(TO!$B:$B)=month(AN$5),year(TO!$B:$B)=year(AN$5)))),0) )*(iferror(sum((filter(TO!$A:$A,month(TO!$B:$B)=month(AN$5),year(TO!$B:$B"&amp;")=year(AN$5)))),0) )*$E19"),636.41295)</f>
        <v>636.41295</v>
      </c>
      <c r="AN19" s="79">
        <f>IFERROR(__xludf.DUMMYFUNCTION("(IFERROR(SUM((filter('ILC2412'!$D:$D,MONTH('ILC2412'!$B:$B)=MONTH(AN$5),YEAR('ILC2412'!$B:$B)=YEAR(AN$5),'ILC2412'!$I:$I=""Fernando""))),0) + IFERROR(SUM((filter('ILC2412'!$D:$D,MONTH('ILC2412'!$B:$B)=MONTH(AN$5),YEAR('ILC2412'!$B:$B)=YEAR(AN$5),'ILC2412'"&amp;"!$I:$I=""Kremer""))),0) + IFERROR(SUM((filter('ILC2412'!$D:$D,MONTH('ILC2412'!$B:$B)=MONTH(AN$5),YEAR('ILC2412'!$B:$B)=YEAR(AN$5),'ILC2412'!$I:$I=""Fer""))),0))*$E19"),0.0)</f>
        <v>0</v>
      </c>
      <c r="AO19" s="68">
        <f t="shared" si="8"/>
        <v>0</v>
      </c>
      <c r="AP19" s="75">
        <f>IFERROR(__xludf.DUMMYFUNCTION("(iferror(sum((filter(TO!$D:$D,month(TO!$B:$B)=month(AQ$5),year(TO!$B:$B)=year(AQ$5)))),0) )*(iferror(sum((filter(TO!$C:$C,month(TO!$B:$B)=month(AQ$5),year(TO!$B:$B)=year(AQ$5)))),0) )*(iferror(sum((filter(TO!$A:$A,month(TO!$B:$B)=month(AQ$5),year(TO!$B:$B"&amp;")=year(AQ$5)))),0) )*$E19"),761.2178999999999)</f>
        <v>761.2179</v>
      </c>
      <c r="AQ19" s="79">
        <f>IFERROR(__xludf.DUMMYFUNCTION("(IFERROR(SUM((filter('ILC2412'!$D:$D,MONTH('ILC2412'!$B:$B)=MONTH(AQ$5),YEAR('ILC2412'!$B:$B)=YEAR(AQ$5),'ILC2412'!$I:$I=""Fernando""))),0) + IFERROR(SUM((filter('ILC2412'!$D:$D,MONTH('ILC2412'!$B:$B)=MONTH(AQ$5),YEAR('ILC2412'!$B:$B)=YEAR(AQ$5),'ILC2412'"&amp;"!$I:$I=""Kremer""))),0) + IFERROR(SUM((filter('ILC2412'!$D:$D,MONTH('ILC2412'!$B:$B)=MONTH(AQ$5),YEAR('ILC2412'!$B:$B)=YEAR(AQ$5),'ILC2412'!$I:$I=""Fer""))),0))*$E19"),0.0)</f>
        <v>0</v>
      </c>
      <c r="AR19" s="68">
        <f t="shared" si="9"/>
        <v>0</v>
      </c>
      <c r="AS19" s="75">
        <f>IFERROR(__xludf.DUMMYFUNCTION("(iferror(sum((filter(TO!$D:$D,month(TO!$B:$B)=month(AT$5),year(TO!$B:$B)=year(AT$5)))),0) )*(iferror(sum((filter(TO!$C:$C,month(TO!$B:$B)=month(AT$5),year(TO!$B:$B)=year(AT$5)))),0) )*(iferror(sum((filter(TO!$A:$A,month(TO!$B:$B)=month(AT$5),year(TO!$B:$B"&amp;")=year(AT$5)))),0) )*$E19"),1309.6260000000002)</f>
        <v>1309.626</v>
      </c>
      <c r="AT19" s="79">
        <f>IFERROR(__xludf.DUMMYFUNCTION("(IFERROR(SUM((filter('ILC2412'!$D:$D,MONTH('ILC2412'!$B:$B)=MONTH(AT$5),YEAR('ILC2412'!$B:$B)=YEAR(AT$5),'ILC2412'!$I:$I=""Fernando""))),0) + IFERROR(SUM((filter('ILC2412'!$D:$D,MONTH('ILC2412'!$B:$B)=MONTH(AT$5),YEAR('ILC2412'!$B:$B)=YEAR(AT$5),'ILC2412'"&amp;"!$I:$I=""Kremer""))),0) + IFERROR(SUM((filter('ILC2412'!$D:$D,MONTH('ILC2412'!$B:$B)=MONTH(AT$5),YEAR('ILC2412'!$B:$B)=YEAR(AT$5),'ILC2412'!$I:$I=""Fer""))),0))*$E19"),0.0)</f>
        <v>0</v>
      </c>
      <c r="AU19" s="68">
        <f t="shared" si="10"/>
        <v>0</v>
      </c>
    </row>
    <row r="20">
      <c r="A20" s="48" t="s">
        <v>68</v>
      </c>
      <c r="B20" s="4">
        <v>2413.0</v>
      </c>
      <c r="C20" s="4" t="s">
        <v>93</v>
      </c>
      <c r="D20" s="64"/>
      <c r="E20" s="64">
        <v>0.1</v>
      </c>
      <c r="F20" s="75">
        <f t="shared" si="17"/>
        <v>10000</v>
      </c>
      <c r="G20" s="66">
        <f t="shared" si="1"/>
        <v>982.0554</v>
      </c>
      <c r="H20" s="68">
        <f t="shared" si="2"/>
        <v>0.09820554</v>
      </c>
      <c r="I20" s="75"/>
      <c r="J20" s="93">
        <v>0.0</v>
      </c>
      <c r="K20" s="68">
        <f t="shared" si="11"/>
        <v>0</v>
      </c>
      <c r="L20" s="75"/>
      <c r="M20" s="79">
        <v>0.0</v>
      </c>
      <c r="N20" s="68">
        <f t="shared" si="12"/>
        <v>0</v>
      </c>
      <c r="O20" s="75"/>
      <c r="P20" s="79">
        <v>0.0</v>
      </c>
      <c r="Q20" s="68">
        <f t="shared" si="13"/>
        <v>0</v>
      </c>
      <c r="R20" s="75"/>
      <c r="S20" s="71">
        <v>0.0</v>
      </c>
      <c r="T20" s="68">
        <f t="shared" si="14"/>
        <v>0</v>
      </c>
      <c r="U20" s="75"/>
      <c r="V20" s="71">
        <f>IFERROR(__xludf.DUMMYFUNCTION("(IFERROR(SUM((filter('ILC2413'!$D:$D,MONTH('ILC2413'!$B:$B)=MONTH(V$5),YEAR('ILC2413'!$B:$B)=YEAR(V$5),'ILC2413'!$I:$I=""Fernando""))),0) + IFERROR(SUM((filter('ILC2413'!$D:$D,MONTH('ILC2413'!$B:$B)=MONTH(V$5),YEAR('ILC2413'!$B:$B)=YEAR(V$5),'ILC2413'!$I:"&amp;"$I=""Kremer""))),0) + IFERROR(SUM((filter('ILC2413'!$D:$D,MONTH('ILC2413'!$B:$B)=MONTH(V$5),YEAR('ILC2413'!$B:$B)=YEAR(V$5),'ILC2413'!$I:$I=""Fer""))),0))*$E20"),576.7987333333334)</f>
        <v>576.7987333</v>
      </c>
      <c r="W20" s="68">
        <f t="shared" si="15"/>
        <v>0</v>
      </c>
      <c r="X20" s="80">
        <f>IFERROR(__xludf.DUMMYFUNCTION("(iferror(sum((filter(TO!$D:$D,month(TO!$B:$B)=month(Y$5),year(TO!$B:$B)=year(Y$5)))),0) )*(iferror(sum((filter(TO!$C:$C,month(TO!$B:$B)=month(Y$5),year(TO!$B:$B)=year(Y$5)))),0) )*(iferror(sum((filter(TO!$A:$A,month(TO!$B:$B)=month(Y$5),year(TO!$B:$B)=yea"&amp;"r(Y$5)))),0) )*$E20"),655.8775400000001)</f>
        <v>655.87754</v>
      </c>
      <c r="Y20" s="81">
        <f>IFERROR(__xludf.DUMMYFUNCTION("(IFERROR(SUM((filter('ILC2413'!$D:$D,MONTH('ILC2413'!$B:$B)=MONTH(Y$5),YEAR('ILC2413'!$B:$B)=YEAR(Y$5),'ILC2413'!$I:$I=""Fernando""))),0) + IFERROR(SUM((filter('ILC2413'!$D:$D,MONTH('ILC2413'!$B:$B)=MONTH(Y$5),YEAR('ILC2413'!$B:$B)=YEAR(Y$5),'ILC2413'!$I:"&amp;"$I=""Kremer""))),0) + IFERROR(SUM((filter('ILC2413'!$D:$D,MONTH('ILC2413'!$B:$B)=MONTH(Y$5),YEAR('ILC2413'!$B:$B)=YEAR(Y$5),'ILC2413'!$I:$I=""Fer""))),0))*$E20"),361.93)</f>
        <v>361.93</v>
      </c>
      <c r="Z20" s="74">
        <f t="shared" si="16"/>
        <v>0.551825574</v>
      </c>
      <c r="AA20" s="75">
        <f>IFERROR(__xludf.DUMMYFUNCTION("(iferror(sum((filter(TO!$D:$D,month(TO!$B:$B)=month(AB$5),year(TO!$B:$B)=year(AB$5)))),0) )*(iferror(sum((filter(TO!$C:$C,month(TO!$B:$B)=month(AB$5),year(TO!$B:$B)=year(AB$5)))),0) )*(iferror(sum((filter(TO!$A:$A,month(TO!$B:$B)=month(AB$5),year(TO!$B:$B"&amp;")=year(AB$5)))),0) )*$E20"),311.202)</f>
        <v>311.202</v>
      </c>
      <c r="AB20" s="79">
        <f>IFERROR(__xludf.DUMMYFUNCTION("(IFERROR(SUM((filter('ILC2413'!$D:$D,MONTH('ILC2413'!$B:$B)=MONTH(AB$5),YEAR('ILC2413'!$B:$B)=YEAR(AB$5),'ILC2413'!$I:$I=""Fernando""))),0) + IFERROR(SUM((filter('ILC2413'!$D:$D,MONTH('ILC2413'!$B:$B)=MONTH(AB$5),YEAR('ILC2413'!$B:$B)=YEAR(AB$5),'ILC2413'"&amp;"!$I:$I=""Kremer""))),0) + IFERROR(SUM((filter('ILC2413'!$D:$D,MONTH('ILC2413'!$B:$B)=MONTH(AB$5),YEAR('ILC2413'!$B:$B)=YEAR(AB$5),'ILC2413'!$I:$I=""Fer""))),0))*$E20"),43.32666666666667)</f>
        <v>43.32666667</v>
      </c>
      <c r="AC20" s="68">
        <f t="shared" si="4"/>
        <v>0.1392236125</v>
      </c>
      <c r="AD20" s="75">
        <f>IFERROR(__xludf.DUMMYFUNCTION("(iferror(sum((filter(TO!$D:$D,month(TO!$B:$B)=month(AE$5),year(TO!$B:$B)=year(AE$5)))),0) )*(iferror(sum((filter(TO!$C:$C,month(TO!$B:$B)=month(AE$5),year(TO!$B:$B)=year(AE$5)))),0) )*(iferror(sum((filter(TO!$A:$A,month(TO!$B:$B)=month(AE$5),year(TO!$B:$B"&amp;")=year(AE$5)))),0) )*$E20"),512.23315)</f>
        <v>512.23315</v>
      </c>
      <c r="AE20" s="79">
        <f>IFERROR(__xludf.DUMMYFUNCTION("(IFERROR(SUM((filter('ILC2413'!$D:$D,MONTH('ILC2413'!$B:$B)=MONTH(AE$5),YEAR('ILC2413'!$B:$B)=YEAR(AE$5),'ILC2413'!$I:$I=""Fernando""))),0) + IFERROR(SUM((filter('ILC2413'!$D:$D,MONTH('ILC2413'!$B:$B)=MONTH(AE$5),YEAR('ILC2413'!$B:$B)=YEAR(AE$5),'ILC2413'"&amp;"!$I:$I=""Kremer""))),0) + IFERROR(SUM((filter('ILC2413'!$D:$D,MONTH('ILC2413'!$B:$B)=MONTH(AE$5),YEAR('ILC2413'!$B:$B)=YEAR(AE$5),'ILC2413'!$I:$I=""Fer""))),0))*$E20"),0.0)</f>
        <v>0</v>
      </c>
      <c r="AF20" s="68">
        <f t="shared" si="5"/>
        <v>0</v>
      </c>
      <c r="AG20" s="75">
        <f>IFERROR(__xludf.DUMMYFUNCTION("(iferror(sum((filter(TO!$D:$D,month(TO!$B:$B)=month(AH$5),year(TO!$B:$B)=year(AH$5)))),0) )*(iferror(sum((filter(TO!$C:$C,month(TO!$B:$B)=month(AH$5),year(TO!$B:$B)=year(AH$5)))),0) )*(iferror(sum((filter(TO!$A:$A,month(TO!$B:$B)=month(AH$5),year(TO!$B:$B"&amp;")=year(AH$5)))),0) )*$E20"),393.9294)</f>
        <v>393.9294</v>
      </c>
      <c r="AH20" s="79">
        <f>IFERROR(__xludf.DUMMYFUNCTION("(IFERROR(SUM((filter('ILC2413'!$D:$D,MONTH('ILC2413'!$B:$B)=MONTH(AH$5),YEAR('ILC2413'!$B:$B)=YEAR(AH$5),'ILC2413'!$I:$I=""Fernando""))),0) + IFERROR(SUM((filter('ILC2413'!$D:$D,MONTH('ILC2413'!$B:$B)=MONTH(AH$5),YEAR('ILC2413'!$B:$B)=YEAR(AH$5),'ILC2413'"&amp;"!$I:$I=""Kremer""))),0) + IFERROR(SUM((filter('ILC2413'!$D:$D,MONTH('ILC2413'!$B:$B)=MONTH(AH$5),YEAR('ILC2413'!$B:$B)=YEAR(AH$5),'ILC2413'!$I:$I=""Fer""))),0))*$E20"),0.0)</f>
        <v>0</v>
      </c>
      <c r="AI20" s="68">
        <f t="shared" si="6"/>
        <v>0</v>
      </c>
      <c r="AJ20" s="75">
        <f>IFERROR(__xludf.DUMMYFUNCTION("(iferror(sum((filter(TO!$D:$D,month(TO!$B:$B)=month(AK$5),year(TO!$B:$B)=year(AK$5)))),0) )*(iferror(sum((filter(TO!$C:$C,month(TO!$B:$B)=month(AK$5),year(TO!$B:$B)=year(AK$5)))),0) )*(iferror(sum((filter(TO!$A:$A,month(TO!$B:$B)=month(AK$5),year(TO!$B:$B"&amp;")=year(AK$5)))),0) )*$E20"),436.896)</f>
        <v>436.896</v>
      </c>
      <c r="AK20" s="79">
        <f>IFERROR(__xludf.DUMMYFUNCTION("(IFERROR(SUM((filter('ILC2413'!$D:$D,MONTH('ILC2413'!$B:$B)=MONTH(AK$5),YEAR('ILC2413'!$B:$B)=YEAR(AK$5),'ILC2413'!$I:$I=""Fernando""))),0) + IFERROR(SUM((filter('ILC2413'!$D:$D,MONTH('ILC2413'!$B:$B)=MONTH(AK$5),YEAR('ILC2413'!$B:$B)=YEAR(AK$5),'ILC2413'"&amp;"!$I:$I=""Kremer""))),0) + IFERROR(SUM((filter('ILC2413'!$D:$D,MONTH('ILC2413'!$B:$B)=MONTH(AK$5),YEAR('ILC2413'!$B:$B)=YEAR(AK$5),'ILC2413'!$I:$I=""Fer""))),0))*$E20"),0.0)</f>
        <v>0</v>
      </c>
      <c r="AL20" s="68">
        <f t="shared" si="7"/>
        <v>0</v>
      </c>
      <c r="AM20" s="75">
        <f>IFERROR(__xludf.DUMMYFUNCTION("(iferror(sum((filter(TO!$D:$D,month(TO!$B:$B)=month(AN$5),year(TO!$B:$B)=year(AN$5)))),0) )*(iferror(sum((filter(TO!$C:$C,month(TO!$B:$B)=month(AN$5),year(TO!$B:$B)=year(AN$5)))),0) )*(iferror(sum((filter(TO!$A:$A,month(TO!$B:$B)=month(AN$5),year(TO!$B:$B"&amp;")=year(AN$5)))),0) )*$E20"),636.41295)</f>
        <v>636.41295</v>
      </c>
      <c r="AN20" s="79">
        <f>IFERROR(__xludf.DUMMYFUNCTION("(IFERROR(SUM((filter('ILC2413'!$D:$D,MONTH('ILC2413'!$B:$B)=MONTH(AN$5),YEAR('ILC2413'!$B:$B)=YEAR(AN$5),'ILC2413'!$I:$I=""Fernando""))),0) + IFERROR(SUM((filter('ILC2413'!$D:$D,MONTH('ILC2413'!$B:$B)=MONTH(AN$5),YEAR('ILC2413'!$B:$B)=YEAR(AN$5),'ILC2413'"&amp;"!$I:$I=""Kremer""))),0) + IFERROR(SUM((filter('ILC2413'!$D:$D,MONTH('ILC2413'!$B:$B)=MONTH(AN$5),YEAR('ILC2413'!$B:$B)=YEAR(AN$5),'ILC2413'!$I:$I=""Fer""))),0))*$E20"),0.0)</f>
        <v>0</v>
      </c>
      <c r="AO20" s="68">
        <f t="shared" si="8"/>
        <v>0</v>
      </c>
      <c r="AP20" s="75">
        <f>IFERROR(__xludf.DUMMYFUNCTION("(iferror(sum((filter(TO!$D:$D,month(TO!$B:$B)=month(AQ$5),year(TO!$B:$B)=year(AQ$5)))),0) )*(iferror(sum((filter(TO!$C:$C,month(TO!$B:$B)=month(AQ$5),year(TO!$B:$B)=year(AQ$5)))),0) )*(iferror(sum((filter(TO!$A:$A,month(TO!$B:$B)=month(AQ$5),year(TO!$B:$B"&amp;")=year(AQ$5)))),0) )*$E20"),761.2178999999999)</f>
        <v>761.2179</v>
      </c>
      <c r="AQ20" s="79">
        <f>IFERROR(__xludf.DUMMYFUNCTION("(IFERROR(SUM((filter('ILC2413'!$D:$D,MONTH('ILC2413'!$B:$B)=MONTH(AQ$5),YEAR('ILC2413'!$B:$B)=YEAR(AQ$5),'ILC2413'!$I:$I=""Fernando""))),0) + IFERROR(SUM((filter('ILC2413'!$D:$D,MONTH('ILC2413'!$B:$B)=MONTH(AQ$5),YEAR('ILC2413'!$B:$B)=YEAR(AQ$5),'ILC2413'"&amp;"!$I:$I=""Kremer""))),0) + IFERROR(SUM((filter('ILC2413'!$D:$D,MONTH('ILC2413'!$B:$B)=MONTH(AQ$5),YEAR('ILC2413'!$B:$B)=YEAR(AQ$5),'ILC2413'!$I:$I=""Fer""))),0))*$E20"),0.0)</f>
        <v>0</v>
      </c>
      <c r="AR20" s="68">
        <f t="shared" si="9"/>
        <v>0</v>
      </c>
      <c r="AS20" s="75">
        <f>IFERROR(__xludf.DUMMYFUNCTION("(iferror(sum((filter(TO!$D:$D,month(TO!$B:$B)=month(AT$5),year(TO!$B:$B)=year(AT$5)))),0) )*(iferror(sum((filter(TO!$C:$C,month(TO!$B:$B)=month(AT$5),year(TO!$B:$B)=year(AT$5)))),0) )*(iferror(sum((filter(TO!$A:$A,month(TO!$B:$B)=month(AT$5),year(TO!$B:$B"&amp;")=year(AT$5)))),0) )*$E20"),1309.6260000000002)</f>
        <v>1309.626</v>
      </c>
      <c r="AT20" s="79">
        <f>IFERROR(__xludf.DUMMYFUNCTION("(IFERROR(SUM((filter('ILC2413'!$D:$D,MONTH('ILC2413'!$B:$B)=MONTH(AT$5),YEAR('ILC2413'!$B:$B)=YEAR(AT$5),'ILC2413'!$I:$I=""Fernando""))),0) + IFERROR(SUM((filter('ILC2413'!$D:$D,MONTH('ILC2413'!$B:$B)=MONTH(AT$5),YEAR('ILC2413'!$B:$B)=YEAR(AT$5),'ILC2413'"&amp;"!$I:$I=""Kremer""))),0) + IFERROR(SUM((filter('ILC2413'!$D:$D,MONTH('ILC2413'!$B:$B)=MONTH(AT$5),YEAR('ILC2413'!$B:$B)=YEAR(AT$5),'ILC2413'!$I:$I=""Fer""))),0))*$E20"),0.0)</f>
        <v>0</v>
      </c>
      <c r="AU20" s="68">
        <f t="shared" si="10"/>
        <v>0</v>
      </c>
    </row>
    <row r="21">
      <c r="A21" s="48" t="s">
        <v>70</v>
      </c>
      <c r="B21" s="4">
        <v>3104.0</v>
      </c>
      <c r="C21" s="4" t="s">
        <v>109</v>
      </c>
      <c r="D21" s="64"/>
      <c r="E21" s="83">
        <v>0.1</v>
      </c>
      <c r="F21" s="75">
        <f>($G$1*E21)- 1572</f>
        <v>8428</v>
      </c>
      <c r="G21" s="66">
        <f t="shared" si="1"/>
        <v>3756.991</v>
      </c>
      <c r="H21" s="68">
        <f t="shared" si="2"/>
        <v>0.4457749169</v>
      </c>
      <c r="I21" s="75">
        <f>IFERROR(__xludf.DUMMYFUNCTION("(iferror(sum((filter(TO!$D:$D,month(TO!$B:$B)=month(J$5),year(TO!$B:$B)=year(J$5)))),0) )*(iferror(sum((filter(TO!$C:$C,month(TO!$B:$B)=month(J$5),year(TO!$B:$B)=year(J$5)))),0) )*(iferror(sum((filter(TO!$A:$A,month(TO!$B:$B)=month(J$5),year(TO!$B:$B)=yea"&amp;"r(J$5)))),0) )*$E21"),1309.6260000000002)</f>
        <v>1309.626</v>
      </c>
      <c r="J21" s="79">
        <f>IFERROR(__xludf.DUMMYFUNCTION("(IFERROR(SUM((filter('ILC3104'!$D:$D,MONTH('ILC3104'!$B:$B)=MONTH(J$5),YEAR('ILC3104'!$B:$B)=YEAR(J$5),'ILC3104'!$I:$I=""Fernando""))),0) + IFERROR(SUM((filter('ILC3104'!$D:$D,MONTH('ILC3104'!$B:$B)=MONTH(J$5),YEAR('ILC3104'!$B:$B)=YEAR(J$5),'ILC3104'!$I:"&amp;"$I=""Kremer""))),0) + IFERROR(SUM((filter('ILC3104'!$D:$D,MONTH('ILC3104'!$B:$B)=MONTH(J$5),YEAR('ILC3104'!$B:$B)=YEAR(J$5),'ILC3104'!$I:$I=""Fer""))),0))*$E21"),162.76)</f>
        <v>162.76</v>
      </c>
      <c r="K21" s="68">
        <f t="shared" si="11"/>
        <v>0.1242797562</v>
      </c>
      <c r="L21" s="75">
        <f>IFERROR(__xludf.DUMMYFUNCTION("(iferror(sum((filter(TO!$D:$D,month(TO!$B:$B)=month(M$5),year(TO!$B:$B)=year(M$5)))),0) )*(iferror(sum((filter(TO!$C:$C,month(TO!$B:$B)=month(M$5),year(TO!$B:$B)=year(M$5)))),0) )*(iferror(sum((filter(TO!$A:$A,month(TO!$B:$B)=month(M$5),year(TO!$B:$B)=yea"&amp;"r(M$5)))),0) )*$E21"),2086.1388)</f>
        <v>2086.1388</v>
      </c>
      <c r="M21" s="71">
        <f>IFERROR(__xludf.DUMMYFUNCTION("(IFERROR(SUM((filter('ILC3104'!$D:$D,MONTH('ILC3104'!$B:$B)=MONTH(M$5),YEAR('ILC3104'!$B:$B)=YEAR(M$5),'ILC3104'!$I:$I=""Fernando""))),0) + IFERROR(SUM((filter('ILC3104'!$D:$D,MONTH('ILC3104'!$B:$B)=MONTH(M$5),YEAR('ILC3104'!$B:$B)=YEAR(M$5),'ILC3104'!$I:"&amp;"$I=""Kremer""))),0) + IFERROR(SUM((filter('ILC3104'!$D:$D,MONTH('ILC3104'!$B:$B)=MONTH(M$5),YEAR('ILC3104'!$B:$B)=YEAR(M$5),'ILC3104'!$I:$I=""Fer""))),0))*$E21"),1341.67)</f>
        <v>1341.67</v>
      </c>
      <c r="N21" s="68">
        <f t="shared" si="12"/>
        <v>0.6431355382</v>
      </c>
      <c r="O21" s="75"/>
      <c r="P21" s="79">
        <v>0.0</v>
      </c>
      <c r="Q21" s="68">
        <f t="shared" si="13"/>
        <v>0</v>
      </c>
      <c r="R21" s="75">
        <f>IFERROR(__xludf.DUMMYFUNCTION("(iferror(sum((filter(TO!$D:$D,month(TO!$B:$B)=month(S$5),year(TO!$B:$B)=year(S$5)))),0) )*(iferror(sum((filter(TO!$C:$C,month(TO!$B:$B)=month(S$5),year(TO!$B:$B)=year(S$5)))),0) )*(iferror(sum((filter(TO!$A:$A,month(TO!$B:$B)=month(S$5),year(TO!$B:$B)=yea"&amp;"r(S$5)))),0) )*$E21"),761.6712400000001)</f>
        <v>761.67124</v>
      </c>
      <c r="S21" s="71">
        <f>IFERROR(__xludf.DUMMYFUNCTION("(IFERROR(SUM((filter('ILC3104'!$D:$D,MONTH('ILC3104'!$B:$B)=MONTH(S$5),YEAR('ILC3104'!$B:$B)=YEAR(S$5),'ILC3104'!$I:$I=""Fernando""))),0) + IFERROR(SUM((filter('ILC3104'!$D:$D,MONTH('ILC3104'!$B:$B)=MONTH(S$5),YEAR('ILC3104'!$B:$B)=YEAR(S$5),'ILC3104'!$I:"&amp;"$I=""Kremer""))),0) + IFERROR(SUM((filter('ILC3104'!$D:$D,MONTH('ILC3104'!$B:$B)=MONTH(S$5),YEAR('ILC3104'!$B:$B)=YEAR(S$5),'ILC3104'!$I:$I=""Fer""))),0))*$E21"),1120.9800000000002)</f>
        <v>1120.98</v>
      </c>
      <c r="T21" s="68">
        <f t="shared" si="14"/>
        <v>1.471737334</v>
      </c>
      <c r="U21" s="75">
        <f>IFERROR(__xludf.DUMMYFUNCTION("(iferror(sum((filter(TO!$D:$D,month(TO!$B:$B)=month(V$5),year(TO!$B:$B)=year(V$5)))),0) )*(iferror(sum((filter(TO!$C:$C,month(TO!$B:$B)=month(V$5),year(TO!$B:$B)=year(V$5)))),0) )*(iferror(sum((filter(TO!$A:$A,month(TO!$B:$B)=month(V$5),year(TO!$B:$B)=yea"&amp;"r(V$5)))),0) )*$E21"),565.3032000000001)</f>
        <v>565.3032</v>
      </c>
      <c r="V21" s="71">
        <f>IFERROR(__xludf.DUMMYFUNCTION("(IFERROR(SUM((filter('ILC3104'!$D:$D,MONTH('ILC3104'!$B:$B)=MONTH(V$5),YEAR('ILC3104'!$B:$B)=YEAR(V$5),'ILC3104'!$I:$I=""Fernando""))),0) + IFERROR(SUM((filter('ILC3104'!$D:$D,MONTH('ILC3104'!$B:$B)=MONTH(V$5),YEAR('ILC3104'!$B:$B)=YEAR(V$5),'ILC3104'!$I:"&amp;"$I=""Kremer""))),0) + IFERROR(SUM((filter('ILC3104'!$D:$D,MONTH('ILC3104'!$B:$B)=MONTH(V$5),YEAR('ILC3104'!$B:$B)=YEAR(V$5),'ILC3104'!$I:$I=""Fer""))),0))*$E21"),582.066)</f>
        <v>582.066</v>
      </c>
      <c r="W21" s="68">
        <f t="shared" si="15"/>
        <v>1.02965276</v>
      </c>
      <c r="X21" s="80">
        <f>IFERROR(__xludf.DUMMYFUNCTION("(iferror(sum((filter(TO!$D:$D,month(TO!$B:$B)=month(Y$5),year(TO!$B:$B)=year(Y$5)))),0) )*(iferror(sum((filter(TO!$C:$C,month(TO!$B:$B)=month(Y$5),year(TO!$B:$B)=year(Y$5)))),0) )*(iferror(sum((filter(TO!$A:$A,month(TO!$B:$B)=month(Y$5),year(TO!$B:$B)=yea"&amp;"r(Y$5)))),0) )*$E21"),655.8775400000001)</f>
        <v>655.87754</v>
      </c>
      <c r="Y21" s="81">
        <f>IFERROR(__xludf.DUMMYFUNCTION("(IFERROR(SUM((filter('ILC3104'!$D:$D,MONTH('ILC3104'!$B:$B)=MONTH(Y$5),YEAR('ILC3104'!$B:$B)=YEAR(Y$5),'ILC3104'!$I:$I=""Fernando""))),0) + IFERROR(SUM((filter('ILC3104'!$D:$D,MONTH('ILC3104'!$B:$B)=MONTH(Y$5),YEAR('ILC3104'!$B:$B)=YEAR(Y$5),'ILC3104'!$I:"&amp;"$I=""Kremer""))),0) + IFERROR(SUM((filter('ILC3104'!$D:$D,MONTH('ILC3104'!$B:$B)=MONTH(Y$5),YEAR('ILC3104'!$B:$B)=YEAR(Y$5),'ILC3104'!$I:$I=""Fer""))),0))*$E21"),450.02500000000003)</f>
        <v>450.025</v>
      </c>
      <c r="Z21" s="74">
        <f t="shared" si="16"/>
        <v>0.6861418063</v>
      </c>
      <c r="AA21" s="75">
        <f>IFERROR(__xludf.DUMMYFUNCTION("(iferror(sum((filter(TO!$D:$D,month(TO!$B:$B)=month(AB$5),year(TO!$B:$B)=year(AB$5)))),0) )*(iferror(sum((filter(TO!$C:$C,month(TO!$B:$B)=month(AB$5),year(TO!$B:$B)=year(AB$5)))),0) )*(iferror(sum((filter(TO!$A:$A,month(TO!$B:$B)=month(AB$5),year(TO!$B:$B"&amp;")=year(AB$5)))),0) )*$E21"),311.202)</f>
        <v>311.202</v>
      </c>
      <c r="AB21" s="79">
        <f>IFERROR(__xludf.DUMMYFUNCTION("(IFERROR(SUM((filter('ILC3104'!$D:$D,MONTH('ILC3104'!$B:$B)=MONTH(AB$5),YEAR('ILC3104'!$B:$B)=YEAR(AB$5),'ILC3104'!$I:$I=""Fernando""))),0) + IFERROR(SUM((filter('ILC3104'!$D:$D,MONTH('ILC3104'!$B:$B)=MONTH(AB$5),YEAR('ILC3104'!$B:$B)=YEAR(AB$5),'ILC3104'"&amp;"!$I:$I=""Kremer""))),0) + IFERROR(SUM((filter('ILC3104'!$D:$D,MONTH('ILC3104'!$B:$B)=MONTH(AB$5),YEAR('ILC3104'!$B:$B)=YEAR(AB$5),'ILC3104'!$I:$I=""Fer""))),0))*$E21"),24.25)</f>
        <v>24.25</v>
      </c>
      <c r="AC21" s="68">
        <f t="shared" si="4"/>
        <v>0.07792366373</v>
      </c>
      <c r="AD21" s="75">
        <f>IFERROR(__xludf.DUMMYFUNCTION("(iferror(sum((filter(TO!$D:$D,month(TO!$B:$B)=month(AE$5),year(TO!$B:$B)=year(AE$5)))),0) )*(iferror(sum((filter(TO!$C:$C,month(TO!$B:$B)=month(AE$5),year(TO!$B:$B)=year(AE$5)))),0) )*(iferror(sum((filter(TO!$A:$A,month(TO!$B:$B)=month(AE$5),year(TO!$B:$B"&amp;")=year(AE$5)))),0) )*$E21"),512.23315)</f>
        <v>512.23315</v>
      </c>
      <c r="AE21" s="79">
        <f>IFERROR(__xludf.DUMMYFUNCTION("(IFERROR(SUM((filter('ILC3104'!$D:$D,MONTH('ILC3104'!$B:$B)=MONTH(AE$5),YEAR('ILC3104'!$B:$B)=YEAR(AE$5),'ILC3104'!$I:$I=""Fernando""))),0) + IFERROR(SUM((filter('ILC3104'!$D:$D,MONTH('ILC3104'!$B:$B)=MONTH(AE$5),YEAR('ILC3104'!$B:$B)=YEAR(AE$5),'ILC3104'"&amp;"!$I:$I=""Kremer""))),0) + IFERROR(SUM((filter('ILC3104'!$D:$D,MONTH('ILC3104'!$B:$B)=MONTH(AE$5),YEAR('ILC3104'!$B:$B)=YEAR(AE$5),'ILC3104'!$I:$I=""Fer""))),0))*$E21"),0.0)</f>
        <v>0</v>
      </c>
      <c r="AF21" s="68">
        <f t="shared" si="5"/>
        <v>0</v>
      </c>
      <c r="AG21" s="75">
        <f>IFERROR(__xludf.DUMMYFUNCTION("(iferror(sum((filter(TO!$D:$D,month(TO!$B:$B)=month(AH$5),year(TO!$B:$B)=year(AH$5)))),0) )*(iferror(sum((filter(TO!$C:$C,month(TO!$B:$B)=month(AH$5),year(TO!$B:$B)=year(AH$5)))),0) )*(iferror(sum((filter(TO!$A:$A,month(TO!$B:$B)=month(AH$5),year(TO!$B:$B"&amp;")=year(AH$5)))),0) )*$E21"),393.9294)</f>
        <v>393.9294</v>
      </c>
      <c r="AH21" s="79">
        <f>IFERROR(__xludf.DUMMYFUNCTION("(IFERROR(SUM((filter('ILC3104'!$D:$D,MONTH('ILC3104'!$B:$B)=MONTH(AH$5),YEAR('ILC3104'!$B:$B)=YEAR(AH$5),'ILC3104'!$I:$I=""Fernando""))),0) + IFERROR(SUM((filter('ILC3104'!$D:$D,MONTH('ILC3104'!$B:$B)=MONTH(AH$5),YEAR('ILC3104'!$B:$B)=YEAR(AH$5),'ILC3104'"&amp;"!$I:$I=""Kremer""))),0) + IFERROR(SUM((filter('ILC3104'!$D:$D,MONTH('ILC3104'!$B:$B)=MONTH(AH$5),YEAR('ILC3104'!$B:$B)=YEAR(AH$5),'ILC3104'!$I:$I=""Fer""))),0))*$E21"),0.0)</f>
        <v>0</v>
      </c>
      <c r="AI21" s="68">
        <f t="shared" si="6"/>
        <v>0</v>
      </c>
      <c r="AJ21" s="75">
        <f>IFERROR(__xludf.DUMMYFUNCTION("(iferror(sum((filter(TO!$D:$D,month(TO!$B:$B)=month(AK$5),year(TO!$B:$B)=year(AK$5)))),0) )*(iferror(sum((filter(TO!$C:$C,month(TO!$B:$B)=month(AK$5),year(TO!$B:$B)=year(AK$5)))),0) )*(iferror(sum((filter(TO!$A:$A,month(TO!$B:$B)=month(AK$5),year(TO!$B:$B"&amp;")=year(AK$5)))),0) )*$E21"),436.896)</f>
        <v>436.896</v>
      </c>
      <c r="AK21" s="79">
        <f>IFERROR(__xludf.DUMMYFUNCTION("(IFERROR(SUM((filter('ILC3104'!$D:$D,MONTH('ILC3104'!$B:$B)=MONTH(AK$5),YEAR('ILC3104'!$B:$B)=YEAR(AK$5),'ILC3104'!$I:$I=""Fernando""))),0) + IFERROR(SUM((filter('ILC3104'!$D:$D,MONTH('ILC3104'!$B:$B)=MONTH(AK$5),YEAR('ILC3104'!$B:$B)=YEAR(AK$5),'ILC3104'"&amp;"!$I:$I=""Kremer""))),0) + IFERROR(SUM((filter('ILC3104'!$D:$D,MONTH('ILC3104'!$B:$B)=MONTH(AK$5),YEAR('ILC3104'!$B:$B)=YEAR(AK$5),'ILC3104'!$I:$I=""Fer""))),0))*$E21"),0.0)</f>
        <v>0</v>
      </c>
      <c r="AL21" s="68">
        <f t="shared" si="7"/>
        <v>0</v>
      </c>
      <c r="AM21" s="75">
        <f>IFERROR(__xludf.DUMMYFUNCTION("(iferror(sum((filter(TO!$D:$D,month(TO!$B:$B)=month(AN$5),year(TO!$B:$B)=year(AN$5)))),0) )*(iferror(sum((filter(TO!$C:$C,month(TO!$B:$B)=month(AN$5),year(TO!$B:$B)=year(AN$5)))),0) )*(iferror(sum((filter(TO!$A:$A,month(TO!$B:$B)=month(AN$5),year(TO!$B:$B"&amp;")=year(AN$5)))),0) )*$E21"),636.41295)</f>
        <v>636.41295</v>
      </c>
      <c r="AN21" s="79">
        <f>IFERROR(__xludf.DUMMYFUNCTION("(IFERROR(SUM((filter('ILC3104'!$D:$D,MONTH('ILC3104'!$B:$B)=MONTH(AN$5),YEAR('ILC3104'!$B:$B)=YEAR(AN$5),'ILC3104'!$I:$I=""Fernando""))),0) + IFERROR(SUM((filter('ILC3104'!$D:$D,MONTH('ILC3104'!$B:$B)=MONTH(AN$5),YEAR('ILC3104'!$B:$B)=YEAR(AN$5),'ILC3104'"&amp;"!$I:$I=""Kremer""))),0) + IFERROR(SUM((filter('ILC3104'!$D:$D,MONTH('ILC3104'!$B:$B)=MONTH(AN$5),YEAR('ILC3104'!$B:$B)=YEAR(AN$5),'ILC3104'!$I:$I=""Fer""))),0))*$E21"),0.0)</f>
        <v>0</v>
      </c>
      <c r="AO21" s="68">
        <f t="shared" si="8"/>
        <v>0</v>
      </c>
      <c r="AP21" s="75">
        <f>IFERROR(__xludf.DUMMYFUNCTION("(iferror(sum((filter(TO!$D:$D,month(TO!$B:$B)=month(AQ$5),year(TO!$B:$B)=year(AQ$5)))),0) )*(iferror(sum((filter(TO!$C:$C,month(TO!$B:$B)=month(AQ$5),year(TO!$B:$B)=year(AQ$5)))),0) )*(iferror(sum((filter(TO!$A:$A,month(TO!$B:$B)=month(AQ$5),year(TO!$B:$B"&amp;")=year(AQ$5)))),0) )*$E21"),761.2178999999999)</f>
        <v>761.2179</v>
      </c>
      <c r="AQ21" s="79">
        <f>IFERROR(__xludf.DUMMYFUNCTION("(IFERROR(SUM((filter('ILC3104'!$D:$D,MONTH('ILC3104'!$B:$B)=MONTH(AQ$5),YEAR('ILC3104'!$B:$B)=YEAR(AQ$5),'ILC3104'!$I:$I=""Fernando""))),0) + IFERROR(SUM((filter('ILC3104'!$D:$D,MONTH('ILC3104'!$B:$B)=MONTH(AQ$5),YEAR('ILC3104'!$B:$B)=YEAR(AQ$5),'ILC3104'"&amp;"!$I:$I=""Kremer""))),0) + IFERROR(SUM((filter('ILC3104'!$D:$D,MONTH('ILC3104'!$B:$B)=MONTH(AQ$5),YEAR('ILC3104'!$B:$B)=YEAR(AQ$5),'ILC3104'!$I:$I=""Fer""))),0))*$E21"),204.0)</f>
        <v>204</v>
      </c>
      <c r="AR21" s="68">
        <f t="shared" si="9"/>
        <v>0.2679915961</v>
      </c>
      <c r="AS21" s="75">
        <f>IFERROR(__xludf.DUMMYFUNCTION("(iferror(sum((filter(TO!$D:$D,month(TO!$B:$B)=month(AT$5),year(TO!$B:$B)=year(AT$5)))),0) )*(iferror(sum((filter(TO!$C:$C,month(TO!$B:$B)=month(AT$5),year(TO!$B:$B)=year(AT$5)))),0) )*(iferror(sum((filter(TO!$A:$A,month(TO!$B:$B)=month(AT$5),year(TO!$B:$B"&amp;")=year(AT$5)))),0) )*$E21"),1309.6260000000002)</f>
        <v>1309.626</v>
      </c>
      <c r="AT21" s="79">
        <f>IFERROR(__xludf.DUMMYFUNCTION("(IFERROR(SUM((filter('ILC3104'!$D:$D,MONTH('ILC3104'!$B:$B)=MONTH(AT$5),YEAR('ILC3104'!$B:$B)=YEAR(AT$5),'ILC3104'!$I:$I=""Fernando""))),0) + IFERROR(SUM((filter('ILC3104'!$D:$D,MONTH('ILC3104'!$B:$B)=MONTH(AT$5),YEAR('ILC3104'!$B:$B)=YEAR(AT$5),'ILC3104'"&amp;"!$I:$I=""Kremer""))),0) + IFERROR(SUM((filter('ILC3104'!$D:$D,MONTH('ILC3104'!$B:$B)=MONTH(AT$5),YEAR('ILC3104'!$B:$B)=YEAR(AT$5),'ILC3104'!$I:$I=""Fer""))),0))*$E21"),34.0)</f>
        <v>34</v>
      </c>
      <c r="AU21" s="68">
        <f t="shared" si="10"/>
        <v>0.02596161041</v>
      </c>
    </row>
    <row r="22">
      <c r="A22" s="48" t="s">
        <v>72</v>
      </c>
      <c r="B22" s="4">
        <v>3310.0</v>
      </c>
      <c r="C22" s="4" t="s">
        <v>112</v>
      </c>
      <c r="D22" s="64"/>
      <c r="E22" s="83">
        <v>0.1</v>
      </c>
      <c r="F22" s="75">
        <f>(($G$1*$E$22) -2086-1572-762)</f>
        <v>5580</v>
      </c>
      <c r="G22" s="66">
        <f t="shared" si="1"/>
        <v>1190.375</v>
      </c>
      <c r="H22" s="68">
        <f t="shared" si="2"/>
        <v>0.213328853</v>
      </c>
      <c r="I22" s="75"/>
      <c r="J22" s="79">
        <f>IFERROR(__xludf.DUMMYFUNCTION("(IFERROR(SUM((filter('ILC3310'!$D:$D,MONTH('ILC3310'!$B:$B)=MONTH(J$5),YEAR('ILC3310'!$B:$B)=YEAR(J$5),'ILC3310'!$I:$I=""Fernando""))),0) + IFERROR(SUM((filter('ILC3310'!$D:$D,MONTH('ILC3310'!$B:$B)=MONTH(J$5),YEAR('ILC3310'!$B:$B)=YEAR(J$5),'ILC3310'!$I:"&amp;"$I=""Kremer""))),0) + IFERROR(SUM((filter('ILC3310'!$D:$D,MONTH('ILC3310'!$B:$B)=MONTH(J$5),YEAR('ILC3310'!$B:$B)=YEAR(J$5),'ILC3310'!$I:$I=""Fer""))),0))*$E22"),0.0)</f>
        <v>0</v>
      </c>
      <c r="K22" s="68">
        <f t="shared" si="11"/>
        <v>0</v>
      </c>
      <c r="L22" s="75"/>
      <c r="M22" s="79">
        <v>0.0</v>
      </c>
      <c r="N22" s="68">
        <f t="shared" si="12"/>
        <v>0</v>
      </c>
      <c r="O22" s="75"/>
      <c r="P22" s="79">
        <v>0.0</v>
      </c>
      <c r="Q22" s="68">
        <f t="shared" si="13"/>
        <v>0</v>
      </c>
      <c r="R22" s="75"/>
      <c r="S22" s="71">
        <v>0.0</v>
      </c>
      <c r="T22" s="68">
        <f t="shared" si="14"/>
        <v>0</v>
      </c>
      <c r="U22" s="75"/>
      <c r="V22" s="71">
        <f>IFERROR(__xludf.DUMMYFUNCTION("(IFERROR(SUM((filter('ILC3310'!$D:$D,MONTH('ILC3310'!$B:$B)=MONTH(V$5),YEAR('ILC3310'!$B:$B)=YEAR(V$5),'ILC3310'!$I:$I=""Fernando""))),0) + IFERROR(SUM((filter('ILC3310'!$D:$D,MONTH('ILC3310'!$B:$B)=MONTH(V$5),YEAR('ILC3310'!$B:$B)=YEAR(V$5),'ILC3310'!$I:"&amp;"$I=""Kremer""))),0) + IFERROR(SUM((filter('ILC3310'!$D:$D,MONTH('ILC3310'!$B:$B)=MONTH(V$5),YEAR('ILC3310'!$B:$B)=YEAR(V$5),'ILC3310'!$I:$I=""Fer""))),0))*$E22"),0.0)</f>
        <v>0</v>
      </c>
      <c r="W22" s="68">
        <f t="shared" si="15"/>
        <v>0</v>
      </c>
      <c r="X22" s="80">
        <f>IFERROR(__xludf.DUMMYFUNCTION("(iferror(sum((filter(TO!$D:$D,month(TO!$B:$B)=month(Y$5),year(TO!$B:$B)=year(Y$5)))),0) )*(iferror(sum((filter(TO!$C:$C,month(TO!$B:$B)=month(Y$5),year(TO!$B:$B)=year(Y$5)))),0) )*(iferror(sum((filter(TO!$A:$A,month(TO!$B:$B)=month(Y$5),year(TO!$B:$B)=yea"&amp;"r(Y$5)))),0) )*$E22"),655.8775400000001)</f>
        <v>655.87754</v>
      </c>
      <c r="Y22" s="81">
        <f>IFERROR(__xludf.DUMMYFUNCTION("(IFERROR(SUM((filter('ILC3310'!$D:$D,MONTH('ILC3310'!$B:$B)=MONTH(Y$5),YEAR('ILC3310'!$B:$B)=YEAR(Y$5),'ILC3310'!$I:$I=""Fernando""))),0) + IFERROR(SUM((filter('ILC3310'!$D:$D,MONTH('ILC3310'!$B:$B)=MONTH(Y$5),YEAR('ILC3310'!$B:$B)=YEAR(Y$5),'ILC3310'!$I:"&amp;"$I=""Kremer""))),0) + IFERROR(SUM((filter('ILC3310'!$D:$D,MONTH('ILC3310'!$B:$B)=MONTH(Y$5),YEAR('ILC3310'!$B:$B)=YEAR(Y$5),'ILC3310'!$I:$I=""Fer""))),0))*$E22"),423.11000000000007)</f>
        <v>423.11</v>
      </c>
      <c r="Z22" s="74">
        <f t="shared" si="16"/>
        <v>0.6451051823</v>
      </c>
      <c r="AA22" s="75">
        <f>IFERROR(__xludf.DUMMYFUNCTION("(iferror(sum((filter(TO!$D:$D,month(TO!$B:$B)=month(AB$5),year(TO!$B:$B)=year(AB$5)))),0) )*(iferror(sum((filter(TO!$C:$C,month(TO!$B:$B)=month(AB$5),year(TO!$B:$B)=year(AB$5)))),0) )*(iferror(sum((filter(TO!$A:$A,month(TO!$B:$B)=month(AB$5),year(TO!$B:$B"&amp;")=year(AB$5)))),0) )*$E22"),311.202)</f>
        <v>311.202</v>
      </c>
      <c r="AB22" s="79">
        <f>IFERROR(__xludf.DUMMYFUNCTION("(IFERROR(SUM((filter('ILC3310'!$D:$D,MONTH('ILC3310'!$B:$B)=MONTH(AB$5),YEAR('ILC3310'!$B:$B)=YEAR(AB$5),'ILC3310'!$I:$I=""Fernando""))),0) + IFERROR(SUM((filter('ILC3310'!$D:$D,MONTH('ILC3310'!$B:$B)=MONTH(AB$5),YEAR('ILC3310'!$B:$B)=YEAR(AB$5),'ILC3310'"&amp;"!$I:$I=""Kremer""))),0) + IFERROR(SUM((filter('ILC3310'!$D:$D,MONTH('ILC3310'!$B:$B)=MONTH(AB$5),YEAR('ILC3310'!$B:$B)=YEAR(AB$5),'ILC3310'!$I:$I=""Fer""))),0))*$E22"),73.765)</f>
        <v>73.765</v>
      </c>
      <c r="AC22" s="68">
        <f t="shared" si="4"/>
        <v>0.2370325384</v>
      </c>
      <c r="AD22" s="75">
        <f>IFERROR(__xludf.DUMMYFUNCTION("(iferror(sum((filter(TO!$D:$D,month(TO!$B:$B)=month(AE$5),year(TO!$B:$B)=year(AE$5)))),0) )*(iferror(sum((filter(TO!$C:$C,month(TO!$B:$B)=month(AE$5),year(TO!$B:$B)=year(AE$5)))),0) )*(iferror(sum((filter(TO!$A:$A,month(TO!$B:$B)=month(AE$5),year(TO!$B:$B"&amp;")=year(AE$5)))),0) )*$E22"),512.23315)</f>
        <v>512.23315</v>
      </c>
      <c r="AE22" s="79">
        <f>IFERROR(__xludf.DUMMYFUNCTION("(IFERROR(SUM((filter('ILC3310'!$D:$D,MONTH('ILC3310'!$B:$B)=MONTH(AE$5),YEAR('ILC3310'!$B:$B)=YEAR(AE$5),'ILC3310'!$I:$I=""Fernando""))),0) + IFERROR(SUM((filter('ILC3310'!$D:$D,MONTH('ILC3310'!$B:$B)=MONTH(AE$5),YEAR('ILC3310'!$B:$B)=YEAR(AE$5),'ILC3310'"&amp;"!$I:$I=""Kremer""))),0) + IFERROR(SUM((filter('ILC3310'!$D:$D,MONTH('ILC3310'!$B:$B)=MONTH(AE$5),YEAR('ILC3310'!$B:$B)=YEAR(AE$5),'ILC3310'!$I:$I=""Fer""))),0))*$E22"),163.50000000000006)</f>
        <v>163.5</v>
      </c>
      <c r="AF22" s="68">
        <f t="shared" si="5"/>
        <v>0.3191905873</v>
      </c>
      <c r="AG22" s="75">
        <f>IFERROR(__xludf.DUMMYFUNCTION("(iferror(sum((filter(TO!$D:$D,month(TO!$B:$B)=month(AH$5),year(TO!$B:$B)=year(AH$5)))),0) )*(iferror(sum((filter(TO!$C:$C,month(TO!$B:$B)=month(AH$5),year(TO!$B:$B)=year(AH$5)))),0) )*(iferror(sum((filter(TO!$A:$A,month(TO!$B:$B)=month(AH$5),year(TO!$B:$B"&amp;")=year(AH$5)))),0) )*$E22"),393.9294)</f>
        <v>393.9294</v>
      </c>
      <c r="AH22" s="79">
        <f>IFERROR(__xludf.DUMMYFUNCTION("(IFERROR(SUM((filter('ILC3310'!$D:$D,MONTH('ILC3310'!$B:$B)=MONTH(AH$5),YEAR('ILC3310'!$B:$B)=YEAR(AH$5),'ILC3310'!$I:$I=""Fernando""))),0) + IFERROR(SUM((filter('ILC3310'!$D:$D,MONTH('ILC3310'!$B:$B)=MONTH(AH$5),YEAR('ILC3310'!$B:$B)=YEAR(AH$5),'ILC3310'"&amp;"!$I:$I=""Kremer""))),0) + IFERROR(SUM((filter('ILC3310'!$D:$D,MONTH('ILC3310'!$B:$B)=MONTH(AH$5),YEAR('ILC3310'!$B:$B)=YEAR(AH$5),'ILC3310'!$I:$I=""Fer""))),0))*$E22"),0.0)</f>
        <v>0</v>
      </c>
      <c r="AI22" s="68">
        <f t="shared" si="6"/>
        <v>0</v>
      </c>
      <c r="AJ22" s="75">
        <f>IFERROR(__xludf.DUMMYFUNCTION("(iferror(sum((filter(TO!$D:$D,month(TO!$B:$B)=month(AK$5),year(TO!$B:$B)=year(AK$5)))),0) )*(iferror(sum((filter(TO!$C:$C,month(TO!$B:$B)=month(AK$5),year(TO!$B:$B)=year(AK$5)))),0) )*(iferror(sum((filter(TO!$A:$A,month(TO!$B:$B)=month(AK$5),year(TO!$B:$B"&amp;")=year(AK$5)))),0) )*$E22"),436.896)</f>
        <v>436.896</v>
      </c>
      <c r="AK22" s="79">
        <f>IFERROR(__xludf.DUMMYFUNCTION("(IFERROR(SUM((filter('ILC3310'!$D:$D,MONTH('ILC3310'!$B:$B)=MONTH(AK$5),YEAR('ILC3310'!$B:$B)=YEAR(AK$5),'ILC3310'!$I:$I=""Fernando""))),0) + IFERROR(SUM((filter('ILC3310'!$D:$D,MONTH('ILC3310'!$B:$B)=MONTH(AK$5),YEAR('ILC3310'!$B:$B)=YEAR(AK$5),'ILC3310'"&amp;"!$I:$I=""Kremer""))),0) + IFERROR(SUM((filter('ILC3310'!$D:$D,MONTH('ILC3310'!$B:$B)=MONTH(AK$5),YEAR('ILC3310'!$B:$B)=YEAR(AK$5),'ILC3310'!$I:$I=""Fer""))),0))*$E22"),0.0)</f>
        <v>0</v>
      </c>
      <c r="AL22" s="68">
        <f t="shared" si="7"/>
        <v>0</v>
      </c>
      <c r="AM22" s="75">
        <f>IFERROR(__xludf.DUMMYFUNCTION("(iferror(sum((filter(TO!$D:$D,month(TO!$B:$B)=month(AN$5),year(TO!$B:$B)=year(AN$5)))),0) )*(iferror(sum((filter(TO!$C:$C,month(TO!$B:$B)=month(AN$5),year(TO!$B:$B)=year(AN$5)))),0) )*(iferror(sum((filter(TO!$A:$A,month(TO!$B:$B)=month(AN$5),year(TO!$B:$B"&amp;")=year(AN$5)))),0) )*$E22"),636.41295)</f>
        <v>636.41295</v>
      </c>
      <c r="AN22" s="79">
        <f>IFERROR(__xludf.DUMMYFUNCTION("(IFERROR(SUM((filter('ILC3310'!$D:$D,MONTH('ILC3310'!$B:$B)=MONTH(AN$5),YEAR('ILC3310'!$B:$B)=YEAR(AN$5),'ILC3310'!$I:$I=""Fernando""))),0) + IFERROR(SUM((filter('ILC3310'!$D:$D,MONTH('ILC3310'!$B:$B)=MONTH(AN$5),YEAR('ILC3310'!$B:$B)=YEAR(AN$5),'ILC3310'"&amp;"!$I:$I=""Kremer""))),0) + IFERROR(SUM((filter('ILC3310'!$D:$D,MONTH('ILC3310'!$B:$B)=MONTH(AN$5),YEAR('ILC3310'!$B:$B)=YEAR(AN$5),'ILC3310'!$I:$I=""Fer""))),0))*$E22"),0.0)</f>
        <v>0</v>
      </c>
      <c r="AO22" s="68">
        <f t="shared" si="8"/>
        <v>0</v>
      </c>
      <c r="AP22" s="75">
        <f>IFERROR(__xludf.DUMMYFUNCTION("(iferror(sum((filter(TO!$D:$D,month(TO!$B:$B)=month(AQ$5),year(TO!$B:$B)=year(AQ$5)))),0) )*(iferror(sum((filter(TO!$C:$C,month(TO!$B:$B)=month(AQ$5),year(TO!$B:$B)=year(AQ$5)))),0) )*(iferror(sum((filter(TO!$A:$A,month(TO!$B:$B)=month(AQ$5),year(TO!$B:$B"&amp;")=year(AQ$5)))),0) )*$E22"),761.2178999999999)</f>
        <v>761.2179</v>
      </c>
      <c r="AQ22" s="79">
        <f>IFERROR(__xludf.DUMMYFUNCTION("(IFERROR(SUM((filter('ILC3310'!$D:$D,MONTH('ILC3310'!$B:$B)=MONTH(AQ$5),YEAR('ILC3310'!$B:$B)=YEAR(AQ$5),'ILC3310'!$I:$I=""Fernando""))),0) + IFERROR(SUM((filter('ILC3310'!$D:$D,MONTH('ILC3310'!$B:$B)=MONTH(AQ$5),YEAR('ILC3310'!$B:$B)=YEAR(AQ$5),'ILC3310'"&amp;"!$I:$I=""Kremer""))),0) + IFERROR(SUM((filter('ILC3310'!$D:$D,MONTH('ILC3310'!$B:$B)=MONTH(AQ$5),YEAR('ILC3310'!$B:$B)=YEAR(AQ$5),'ILC3310'!$I:$I=""Fer""))),0))*$E22"),0.0)</f>
        <v>0</v>
      </c>
      <c r="AR22" s="68">
        <f t="shared" si="9"/>
        <v>0</v>
      </c>
      <c r="AS22" s="75">
        <f>IFERROR(__xludf.DUMMYFUNCTION("(iferror(sum((filter(TO!$D:$D,month(TO!$B:$B)=month(AT$5),year(TO!$B:$B)=year(AT$5)))),0) )*(iferror(sum((filter(TO!$C:$C,month(TO!$B:$B)=month(AT$5),year(TO!$B:$B)=year(AT$5)))),0) )*(iferror(sum((filter(TO!$A:$A,month(TO!$B:$B)=month(AT$5),year(TO!$B:$B"&amp;")=year(AT$5)))),0) )*$E22"),1309.6260000000002)</f>
        <v>1309.626</v>
      </c>
      <c r="AT22" s="79">
        <f>IFERROR(__xludf.DUMMYFUNCTION("(IFERROR(SUM((filter('ILC3310'!$D:$D,MONTH('ILC3310'!$B:$B)=MONTH(AT$5),YEAR('ILC3310'!$B:$B)=YEAR(AT$5),'ILC3310'!$I:$I=""Fernando""))),0) + IFERROR(SUM((filter('ILC3310'!$D:$D,MONTH('ILC3310'!$B:$B)=MONTH(AT$5),YEAR('ILC3310'!$B:$B)=YEAR(AT$5),'ILC3310'"&amp;"!$I:$I=""Kremer""))),0) + IFERROR(SUM((filter('ILC3310'!$D:$D,MONTH('ILC3310'!$B:$B)=MONTH(AT$5),YEAR('ILC3310'!$B:$B)=YEAR(AT$5),'ILC3310'!$I:$I=""Fer""))),0))*$E22"),530.0)</f>
        <v>530</v>
      </c>
      <c r="AU22" s="68">
        <f t="shared" si="10"/>
        <v>0.4046956917</v>
      </c>
    </row>
    <row r="23">
      <c r="A23" s="48" t="s">
        <v>74</v>
      </c>
      <c r="B23" s="4">
        <v>3312.0</v>
      </c>
      <c r="C23" s="4" t="s">
        <v>115</v>
      </c>
      <c r="D23" s="64"/>
      <c r="E23" s="83">
        <v>0.1</v>
      </c>
      <c r="F23" s="75">
        <f>(($G$1*E23) -2086-1572)</f>
        <v>6342</v>
      </c>
      <c r="G23" s="66">
        <f t="shared" si="1"/>
        <v>2974.122</v>
      </c>
      <c r="H23" s="68">
        <f t="shared" si="2"/>
        <v>0.4689564806</v>
      </c>
      <c r="I23" s="75"/>
      <c r="J23" s="79">
        <f>IFERROR(__xludf.DUMMYFUNCTION("(IFERROR(SUM((filter('ILC3312'!$D:$D,MONTH('ILC3312'!$B:$B)=MONTH(J$5),YEAR('ILC3312'!$B:$B)=YEAR(J$5),'ILC3312'!$I:$I=""Fernando""))),0) + IFERROR(SUM((filter('ILC3312'!$D:$D,MONTH('ILC3312'!$B:$B)=MONTH(J$5),YEAR('ILC3312'!$B:$B)=YEAR(J$5),'ILC3312'!$I:"&amp;"$I=""Kremer""))),0) + IFERROR(SUM((filter('ILC3312'!$D:$D,MONTH('ILC3312'!$B:$B)=MONTH(J$5),YEAR('ILC3312'!$B:$B)=YEAR(J$5),'ILC3312'!$I:$I=""Fer""))),0))*$E23"),0.0)</f>
        <v>0</v>
      </c>
      <c r="K23" s="68">
        <f t="shared" si="11"/>
        <v>0</v>
      </c>
      <c r="L23" s="75"/>
      <c r="M23" s="79">
        <v>0.0</v>
      </c>
      <c r="N23" s="68">
        <f t="shared" si="12"/>
        <v>0</v>
      </c>
      <c r="O23" s="75"/>
      <c r="P23" s="79">
        <v>0.0</v>
      </c>
      <c r="Q23" s="68">
        <f t="shared" si="13"/>
        <v>0</v>
      </c>
      <c r="R23" s="75">
        <f>IFERROR(__xludf.DUMMYFUNCTION("(iferror(sum((filter(TO!$D:$D,month(TO!$B:$B)=month(S$5),year(TO!$B:$B)=year(S$5)))),0) )*(iferror(sum((filter(TO!$C:$C,month(TO!$B:$B)=month(S$5),year(TO!$B:$B)=year(S$5)))),0) )*(iferror(sum((filter(TO!$A:$A,month(TO!$B:$B)=month(S$5),year(TO!$B:$B)=yea"&amp;"r(S$5)))),0) )*$E23"),761.6712400000001)</f>
        <v>761.67124</v>
      </c>
      <c r="S23" s="71">
        <f>IFERROR(__xludf.DUMMYFUNCTION("(IFERROR(SUM((filter('ILC3312'!$D:$D,MONTH('ILC3312'!$B:$B)=MONTH(S$5),YEAR('ILC3312'!$B:$B)=YEAR(S$5),'ILC3312'!$I:$I=""Fernando""))),0) + IFERROR(SUM((filter('ILC3312'!$D:$D,MONTH('ILC3312'!$B:$B)=MONTH(S$5),YEAR('ILC3312'!$B:$B)=YEAR(S$5),'ILC3312'!$I:"&amp;"$I=""Kremer""))),0) + IFERROR(SUM((filter('ILC3312'!$D:$D,MONTH('ILC3312'!$B:$B)=MONTH(S$5),YEAR('ILC3312'!$B:$B)=YEAR(S$5),'ILC3312'!$I:$I=""Fer""))),0))*$E23"),1159.8750000000005)</f>
        <v>1159.875</v>
      </c>
      <c r="T23" s="68">
        <f t="shared" si="14"/>
        <v>1.522802673</v>
      </c>
      <c r="U23" s="75">
        <f>IFERROR(__xludf.DUMMYFUNCTION("(iferror(sum((filter(TO!$D:$D,month(TO!$B:$B)=month(V$5),year(TO!$B:$B)=year(V$5)))),0) )*(iferror(sum((filter(TO!$C:$C,month(TO!$B:$B)=month(V$5),year(TO!$B:$B)=year(V$5)))),0) )*(iferror(sum((filter(TO!$A:$A,month(TO!$B:$B)=month(V$5),year(TO!$B:$B)=yea"&amp;"r(V$5)))),0) )*$E23"),565.3032000000001)</f>
        <v>565.3032</v>
      </c>
      <c r="V23" s="71">
        <f>IFERROR(__xludf.DUMMYFUNCTION("(IFERROR(SUM((filter('ILC3312'!$D:$D,MONTH('ILC3312'!$B:$B)=MONTH(V$5),YEAR('ILC3312'!$B:$B)=YEAR(V$5),'ILC3312'!$I:$I=""Fernando""))),0) + IFERROR(SUM((filter('ILC3312'!$D:$D,MONTH('ILC3312'!$B:$B)=MONTH(V$5),YEAR('ILC3312'!$B:$B)=YEAR(V$5),'ILC3312'!$I:"&amp;"$I=""Kremer""))),0) + IFERROR(SUM((filter('ILC3312'!$D:$D,MONTH('ILC3312'!$B:$B)=MONTH(V$5),YEAR('ILC3312'!$B:$B)=YEAR(V$5),'ILC3312'!$I:$I=""Fer""))),0))*$E23"),500.8499999999999)</f>
        <v>500.85</v>
      </c>
      <c r="W23" s="68">
        <f t="shared" si="15"/>
        <v>0.8859847247</v>
      </c>
      <c r="X23" s="80">
        <f>IFERROR(__xludf.DUMMYFUNCTION("(iferror(sum((filter(TO!$D:$D,month(TO!$B:$B)=month(Y$5),year(TO!$B:$B)=year(Y$5)))),0) )*(iferror(sum((filter(TO!$C:$C,month(TO!$B:$B)=month(Y$5),year(TO!$B:$B)=year(Y$5)))),0) )*(iferror(sum((filter(TO!$A:$A,month(TO!$B:$B)=month(Y$5),year(TO!$B:$B)=yea"&amp;"r(Y$5)))),0) )*$E23"),655.8775400000001)</f>
        <v>655.87754</v>
      </c>
      <c r="Y23" s="81">
        <f>IFERROR(__xludf.DUMMYFUNCTION("(IFERROR(SUM((filter('ILC3312'!$D:$D,MONTH('ILC3312'!$B:$B)=MONTH(Y$5),YEAR('ILC3312'!$B:$B)=YEAR(Y$5),'ILC3312'!$I:$I=""Fernando""))),0) + IFERROR(SUM((filter('ILC3312'!$D:$D,MONTH('ILC3312'!$B:$B)=MONTH(Y$5),YEAR('ILC3312'!$B:$B)=YEAR(Y$5),'ILC3312'!$I:"&amp;"$I=""Kremer""))),0) + IFERROR(SUM((filter('ILC3312'!$D:$D,MONTH('ILC3312'!$B:$B)=MONTH(Y$5),YEAR('ILC3312'!$B:$B)=YEAR(Y$5),'ILC3312'!$I:$I=""Fer""))),0))*$E23"),428.46924999999993)</f>
        <v>428.46925</v>
      </c>
      <c r="Z23" s="74">
        <f t="shared" si="16"/>
        <v>0.6532762961</v>
      </c>
      <c r="AA23" s="75">
        <f>IFERROR(__xludf.DUMMYFUNCTION("(iferror(sum((filter(TO!$D:$D,month(TO!$B:$B)=month(AB$5),year(TO!$B:$B)=year(AB$5)))),0) )*(iferror(sum((filter(TO!$C:$C,month(TO!$B:$B)=month(AB$5),year(TO!$B:$B)=year(AB$5)))),0) )*(iferror(sum((filter(TO!$A:$A,month(TO!$B:$B)=month(AB$5),year(TO!$B:$B"&amp;")=year(AB$5)))),0) )*$E23"),311.202)</f>
        <v>311.202</v>
      </c>
      <c r="AB23" s="79">
        <f>IFERROR(__xludf.DUMMYFUNCTION("(IFERROR(SUM((filter('ILC3312'!$D:$D,MONTH('ILC3312'!$B:$B)=MONTH(AB$5),YEAR('ILC3312'!$B:$B)=YEAR(AB$5),'ILC3312'!$I:$I=""Fernando""))),0) + IFERROR(SUM((filter('ILC3312'!$D:$D,MONTH('ILC3312'!$B:$B)=MONTH(AB$5),YEAR('ILC3312'!$B:$B)=YEAR(AB$5),'ILC3312'"&amp;"!$I:$I=""Kremer""))),0) + IFERROR(SUM((filter('ILC3312'!$D:$D,MONTH('ILC3312'!$B:$B)=MONTH(AB$5),YEAR('ILC3312'!$B:$B)=YEAR(AB$5),'ILC3312'!$I:$I=""Fer""))),0))*$E23"),70.46075)</f>
        <v>70.46075</v>
      </c>
      <c r="AC23" s="68">
        <f t="shared" si="4"/>
        <v>0.2264148367</v>
      </c>
      <c r="AD23" s="75">
        <f>IFERROR(__xludf.DUMMYFUNCTION("(iferror(sum((filter(TO!$D:$D,month(TO!$B:$B)=month(AE$5),year(TO!$B:$B)=year(AE$5)))),0) )*(iferror(sum((filter(TO!$C:$C,month(TO!$B:$B)=month(AE$5),year(TO!$B:$B)=year(AE$5)))),0) )*(iferror(sum((filter(TO!$A:$A,month(TO!$B:$B)=month(AE$5),year(TO!$B:$B"&amp;")=year(AE$5)))),0) )*$E23"),512.23315)</f>
        <v>512.23315</v>
      </c>
      <c r="AE23" s="79">
        <f>IFERROR(__xludf.DUMMYFUNCTION("(IFERROR(SUM((filter('ILC3312'!$D:$D,MONTH('ILC3312'!$B:$B)=MONTH(AE$5),YEAR('ILC3312'!$B:$B)=YEAR(AE$5),'ILC3312'!$I:$I=""Fernando""))),0) + IFERROR(SUM((filter('ILC3312'!$D:$D,MONTH('ILC3312'!$B:$B)=MONTH(AE$5),YEAR('ILC3312'!$B:$B)=YEAR(AE$5),'ILC3312'"&amp;"!$I:$I=""Kremer""))),0) + IFERROR(SUM((filter('ILC3312'!$D:$D,MONTH('ILC3312'!$B:$B)=MONTH(AE$5),YEAR('ILC3312'!$B:$B)=YEAR(AE$5),'ILC3312'!$I:$I=""Fer""))),0))*$E23"),228.22500000000002)</f>
        <v>228.225</v>
      </c>
      <c r="AF23" s="68">
        <f t="shared" si="5"/>
        <v>0.445549063</v>
      </c>
      <c r="AG23" s="75">
        <f>IFERROR(__xludf.DUMMYFUNCTION("(iferror(sum((filter(TO!$D:$D,month(TO!$B:$B)=month(AH$5),year(TO!$B:$B)=year(AH$5)))),0) )*(iferror(sum((filter(TO!$C:$C,month(TO!$B:$B)=month(AH$5),year(TO!$B:$B)=year(AH$5)))),0) )*(iferror(sum((filter(TO!$A:$A,month(TO!$B:$B)=month(AH$5),year(TO!$B:$B"&amp;")=year(AH$5)))),0) )*$E23"),393.9294)</f>
        <v>393.9294</v>
      </c>
      <c r="AH23" s="79">
        <f>IFERROR(__xludf.DUMMYFUNCTION("(IFERROR(SUM((filter('ILC3312'!$D:$D,MONTH('ILC3312'!$B:$B)=MONTH(AH$5),YEAR('ILC3312'!$B:$B)=YEAR(AH$5),'ILC3312'!$I:$I=""Fernando""))),0) + IFERROR(SUM((filter('ILC3312'!$D:$D,MONTH('ILC3312'!$B:$B)=MONTH(AH$5),YEAR('ILC3312'!$B:$B)=YEAR(AH$5),'ILC3312'"&amp;"!$I:$I=""Kremer""))),0) + IFERROR(SUM((filter('ILC3312'!$D:$D,MONTH('ILC3312'!$B:$B)=MONTH(AH$5),YEAR('ILC3312'!$B:$B)=YEAR(AH$5),'ILC3312'!$I:$I=""Fer""))),0))*$E23"),76.242)</f>
        <v>76.242</v>
      </c>
      <c r="AI23" s="68">
        <f t="shared" si="6"/>
        <v>0.1935422946</v>
      </c>
      <c r="AJ23" s="75">
        <f>IFERROR(__xludf.DUMMYFUNCTION("(iferror(sum((filter(TO!$D:$D,month(TO!$B:$B)=month(AK$5),year(TO!$B:$B)=year(AK$5)))),0) )*(iferror(sum((filter(TO!$C:$C,month(TO!$B:$B)=month(AK$5),year(TO!$B:$B)=year(AK$5)))),0) )*(iferror(sum((filter(TO!$A:$A,month(TO!$B:$B)=month(AK$5),year(TO!$B:$B"&amp;")=year(AK$5)))),0) )*$E23"),436.896)</f>
        <v>436.896</v>
      </c>
      <c r="AK23" s="79">
        <f>IFERROR(__xludf.DUMMYFUNCTION("(IFERROR(SUM((filter('ILC3312'!$D:$D,MONTH('ILC3312'!$B:$B)=MONTH(AK$5),YEAR('ILC3312'!$B:$B)=YEAR(AK$5),'ILC3312'!$I:$I=""Fernando""))),0) + IFERROR(SUM((filter('ILC3312'!$D:$D,MONTH('ILC3312'!$B:$B)=MONTH(AK$5),YEAR('ILC3312'!$B:$B)=YEAR(AK$5),'ILC3312'"&amp;"!$I:$I=""Kremer""))),0) + IFERROR(SUM((filter('ILC3312'!$D:$D,MONTH('ILC3312'!$B:$B)=MONTH(AK$5),YEAR('ILC3312'!$B:$B)=YEAR(AK$5),'ILC3312'!$I:$I=""Fer""))),0))*$E23"),0.0)</f>
        <v>0</v>
      </c>
      <c r="AL23" s="68">
        <f t="shared" si="7"/>
        <v>0</v>
      </c>
      <c r="AM23" s="75">
        <f>IFERROR(__xludf.DUMMYFUNCTION("(iferror(sum((filter(TO!$D:$D,month(TO!$B:$B)=month(AN$5),year(TO!$B:$B)=year(AN$5)))),0) )*(iferror(sum((filter(TO!$C:$C,month(TO!$B:$B)=month(AN$5),year(TO!$B:$B)=year(AN$5)))),0) )*(iferror(sum((filter(TO!$A:$A,month(TO!$B:$B)=month(AN$5),year(TO!$B:$B"&amp;")=year(AN$5)))),0) )*$E23"),636.41295)</f>
        <v>636.41295</v>
      </c>
      <c r="AN23" s="79">
        <f>IFERROR(__xludf.DUMMYFUNCTION("(IFERROR(SUM((filter('ILC3312'!$D:$D,MONTH('ILC3312'!$B:$B)=MONTH(AN$5),YEAR('ILC3312'!$B:$B)=YEAR(AN$5),'ILC3312'!$I:$I=""Fernando""))),0) + IFERROR(SUM((filter('ILC3312'!$D:$D,MONTH('ILC3312'!$B:$B)=MONTH(AN$5),YEAR('ILC3312'!$B:$B)=YEAR(AN$5),'ILC3312'"&amp;"!$I:$I=""Kremer""))),0) + IFERROR(SUM((filter('ILC3312'!$D:$D,MONTH('ILC3312'!$B:$B)=MONTH(AN$5),YEAR('ILC3312'!$B:$B)=YEAR(AN$5),'ILC3312'!$I:$I=""Fer""))),0))*$E23"),0.0)</f>
        <v>0</v>
      </c>
      <c r="AO23" s="68">
        <f t="shared" si="8"/>
        <v>0</v>
      </c>
      <c r="AP23" s="75">
        <f>IFERROR(__xludf.DUMMYFUNCTION("(iferror(sum((filter(TO!$D:$D,month(TO!$B:$B)=month(AQ$5),year(TO!$B:$B)=year(AQ$5)))),0) )*(iferror(sum((filter(TO!$C:$C,month(TO!$B:$B)=month(AQ$5),year(TO!$B:$B)=year(AQ$5)))),0) )*(iferror(sum((filter(TO!$A:$A,month(TO!$B:$B)=month(AQ$5),year(TO!$B:$B"&amp;")=year(AQ$5)))),0) )*$E23"),761.2178999999999)</f>
        <v>761.2179</v>
      </c>
      <c r="AQ23" s="79">
        <f>IFERROR(__xludf.DUMMYFUNCTION("(IFERROR(SUM((filter('ILC3312'!$D:$D,MONTH('ILC3312'!$B:$B)=MONTH(AQ$5),YEAR('ILC3312'!$B:$B)=YEAR(AQ$5),'ILC3312'!$I:$I=""Fernando""))),0) + IFERROR(SUM((filter('ILC3312'!$D:$D,MONTH('ILC3312'!$B:$B)=MONTH(AQ$5),YEAR('ILC3312'!$B:$B)=YEAR(AQ$5),'ILC3312'"&amp;"!$I:$I=""Kremer""))),0) + IFERROR(SUM((filter('ILC3312'!$D:$D,MONTH('ILC3312'!$B:$B)=MONTH(AQ$5),YEAR('ILC3312'!$B:$B)=YEAR(AQ$5),'ILC3312'!$I:$I=""Fer""))),0))*$E23"),204.0)</f>
        <v>204</v>
      </c>
      <c r="AR23" s="68">
        <f t="shared" si="9"/>
        <v>0.2679915961</v>
      </c>
      <c r="AS23" s="75">
        <f>IFERROR(__xludf.DUMMYFUNCTION("(iferror(sum((filter(TO!$D:$D,month(TO!$B:$B)=month(AT$5),year(TO!$B:$B)=year(AT$5)))),0) )*(iferror(sum((filter(TO!$C:$C,month(TO!$B:$B)=month(AT$5),year(TO!$B:$B)=year(AT$5)))),0) )*(iferror(sum((filter(TO!$A:$A,month(TO!$B:$B)=month(AT$5),year(TO!$B:$B"&amp;")=year(AT$5)))),0) )*$E23"),1309.6260000000002)</f>
        <v>1309.626</v>
      </c>
      <c r="AT23" s="79">
        <f>IFERROR(__xludf.DUMMYFUNCTION("(IFERROR(SUM((filter('ILC3312'!$D:$D,MONTH('ILC3312'!$B:$B)=MONTH(AT$5),YEAR('ILC3312'!$B:$B)=YEAR(AT$5),'ILC3312'!$I:$I=""Fernando""))),0) + IFERROR(SUM((filter('ILC3312'!$D:$D,MONTH('ILC3312'!$B:$B)=MONTH(AT$5),YEAR('ILC3312'!$B:$B)=YEAR(AT$5),'ILC3312'"&amp;"!$I:$I=""Kremer""))),0) + IFERROR(SUM((filter('ILC3312'!$D:$D,MONTH('ILC3312'!$B:$B)=MONTH(AT$5),YEAR('ILC3312'!$B:$B)=YEAR(AT$5),'ILC3312'!$I:$I=""Fer""))),0))*$E23"),306.0)</f>
        <v>306</v>
      </c>
      <c r="AU23" s="68">
        <f t="shared" si="10"/>
        <v>0.2336544937</v>
      </c>
    </row>
    <row r="24">
      <c r="A24" s="48" t="s">
        <v>75</v>
      </c>
      <c r="B24" s="4">
        <v>3413.0</v>
      </c>
      <c r="C24" s="4" t="s">
        <v>112</v>
      </c>
      <c r="D24" s="64"/>
      <c r="E24" s="83">
        <v>0.1</v>
      </c>
      <c r="F24" s="75">
        <f t="shared" ref="F24:F25" si="18">(($G$1*$E$24) -2086-1572-762)</f>
        <v>5580</v>
      </c>
      <c r="G24" s="66">
        <f t="shared" si="1"/>
        <v>484.217</v>
      </c>
      <c r="H24" s="68">
        <f t="shared" si="2"/>
        <v>0.08677724014</v>
      </c>
      <c r="I24" s="75"/>
      <c r="J24" s="79">
        <f>IFERROR(__xludf.DUMMYFUNCTION("(IFERROR(SUM((filter('ILC3413'!$D:$D,MONTH('ILC3413'!$B:$B)=MONTH(J$5),YEAR('ILC3413'!$B:$B)=YEAR(J$5),'ILC3413'!$I:$I=""Fernando""))),0) + IFERROR(SUM((filter('ILC3413'!$D:$D,MONTH('ILC3413'!$B:$B)=MONTH(J$5),YEAR('ILC3413'!$B:$B)=YEAR(J$5),'ILC3413'!$I:"&amp;"$I=""Kremer""))),0) + IFERROR(SUM((filter('ILC3413'!$D:$D,MONTH('ILC3413'!$B:$B)=MONTH(J$5),YEAR('ILC3413'!$B:$B)=YEAR(J$5),'ILC3413'!$I:$I=""Fer""))),0))*$E24"),0.0)</f>
        <v>0</v>
      </c>
      <c r="K24" s="68">
        <f t="shared" si="11"/>
        <v>0</v>
      </c>
      <c r="L24" s="75"/>
      <c r="M24" s="79">
        <v>0.0</v>
      </c>
      <c r="N24" s="68">
        <f t="shared" si="12"/>
        <v>0</v>
      </c>
      <c r="O24" s="75"/>
      <c r="P24" s="79">
        <v>0.0</v>
      </c>
      <c r="Q24" s="68">
        <f t="shared" si="13"/>
        <v>0</v>
      </c>
      <c r="R24" s="75"/>
      <c r="S24" s="71">
        <v>0.0</v>
      </c>
      <c r="T24" s="68">
        <f t="shared" si="14"/>
        <v>0</v>
      </c>
      <c r="U24" s="75"/>
      <c r="V24" s="71">
        <f>IFERROR(__xludf.DUMMYFUNCTION("(IFERROR(SUM((filter('ILC3413'!$D:$D,MONTH('ILC3413'!$B:$B)=MONTH(V$5),YEAR('ILC3413'!$B:$B)=YEAR(V$5),'ILC3413'!$I:$I=""Fernando""))),0) + IFERROR(SUM((filter('ILC3413'!$D:$D,MONTH('ILC3413'!$B:$B)=MONTH(V$5),YEAR('ILC3413'!$B:$B)=YEAR(V$5),'ILC3413'!$I:"&amp;"$I=""Kremer""))),0) + IFERROR(SUM((filter('ILC3413'!$D:$D,MONTH('ILC3413'!$B:$B)=MONTH(V$5),YEAR('ILC3413'!$B:$B)=YEAR(V$5),'ILC3413'!$I:$I=""Fer""))),0))*$E24"),83.42000000000002)</f>
        <v>83.42</v>
      </c>
      <c r="W24" s="68">
        <f t="shared" si="15"/>
        <v>0</v>
      </c>
      <c r="X24" s="80">
        <f>IFERROR(__xludf.DUMMYFUNCTION("(iferror(sum((filter(TO!$D:$D,month(TO!$B:$B)=month(Y$5),year(TO!$B:$B)=year(Y$5)))),0) )*(iferror(sum((filter(TO!$C:$C,month(TO!$B:$B)=month(Y$5),year(TO!$B:$B)=year(Y$5)))),0) )*(iferror(sum((filter(TO!$A:$A,month(TO!$B:$B)=month(Y$5),year(TO!$B:$B)=yea"&amp;"r(Y$5)))),0) )*$E24"),655.8775400000001)</f>
        <v>655.87754</v>
      </c>
      <c r="Y24" s="81">
        <f>IFERROR(__xludf.DUMMYFUNCTION("(IFERROR(SUM((filter('ILC3413'!$D:$D,MONTH('ILC3413'!$B:$B)=MONTH(Y$5),YEAR('ILC3413'!$B:$B)=YEAR(Y$5),'ILC3413'!$I:$I=""Fernando""))),0) + IFERROR(SUM((filter('ILC3413'!$D:$D,MONTH('ILC3413'!$B:$B)=MONTH(Y$5),YEAR('ILC3413'!$B:$B)=YEAR(Y$5),'ILC3413'!$I:"&amp;"$I=""Kremer""))),0) + IFERROR(SUM((filter('ILC3413'!$D:$D,MONTH('ILC3413'!$B:$B)=MONTH(Y$5),YEAR('ILC3413'!$B:$B)=YEAR(Y$5),'ILC3413'!$I:$I=""Fer""))),0))*$E24"),376.547)</f>
        <v>376.547</v>
      </c>
      <c r="Z24" s="74">
        <f t="shared" si="16"/>
        <v>0.5741117465</v>
      </c>
      <c r="AA24" s="75"/>
      <c r="AB24" s="79">
        <f>IFERROR(__xludf.DUMMYFUNCTION("(IFERROR(SUM((filter('ILC3413'!$D:$D,MONTH('ILC3413'!$B:$B)=MONTH(AB$5),YEAR('ILC3413'!$B:$B)=YEAR(AB$5),'ILC3413'!$I:$I=""Fernando""))),0) + IFERROR(SUM((filter('ILC3413'!$D:$D,MONTH('ILC3413'!$B:$B)=MONTH(AB$5),YEAR('ILC3413'!$B:$B)=YEAR(AB$5),'ILC3413'"&amp;"!$I:$I=""Kremer""))),0) + IFERROR(SUM((filter('ILC3413'!$D:$D,MONTH('ILC3413'!$B:$B)=MONTH(AB$5),YEAR('ILC3413'!$B:$B)=YEAR(AB$5),'ILC3413'!$I:$I=""Fer""))),0))*$E24"),24.25)</f>
        <v>24.25</v>
      </c>
      <c r="AC24" s="68">
        <f t="shared" si="4"/>
        <v>0</v>
      </c>
      <c r="AD24" s="65"/>
      <c r="AE24" s="79">
        <f>IFERROR(__xludf.DUMMYFUNCTION("(IFERROR(SUM((filter('ILC3413'!$D:$D,MONTH('ILC3413'!$B:$B)=MONTH(AE$5),YEAR('ILC3413'!$B:$B)=YEAR(AE$5),'ILC3413'!$I:$I=""Fernando""))),0) + IFERROR(SUM((filter('ILC3413'!$D:$D,MONTH('ILC3413'!$B:$B)=MONTH(AE$5),YEAR('ILC3413'!$B:$B)=YEAR(AE$5),'ILC3413'"&amp;"!$I:$I=""Kremer""))),0) + IFERROR(SUM((filter('ILC3413'!$D:$D,MONTH('ILC3413'!$B:$B)=MONTH(AE$5),YEAR('ILC3413'!$B:$B)=YEAR(AE$5),'ILC3413'!$I:$I=""Fer""))),0))*$E24"),0.0)</f>
        <v>0</v>
      </c>
      <c r="AF24" s="68">
        <f t="shared" si="5"/>
        <v>0</v>
      </c>
      <c r="AG24" s="65"/>
      <c r="AH24" s="79">
        <f>IFERROR(__xludf.DUMMYFUNCTION("(IFERROR(SUM((filter('ILC3413'!$D:$D,MONTH('ILC3413'!$B:$B)=MONTH(AH$5),YEAR('ILC3413'!$B:$B)=YEAR(AH$5),'ILC3413'!$I:$I=""Fernando""))),0) + IFERROR(SUM((filter('ILC3413'!$D:$D,MONTH('ILC3413'!$B:$B)=MONTH(AH$5),YEAR('ILC3413'!$B:$B)=YEAR(AH$5),'ILC3413'"&amp;"!$I:$I=""Kremer""))),0) + IFERROR(SUM((filter('ILC3413'!$D:$D,MONTH('ILC3413'!$B:$B)=MONTH(AH$5),YEAR('ILC3413'!$B:$B)=YEAR(AH$5),'ILC3413'!$I:$I=""Fer""))),0))*$E24"),0.0)</f>
        <v>0</v>
      </c>
      <c r="AI24" s="68">
        <f t="shared" si="6"/>
        <v>0</v>
      </c>
      <c r="AJ24" s="65"/>
      <c r="AK24" s="79">
        <f>IFERROR(__xludf.DUMMYFUNCTION("(IFERROR(SUM((filter('ILC3413'!$D:$D,MONTH('ILC3413'!$B:$B)=MONTH(AK$5),YEAR('ILC3413'!$B:$B)=YEAR(AK$5),'ILC3413'!$I:$I=""Fernando""))),0) + IFERROR(SUM((filter('ILC3413'!$D:$D,MONTH('ILC3413'!$B:$B)=MONTH(AK$5),YEAR('ILC3413'!$B:$B)=YEAR(AK$5),'ILC3413'"&amp;"!$I:$I=""Kremer""))),0) + IFERROR(SUM((filter('ILC3413'!$D:$D,MONTH('ILC3413'!$B:$B)=MONTH(AK$5),YEAR('ILC3413'!$B:$B)=YEAR(AK$5),'ILC3413'!$I:$I=""Fer""))),0))*$E24"),0.0)</f>
        <v>0</v>
      </c>
      <c r="AL24" s="68">
        <f t="shared" si="7"/>
        <v>0</v>
      </c>
      <c r="AM24" s="65"/>
      <c r="AN24" s="79">
        <f>IFERROR(__xludf.DUMMYFUNCTION("(IFERROR(SUM((filter('ILC3413'!$D:$D,MONTH('ILC3413'!$B:$B)=MONTH(AN$5),YEAR('ILC3413'!$B:$B)=YEAR(AN$5),'ILC3413'!$I:$I=""Fernando""))),0) + IFERROR(SUM((filter('ILC3413'!$D:$D,MONTH('ILC3413'!$B:$B)=MONTH(AN$5),YEAR('ILC3413'!$B:$B)=YEAR(AN$5),'ILC3413'"&amp;"!$I:$I=""Kremer""))),0) + IFERROR(SUM((filter('ILC3413'!$D:$D,MONTH('ILC3413'!$B:$B)=MONTH(AN$5),YEAR('ILC3413'!$B:$B)=YEAR(AN$5),'ILC3413'!$I:$I=""Fer""))),0))*$E24"),0.0)</f>
        <v>0</v>
      </c>
      <c r="AO24" s="68">
        <f t="shared" si="8"/>
        <v>0</v>
      </c>
      <c r="AP24" s="65"/>
      <c r="AQ24" s="79">
        <f>IFERROR(__xludf.DUMMYFUNCTION("(IFERROR(SUM((filter('ILC3413'!$D:$D,MONTH('ILC3413'!$B:$B)=MONTH(AQ$5),YEAR('ILC3413'!$B:$B)=YEAR(AQ$5),'ILC3413'!$I:$I=""Fernando""))),0) + IFERROR(SUM((filter('ILC3413'!$D:$D,MONTH('ILC3413'!$B:$B)=MONTH(AQ$5),YEAR('ILC3413'!$B:$B)=YEAR(AQ$5),'ILC3413'"&amp;"!$I:$I=""Kremer""))),0) + IFERROR(SUM((filter('ILC3413'!$D:$D,MONTH('ILC3413'!$B:$B)=MONTH(AQ$5),YEAR('ILC3413'!$B:$B)=YEAR(AQ$5),'ILC3413'!$I:$I=""Fer""))),0))*$E24"),0.0)</f>
        <v>0</v>
      </c>
      <c r="AR24" s="68">
        <f t="shared" si="9"/>
        <v>0</v>
      </c>
      <c r="AS24" s="65"/>
      <c r="AT24" s="79">
        <f>IFERROR(__xludf.DUMMYFUNCTION("(IFERROR(SUM((filter('ILC3413'!$D:$D,MONTH('ILC3413'!$B:$B)=MONTH(AT$5),YEAR('ILC3413'!$B:$B)=YEAR(AT$5),'ILC3413'!$I:$I=""Fernando""))),0) + IFERROR(SUM((filter('ILC3413'!$D:$D,MONTH('ILC3413'!$B:$B)=MONTH(AT$5),YEAR('ILC3413'!$B:$B)=YEAR(AT$5),'ILC3413'"&amp;"!$I:$I=""Kremer""))),0) + IFERROR(SUM((filter('ILC3413'!$D:$D,MONTH('ILC3413'!$B:$B)=MONTH(AT$5),YEAR('ILC3413'!$B:$B)=YEAR(AT$5),'ILC3413'!$I:$I=""Fer""))),0))*$E24"),0.0)</f>
        <v>0</v>
      </c>
      <c r="AU24" s="68">
        <f t="shared" si="10"/>
        <v>0</v>
      </c>
    </row>
    <row r="25">
      <c r="A25" s="48" t="s">
        <v>78</v>
      </c>
      <c r="B25" s="4">
        <v>3415.0</v>
      </c>
      <c r="C25" s="4" t="s">
        <v>112</v>
      </c>
      <c r="D25" s="64"/>
      <c r="E25" s="83">
        <v>0.1</v>
      </c>
      <c r="F25" s="75">
        <f t="shared" si="18"/>
        <v>5580</v>
      </c>
      <c r="G25" s="66">
        <f t="shared" si="1"/>
        <v>873.94</v>
      </c>
      <c r="H25" s="68">
        <f t="shared" si="2"/>
        <v>0.1566200717</v>
      </c>
      <c r="I25" s="75"/>
      <c r="J25" s="79">
        <f>IFERROR(__xludf.DUMMYFUNCTION("(IFERROR(SUM((filter('ILC3415'!$D:$D,MONTH('ILC3415'!$B:$B)=MONTH(J$5),YEAR('ILC3415'!$B:$B)=YEAR(J$5),'ILC3415'!$I:$I=""Fernando""))),0) + IFERROR(SUM((filter('ILC3415'!$D:$D,MONTH('ILC3415'!$B:$B)=MONTH(J$5),YEAR('ILC3415'!$B:$B)=YEAR(J$5),'ILC3415'!$I:"&amp;"$I=""Kremer""))),0)+IFERROR(SUM((filter('ILC3415'!$D:$D,MONTH('ILC3415'!$B:$B)=MONTH(J$5),YEAR('ILC3415'!$B:$B)=YEAR(J$5),'ILC3415'!$I:$I=""Fer""))),0))*$E25"),0.0)</f>
        <v>0</v>
      </c>
      <c r="K25" s="68">
        <f t="shared" si="11"/>
        <v>0</v>
      </c>
      <c r="L25" s="75"/>
      <c r="M25" s="79">
        <v>0.0</v>
      </c>
      <c r="N25" s="68">
        <f t="shared" si="12"/>
        <v>0</v>
      </c>
      <c r="O25" s="75"/>
      <c r="P25" s="79">
        <v>0.0</v>
      </c>
      <c r="Q25" s="68">
        <f t="shared" si="13"/>
        <v>0</v>
      </c>
      <c r="R25" s="75"/>
      <c r="S25" s="71">
        <v>0.0</v>
      </c>
      <c r="T25" s="68">
        <f t="shared" si="14"/>
        <v>0</v>
      </c>
      <c r="U25" s="75"/>
      <c r="V25" s="71">
        <f>IFERROR(__xludf.DUMMYFUNCTION("(IFERROR(SUM((filter('ILC3415'!$D:$D,MONTH('ILC3415'!$B:$B)=MONTH(V$5),YEAR('ILC3415'!$B:$B)=YEAR(V$5),'ILC3415'!$I:$I=""Fernando""))),0) + IFERROR(SUM((filter('ILC3415'!$D:$D,MONTH('ILC3415'!$B:$B)=MONTH(V$5),YEAR('ILC3415'!$B:$B)=YEAR(V$5),'ILC3415'!$I:"&amp;"$I=""Kremer""))),0)+IFERROR(SUM((filter('ILC3415'!$D:$D,MONTH('ILC3415'!$B:$B)=MONTH(V$5),YEAR('ILC3415'!$B:$B)=YEAR(V$5),'ILC3415'!$I:$I=""Fer""))),0))*$E25"),278.39)</f>
        <v>278.39</v>
      </c>
      <c r="W25" s="68">
        <f t="shared" si="15"/>
        <v>0</v>
      </c>
      <c r="X25" s="80">
        <f>IFERROR(__xludf.DUMMYFUNCTION("(iferror(sum((filter(TO!$D:$D,month(TO!$B:$B)=month(Y$5),year(TO!$B:$B)=year(Y$5)))),0) )*(iferror(sum((filter(TO!$C:$C,month(TO!$B:$B)=month(Y$5),year(TO!$B:$B)=year(Y$5)))),0) )*(iferror(sum((filter(TO!$A:$A,month(TO!$B:$B)=month(Y$5),year(TO!$B:$B)=yea"&amp;"r(Y$5)))),0) )*$E25"),655.8775400000001)</f>
        <v>655.87754</v>
      </c>
      <c r="Y25" s="81">
        <f>IFERROR(__xludf.DUMMYFUNCTION("(IFERROR(SUM((filter('ILC3415'!$D:$D,MONTH('ILC3415'!$B:$B)=MONTH(Y$5),YEAR('ILC3415'!$B:$B)=YEAR(Y$5),'ILC3415'!$I:$I=""Fernando""))),0) + IFERROR(SUM((filter('ILC3415'!$D:$D,MONTH('ILC3415'!$B:$B)=MONTH(Y$5),YEAR('ILC3415'!$B:$B)=YEAR(Y$5),'ILC3415'!$I:"&amp;"$I=""Kremer""))),0)+IFERROR(SUM((filter('ILC3415'!$D:$D,MONTH('ILC3415'!$B:$B)=MONTH(Y$5),YEAR('ILC3415'!$B:$B)=YEAR(Y$5),'ILC3415'!$I:$I=""Fer""))),0))*$E25"),378.92)</f>
        <v>378.92</v>
      </c>
      <c r="Z25" s="74">
        <f t="shared" si="16"/>
        <v>0.5777298</v>
      </c>
      <c r="AA25" s="75"/>
      <c r="AB25" s="79">
        <f>IFERROR(__xludf.DUMMYFUNCTION("(IFERROR(SUM((filter('ILC3415'!$D:$D,MONTH('ILC3415'!$B:$B)=MONTH(AB$5),YEAR('ILC3415'!$B:$B)=YEAR(AB$5),'ILC3415'!$I:$I=""Fernando""))),0) + IFERROR(SUM((filter('ILC3415'!$D:$D,MONTH('ILC3415'!$B:$B)=MONTH(AB$5),YEAR('ILC3415'!$B:$B)=YEAR(AB$5),'ILC3415'"&amp;"!$I:$I=""Kremer""))),0)+IFERROR(SUM((filter('ILC3415'!$D:$D,MONTH('ILC3415'!$B:$B)=MONTH(AB$5),YEAR('ILC3415'!$B:$B)=YEAR(AB$5),'ILC3415'!$I:$I=""Fer""))),0))*$E25"),216.63000000000002)</f>
        <v>216.63</v>
      </c>
      <c r="AC25" s="68">
        <f t="shared" si="4"/>
        <v>0</v>
      </c>
      <c r="AD25" s="65"/>
      <c r="AE25" s="79">
        <f>IFERROR(__xludf.DUMMYFUNCTION("(IFERROR(SUM((filter('ILC3415'!$D:$D,MONTH('ILC3415'!$B:$B)=MONTH(AE$5),YEAR('ILC3415'!$B:$B)=YEAR(AE$5),'ILC3415'!$I:$I=""Fernando""))),0) + IFERROR(SUM((filter('ILC3415'!$D:$D,MONTH('ILC3415'!$B:$B)=MONTH(AE$5),YEAR('ILC3415'!$B:$B)=YEAR(AE$5),'ILC3415'"&amp;"!$I:$I=""Kremer""))),0)+IFERROR(SUM((filter('ILC3415'!$D:$D,MONTH('ILC3415'!$B:$B)=MONTH(AE$5),YEAR('ILC3415'!$B:$B)=YEAR(AE$5),'ILC3415'!$I:$I=""Fer""))),0))*$E25"),0.0)</f>
        <v>0</v>
      </c>
      <c r="AF25" s="68">
        <f t="shared" si="5"/>
        <v>0</v>
      </c>
      <c r="AG25" s="65"/>
      <c r="AH25" s="79">
        <f>IFERROR(__xludf.DUMMYFUNCTION("(IFERROR(SUM((filter('ILC3415'!$D:$D,MONTH('ILC3415'!$B:$B)=MONTH(AH$5),YEAR('ILC3415'!$B:$B)=YEAR(AH$5),'ILC3415'!$I:$I=""Fernando""))),0) + IFERROR(SUM((filter('ILC3415'!$D:$D,MONTH('ILC3415'!$B:$B)=MONTH(AH$5),YEAR('ILC3415'!$B:$B)=YEAR(AH$5),'ILC3415'"&amp;"!$I:$I=""Kremer""))),0)+IFERROR(SUM((filter('ILC3415'!$D:$D,MONTH('ILC3415'!$B:$B)=MONTH(AH$5),YEAR('ILC3415'!$B:$B)=YEAR(AH$5),'ILC3415'!$I:$I=""Fer""))),0))*$E25"),0.0)</f>
        <v>0</v>
      </c>
      <c r="AI25" s="68">
        <f t="shared" si="6"/>
        <v>0</v>
      </c>
      <c r="AJ25" s="65"/>
      <c r="AK25" s="79">
        <f>IFERROR(__xludf.DUMMYFUNCTION("(IFERROR(SUM((filter('ILC3415'!$D:$D,MONTH('ILC3415'!$B:$B)=MONTH(AK$5),YEAR('ILC3415'!$B:$B)=YEAR(AK$5),'ILC3415'!$I:$I=""Fernando""))),0) + IFERROR(SUM((filter('ILC3415'!$D:$D,MONTH('ILC3415'!$B:$B)=MONTH(AK$5),YEAR('ILC3415'!$B:$B)=YEAR(AK$5),'ILC3415'"&amp;"!$I:$I=""Kremer""))),0)+IFERROR(SUM((filter('ILC3415'!$D:$D,MONTH('ILC3415'!$B:$B)=MONTH(AK$5),YEAR('ILC3415'!$B:$B)=YEAR(AK$5),'ILC3415'!$I:$I=""Fer""))),0))*$E25"),0.0)</f>
        <v>0</v>
      </c>
      <c r="AL25" s="68">
        <f t="shared" si="7"/>
        <v>0</v>
      </c>
      <c r="AM25" s="65"/>
      <c r="AN25" s="79">
        <f>IFERROR(__xludf.DUMMYFUNCTION("(IFERROR(SUM((filter('ILC3415'!$D:$D,MONTH('ILC3415'!$B:$B)=MONTH(AN$5),YEAR('ILC3415'!$B:$B)=YEAR(AN$5),'ILC3415'!$I:$I=""Fernando""))),0) + IFERROR(SUM((filter('ILC3415'!$D:$D,MONTH('ILC3415'!$B:$B)=MONTH(AN$5),YEAR('ILC3415'!$B:$B)=YEAR(AN$5),'ILC3415'"&amp;"!$I:$I=""Kremer""))),0)+IFERROR(SUM((filter('ILC3415'!$D:$D,MONTH('ILC3415'!$B:$B)=MONTH(AN$5),YEAR('ILC3415'!$B:$B)=YEAR(AN$5),'ILC3415'!$I:$I=""Fer""))),0))*$E25"),0.0)</f>
        <v>0</v>
      </c>
      <c r="AO25" s="68">
        <f t="shared" si="8"/>
        <v>0</v>
      </c>
      <c r="AP25" s="65"/>
      <c r="AQ25" s="79">
        <f>IFERROR(__xludf.DUMMYFUNCTION("(IFERROR(SUM((filter('ILC3415'!$D:$D,MONTH('ILC3415'!$B:$B)=MONTH(AQ$5),YEAR('ILC3415'!$B:$B)=YEAR(AQ$5),'ILC3415'!$I:$I=""Fernando""))),0) + IFERROR(SUM((filter('ILC3415'!$D:$D,MONTH('ILC3415'!$B:$B)=MONTH(AQ$5),YEAR('ILC3415'!$B:$B)=YEAR(AQ$5),'ILC3415'"&amp;"!$I:$I=""Kremer""))),0)+IFERROR(SUM((filter('ILC3415'!$D:$D,MONTH('ILC3415'!$B:$B)=MONTH(AQ$5),YEAR('ILC3415'!$B:$B)=YEAR(AQ$5),'ILC3415'!$I:$I=""Fer""))),0))*$E25"),0.0)</f>
        <v>0</v>
      </c>
      <c r="AR25" s="68">
        <f t="shared" si="9"/>
        <v>0</v>
      </c>
      <c r="AS25" s="65"/>
      <c r="AT25" s="79">
        <f>IFERROR(__xludf.DUMMYFUNCTION("(IFERROR(SUM((filter('ILC3415'!$D:$D,MONTH('ILC3415'!$B:$B)=MONTH(AT$5),YEAR('ILC3415'!$B:$B)=YEAR(AT$5),'ILC3415'!$I:$I=""Fernando""))),0) + IFERROR(SUM((filter('ILC3415'!$D:$D,MONTH('ILC3415'!$B:$B)=MONTH(AT$5),YEAR('ILC3415'!$B:$B)=YEAR(AT$5),'ILC3415'"&amp;"!$I:$I=""Kremer""))),0)+IFERROR(SUM((filter('ILC3415'!$D:$D,MONTH('ILC3415'!$B:$B)=MONTH(AT$5),YEAR('ILC3415'!$B:$B)=YEAR(AT$5),'ILC3415'!$I:$I=""Fer""))),0))*$E25"),0.0)</f>
        <v>0</v>
      </c>
      <c r="AU25" s="68">
        <f t="shared" si="10"/>
        <v>0</v>
      </c>
    </row>
    <row r="26">
      <c r="A26" s="48" t="s">
        <v>79</v>
      </c>
      <c r="B26" s="4">
        <v>4406.0</v>
      </c>
      <c r="C26" s="51" t="s">
        <v>95</v>
      </c>
      <c r="D26" s="64"/>
      <c r="E26" s="64">
        <v>0.1</v>
      </c>
      <c r="F26" s="75">
        <f>($G$1*E26)-(2086+1572)/2</f>
        <v>8171</v>
      </c>
      <c r="G26" s="66">
        <f t="shared" si="1"/>
        <v>1307.28</v>
      </c>
      <c r="H26" s="68">
        <f t="shared" si="2"/>
        <v>0.1599902093</v>
      </c>
      <c r="I26" s="75"/>
      <c r="J26" s="79">
        <f>IFERROR(__xludf.DUMMYFUNCTION("(IFERROR(SUM((filter('ILC4406'!$D:$D,MONTH('ILC4406'!$B:$B)=MONTH(J$5),YEAR('ILC4406'!$B:$B)=YEAR(J$5),'ILC4406'!$I:$I=""Fernando""))),0) + IFERROR(SUM((filter('ILC4406'!$D:$D,MONTH('ILC4406'!$B:$B)=MONTH(J$5),YEAR('ILC4406'!$B:$B)=YEAR(J$5),'ILC4406'!$I:"&amp;"$I=""Kremer""))),0) + IFERROR(SUM((filter('ILC4406'!$D:$D,MONTH('ILC4406'!$B:$B)=MONTH(J$5),YEAR('ILC4406'!$B:$B)=YEAR(J$5),'ILC4406'!$I:$I=""Fer""))),0))*$E26"),0.0)</f>
        <v>0</v>
      </c>
      <c r="K26" s="68">
        <f t="shared" si="11"/>
        <v>0</v>
      </c>
      <c r="L26" s="75"/>
      <c r="M26" s="79">
        <v>0.0</v>
      </c>
      <c r="N26" s="68">
        <f t="shared" si="12"/>
        <v>0</v>
      </c>
      <c r="O26" s="75"/>
      <c r="P26" s="79">
        <v>0.0</v>
      </c>
      <c r="Q26" s="68">
        <f t="shared" si="13"/>
        <v>0</v>
      </c>
      <c r="R26" s="65">
        <v>762.0</v>
      </c>
      <c r="S26" s="71">
        <f>IFERROR(__xludf.DUMMYFUNCTION("(IFERROR(SUM((filter('ILC4406'!$D:$D,MONTH('ILC4406'!$B:$B)=MONTH(S$5),YEAR('ILC4406'!$B:$B)=YEAR(S$5),'ILC4406'!$I:$I=""Fernando""))),0) + IFERROR(SUM((filter('ILC4406'!$D:$D,MONTH('ILC4406'!$B:$B)=MONTH(S$5),YEAR('ILC4406'!$B:$B)=YEAR(S$5),'ILC4406'!$I:"&amp;"$I=""Kremer""))),0) + IFERROR(SUM((filter('ILC4406'!$D:$D,MONTH('ILC4406'!$B:$B)=MONTH(S$5),YEAR('ILC4406'!$B:$B)=YEAR(S$5),'ILC4406'!$I:$I=""Fer""))),0))*$E26"),352.51)</f>
        <v>352.51</v>
      </c>
      <c r="T26" s="68">
        <f t="shared" si="14"/>
        <v>0.4626115486</v>
      </c>
      <c r="U26" s="65">
        <f>IFERROR(__xludf.DUMMYFUNCTION("(iferror(sum((filter(TO!$D:$D,month(TO!$B:$B)=month(V$5),year(TO!$B:$B)=year(V$5)))),0) )*(iferror(sum((filter(TO!$C:$C,month(TO!$B:$B)=month(V$5),year(TO!$B:$B)=year(V$5)))),0) )*(iferror(sum((filter(TO!$A:$A,month(TO!$B:$B)=month(V$5),year(TO!$B:$B)=yea"&amp;"r(V$5)))),0) )*$E26"),565.3032000000001)</f>
        <v>565.3032</v>
      </c>
      <c r="V26" s="71">
        <f>IFERROR(__xludf.DUMMYFUNCTION("(IFERROR(SUM((filter('ILC4406'!$D:$D,MONTH('ILC4406'!$B:$B)=MONTH(V$5),YEAR('ILC4406'!$B:$B)=YEAR(V$5),'ILC4406'!$I:$I=""Fernando""))),0) + IFERROR(SUM((filter('ILC4406'!$D:$D,MONTH('ILC4406'!$B:$B)=MONTH(V$5),YEAR('ILC4406'!$B:$B)=YEAR(V$5),'ILC4406'!$I:"&amp;"$I=""Kremer""))),0) + IFERROR(SUM((filter('ILC4406'!$D:$D,MONTH('ILC4406'!$B:$B)=MONTH(V$5),YEAR('ILC4406'!$B:$B)=YEAR(V$5),'ILC4406'!$I:$I=""Fer""))),0))*$E26"),445.2900000000001)</f>
        <v>445.29</v>
      </c>
      <c r="W26" s="68">
        <f t="shared" si="15"/>
        <v>0.7877011841</v>
      </c>
      <c r="X26" s="72">
        <v>656.0</v>
      </c>
      <c r="Y26" s="81">
        <f>IFERROR(__xludf.DUMMYFUNCTION("(IFERROR(SUM((filter('ILC4406'!$D:$D,MONTH('ILC4406'!$B:$B)=MONTH(Y$5),YEAR('ILC4406'!$B:$B)=YEAR(Y$5),'ILC4406'!$I:$I=""Fernando""))),0) + IFERROR(SUM((filter('ILC4406'!$D:$D,MONTH('ILC4406'!$B:$B)=MONTH(Y$5),YEAR('ILC4406'!$B:$B)=YEAR(Y$5),'ILC4406'!$I:"&amp;"$I=""Kremer""))),0) + IFERROR(SUM((filter('ILC4406'!$D:$D,MONTH('ILC4406'!$B:$B)=MONTH(Y$5),YEAR('ILC4406'!$B:$B)=YEAR(Y$5),'ILC4406'!$I:$I=""Fer""))),0))*$E26"),509.47999999999996)</f>
        <v>509.48</v>
      </c>
      <c r="Z26" s="74">
        <f t="shared" si="16"/>
        <v>0.7766463415</v>
      </c>
      <c r="AA26" s="65">
        <v>311.0</v>
      </c>
      <c r="AB26" s="79">
        <f>IFERROR(__xludf.DUMMYFUNCTION("(IFERROR(SUM((filter('ILC4406'!$D:$D,MONTH('ILC4406'!$B:$B)=MONTH(AB$5),YEAR('ILC4406'!$B:$B)=YEAR(AB$5),'ILC4406'!$I:$I=""Fernando""))),0) + IFERROR(SUM((filter('ILC4406'!$D:$D,MONTH('ILC4406'!$B:$B)=MONTH(AB$5),YEAR('ILC4406'!$B:$B)=YEAR(AB$5),'ILC4406'"&amp;"!$I:$I=""Kremer""))),0) + IFERROR(SUM((filter('ILC4406'!$D:$D,MONTH('ILC4406'!$B:$B)=MONTH(AB$5),YEAR('ILC4406'!$B:$B)=YEAR(AB$5),'ILC4406'!$I:$I=""Fer""))),0))*$E26"),0.0)</f>
        <v>0</v>
      </c>
      <c r="AC26" s="68">
        <f t="shared" si="4"/>
        <v>0</v>
      </c>
      <c r="AD26" s="65">
        <v>311.0</v>
      </c>
      <c r="AE26" s="79">
        <f>IFERROR(__xludf.DUMMYFUNCTION("(IFERROR(SUM((filter('ILC4406'!$D:$D,MONTH('ILC4406'!$B:$B)=MONTH(AE$5),YEAR('ILC4406'!$B:$B)=YEAR(AE$5),'ILC4406'!$I:$I=""Fernando""))),0) + IFERROR(SUM((filter('ILC4406'!$D:$D,MONTH('ILC4406'!$B:$B)=MONTH(AE$5),YEAR('ILC4406'!$B:$B)=YEAR(AE$5),'ILC4406'"&amp;"!$I:$I=""Kremer""))),0) + IFERROR(SUM((filter('ILC4406'!$D:$D,MONTH('ILC4406'!$B:$B)=MONTH(AE$5),YEAR('ILC4406'!$B:$B)=YEAR(AE$5),'ILC4406'!$I:$I=""Fer""))),0))*$E26"),0.0)</f>
        <v>0</v>
      </c>
      <c r="AF26" s="68">
        <f t="shared" si="5"/>
        <v>0</v>
      </c>
      <c r="AG26" s="65">
        <v>311.0</v>
      </c>
      <c r="AH26" s="79">
        <f>IFERROR(__xludf.DUMMYFUNCTION("(IFERROR(SUM((filter('ILC4406'!$D:$D,MONTH('ILC4406'!$B:$B)=MONTH(AH$5),YEAR('ILC4406'!$B:$B)=YEAR(AH$5),'ILC4406'!$I:$I=""Fernando""))),0) + IFERROR(SUM((filter('ILC4406'!$D:$D,MONTH('ILC4406'!$B:$B)=MONTH(AH$5),YEAR('ILC4406'!$B:$B)=YEAR(AH$5),'ILC4406'"&amp;"!$I:$I=""Kremer""))),0) + IFERROR(SUM((filter('ILC4406'!$D:$D,MONTH('ILC4406'!$B:$B)=MONTH(AH$5),YEAR('ILC4406'!$B:$B)=YEAR(AH$5),'ILC4406'!$I:$I=""Fer""))),0))*$E26"),0.0)</f>
        <v>0</v>
      </c>
      <c r="AI26" s="68">
        <f t="shared" si="6"/>
        <v>0</v>
      </c>
      <c r="AJ26" s="65">
        <v>311.0</v>
      </c>
      <c r="AK26" s="79">
        <f>IFERROR(__xludf.DUMMYFUNCTION("(IFERROR(SUM((filter('ILC4406'!$D:$D,MONTH('ILC4406'!$B:$B)=MONTH(AK$5),YEAR('ILC4406'!$B:$B)=YEAR(AK$5),'ILC4406'!$I:$I=""Fernando""))),0) + IFERROR(SUM((filter('ILC4406'!$D:$D,MONTH('ILC4406'!$B:$B)=MONTH(AK$5),YEAR('ILC4406'!$B:$B)=YEAR(AK$5),'ILC4406'"&amp;"!$I:$I=""Kremer""))),0) + IFERROR(SUM((filter('ILC4406'!$D:$D,MONTH('ILC4406'!$B:$B)=MONTH(AK$5),YEAR('ILC4406'!$B:$B)=YEAR(AK$5),'ILC4406'!$I:$I=""Fer""))),0))*$E26"),0.0)</f>
        <v>0</v>
      </c>
      <c r="AL26" s="68">
        <f t="shared" si="7"/>
        <v>0</v>
      </c>
      <c r="AM26" s="75">
        <f>IFERROR(__xludf.DUMMYFUNCTION("(iferror(sum((filter(TO!$D:$D,month(TO!$B:$B)=month(AN$5),year(TO!$B:$B)=year(AN$5)))),0) )*(iferror(sum((filter(TO!$C:$C,month(TO!$B:$B)=month(AN$5),year(TO!$B:$B)=year(AN$5)))),0) )*(iferror(sum((filter(TO!$A:$A,month(TO!$B:$B)=month(AN$5),year(TO!$B:$B"&amp;")=year(AN$5)))),0) )*$E26"),636.41295)</f>
        <v>636.41295</v>
      </c>
      <c r="AN26" s="79">
        <f>IFERROR(__xludf.DUMMYFUNCTION("(IFERROR(SUM((filter('ILC4406'!$D:$D,MONTH('ILC4406'!$B:$B)=MONTH(AN$5),YEAR('ILC4406'!$B:$B)=YEAR(AN$5),'ILC4406'!$I:$I=""Fernando""))),0) + IFERROR(SUM((filter('ILC4406'!$D:$D,MONTH('ILC4406'!$B:$B)=MONTH(AN$5),YEAR('ILC4406'!$B:$B)=YEAR(AN$5),'ILC4406'"&amp;"!$I:$I=""Kremer""))),0) + IFERROR(SUM((filter('ILC4406'!$D:$D,MONTH('ILC4406'!$B:$B)=MONTH(AN$5),YEAR('ILC4406'!$B:$B)=YEAR(AN$5),'ILC4406'!$I:$I=""Fer""))),0))*$E26"),0.0)</f>
        <v>0</v>
      </c>
      <c r="AO26" s="68">
        <f t="shared" si="8"/>
        <v>0</v>
      </c>
      <c r="AP26" s="75">
        <f>IFERROR(__xludf.DUMMYFUNCTION("(iferror(sum((filter(TO!$D:$D,month(TO!$B:$B)=month(AQ$5),year(TO!$B:$B)=year(AQ$5)))),0) )*(iferror(sum((filter(TO!$C:$C,month(TO!$B:$B)=month(AQ$5),year(TO!$B:$B)=year(AQ$5)))),0) )*(iferror(sum((filter(TO!$A:$A,month(TO!$B:$B)=month(AQ$5),year(TO!$B:$B"&amp;")=year(AQ$5)))),0) )*$E26"),761.2178999999999)</f>
        <v>761.2179</v>
      </c>
      <c r="AQ26" s="79">
        <f>IFERROR(__xludf.DUMMYFUNCTION("(IFERROR(SUM((filter('ILC4406'!$D:$D,MONTH('ILC4406'!$B:$B)=MONTH(AQ$5),YEAR('ILC4406'!$B:$B)=YEAR(AQ$5),'ILC4406'!$I:$I=""Fernando""))),0) + IFERROR(SUM((filter('ILC4406'!$D:$D,MONTH('ILC4406'!$B:$B)=MONTH(AQ$5),YEAR('ILC4406'!$B:$B)=YEAR(AQ$5),'ILC4406'"&amp;"!$I:$I=""Kremer""))),0) + IFERROR(SUM((filter('ILC4406'!$D:$D,MONTH('ILC4406'!$B:$B)=MONTH(AQ$5),YEAR('ILC4406'!$B:$B)=YEAR(AQ$5),'ILC4406'!$I:$I=""Fer""))),0))*$E26"),0.0)</f>
        <v>0</v>
      </c>
      <c r="AR26" s="68">
        <f t="shared" si="9"/>
        <v>0</v>
      </c>
      <c r="AS26" s="75">
        <f>IFERROR(__xludf.DUMMYFUNCTION("(iferror(sum((filter(TO!$D:$D,month(TO!$B:$B)=month(AT$5),year(TO!$B:$B)=year(AT$5)))),0) )*(iferror(sum((filter(TO!$C:$C,month(TO!$B:$B)=month(AT$5),year(TO!$B:$B)=year(AT$5)))),0) )*(iferror(sum((filter(TO!$A:$A,month(TO!$B:$B)=month(AT$5),year(TO!$B:$B"&amp;")=year(AT$5)))),0) )*$E26"),1309.6260000000002)</f>
        <v>1309.626</v>
      </c>
      <c r="AT26" s="79">
        <f>IFERROR(__xludf.DUMMYFUNCTION("(IFERROR(SUM((filter('ILC4406'!$D:$D,MONTH('ILC4406'!$B:$B)=MONTH(AT$5),YEAR('ILC4406'!$B:$B)=YEAR(AT$5),'ILC4406'!$I:$I=""Fernando""))),0) + IFERROR(SUM((filter('ILC4406'!$D:$D,MONTH('ILC4406'!$B:$B)=MONTH(AT$5),YEAR('ILC4406'!$B:$B)=YEAR(AT$5),'ILC4406'"&amp;"!$I:$I=""Kremer""))),0) + IFERROR(SUM((filter('ILC4406'!$D:$D,MONTH('ILC4406'!$B:$B)=MONTH(AT$5),YEAR('ILC4406'!$B:$B)=YEAR(AT$5),'ILC4406'!$I:$I=""Fer""))),0))*$E26"),0.0)</f>
        <v>0</v>
      </c>
      <c r="AU26" s="68">
        <f t="shared" si="10"/>
        <v>0</v>
      </c>
    </row>
    <row r="27">
      <c r="A27" s="48" t="s">
        <v>80</v>
      </c>
      <c r="B27" s="4">
        <v>4410.0</v>
      </c>
      <c r="C27" s="4" t="s">
        <v>125</v>
      </c>
      <c r="D27" s="64"/>
      <c r="E27" s="64">
        <v>0.1</v>
      </c>
      <c r="F27" s="75">
        <f>(($G$1*E27) -2086-1572)</f>
        <v>6342</v>
      </c>
      <c r="G27" s="66">
        <f t="shared" si="1"/>
        <v>3049.165</v>
      </c>
      <c r="H27" s="68">
        <f t="shared" si="2"/>
        <v>0.4807891832</v>
      </c>
      <c r="I27" s="75"/>
      <c r="J27" s="79">
        <f>IFERROR(__xludf.DUMMYFUNCTION("(IFERROR(SUM((filter('ILC4410'!$D:$D,MONTH('ILC4410'!$B:$B)=MONTH(J$5),YEAR('ILC4410'!$B:$B)=YEAR(J$5),'ILC4410'!$I:$I=""Fernando""))),0) + IFERROR(SUM((filter('ILC4410'!$D:$D,MONTH('ILC4410'!$B:$B)=MONTH(J$5),YEAR('ILC4410'!$B:$B)=YEAR(J$5),'ILC4410'!$I:"&amp;"$I=""Kremer""))),0) + IFERROR(SUM((filter('ILC4410'!$D:$D,MONTH('ILC4410'!$B:$B)=MONTH(J$5),YEAR('ILC4410'!$B:$B)=YEAR(J$5),'ILC4410'!$I:$I=""Fer""))),0))*$E27"),0.0)</f>
        <v>0</v>
      </c>
      <c r="K27" s="68">
        <f t="shared" si="11"/>
        <v>0</v>
      </c>
      <c r="L27" s="75"/>
      <c r="M27" s="79">
        <v>0.0</v>
      </c>
      <c r="N27" s="68">
        <f t="shared" si="12"/>
        <v>0</v>
      </c>
      <c r="O27" s="75"/>
      <c r="P27" s="79">
        <v>0.0</v>
      </c>
      <c r="Q27" s="68">
        <f t="shared" si="13"/>
        <v>0</v>
      </c>
      <c r="R27" s="75">
        <f>IFERROR(__xludf.DUMMYFUNCTION("(iferror(sum((filter(TO!$D:$D,month(TO!$B:$B)=month(S$5),year(TO!$B:$B)=year(S$5)))),0) )*(iferror(sum((filter(TO!$C:$C,month(TO!$B:$B)=month(S$5),year(TO!$B:$B)=year(S$5)))),0) )*(iferror(sum((filter(TO!$A:$A,month(TO!$B:$B)=month(S$5),year(TO!$B:$B)=yea"&amp;"r(S$5)))),0) )*$E27"),761.6712400000001)</f>
        <v>761.67124</v>
      </c>
      <c r="S27" s="71">
        <f>IFERROR(__xludf.DUMMYFUNCTION("(IFERROR(SUM((filter('ILC4410'!$D:$D,MONTH('ILC4410'!$B:$B)=MONTH(S$5),YEAR('ILC4410'!$B:$B)=YEAR(S$5),'ILC4410'!$I:$I=""Fernando""))),0) + IFERROR(SUM((filter('ILC4410'!$D:$D,MONTH('ILC4410'!$B:$B)=MONTH(S$5),YEAR('ILC4410'!$B:$B)=YEAR(S$5),'ILC4410'!$I:"&amp;"$I=""Kremer""))),0) + IFERROR(SUM((filter('ILC4410'!$D:$D,MONTH('ILC4410'!$B:$B)=MONTH(S$5),YEAR('ILC4410'!$B:$B)=YEAR(S$5),'ILC4410'!$I:$I=""Fer""))),0))*$E27"),1019.951)</f>
        <v>1019.951</v>
      </c>
      <c r="T27" s="68">
        <f t="shared" si="14"/>
        <v>1.339096117</v>
      </c>
      <c r="U27" s="75">
        <f>IFERROR(__xludf.DUMMYFUNCTION("(iferror(sum((filter(TO!$D:$D,month(TO!$B:$B)=month(V$5),year(TO!$B:$B)=year(V$5)))),0) )*(iferror(sum((filter(TO!$C:$C,month(TO!$B:$B)=month(V$5),year(TO!$B:$B)=year(V$5)))),0) )*(iferror(sum((filter(TO!$A:$A,month(TO!$B:$B)=month(V$5),year(TO!$B:$B)=yea"&amp;"r(V$5)))),0) )*$E27"),565.3032000000001)</f>
        <v>565.3032</v>
      </c>
      <c r="V27" s="71">
        <f>IFERROR(__xludf.DUMMYFUNCTION("(IFERROR(SUM((filter('ILC4410'!$D:$D,MONTH('ILC4410'!$B:$B)=MONTH(V$5),YEAR('ILC4410'!$B:$B)=YEAR(V$5),'ILC4410'!$I:$I=""Fernando""))),0) + IFERROR(SUM((filter('ILC4410'!$D:$D,MONTH('ILC4410'!$B:$B)=MONTH(V$5),YEAR('ILC4410'!$B:$B)=YEAR(V$5),'ILC4410'!$I:"&amp;"$I=""Kremer""))),0) + IFERROR(SUM((filter('ILC4410'!$D:$D,MONTH('ILC4410'!$B:$B)=MONTH(V$5),YEAR('ILC4410'!$B:$B)=YEAR(V$5),'ILC4410'!$I:$I=""Fer""))),0))*$E27"),730.49)</f>
        <v>730.49</v>
      </c>
      <c r="W27" s="68">
        <f t="shared" si="15"/>
        <v>1.292209207</v>
      </c>
      <c r="X27" s="80">
        <f>IFERROR(__xludf.DUMMYFUNCTION("(iferror(sum((filter(TO!$D:$D,month(TO!$B:$B)=month(Y$5),year(TO!$B:$B)=year(Y$5)))),0) )*(iferror(sum((filter(TO!$C:$C,month(TO!$B:$B)=month(Y$5),year(TO!$B:$B)=year(Y$5)))),0) )*(iferror(sum((filter(TO!$A:$A,month(TO!$B:$B)=month(Y$5),year(TO!$B:$B)=yea"&amp;"r(Y$5)))),0) )*$E27"),655.8775400000001)</f>
        <v>655.87754</v>
      </c>
      <c r="Y27" s="81">
        <f>IFERROR(__xludf.DUMMYFUNCTION("(IFERROR(SUM((filter('ILC4410'!$D:$D,MONTH('ILC4410'!$B:$B)=MONTH(Y$5),YEAR('ILC4410'!$B:$B)=YEAR(Y$5),'ILC4410'!$I:$I=""Fernando""))),0) + IFERROR(SUM((filter('ILC4410'!$D:$D,MONTH('ILC4410'!$B:$B)=MONTH(Y$5),YEAR('ILC4410'!$B:$B)=YEAR(Y$5),'ILC4410'!$I:"&amp;"$I=""Kremer""))),0) + IFERROR(SUM((filter('ILC4410'!$D:$D,MONTH('ILC4410'!$B:$B)=MONTH(Y$5),YEAR('ILC4410'!$B:$B)=YEAR(Y$5),'ILC4410'!$I:$I=""Fer""))),0))*$E27"),476.07500000000005)</f>
        <v>476.075</v>
      </c>
      <c r="Z27" s="74">
        <f t="shared" si="16"/>
        <v>0.7258595865</v>
      </c>
      <c r="AA27" s="75">
        <f>IFERROR(__xludf.DUMMYFUNCTION("(iferror(sum((filter(TO!$D:$D,month(TO!$B:$B)=month(AB$5),year(TO!$B:$B)=year(AB$5)))),0) )*(iferror(sum((filter(TO!$C:$C,month(TO!$B:$B)=month(AB$5),year(TO!$B:$B)=year(AB$5)))),0) )*(iferror(sum((filter(TO!$A:$A,month(TO!$B:$B)=month(AB$5),year(TO!$B:$B"&amp;")=year(AB$5)))),0) )*$E27"),311.202)</f>
        <v>311.202</v>
      </c>
      <c r="AB27" s="79">
        <f>IFERROR(__xludf.DUMMYFUNCTION("(IFERROR(SUM((filter('ILC4410'!$D:$D,MONTH('ILC4410'!$B:$B)=MONTH(AB$5),YEAR('ILC4410'!$B:$B)=YEAR(AB$5),'ILC4410'!$I:$I=""Fernando""))),0) + IFERROR(SUM((filter('ILC4410'!$D:$D,MONTH('ILC4410'!$B:$B)=MONTH(AB$5),YEAR('ILC4410'!$B:$B)=YEAR(AB$5),'ILC4410'"&amp;"!$I:$I=""Kremer""))),0) + IFERROR(SUM((filter('ILC4410'!$D:$D,MONTH('ILC4410'!$B:$B)=MONTH(AB$5),YEAR('ILC4410'!$B:$B)=YEAR(AB$5),'ILC4410'!$I:$I=""Fer""))),0))*$E27"),234.44899999999998)</f>
        <v>234.449</v>
      </c>
      <c r="AC27" s="68">
        <f t="shared" si="4"/>
        <v>0.7533659809</v>
      </c>
      <c r="AD27" s="75">
        <f>IFERROR(__xludf.DUMMYFUNCTION("(iferror(sum((filter(TO!$D:$D,month(TO!$B:$B)=month(AE$5),year(TO!$B:$B)=year(AE$5)))),0) )*(iferror(sum((filter(TO!$C:$C,month(TO!$B:$B)=month(AE$5),year(TO!$B:$B)=year(AE$5)))),0) )*(iferror(sum((filter(TO!$A:$A,month(TO!$B:$B)=month(AE$5),year(TO!$B:$B"&amp;")=year(AE$5)))),0) )*$E27"),512.23315)</f>
        <v>512.23315</v>
      </c>
      <c r="AE27" s="79">
        <f>IFERROR(__xludf.DUMMYFUNCTION("(IFERROR(SUM((filter('ILC4410'!$D:$D,MONTH('ILC4410'!$B:$B)=MONTH(AE$5),YEAR('ILC4410'!$B:$B)=YEAR(AE$5),'ILC4410'!$I:$I=""Fernando""))),0) + IFERROR(SUM((filter('ILC4410'!$D:$D,MONTH('ILC4410'!$B:$B)=MONTH(AE$5),YEAR('ILC4410'!$B:$B)=YEAR(AE$5),'ILC4410'"&amp;"!$I:$I=""Kremer""))),0) + IFERROR(SUM((filter('ILC4410'!$D:$D,MONTH('ILC4410'!$B:$B)=MONTH(AE$5),YEAR('ILC4410'!$B:$B)=YEAR(AE$5),'ILC4410'!$I:$I=""Fer""))),0))*$E27"),0.0)</f>
        <v>0</v>
      </c>
      <c r="AF27" s="68">
        <f t="shared" si="5"/>
        <v>0</v>
      </c>
      <c r="AG27" s="75">
        <f>IFERROR(__xludf.DUMMYFUNCTION("(iferror(sum((filter(TO!$D:$D,month(TO!$B:$B)=month(AH$5),year(TO!$B:$B)=year(AH$5)))),0) )*(iferror(sum((filter(TO!$C:$C,month(TO!$B:$B)=month(AH$5),year(TO!$B:$B)=year(AH$5)))),0) )*(iferror(sum((filter(TO!$A:$A,month(TO!$B:$B)=month(AH$5),year(TO!$B:$B"&amp;")=year(AH$5)))),0) )*$E27"),393.9294)</f>
        <v>393.9294</v>
      </c>
      <c r="AH27" s="79">
        <f>IFERROR(__xludf.DUMMYFUNCTION("(IFERROR(SUM((filter('ILC4410'!$D:$D,MONTH('ILC4410'!$B:$B)=MONTH(AH$5),YEAR('ILC4410'!$B:$B)=YEAR(AH$5),'ILC4410'!$I:$I=""Fernando""))),0) + IFERROR(SUM((filter('ILC4410'!$D:$D,MONTH('ILC4410'!$B:$B)=MONTH(AH$5),YEAR('ILC4410'!$B:$B)=YEAR(AH$5),'ILC4410'"&amp;"!$I:$I=""Kremer""))),0) + IFERROR(SUM((filter('ILC4410'!$D:$D,MONTH('ILC4410'!$B:$B)=MONTH(AH$5),YEAR('ILC4410'!$B:$B)=YEAR(AH$5),'ILC4410'!$I:$I=""Fer""))),0))*$E27"),0.0)</f>
        <v>0</v>
      </c>
      <c r="AI27" s="68">
        <f t="shared" si="6"/>
        <v>0</v>
      </c>
      <c r="AJ27" s="75">
        <f>IFERROR(__xludf.DUMMYFUNCTION("(iferror(sum((filter(TO!$D:$D,month(TO!$B:$B)=month(AK$5),year(TO!$B:$B)=year(AK$5)))),0) )*(iferror(sum((filter(TO!$C:$C,month(TO!$B:$B)=month(AK$5),year(TO!$B:$B)=year(AK$5)))),0) )*(iferror(sum((filter(TO!$A:$A,month(TO!$B:$B)=month(AK$5),year(TO!$B:$B"&amp;")=year(AK$5)))),0) )*$E27"),436.896)</f>
        <v>436.896</v>
      </c>
      <c r="AK27" s="79">
        <f>IFERROR(__xludf.DUMMYFUNCTION("(IFERROR(SUM((filter('ILC4410'!$D:$D,MONTH('ILC4410'!$B:$B)=MONTH(AK$5),YEAR('ILC4410'!$B:$B)=YEAR(AK$5),'ILC4410'!$I:$I=""Fernando""))),0) + IFERROR(SUM((filter('ILC4410'!$D:$D,MONTH('ILC4410'!$B:$B)=MONTH(AK$5),YEAR('ILC4410'!$B:$B)=YEAR(AK$5),'ILC4410'"&amp;"!$I:$I=""Kremer""))),0) + IFERROR(SUM((filter('ILC4410'!$D:$D,MONTH('ILC4410'!$B:$B)=MONTH(AK$5),YEAR('ILC4410'!$B:$B)=YEAR(AK$5),'ILC4410'!$I:$I=""Fer""))),0))*$E27"),58.2)</f>
        <v>58.2</v>
      </c>
      <c r="AL27" s="68">
        <f t="shared" si="7"/>
        <v>0.1332124808</v>
      </c>
      <c r="AM27" s="75">
        <f>IFERROR(__xludf.DUMMYFUNCTION("(iferror(sum((filter(TO!$D:$D,month(TO!$B:$B)=month(AN$5),year(TO!$B:$B)=year(AN$5)))),0) )*(iferror(sum((filter(TO!$C:$C,month(TO!$B:$B)=month(AN$5),year(TO!$B:$B)=year(AN$5)))),0) )*(iferror(sum((filter(TO!$A:$A,month(TO!$B:$B)=month(AN$5),year(TO!$B:$B"&amp;")=year(AN$5)))),0) )*$E27"),636.41295)</f>
        <v>636.41295</v>
      </c>
      <c r="AN27" s="79">
        <f>IFERROR(__xludf.DUMMYFUNCTION("(IFERROR(SUM((filter('ILC4410'!$D:$D,MONTH('ILC4410'!$B:$B)=MONTH(AN$5),YEAR('ILC4410'!$B:$B)=YEAR(AN$5),'ILC4410'!$I:$I=""Fernando""))),0) + IFERROR(SUM((filter('ILC4410'!$D:$D,MONTH('ILC4410'!$B:$B)=MONTH(AN$5),YEAR('ILC4410'!$B:$B)=YEAR(AN$5),'ILC4410'"&amp;"!$I:$I=""Kremer""))),0) + IFERROR(SUM((filter('ILC4410'!$D:$D,MONTH('ILC4410'!$B:$B)=MONTH(AN$5),YEAR('ILC4410'!$B:$B)=YEAR(AN$5),'ILC4410'!$I:$I=""Fer""))),0))*$E27"),0.0)</f>
        <v>0</v>
      </c>
      <c r="AO27" s="68">
        <f t="shared" si="8"/>
        <v>0</v>
      </c>
      <c r="AP27" s="75">
        <f>IFERROR(__xludf.DUMMYFUNCTION("(iferror(sum((filter(TO!$D:$D,month(TO!$B:$B)=month(AQ$5),year(TO!$B:$B)=year(AQ$5)))),0) )*(iferror(sum((filter(TO!$C:$C,month(TO!$B:$B)=month(AQ$5),year(TO!$B:$B)=year(AQ$5)))),0) )*(iferror(sum((filter(TO!$A:$A,month(TO!$B:$B)=month(AQ$5),year(TO!$B:$B"&amp;")=year(AQ$5)))),0) )*$E27"),761.2178999999999)</f>
        <v>761.2179</v>
      </c>
      <c r="AQ27" s="79">
        <f>IFERROR(__xludf.DUMMYFUNCTION("(IFERROR(SUM((filter('ILC4410'!$D:$D,MONTH('ILC4410'!$B:$B)=MONTH(AQ$5),YEAR('ILC4410'!$B:$B)=YEAR(AQ$5),'ILC4410'!$I:$I=""Fernando""))),0) + IFERROR(SUM((filter('ILC4410'!$D:$D,MONTH('ILC4410'!$B:$B)=MONTH(AQ$5),YEAR('ILC4410'!$B:$B)=YEAR(AQ$5),'ILC4410'"&amp;"!$I:$I=""Kremer""))),0) + IFERROR(SUM((filter('ILC4410'!$D:$D,MONTH('ILC4410'!$B:$B)=MONTH(AQ$5),YEAR('ILC4410'!$B:$B)=YEAR(AQ$5),'ILC4410'!$I:$I=""Fer""))),0))*$E27"),0.0)</f>
        <v>0</v>
      </c>
      <c r="AR27" s="68">
        <f t="shared" si="9"/>
        <v>0</v>
      </c>
      <c r="AS27" s="75">
        <f>IFERROR(__xludf.DUMMYFUNCTION("(iferror(sum((filter(TO!$D:$D,month(TO!$B:$B)=month(AT$5),year(TO!$B:$B)=year(AT$5)))),0) )*(iferror(sum((filter(TO!$C:$C,month(TO!$B:$B)=month(AT$5),year(TO!$B:$B)=year(AT$5)))),0) )*(iferror(sum((filter(TO!$A:$A,month(TO!$B:$B)=month(AT$5),year(TO!$B:$B"&amp;")=year(AT$5)))),0) )*$E27"),1309.6260000000002)</f>
        <v>1309.626</v>
      </c>
      <c r="AT27" s="79">
        <f>IFERROR(__xludf.DUMMYFUNCTION("(IFERROR(SUM((filter('ILC4410'!$D:$D,MONTH('ILC4410'!$B:$B)=MONTH(AT$5),YEAR('ILC4410'!$B:$B)=YEAR(AT$5),'ILC4410'!$I:$I=""Fernando""))),0) + IFERROR(SUM((filter('ILC4410'!$D:$D,MONTH('ILC4410'!$B:$B)=MONTH(AT$5),YEAR('ILC4410'!$B:$B)=YEAR(AT$5),'ILC4410'"&amp;"!$I:$I=""Kremer""))),0) + IFERROR(SUM((filter('ILC4410'!$D:$D,MONTH('ILC4410'!$B:$B)=MONTH(AT$5),YEAR('ILC4410'!$B:$B)=YEAR(AT$5),'ILC4410'!$I:$I=""Fer""))),0))*$E27"),530.0)</f>
        <v>530</v>
      </c>
      <c r="AU27" s="68">
        <f t="shared" si="10"/>
        <v>0.4046956917</v>
      </c>
    </row>
    <row r="28">
      <c r="A28" s="48" t="s">
        <v>81</v>
      </c>
      <c r="B28" s="4">
        <v>455.0</v>
      </c>
      <c r="C28" s="4" t="s">
        <v>93</v>
      </c>
      <c r="D28" s="64"/>
      <c r="E28" s="83">
        <v>0.1</v>
      </c>
      <c r="F28" s="75">
        <f t="shared" ref="F28:F30" si="19">$G$2*E28</f>
        <v>8000</v>
      </c>
      <c r="G28" s="66">
        <f t="shared" si="1"/>
        <v>1622.661</v>
      </c>
      <c r="H28" s="68">
        <f t="shared" si="2"/>
        <v>0.202832625</v>
      </c>
      <c r="I28" s="75"/>
      <c r="J28" s="93">
        <v>0.0</v>
      </c>
      <c r="K28" s="68">
        <f t="shared" si="11"/>
        <v>0</v>
      </c>
      <c r="L28" s="75"/>
      <c r="M28" s="79">
        <v>0.0</v>
      </c>
      <c r="N28" s="68">
        <f t="shared" si="12"/>
        <v>0</v>
      </c>
      <c r="O28" s="75"/>
      <c r="P28" s="79">
        <v>0.0</v>
      </c>
      <c r="Q28" s="68">
        <f t="shared" si="13"/>
        <v>0</v>
      </c>
      <c r="R28" s="75"/>
      <c r="S28" s="71">
        <v>0.0</v>
      </c>
      <c r="T28" s="68">
        <f t="shared" si="14"/>
        <v>0</v>
      </c>
      <c r="U28" s="75"/>
      <c r="V28" s="71">
        <f>IFERROR(__xludf.DUMMYFUNCTION("(IFERROR(SUM((filter('JBV455'!$D:$D,MONTH('JBV455'!$B:$B)=MONTH(V$5),YEAR('JBV455'!$B:$B)=YEAR(V$5),'JBV455'!$I:$I=""Fernando""))),0) + IFERROR(SUM((filter('JBV455'!$D:$D,MONTH('JBV455'!$B:$B)=MONTH(V$5),YEAR('JBV455'!$B:$B)=YEAR(V$5),'JBV455'!$I:$I=""Kre"&amp;"mer""))),0) + IFERROR(SUM((filter('JBV455'!$D:$D,MONTH('JBV455'!$B:$B)=MONTH(V$5),YEAR('JBV455'!$B:$B)=YEAR(V$5),'JBV455'!$I:$I=""Fer""))),0))*$E28"),629.4780000000001)</f>
        <v>629.478</v>
      </c>
      <c r="W28" s="68">
        <f t="shared" si="15"/>
        <v>0</v>
      </c>
      <c r="X28" s="80">
        <f>IFERROR(__xludf.DUMMYFUNCTION("(iferror(sum((filter(TO!$D:$D,month(TO!$B:$B)=month(Y$5),year(TO!$B:$B)=year(Y$5)))),0) )*(iferror(sum((filter(TO!$C:$C,month(TO!$B:$B)=month(Y$5),year(TO!$B:$B)=year(Y$5)))),0) )*(iferror(sum((filter(TO!$A:$A,month(TO!$B:$B)=month(Y$5),year(TO!$B:$B)=yea"&amp;"r(Y$5)))),0) )*$E28"),655.8775400000001)</f>
        <v>655.87754</v>
      </c>
      <c r="Y28" s="81">
        <f>IFERROR(__xludf.DUMMYFUNCTION("(IFERROR(SUM((filter('JBV455'!$D:$D,MONTH('JBV455'!$B:$B)=MONTH(Y$5),YEAR('JBV455'!$B:$B)=YEAR(Y$5),'JBV455'!$I:$I=""Fernando""))),0) + IFERROR(SUM((filter('JBV455'!$D:$D,MONTH('JBV455'!$B:$B)=MONTH(Y$5),YEAR('JBV455'!$B:$B)=YEAR(Y$5),'JBV455'!$I:$I=""Kre"&amp;"mer""))),0) + IFERROR(SUM((filter('JBV455'!$D:$D,MONTH('JBV455'!$B:$B)=MONTH(Y$5),YEAR('JBV455'!$B:$B)=YEAR(Y$5),'JBV455'!$I:$I=""Fer""))),0))*$E28"),422.04699999999997)</f>
        <v>422.047</v>
      </c>
      <c r="Z28" s="74">
        <f t="shared" si="16"/>
        <v>0.6434844529</v>
      </c>
      <c r="AA28" s="75">
        <f>IFERROR(__xludf.DUMMYFUNCTION("(iferror(sum((filter(TO!$D:$D,month(TO!$B:$B)=month(AB$5),year(TO!$B:$B)=year(AB$5)))),0) )*(iferror(sum((filter(TO!$C:$C,month(TO!$B:$B)=month(AB$5),year(TO!$B:$B)=year(AB$5)))),0) )*(iferror(sum((filter(TO!$A:$A,month(TO!$B:$B)=month(AB$5),year(TO!$B:$B"&amp;")=year(AB$5)))),0) )*$E28"),311.202)</f>
        <v>311.202</v>
      </c>
      <c r="AB28" s="79">
        <f>IFERROR(__xludf.DUMMYFUNCTION("(IFERROR(SUM((filter('JBV455'!$D:$D,MONTH('JBV455'!$B:$B)=MONTH(AB$5),YEAR('JBV455'!$B:$B)=YEAR(AB$5),'JBV455'!$I:$I=""Fernando""))),0) + IFERROR(SUM((filter('JBV455'!$D:$D,MONTH('JBV455'!$B:$B)=MONTH(AB$5),YEAR('JBV455'!$B:$B)=YEAR(AB$5),'JBV455'!$I:$I="&amp;"""Kremer""))),0) + IFERROR(SUM((filter('JBV455'!$D:$D,MONTH('JBV455'!$B:$B)=MONTH(AB$5),YEAR('JBV455'!$B:$B)=YEAR(AB$5),'JBV455'!$I:$I=""Fer""))),0))*$E28"),271.40599999999995)</f>
        <v>271.406</v>
      </c>
      <c r="AC28" s="68">
        <f t="shared" si="4"/>
        <v>0.8721216445</v>
      </c>
      <c r="AD28" s="75">
        <f>IFERROR(__xludf.DUMMYFUNCTION("(iferror(sum((filter(TO!$D:$D,month(TO!$B:$B)=month(AE$5),year(TO!$B:$B)=year(AE$5)))),0) )*(iferror(sum((filter(TO!$C:$C,month(TO!$B:$B)=month(AE$5),year(TO!$B:$B)=year(AE$5)))),0) )*(iferror(sum((filter(TO!$A:$A,month(TO!$B:$B)=month(AE$5),year(TO!$B:$B"&amp;")=year(AE$5)))),0) )*$E28"),512.23315)</f>
        <v>512.23315</v>
      </c>
      <c r="AE28" s="79">
        <f>IFERROR(__xludf.DUMMYFUNCTION("(IFERROR(SUM((filter('JBV455'!$D:$D,MONTH('JBV455'!$B:$B)=MONTH(AE$5),YEAR('JBV455'!$B:$B)=YEAR(AE$5),'JBV455'!$I:$I=""Fernando""))),0) + IFERROR(SUM((filter('JBV455'!$D:$D,MONTH('JBV455'!$B:$B)=MONTH(AE$5),YEAR('JBV455'!$B:$B)=YEAR(AE$5),'JBV455'!$I:$I="&amp;"""Kremer""))),0) + IFERROR(SUM((filter('JBV455'!$D:$D,MONTH('JBV455'!$B:$B)=MONTH(AE$5),YEAR('JBV455'!$B:$B)=YEAR(AE$5),'JBV455'!$I:$I=""Fer""))),0))*$E28"),0.0)</f>
        <v>0</v>
      </c>
      <c r="AF28" s="68">
        <f t="shared" si="5"/>
        <v>0</v>
      </c>
      <c r="AG28" s="75">
        <f>IFERROR(__xludf.DUMMYFUNCTION("(iferror(sum((filter(TO!$D:$D,month(TO!$B:$B)=month(AH$5),year(TO!$B:$B)=year(AH$5)))),0) )*(iferror(sum((filter(TO!$C:$C,month(TO!$B:$B)=month(AH$5),year(TO!$B:$B)=year(AH$5)))),0) )*(iferror(sum((filter(TO!$A:$A,month(TO!$B:$B)=month(AH$5),year(TO!$B:$B"&amp;")=year(AH$5)))),0) )*$E28"),393.9294)</f>
        <v>393.9294</v>
      </c>
      <c r="AH28" s="79">
        <f>IFERROR(__xludf.DUMMYFUNCTION("(IFERROR(SUM((filter('JBV455'!$D:$D,MONTH('JBV455'!$B:$B)=MONTH(AH$5),YEAR('JBV455'!$B:$B)=YEAR(AH$5),'JBV455'!$I:$I=""Fernando""))),0) + IFERROR(SUM((filter('JBV455'!$D:$D,MONTH('JBV455'!$B:$B)=MONTH(AH$5),YEAR('JBV455'!$B:$B)=YEAR(AH$5),'JBV455'!$I:$I="&amp;"""Kremer""))),0) + IFERROR(SUM((filter('JBV455'!$D:$D,MONTH('JBV455'!$B:$B)=MONTH(AH$5),YEAR('JBV455'!$B:$B)=YEAR(AH$5),'JBV455'!$I:$I=""Fer""))),0))*$E28"),0.0)</f>
        <v>0</v>
      </c>
      <c r="AI28" s="68">
        <f t="shared" si="6"/>
        <v>0</v>
      </c>
      <c r="AJ28" s="75">
        <f>IFERROR(__xludf.DUMMYFUNCTION("(iferror(sum((filter(TO!$D:$D,month(TO!$B:$B)=month(AK$5),year(TO!$B:$B)=year(AK$5)))),0) )*(iferror(sum((filter(TO!$C:$C,month(TO!$B:$B)=month(AK$5),year(TO!$B:$B)=year(AK$5)))),0) )*(iferror(sum((filter(TO!$A:$A,month(TO!$B:$B)=month(AK$5),year(TO!$B:$B"&amp;")=year(AK$5)))),0) )*$E28"),436.896)</f>
        <v>436.896</v>
      </c>
      <c r="AK28" s="79">
        <f>IFERROR(__xludf.DUMMYFUNCTION("(IFERROR(SUM((filter('JBV455'!$D:$D,MONTH('JBV455'!$B:$B)=MONTH(AK$5),YEAR('JBV455'!$B:$B)=YEAR(AK$5),'JBV455'!$I:$I=""Fernando""))),0) + IFERROR(SUM((filter('JBV455'!$D:$D,MONTH('JBV455'!$B:$B)=MONTH(AK$5),YEAR('JBV455'!$B:$B)=YEAR(AK$5),'JBV455'!$I:$I="&amp;"""Kremer""))),0) + IFERROR(SUM((filter('JBV455'!$D:$D,MONTH('JBV455'!$B:$B)=MONTH(AK$5),YEAR('JBV455'!$B:$B)=YEAR(AK$5),'JBV455'!$I:$I=""Fer""))),0))*$E28"),0.0)</f>
        <v>0</v>
      </c>
      <c r="AL28" s="68">
        <f t="shared" si="7"/>
        <v>0</v>
      </c>
      <c r="AM28" s="75">
        <f>IFERROR(__xludf.DUMMYFUNCTION("(iferror(sum((filter(TO!$D:$D,month(TO!$B:$B)=month(AN$5),year(TO!$B:$B)=year(AN$5)))),0) )*(iferror(sum((filter(TO!$C:$C,month(TO!$B:$B)=month(AN$5),year(TO!$B:$B)=year(AN$5)))),0) )*(iferror(sum((filter(TO!$A:$A,month(TO!$B:$B)=month(AN$5),year(TO!$B:$B"&amp;")=year(AN$5)))),0) )*$E28"),636.41295)</f>
        <v>636.41295</v>
      </c>
      <c r="AN28" s="79">
        <f>IFERROR(__xludf.DUMMYFUNCTION("(IFERROR(SUM((filter('JBV455'!$D:$D,MONTH('JBV455'!$B:$B)=MONTH(AN$5),YEAR('JBV455'!$B:$B)=YEAR(AN$5),'JBV455'!$I:$I=""Fernando""))),0) + IFERROR(SUM((filter('JBV455'!$D:$D,MONTH('JBV455'!$B:$B)=MONTH(AN$5),YEAR('JBV455'!$B:$B)=YEAR(AN$5),'JBV455'!$I:$I="&amp;"""Kremer""))),0) + IFERROR(SUM((filter('JBV455'!$D:$D,MONTH('JBV455'!$B:$B)=MONTH(AN$5),YEAR('JBV455'!$B:$B)=YEAR(AN$5),'JBV455'!$I:$I=""Fer""))),0))*$E28"),0.0)</f>
        <v>0</v>
      </c>
      <c r="AO28" s="68">
        <f t="shared" si="8"/>
        <v>0</v>
      </c>
      <c r="AP28" s="75">
        <f>IFERROR(__xludf.DUMMYFUNCTION("(iferror(sum((filter(TO!$D:$D,month(TO!$B:$B)=month(AQ$5),year(TO!$B:$B)=year(AQ$5)))),0) )*(iferror(sum((filter(TO!$C:$C,month(TO!$B:$B)=month(AQ$5),year(TO!$B:$B)=year(AQ$5)))),0) )*(iferror(sum((filter(TO!$A:$A,month(TO!$B:$B)=month(AQ$5),year(TO!$B:$B"&amp;")=year(AQ$5)))),0) )*$E28"),761.2178999999999)</f>
        <v>761.2179</v>
      </c>
      <c r="AQ28" s="79">
        <f>IFERROR(__xludf.DUMMYFUNCTION("(IFERROR(SUM((filter('JBV455'!$D:$D,MONTH('JBV455'!$B:$B)=MONTH(AQ$5),YEAR('JBV455'!$B:$B)=YEAR(AQ$5),'JBV455'!$I:$I=""Fernando""))),0) + IFERROR(SUM((filter('JBV455'!$D:$D,MONTH('JBV455'!$B:$B)=MONTH(AQ$5),YEAR('JBV455'!$B:$B)=YEAR(AQ$5),'JBV455'!$I:$I="&amp;"""Kremer""))),0) + IFERROR(SUM((filter('JBV455'!$D:$D,MONTH('JBV455'!$B:$B)=MONTH(AQ$5),YEAR('JBV455'!$B:$B)=YEAR(AQ$5),'JBV455'!$I:$I=""Fer""))),0))*$E28"),0.0)</f>
        <v>0</v>
      </c>
      <c r="AR28" s="68">
        <f t="shared" si="9"/>
        <v>0</v>
      </c>
      <c r="AS28" s="75">
        <f>IFERROR(__xludf.DUMMYFUNCTION("(iferror(sum((filter(TO!$D:$D,month(TO!$B:$B)=month(AT$5),year(TO!$B:$B)=year(AT$5)))),0) )*(iferror(sum((filter(TO!$C:$C,month(TO!$B:$B)=month(AT$5),year(TO!$B:$B)=year(AT$5)))),0) )*(iferror(sum((filter(TO!$A:$A,month(TO!$B:$B)=month(AT$5),year(TO!$B:$B"&amp;")=year(AT$5)))),0) )*$E28"),1309.6260000000002)</f>
        <v>1309.626</v>
      </c>
      <c r="AT28" s="79">
        <f>IFERROR(__xludf.DUMMYFUNCTION("(IFERROR(SUM((filter('JBV455'!$D:$D,MONTH('JBV455'!$B:$B)=MONTH(AT$5),YEAR('JBV455'!$B:$B)=YEAR(AT$5),'JBV455'!$I:$I=""Fernando""))),0) + IFERROR(SUM((filter('JBV455'!$D:$D,MONTH('JBV455'!$B:$B)=MONTH(AT$5),YEAR('JBV455'!$B:$B)=YEAR(AT$5),'JBV455'!$I:$I="&amp;"""Kremer""))),0) + IFERROR(SUM((filter('JBV455'!$D:$D,MONTH('JBV455'!$B:$B)=MONTH(AT$5),YEAR('JBV455'!$B:$B)=YEAR(AT$5),'JBV455'!$I:$I=""Fer""))),0))*$E28"),299.73)</f>
        <v>299.73</v>
      </c>
      <c r="AU28" s="68">
        <f t="shared" si="10"/>
        <v>0.2288668673</v>
      </c>
    </row>
    <row r="29">
      <c r="A29" s="48" t="s">
        <v>82</v>
      </c>
      <c r="B29" s="4">
        <v>462.0</v>
      </c>
      <c r="C29" s="4" t="s">
        <v>93</v>
      </c>
      <c r="D29" s="64"/>
      <c r="E29" s="64">
        <v>0.1</v>
      </c>
      <c r="F29" s="75">
        <f t="shared" si="19"/>
        <v>8000</v>
      </c>
      <c r="G29" s="66">
        <f t="shared" si="1"/>
        <v>1336.598</v>
      </c>
      <c r="H29" s="68">
        <f t="shared" si="2"/>
        <v>0.16707475</v>
      </c>
      <c r="I29" s="75"/>
      <c r="J29" s="93">
        <v>0.0</v>
      </c>
      <c r="K29" s="68">
        <f t="shared" si="11"/>
        <v>0</v>
      </c>
      <c r="L29" s="75"/>
      <c r="M29" s="79">
        <v>0.0</v>
      </c>
      <c r="N29" s="68">
        <f t="shared" si="12"/>
        <v>0</v>
      </c>
      <c r="O29" s="75"/>
      <c r="P29" s="79">
        <v>0.0</v>
      </c>
      <c r="Q29" s="68">
        <f t="shared" si="13"/>
        <v>0</v>
      </c>
      <c r="R29" s="75"/>
      <c r="S29" s="71">
        <v>0.0</v>
      </c>
      <c r="T29" s="68">
        <f t="shared" si="14"/>
        <v>0</v>
      </c>
      <c r="U29" s="75"/>
      <c r="V29" s="71">
        <f>IFERROR(__xludf.DUMMYFUNCTION("(IFERROR(SUM((filter('JBV462'!$D:$D,MONTH('JBV462'!$B:$B)=MONTH(V$5),YEAR('JBV462'!$B:$B)=YEAR(V$5),'JBV462'!$I:$I=""Fernando""))),0) + IFERROR(SUM((filter('JBV462'!$D:$D,MONTH('JBV462'!$B:$B)=MONTH(V$5),YEAR('JBV462'!$B:$B)=YEAR(V$5),'JBV462'!$I:$I=""Kre"&amp;"mer""))),0)+IFERROR(SUM((filter('JBV462'!$D:$D,MONTH('JBV462'!$B:$B)=MONTH(V$5),YEAR('JBV462'!$B:$B)=YEAR(V$5),'JBV462'!$I:$I=""Fer""))),0))*$E29"),667.6505)</f>
        <v>667.6505</v>
      </c>
      <c r="W29" s="68">
        <f t="shared" si="15"/>
        <v>0</v>
      </c>
      <c r="X29" s="80">
        <f>IFERROR(__xludf.DUMMYFUNCTION("(iferror(sum((filter(TO!$D:$D,month(TO!$B:$B)=month(Y$5),year(TO!$B:$B)=year(Y$5)))),0) )*(iferror(sum((filter(TO!$C:$C,month(TO!$B:$B)=month(Y$5),year(TO!$B:$B)=year(Y$5)))),0) )*(iferror(sum((filter(TO!$A:$A,month(TO!$B:$B)=month(Y$5),year(TO!$B:$B)=yea"&amp;"r(Y$5)))),0) )*$E29"),655.8775400000001)</f>
        <v>655.87754</v>
      </c>
      <c r="Y29" s="81">
        <f>IFERROR(__xludf.DUMMYFUNCTION("(IFERROR(SUM((filter('JBV462'!$D:$D,MONTH('JBV462'!$B:$B)=MONTH(Y$5),YEAR('JBV462'!$B:$B)=YEAR(Y$5),'JBV462'!$I:$I=""Fernando""))),0) + IFERROR(SUM((filter('JBV462'!$D:$D,MONTH('JBV462'!$B:$B)=MONTH(Y$5),YEAR('JBV462'!$B:$B)=YEAR(Y$5),'JBV462'!$I:$I=""Kre"&amp;"mer""))),0)+IFERROR(SUM((filter('JBV462'!$D:$D,MONTH('JBV462'!$B:$B)=MONTH(Y$5),YEAR('JBV462'!$B:$B)=YEAR(Y$5),'JBV462'!$I:$I=""Fer""))),0))*$E29"),468.5585000000002)</f>
        <v>468.5585</v>
      </c>
      <c r="Z29" s="74">
        <f t="shared" si="16"/>
        <v>0.7143993679</v>
      </c>
      <c r="AA29" s="75">
        <f>IFERROR(__xludf.DUMMYFUNCTION("(iferror(sum((filter(TO!$D:$D,month(TO!$B:$B)=month(AB$5),year(TO!$B:$B)=year(AB$5)))),0) )*(iferror(sum((filter(TO!$C:$C,month(TO!$B:$B)=month(AB$5),year(TO!$B:$B)=year(AB$5)))),0) )*(iferror(sum((filter(TO!$A:$A,month(TO!$B:$B)=month(AB$5),year(TO!$B:$B"&amp;")=year(AB$5)))),0) )*$E29"),311.202)</f>
        <v>311.202</v>
      </c>
      <c r="AB29" s="79">
        <f>IFERROR(__xludf.DUMMYFUNCTION("(IFERROR(SUM((filter('JBV462'!$D:$D,MONTH('JBV462'!$B:$B)=MONTH(AB$5),YEAR('JBV462'!$B:$B)=YEAR(AB$5),'JBV462'!$I:$I=""Fernando""))),0) + IFERROR(SUM((filter('JBV462'!$D:$D,MONTH('JBV462'!$B:$B)=MONTH(AB$5),YEAR('JBV462'!$B:$B)=YEAR(AB$5),'JBV462'!$I:$I="&amp;"""Kremer""))),0)+IFERROR(SUM((filter('JBV462'!$D:$D,MONTH('JBV462'!$B:$B)=MONTH(AB$5),YEAR('JBV462'!$B:$B)=YEAR(AB$5),'JBV462'!$I:$I=""Fer""))),0))*$E29"),140.359)</f>
        <v>140.359</v>
      </c>
      <c r="AC29" s="68">
        <f t="shared" si="4"/>
        <v>0.4510221657</v>
      </c>
      <c r="AD29" s="75">
        <f>IFERROR(__xludf.DUMMYFUNCTION("(iferror(sum((filter(TO!$D:$D,month(TO!$B:$B)=month(AE$5),year(TO!$B:$B)=year(AE$5)))),0) )*(iferror(sum((filter(TO!$C:$C,month(TO!$B:$B)=month(AE$5),year(TO!$B:$B)=year(AE$5)))),0) )*(iferror(sum((filter(TO!$A:$A,month(TO!$B:$B)=month(AE$5),year(TO!$B:$B"&amp;")=year(AE$5)))),0) )*$E29"),512.23315)</f>
        <v>512.23315</v>
      </c>
      <c r="AE29" s="79">
        <f>IFERROR(__xludf.DUMMYFUNCTION("(IFERROR(SUM((filter('JBV462'!$D:$D,MONTH('JBV462'!$B:$B)=MONTH(AE$5),YEAR('JBV462'!$B:$B)=YEAR(AE$5),'JBV462'!$I:$I=""Fernando""))),0) + IFERROR(SUM((filter('JBV462'!$D:$D,MONTH('JBV462'!$B:$B)=MONTH(AE$5),YEAR('JBV462'!$B:$B)=YEAR(AE$5),'JBV462'!$I:$I="&amp;"""Kremer""))),0)+IFERROR(SUM((filter('JBV462'!$D:$D,MONTH('JBV462'!$B:$B)=MONTH(AE$5),YEAR('JBV462'!$B:$B)=YEAR(AE$5),'JBV462'!$I:$I=""Fer""))),0))*$E29"),0.0)</f>
        <v>0</v>
      </c>
      <c r="AF29" s="68">
        <f t="shared" si="5"/>
        <v>0</v>
      </c>
      <c r="AG29" s="75">
        <f>IFERROR(__xludf.DUMMYFUNCTION("(iferror(sum((filter(TO!$D:$D,month(TO!$B:$B)=month(AH$5),year(TO!$B:$B)=year(AH$5)))),0) )*(iferror(sum((filter(TO!$C:$C,month(TO!$B:$B)=month(AH$5),year(TO!$B:$B)=year(AH$5)))),0) )*(iferror(sum((filter(TO!$A:$A,month(TO!$B:$B)=month(AH$5),year(TO!$B:$B"&amp;")=year(AH$5)))),0) )*$E29"),393.9294)</f>
        <v>393.9294</v>
      </c>
      <c r="AH29" s="79">
        <f>IFERROR(__xludf.DUMMYFUNCTION("(IFERROR(SUM((filter('JBV462'!$D:$D,MONTH('JBV462'!$B:$B)=MONTH(AH$5),YEAR('JBV462'!$B:$B)=YEAR(AH$5),'JBV462'!$I:$I=""Fernando""))),0) + IFERROR(SUM((filter('JBV462'!$D:$D,MONTH('JBV462'!$B:$B)=MONTH(AH$5),YEAR('JBV462'!$B:$B)=YEAR(AH$5),'JBV462'!$I:$I="&amp;"""Kremer""))),0)+IFERROR(SUM((filter('JBV462'!$D:$D,MONTH('JBV462'!$B:$B)=MONTH(AH$5),YEAR('JBV462'!$B:$B)=YEAR(AH$5),'JBV462'!$I:$I=""Fer""))),0))*$E29"),0.0)</f>
        <v>0</v>
      </c>
      <c r="AI29" s="68">
        <f t="shared" si="6"/>
        <v>0</v>
      </c>
      <c r="AJ29" s="75">
        <f>IFERROR(__xludf.DUMMYFUNCTION("(iferror(sum((filter(TO!$D:$D,month(TO!$B:$B)=month(AK$5),year(TO!$B:$B)=year(AK$5)))),0) )*(iferror(sum((filter(TO!$C:$C,month(TO!$B:$B)=month(AK$5),year(TO!$B:$B)=year(AK$5)))),0) )*(iferror(sum((filter(TO!$A:$A,month(TO!$B:$B)=month(AK$5),year(TO!$B:$B"&amp;")=year(AK$5)))),0) )*$E29"),436.896)</f>
        <v>436.896</v>
      </c>
      <c r="AK29" s="79">
        <f>IFERROR(__xludf.DUMMYFUNCTION("(IFERROR(SUM((filter('JBV462'!$D:$D,MONTH('JBV462'!$B:$B)=MONTH(AK$5),YEAR('JBV462'!$B:$B)=YEAR(AK$5),'JBV462'!$I:$I=""Fernando""))),0) + IFERROR(SUM((filter('JBV462'!$D:$D,MONTH('JBV462'!$B:$B)=MONTH(AK$5),YEAR('JBV462'!$B:$B)=YEAR(AK$5),'JBV462'!$I:$I="&amp;"""Kremer""))),0)+IFERROR(SUM((filter('JBV462'!$D:$D,MONTH('JBV462'!$B:$B)=MONTH(AK$5),YEAR('JBV462'!$B:$B)=YEAR(AK$5),'JBV462'!$I:$I=""Fer""))),0))*$E29"),60.03)</f>
        <v>60.03</v>
      </c>
      <c r="AL29" s="68">
        <f t="shared" si="7"/>
        <v>0.1374011206</v>
      </c>
      <c r="AM29" s="75">
        <f>IFERROR(__xludf.DUMMYFUNCTION("(iferror(sum((filter(TO!$D:$D,month(TO!$B:$B)=month(AN$5),year(TO!$B:$B)=year(AN$5)))),0) )*(iferror(sum((filter(TO!$C:$C,month(TO!$B:$B)=month(AN$5),year(TO!$B:$B)=year(AN$5)))),0) )*(iferror(sum((filter(TO!$A:$A,month(TO!$B:$B)=month(AN$5),year(TO!$B:$B"&amp;")=year(AN$5)))),0) )*$E29"),636.41295)</f>
        <v>636.41295</v>
      </c>
      <c r="AN29" s="79">
        <f>IFERROR(__xludf.DUMMYFUNCTION("(IFERROR(SUM((filter('JBV462'!$D:$D,MONTH('JBV462'!$B:$B)=MONTH(AN$5),YEAR('JBV462'!$B:$B)=YEAR(AN$5),'JBV462'!$I:$I=""Fernando""))),0) + IFERROR(SUM((filter('JBV462'!$D:$D,MONTH('JBV462'!$B:$B)=MONTH(AN$5),YEAR('JBV462'!$B:$B)=YEAR(AN$5),'JBV462'!$I:$I="&amp;"""Kremer""))),0)+IFERROR(SUM((filter('JBV462'!$D:$D,MONTH('JBV462'!$B:$B)=MONTH(AN$5),YEAR('JBV462'!$B:$B)=YEAR(AN$5),'JBV462'!$I:$I=""Fer""))),0))*$E29"),0.0)</f>
        <v>0</v>
      </c>
      <c r="AO29" s="68">
        <f t="shared" si="8"/>
        <v>0</v>
      </c>
      <c r="AP29" s="75">
        <f>IFERROR(__xludf.DUMMYFUNCTION("(iferror(sum((filter(TO!$D:$D,month(TO!$B:$B)=month(AQ$5),year(TO!$B:$B)=year(AQ$5)))),0) )*(iferror(sum((filter(TO!$C:$C,month(TO!$B:$B)=month(AQ$5),year(TO!$B:$B)=year(AQ$5)))),0) )*(iferror(sum((filter(TO!$A:$A,month(TO!$B:$B)=month(AQ$5),year(TO!$B:$B"&amp;")=year(AQ$5)))),0) )*$E29"),761.2178999999999)</f>
        <v>761.2179</v>
      </c>
      <c r="AQ29" s="79">
        <f>IFERROR(__xludf.DUMMYFUNCTION("(IFERROR(SUM((filter('JBV462'!$D:$D,MONTH('JBV462'!$B:$B)=MONTH(AQ$5),YEAR('JBV462'!$B:$B)=YEAR(AQ$5),'JBV462'!$I:$I=""Fernando""))),0) + IFERROR(SUM((filter('JBV462'!$D:$D,MONTH('JBV462'!$B:$B)=MONTH(AQ$5),YEAR('JBV462'!$B:$B)=YEAR(AQ$5),'JBV462'!$I:$I="&amp;"""Kremer""))),0)+IFERROR(SUM((filter('JBV462'!$D:$D,MONTH('JBV462'!$B:$B)=MONTH(AQ$5),YEAR('JBV462'!$B:$B)=YEAR(AQ$5),'JBV462'!$I:$I=""Fer""))),0))*$E29"),0.0)</f>
        <v>0</v>
      </c>
      <c r="AR29" s="68">
        <f t="shared" si="9"/>
        <v>0</v>
      </c>
      <c r="AS29" s="75">
        <f>IFERROR(__xludf.DUMMYFUNCTION("(iferror(sum((filter(TO!$D:$D,month(TO!$B:$B)=month(AT$5),year(TO!$B:$B)=year(AT$5)))),0) )*(iferror(sum((filter(TO!$C:$C,month(TO!$B:$B)=month(AT$5),year(TO!$B:$B)=year(AT$5)))),0) )*(iferror(sum((filter(TO!$A:$A,month(TO!$B:$B)=month(AT$5),year(TO!$B:$B"&amp;")=year(AT$5)))),0) )*$E29"),1309.6260000000002)</f>
        <v>1309.626</v>
      </c>
      <c r="AT29" s="79">
        <f>IFERROR(__xludf.DUMMYFUNCTION("(IFERROR(SUM((filter('JBV462'!$D:$D,MONTH('JBV462'!$B:$B)=MONTH(AT$5),YEAR('JBV462'!$B:$B)=YEAR(AT$5),'JBV462'!$I:$I=""Fernando""))),0) + IFERROR(SUM((filter('JBV462'!$D:$D,MONTH('JBV462'!$B:$B)=MONTH(AT$5),YEAR('JBV462'!$B:$B)=YEAR(AT$5),'JBV462'!$I:$I="&amp;"""Kremer""))),0)+IFERROR(SUM((filter('JBV462'!$D:$D,MONTH('JBV462'!$B:$B)=MONTH(AT$5),YEAR('JBV462'!$B:$B)=YEAR(AT$5),'JBV462'!$I:$I=""Fer""))),0))*$E29"),0.0)</f>
        <v>0</v>
      </c>
      <c r="AU29" s="68">
        <f t="shared" si="10"/>
        <v>0</v>
      </c>
    </row>
    <row r="30">
      <c r="A30" s="48" t="s">
        <v>85</v>
      </c>
      <c r="B30" s="4">
        <v>464.0</v>
      </c>
      <c r="C30" s="4" t="s">
        <v>93</v>
      </c>
      <c r="D30" s="64"/>
      <c r="E30" s="64">
        <v>0.1</v>
      </c>
      <c r="F30" s="75">
        <f t="shared" si="19"/>
        <v>8000</v>
      </c>
      <c r="G30" s="66">
        <f t="shared" si="1"/>
        <v>1105.121</v>
      </c>
      <c r="H30" s="68">
        <f t="shared" si="2"/>
        <v>0.138140125</v>
      </c>
      <c r="I30" s="75"/>
      <c r="J30" s="93">
        <v>0.0</v>
      </c>
      <c r="K30" s="68">
        <f t="shared" si="11"/>
        <v>0</v>
      </c>
      <c r="L30" s="75"/>
      <c r="M30" s="79">
        <v>0.0</v>
      </c>
      <c r="N30" s="68">
        <f t="shared" si="12"/>
        <v>0</v>
      </c>
      <c r="O30" s="75"/>
      <c r="P30" s="79">
        <v>0.0</v>
      </c>
      <c r="Q30" s="68">
        <f t="shared" si="13"/>
        <v>0</v>
      </c>
      <c r="R30" s="75"/>
      <c r="S30" s="71">
        <v>0.0</v>
      </c>
      <c r="T30" s="68">
        <f t="shared" si="14"/>
        <v>0</v>
      </c>
      <c r="U30" s="75"/>
      <c r="V30" s="71">
        <f>IFERROR(__xludf.DUMMYFUNCTION("(IFERROR(SUM((filter('JBV464'!$D:$D,MONTH('JBV464'!$B:$B)=MONTH(V$5),YEAR('JBV464'!$B:$B)=YEAR(V$5),'JBV464'!$I:$I=""Fernando""))),0) + IFERROR(SUM((filter('JBV464'!$D:$D,MONTH('JBV464'!$B:$B)=MONTH(V$5),YEAR('JBV464'!$B:$B)=YEAR(V$5),'JBV464'!$I:$I=""Kre"&amp;"mer""))),0) + IFERROR(SUM((filter('JBV464'!$D:$D,MONTH('JBV464'!$B:$B)=MONTH(V$5),YEAR('JBV464'!$B:$B)=YEAR(V$5),'JBV464'!$I:$I=""Fer""))),0))*$E30"),378.29999999999995)</f>
        <v>378.3</v>
      </c>
      <c r="W30" s="68">
        <f t="shared" si="15"/>
        <v>0</v>
      </c>
      <c r="X30" s="80">
        <f>IFERROR(__xludf.DUMMYFUNCTION("(iferror(sum((filter(TO!$D:$D,month(TO!$B:$B)=month(Y$5),year(TO!$B:$B)=year(Y$5)))),0) )*(iferror(sum((filter(TO!$C:$C,month(TO!$B:$B)=month(Y$5),year(TO!$B:$B)=year(Y$5)))),0) )*(iferror(sum((filter(TO!$A:$A,month(TO!$B:$B)=month(Y$5),year(TO!$B:$B)=yea"&amp;"r(Y$5)))),0) )*$E30"),655.8775400000001)</f>
        <v>655.87754</v>
      </c>
      <c r="Y30" s="81">
        <f>IFERROR(__xludf.DUMMYFUNCTION("(IFERROR(SUM((filter('JBV464'!$D:$D,MONTH('JBV464'!$B:$B)=MONTH(Y$5),YEAR('JBV464'!$B:$B)=YEAR(Y$5),'JBV464'!$I:$I=""Fernando""))),0) + IFERROR(SUM((filter('JBV464'!$D:$D,MONTH('JBV464'!$B:$B)=MONTH(Y$5),YEAR('JBV464'!$B:$B)=YEAR(Y$5),'JBV464'!$I:$I=""Kre"&amp;"mer""))),0) + IFERROR(SUM((filter('JBV464'!$D:$D,MONTH('JBV464'!$B:$B)=MONTH(Y$5),YEAR('JBV464'!$B:$B)=YEAR(Y$5),'JBV464'!$I:$I=""Fer""))),0))*$E30"),391.3626666666668)</f>
        <v>391.3626667</v>
      </c>
      <c r="Z30" s="74">
        <f t="shared" si="16"/>
        <v>0.5967008211</v>
      </c>
      <c r="AA30" s="75">
        <f>IFERROR(__xludf.DUMMYFUNCTION("(iferror(sum((filter(TO!$D:$D,month(TO!$B:$B)=month(AB$5),year(TO!$B:$B)=year(AB$5)))),0) )*(iferror(sum((filter(TO!$C:$C,month(TO!$B:$B)=month(AB$5),year(TO!$B:$B)=year(AB$5)))),0) )*(iferror(sum((filter(TO!$A:$A,month(TO!$B:$B)=month(AB$5),year(TO!$B:$B"&amp;")=year(AB$5)))),0) )*$E30"),311.202)</f>
        <v>311.202</v>
      </c>
      <c r="AB30" s="79">
        <f>IFERROR(__xludf.DUMMYFUNCTION("(IFERROR(SUM((filter('JBV464'!$D:$D,MONTH('JBV464'!$B:$B)=MONTH(AB$5),YEAR('JBV464'!$B:$B)=YEAR(AB$5),'JBV464'!$I:$I=""Fernando""))),0) + IFERROR(SUM((filter('JBV464'!$D:$D,MONTH('JBV464'!$B:$B)=MONTH(AB$5),YEAR('JBV464'!$B:$B)=YEAR(AB$5),'JBV464'!$I:$I="&amp;"""Kremer""))),0) + IFERROR(SUM((filter('JBV464'!$D:$D,MONTH('JBV464'!$B:$B)=MONTH(AB$5),YEAR('JBV464'!$B:$B)=YEAR(AB$5),'JBV464'!$I:$I=""Fer""))),0))*$E30"),253.0083333333334)</f>
        <v>253.0083333</v>
      </c>
      <c r="AC30" s="68">
        <f t="shared" si="4"/>
        <v>0.8130035582</v>
      </c>
      <c r="AD30" s="75">
        <f>IFERROR(__xludf.DUMMYFUNCTION("(iferror(sum((filter(TO!$D:$D,month(TO!$B:$B)=month(AE$5),year(TO!$B:$B)=year(AE$5)))),0) )*(iferror(sum((filter(TO!$C:$C,month(TO!$B:$B)=month(AE$5),year(TO!$B:$B)=year(AE$5)))),0) )*(iferror(sum((filter(TO!$A:$A,month(TO!$B:$B)=month(AE$5),year(TO!$B:$B"&amp;")=year(AE$5)))),0) )*$E30"),512.23315)</f>
        <v>512.23315</v>
      </c>
      <c r="AE30" s="79">
        <f>IFERROR(__xludf.DUMMYFUNCTION("(IFERROR(SUM((filter('JBV464'!$D:$D,MONTH('JBV464'!$B:$B)=MONTH(AE$5),YEAR('JBV464'!$B:$B)=YEAR(AE$5),'JBV464'!$I:$I=""Fernando""))),0) + IFERROR(SUM((filter('JBV464'!$D:$D,MONTH('JBV464'!$B:$B)=MONTH(AE$5),YEAR('JBV464'!$B:$B)=YEAR(AE$5),'JBV464'!$I:$I="&amp;"""Kremer""))),0) + IFERROR(SUM((filter('JBV464'!$D:$D,MONTH('JBV464'!$B:$B)=MONTH(AE$5),YEAR('JBV464'!$B:$B)=YEAR(AE$5),'JBV464'!$I:$I=""Fer""))),0))*$E30"),0.0)</f>
        <v>0</v>
      </c>
      <c r="AF30" s="68">
        <f t="shared" si="5"/>
        <v>0</v>
      </c>
      <c r="AG30" s="75">
        <f>IFERROR(__xludf.DUMMYFUNCTION("(iferror(sum((filter(TO!$D:$D,month(TO!$B:$B)=month(AH$5),year(TO!$B:$B)=year(AH$5)))),0) )*(iferror(sum((filter(TO!$C:$C,month(TO!$B:$B)=month(AH$5),year(TO!$B:$B)=year(AH$5)))),0) )*(iferror(sum((filter(TO!$A:$A,month(TO!$B:$B)=month(AH$5),year(TO!$B:$B"&amp;")=year(AH$5)))),0) )*$E30"),393.9294)</f>
        <v>393.9294</v>
      </c>
      <c r="AH30" s="79">
        <f>IFERROR(__xludf.DUMMYFUNCTION("(IFERROR(SUM((filter('JBV464'!$D:$D,MONTH('JBV464'!$B:$B)=MONTH(AH$5),YEAR('JBV464'!$B:$B)=YEAR(AH$5),'JBV464'!$I:$I=""Fernando""))),0) + IFERROR(SUM((filter('JBV464'!$D:$D,MONTH('JBV464'!$B:$B)=MONTH(AH$5),YEAR('JBV464'!$B:$B)=YEAR(AH$5),'JBV464'!$I:$I="&amp;"""Kremer""))),0) + IFERROR(SUM((filter('JBV464'!$D:$D,MONTH('JBV464'!$B:$B)=MONTH(AH$5),YEAR('JBV464'!$B:$B)=YEAR(AH$5),'JBV464'!$I:$I=""Fer""))),0))*$E30"),82.45)</f>
        <v>82.45</v>
      </c>
      <c r="AI30" s="68">
        <f t="shared" si="6"/>
        <v>0.2093014637</v>
      </c>
      <c r="AJ30" s="75">
        <f>IFERROR(__xludf.DUMMYFUNCTION("(iferror(sum((filter(TO!$D:$D,month(TO!$B:$B)=month(AK$5),year(TO!$B:$B)=year(AK$5)))),0) )*(iferror(sum((filter(TO!$C:$C,month(TO!$B:$B)=month(AK$5),year(TO!$B:$B)=year(AK$5)))),0) )*(iferror(sum((filter(TO!$A:$A,month(TO!$B:$B)=month(AK$5),year(TO!$B:$B"&amp;")=year(AK$5)))),0) )*$E30"),436.896)</f>
        <v>436.896</v>
      </c>
      <c r="AK30" s="79">
        <f>IFERROR(__xludf.DUMMYFUNCTION("(IFERROR(SUM((filter('JBV464'!$D:$D,MONTH('JBV464'!$B:$B)=MONTH(AK$5),YEAR('JBV464'!$B:$B)=YEAR(AK$5),'JBV464'!$I:$I=""Fernando""))),0) + IFERROR(SUM((filter('JBV464'!$D:$D,MONTH('JBV464'!$B:$B)=MONTH(AK$5),YEAR('JBV464'!$B:$B)=YEAR(AK$5),'JBV464'!$I:$I="&amp;"""Kremer""))),0) + IFERROR(SUM((filter('JBV464'!$D:$D,MONTH('JBV464'!$B:$B)=MONTH(AK$5),YEAR('JBV464'!$B:$B)=YEAR(AK$5),'JBV464'!$I:$I=""Fer""))),0))*$E30"),0.0)</f>
        <v>0</v>
      </c>
      <c r="AL30" s="68">
        <f t="shared" si="7"/>
        <v>0</v>
      </c>
      <c r="AM30" s="75">
        <f>IFERROR(__xludf.DUMMYFUNCTION("(iferror(sum((filter(TO!$D:$D,month(TO!$B:$B)=month(AN$5),year(TO!$B:$B)=year(AN$5)))),0) )*(iferror(sum((filter(TO!$C:$C,month(TO!$B:$B)=month(AN$5),year(TO!$B:$B)=year(AN$5)))),0) )*(iferror(sum((filter(TO!$A:$A,month(TO!$B:$B)=month(AN$5),year(TO!$B:$B"&amp;")=year(AN$5)))),0) )*$E30"),636.41295)</f>
        <v>636.41295</v>
      </c>
      <c r="AN30" s="79">
        <f>IFERROR(__xludf.DUMMYFUNCTION("(IFERROR(SUM((filter('JBV464'!$D:$D,MONTH('JBV464'!$B:$B)=MONTH(AN$5),YEAR('JBV464'!$B:$B)=YEAR(AN$5),'JBV464'!$I:$I=""Fernando""))),0) + IFERROR(SUM((filter('JBV464'!$D:$D,MONTH('JBV464'!$B:$B)=MONTH(AN$5),YEAR('JBV464'!$B:$B)=YEAR(AN$5),'JBV464'!$I:$I="&amp;"""Kremer""))),0) + IFERROR(SUM((filter('JBV464'!$D:$D,MONTH('JBV464'!$B:$B)=MONTH(AN$5),YEAR('JBV464'!$B:$B)=YEAR(AN$5),'JBV464'!$I:$I=""Fer""))),0))*$E30"),0.0)</f>
        <v>0</v>
      </c>
      <c r="AO30" s="68">
        <f t="shared" si="8"/>
        <v>0</v>
      </c>
      <c r="AP30" s="75">
        <f>IFERROR(__xludf.DUMMYFUNCTION("(iferror(sum((filter(TO!$D:$D,month(TO!$B:$B)=month(AQ$5),year(TO!$B:$B)=year(AQ$5)))),0) )*(iferror(sum((filter(TO!$C:$C,month(TO!$B:$B)=month(AQ$5),year(TO!$B:$B)=year(AQ$5)))),0) )*(iferror(sum((filter(TO!$A:$A,month(TO!$B:$B)=month(AQ$5),year(TO!$B:$B"&amp;")=year(AQ$5)))),0) )*$E30"),761.2178999999999)</f>
        <v>761.2179</v>
      </c>
      <c r="AQ30" s="79">
        <f>IFERROR(__xludf.DUMMYFUNCTION("(IFERROR(SUM((filter('JBV464'!$D:$D,MONTH('JBV464'!$B:$B)=MONTH(AQ$5),YEAR('JBV464'!$B:$B)=YEAR(AQ$5),'JBV464'!$I:$I=""Fernando""))),0) + IFERROR(SUM((filter('JBV464'!$D:$D,MONTH('JBV464'!$B:$B)=MONTH(AQ$5),YEAR('JBV464'!$B:$B)=YEAR(AQ$5),'JBV464'!$I:$I="&amp;"""Kremer""))),0) + IFERROR(SUM((filter('JBV464'!$D:$D,MONTH('JBV464'!$B:$B)=MONTH(AQ$5),YEAR('JBV464'!$B:$B)=YEAR(AQ$5),'JBV464'!$I:$I=""Fer""))),0))*$E30"),0.0)</f>
        <v>0</v>
      </c>
      <c r="AR30" s="68">
        <f t="shared" si="9"/>
        <v>0</v>
      </c>
      <c r="AS30" s="75">
        <f>IFERROR(__xludf.DUMMYFUNCTION("(iferror(sum((filter(TO!$D:$D,month(TO!$B:$B)=month(AT$5),year(TO!$B:$B)=year(AT$5)))),0) )*(iferror(sum((filter(TO!$C:$C,month(TO!$B:$B)=month(AT$5),year(TO!$B:$B)=year(AT$5)))),0) )*(iferror(sum((filter(TO!$A:$A,month(TO!$B:$B)=month(AT$5),year(TO!$B:$B"&amp;")=year(AT$5)))),0) )*$E30"),1309.6260000000002)</f>
        <v>1309.626</v>
      </c>
      <c r="AT30" s="79">
        <f>IFERROR(__xludf.DUMMYFUNCTION("(IFERROR(SUM((filter('JBV464'!$D:$D,MONTH('JBV464'!$B:$B)=MONTH(AT$5),YEAR('JBV464'!$B:$B)=YEAR(AT$5),'JBV464'!$I:$I=""Fernando""))),0) + IFERROR(SUM((filter('JBV464'!$D:$D,MONTH('JBV464'!$B:$B)=MONTH(AT$5),YEAR('JBV464'!$B:$B)=YEAR(AT$5),'JBV464'!$I:$I="&amp;"""Kremer""))),0) + IFERROR(SUM((filter('JBV464'!$D:$D,MONTH('JBV464'!$B:$B)=MONTH(AT$5),YEAR('JBV464'!$B:$B)=YEAR(AT$5),'JBV464'!$I:$I=""Fer""))),0))*$E30"),0.0)</f>
        <v>0</v>
      </c>
      <c r="AU30" s="68">
        <f t="shared" si="10"/>
        <v>0</v>
      </c>
    </row>
    <row r="31">
      <c r="A31" s="48" t="s">
        <v>86</v>
      </c>
      <c r="B31" s="34">
        <v>208.0</v>
      </c>
      <c r="C31" s="4" t="s">
        <v>98</v>
      </c>
      <c r="D31" s="64"/>
      <c r="E31" s="83">
        <v>0.2</v>
      </c>
      <c r="F31" s="65">
        <v>9000.0</v>
      </c>
      <c r="G31" s="66">
        <f t="shared" si="1"/>
        <v>1699.86</v>
      </c>
      <c r="H31" s="68">
        <f t="shared" si="2"/>
        <v>0.1888733333</v>
      </c>
      <c r="I31" s="75"/>
      <c r="J31" s="79">
        <f>IFERROR(__xludf.DUMMYFUNCTION("(IFERROR(SUM((filter('VDI208'!$D:$D,MONTH('VDI208'!$B:$B)=MONTH(J$5),YEAR('VDI208'!$B:$B)=YEAR(J$5),'VDI208'!$I:$I=""Fernando""))),0) + IFERROR(SUM((filter('VDI208'!$D:$D,MONTH('VDI208'!$B:$B)=MONTH(J$5),YEAR('VDI208'!$B:$B)=YEAR(J$5),'VDI208'!$I:$I=""Kre"&amp;"mer""))),0)+IFERROR(SUM((filter('VDI208'!$D:$D,MONTH('VDI208'!$B:$B)=MONTH(J$5),YEAR('VDI208'!$B:$B)=YEAR(J$5),'VDI208'!$I:$I=""Fer""))),0))*$E31"),0.0)</f>
        <v>0</v>
      </c>
      <c r="K31" s="68">
        <f t="shared" si="11"/>
        <v>0</v>
      </c>
      <c r="L31" s="75"/>
      <c r="M31" s="79">
        <v>0.0</v>
      </c>
      <c r="N31" s="68">
        <f t="shared" si="12"/>
        <v>0</v>
      </c>
      <c r="O31" s="75"/>
      <c r="P31" s="79">
        <v>0.0</v>
      </c>
      <c r="Q31" s="68">
        <f t="shared" si="13"/>
        <v>0</v>
      </c>
      <c r="R31" s="75">
        <f>IFERROR(__xludf.DUMMYFUNCTION("(iferror(sum((filter(TO!$D:$D,month(TO!$B:$B)=month(S$5),year(TO!$B:$B)=year(S$5)))),0) )*(iferror(sum((filter(TO!$C:$C,month(TO!$B:$B)=month(S$5),year(TO!$B:$B)=year(S$5)))),0) )*(iferror(sum((filter(TO!$A:$A,month(TO!$B:$B)=month(S$5),year(TO!$B:$B)=yea"&amp;"r(S$5)))),0) )*$E31"),1523.3424800000003)</f>
        <v>1523.34248</v>
      </c>
      <c r="S31" s="79">
        <v>978.3599999999999</v>
      </c>
      <c r="T31" s="68">
        <f t="shared" si="14"/>
        <v>0.6422455967</v>
      </c>
      <c r="U31" s="75">
        <f>IFERROR(__xludf.DUMMYFUNCTION("(iferror(sum((filter(TO!$D:$D,month(TO!$B:$B)=month(V$5),year(TO!$B:$B)=year(V$5)))),0) )*(iferror(sum((filter(TO!$C:$C,month(TO!$B:$B)=month(V$5),year(TO!$B:$B)=year(V$5)))),0) )*(iferror(sum((filter(TO!$A:$A,month(TO!$B:$B)=month(V$5),year(TO!$B:$B)=yea"&amp;"r(V$5)))),0) )*$E31"),1130.6064000000001)</f>
        <v>1130.6064</v>
      </c>
      <c r="V31" s="79">
        <f>IFERROR(__xludf.DUMMYFUNCTION("(IFERROR(SUM((filter('VDI208'!$D:$D,MONTH('VDI208'!$B:$B)=MONTH(V$5),YEAR('VDI208'!$B:$B)=YEAR(V$5),'VDI208'!$I:$I=""Fernando""))),0) + IFERROR(SUM((filter('VDI208'!$D:$D,MONTH('VDI208'!$B:$B)=MONTH(V$5),YEAR('VDI208'!$B:$B)=YEAR(V$5),'VDI208'!$I:$I=""Kre"&amp;"mer""))),0)+IFERROR(SUM((filter('VDI208'!$D:$D,MONTH('VDI208'!$B:$B)=MONTH(V$5),YEAR('VDI208'!$B:$B)=YEAR(V$5),'VDI208'!$I:$I=""Fer""))),0))*$E31"),278.90000000000003)</f>
        <v>278.9</v>
      </c>
      <c r="W31" s="68">
        <f t="shared" si="15"/>
        <v>0.2466817807</v>
      </c>
      <c r="X31" s="80">
        <f>IFERROR(__xludf.DUMMYFUNCTION("(iferror(sum((filter(TO!$D:$D,month(TO!$B:$B)=month(Y$5),year(TO!$B:$B)=year(Y$5)))),0) )*(iferror(sum((filter(TO!$C:$C,month(TO!$B:$B)=month(Y$5),year(TO!$B:$B)=year(Y$5)))),0) )*(iferror(sum((filter(TO!$A:$A,month(TO!$B:$B)=month(Y$5),year(TO!$B:$B)=yea"&amp;"r(Y$5)))),0) )*$E31"),1311.7550800000001)</f>
        <v>1311.75508</v>
      </c>
      <c r="Y31" s="81">
        <f>IFERROR(__xludf.DUMMYFUNCTION("(IFERROR(SUM((filter('VDI208'!$D:$D,MONTH('VDI208'!$B:$B)=MONTH(Y$5),YEAR('VDI208'!$B:$B)=YEAR(Y$5),'VDI208'!$I:$I=""Fernando""))),0) + IFERROR(SUM((filter('VDI208'!$D:$D,MONTH('VDI208'!$B:$B)=MONTH(Y$5),YEAR('VDI208'!$B:$B)=YEAR(Y$5),'VDI208'!$I:$I=""Kre"&amp;"mer""))),0)+IFERROR(SUM((filter('VDI208'!$D:$D,MONTH('VDI208'!$B:$B)=MONTH(Y$5),YEAR('VDI208'!$B:$B)=YEAR(Y$5),'VDI208'!$I:$I=""Fer""))),0))*$E31"),414.1)</f>
        <v>414.1</v>
      </c>
      <c r="Z31" s="74">
        <f t="shared" si="16"/>
        <v>0.3156839309</v>
      </c>
      <c r="AA31" s="75">
        <f>IFERROR(__xludf.DUMMYFUNCTION("(iferror(sum((filter(TO!$D:$D,month(TO!$B:$B)=month(AB$5),year(TO!$B:$B)=year(AB$5)))),0) )*(iferror(sum((filter(TO!$C:$C,month(TO!$B:$B)=month(AB$5),year(TO!$B:$B)=year(AB$5)))),0) )*(iferror(sum((filter(TO!$A:$A,month(TO!$B:$B)=month(AB$5),year(TO!$B:$B"&amp;")=year(AB$5)))),0) )*$E31"),622.404)</f>
        <v>622.404</v>
      </c>
      <c r="AB31" s="79">
        <f>IFERROR(__xludf.DUMMYFUNCTION("(IFERROR(SUM((filter('VDI208'!$D:$D,MONTH('VDI208'!$B:$B)=MONTH(AB$5),YEAR('VDI208'!$B:$B)=YEAR(AB$5),'VDI208'!$I:$I=""Fernando""))),0) + IFERROR(SUM((filter('VDI208'!$D:$D,MONTH('VDI208'!$B:$B)=MONTH(AB$5),YEAR('VDI208'!$B:$B)=YEAR(AB$5),'VDI208'!$I:$I="&amp;"""Kremer""))),0)+IFERROR(SUM((filter('VDI208'!$D:$D,MONTH('VDI208'!$B:$B)=MONTH(AB$5),YEAR('VDI208'!$B:$B)=YEAR(AB$5),'VDI208'!$I:$I=""Fer""))),0))*$E31"),28.5)</f>
        <v>28.5</v>
      </c>
      <c r="AC31" s="68">
        <f t="shared" si="4"/>
        <v>0.04579019415</v>
      </c>
      <c r="AD31" s="75">
        <f>IFERROR(__xludf.DUMMYFUNCTION("(iferror(sum((filter(TO!$D:$D,month(TO!$B:$B)=month(AE$5),year(TO!$B:$B)=year(AE$5)))),0) )*(iferror(sum((filter(TO!$C:$C,month(TO!$B:$B)=month(AE$5),year(TO!$B:$B)=year(AE$5)))),0) )*(iferror(sum((filter(TO!$A:$A,month(TO!$B:$B)=month(AE$5),year(TO!$B:$B"&amp;")=year(AE$5)))),0) )*$E31"),1024.4663)</f>
        <v>1024.4663</v>
      </c>
      <c r="AE31" s="79">
        <f>IFERROR(__xludf.DUMMYFUNCTION("(IFERROR(SUM((filter('VDI208'!$D:$D,MONTH('VDI208'!$B:$B)=MONTH(AE$5),YEAR('VDI208'!$B:$B)=YEAR(AE$5),'VDI208'!$I:$I=""Fernando""))),0) + IFERROR(SUM((filter('VDI208'!$D:$D,MONTH('VDI208'!$B:$B)=MONTH(AE$5),YEAR('VDI208'!$B:$B)=YEAR(AE$5),'VDI208'!$I:$I="&amp;"""Kremer""))),0)+IFERROR(SUM((filter('VDI208'!$D:$D,MONTH('VDI208'!$B:$B)=MONTH(AE$5),YEAR('VDI208'!$B:$B)=YEAR(AE$5),'VDI208'!$I:$I=""Fer""))),0))*$E31"),0.0)</f>
        <v>0</v>
      </c>
      <c r="AF31" s="68">
        <f t="shared" si="5"/>
        <v>0</v>
      </c>
      <c r="AG31" s="75">
        <f>IFERROR(__xludf.DUMMYFUNCTION("(iferror(sum((filter(TO!$D:$D,month(TO!$B:$B)=month(AH$5),year(TO!$B:$B)=year(AH$5)))),0) )*(iferror(sum((filter(TO!$C:$C,month(TO!$B:$B)=month(AH$5),year(TO!$B:$B)=year(AH$5)))),0) )*(iferror(sum((filter(TO!$A:$A,month(TO!$B:$B)=month(AH$5),year(TO!$B:$B"&amp;")=year(AH$5)))),0) )*$E31"),787.8588)</f>
        <v>787.8588</v>
      </c>
      <c r="AH31" s="79">
        <f>IFERROR(__xludf.DUMMYFUNCTION("(IFERROR(SUM((filter('VDI208'!$D:$D,MONTH('VDI208'!$B:$B)=MONTH(AH$5),YEAR('VDI208'!$B:$B)=YEAR(AH$5),'VDI208'!$I:$I=""Fernando""))),0) + IFERROR(SUM((filter('VDI208'!$D:$D,MONTH('VDI208'!$B:$B)=MONTH(AH$5),YEAR('VDI208'!$B:$B)=YEAR(AH$5),'VDI208'!$I:$I="&amp;"""Kremer""))),0)+IFERROR(SUM((filter('VDI208'!$D:$D,MONTH('VDI208'!$B:$B)=MONTH(AH$5),YEAR('VDI208'!$B:$B)=YEAR(AH$5),'VDI208'!$I:$I=""Fer""))),0))*$E31"),0.0)</f>
        <v>0</v>
      </c>
      <c r="AI31" s="68">
        <f t="shared" si="6"/>
        <v>0</v>
      </c>
      <c r="AJ31" s="75">
        <f>IFERROR(__xludf.DUMMYFUNCTION("(iferror(sum((filter(TO!$D:$D,month(TO!$B:$B)=month(AK$5),year(TO!$B:$B)=year(AK$5)))),0) )*(iferror(sum((filter(TO!$C:$C,month(TO!$B:$B)=month(AK$5),year(TO!$B:$B)=year(AK$5)))),0) )*(iferror(sum((filter(TO!$A:$A,month(TO!$B:$B)=month(AK$5),year(TO!$B:$B"&amp;")=year(AK$5)))),0) )*$E31"),873.792)</f>
        <v>873.792</v>
      </c>
      <c r="AK31" s="79">
        <f>IFERROR(__xludf.DUMMYFUNCTION("(IFERROR(SUM((filter('VDI208'!$D:$D,MONTH('VDI208'!$B:$B)=MONTH(AK$5),YEAR('VDI208'!$B:$B)=YEAR(AK$5),'VDI208'!$I:$I=""Fernando""))),0) + IFERROR(SUM((filter('VDI208'!$D:$D,MONTH('VDI208'!$B:$B)=MONTH(AK$5),YEAR('VDI208'!$B:$B)=YEAR(AK$5),'VDI208'!$I:$I="&amp;"""Kremer""))),0)+IFERROR(SUM((filter('VDI208'!$D:$D,MONTH('VDI208'!$B:$B)=MONTH(AK$5),YEAR('VDI208'!$B:$B)=YEAR(AK$5),'VDI208'!$I:$I=""Fer""))),0))*$E31"),0.0)</f>
        <v>0</v>
      </c>
      <c r="AL31" s="68">
        <f t="shared" si="7"/>
        <v>0</v>
      </c>
      <c r="AM31" s="75">
        <f>IFERROR(__xludf.DUMMYFUNCTION("(iferror(sum((filter(TO!$D:$D,month(TO!$B:$B)=month(AN$5),year(TO!$B:$B)=year(AN$5)))),0) )*(iferror(sum((filter(TO!$C:$C,month(TO!$B:$B)=month(AN$5),year(TO!$B:$B)=year(AN$5)))),0) )*(iferror(sum((filter(TO!$A:$A,month(TO!$B:$B)=month(AN$5),year(TO!$B:$B"&amp;")=year(AN$5)))),0) )*$E31"),1272.8259)</f>
        <v>1272.8259</v>
      </c>
      <c r="AN31" s="79">
        <f>IFERROR(__xludf.DUMMYFUNCTION("(IFERROR(SUM((filter('VDI208'!$D:$D,MONTH('VDI208'!$B:$B)=MONTH(AN$5),YEAR('VDI208'!$B:$B)=YEAR(AN$5),'VDI208'!$I:$I=""Fernando""))),0) + IFERROR(SUM((filter('VDI208'!$D:$D,MONTH('VDI208'!$B:$B)=MONTH(AN$5),YEAR('VDI208'!$B:$B)=YEAR(AN$5),'VDI208'!$I:$I="&amp;"""Kremer""))),0)+IFERROR(SUM((filter('VDI208'!$D:$D,MONTH('VDI208'!$B:$B)=MONTH(AN$5),YEAR('VDI208'!$B:$B)=YEAR(AN$5),'VDI208'!$I:$I=""Fer""))),0))*$E31"),0.0)</f>
        <v>0</v>
      </c>
      <c r="AO31" s="68">
        <f t="shared" si="8"/>
        <v>0</v>
      </c>
      <c r="AP31" s="75">
        <f>IFERROR(__xludf.DUMMYFUNCTION("(iferror(sum((filter(TO!$D:$D,month(TO!$B:$B)=month(AQ$5),year(TO!$B:$B)=year(AQ$5)))),0) )*(iferror(sum((filter(TO!$C:$C,month(TO!$B:$B)=month(AQ$5),year(TO!$B:$B)=year(AQ$5)))),0) )*(iferror(sum((filter(TO!$A:$A,month(TO!$B:$B)=month(AQ$5),year(TO!$B:$B"&amp;")=year(AQ$5)))),0) )*$E31"),1522.4357999999997)</f>
        <v>1522.4358</v>
      </c>
      <c r="AQ31" s="79">
        <f>IFERROR(__xludf.DUMMYFUNCTION("(IFERROR(SUM((filter('VDI208'!$D:$D,MONTH('VDI208'!$B:$B)=MONTH(AQ$5),YEAR('VDI208'!$B:$B)=YEAR(AQ$5),'VDI208'!$I:$I=""Fernando""))),0) + IFERROR(SUM((filter('VDI208'!$D:$D,MONTH('VDI208'!$B:$B)=MONTH(AQ$5),YEAR('VDI208'!$B:$B)=YEAR(AQ$5),'VDI208'!$I:$I="&amp;"""Kremer""))),0)+IFERROR(SUM((filter('VDI208'!$D:$D,MONTH('VDI208'!$B:$B)=MONTH(AQ$5),YEAR('VDI208'!$B:$B)=YEAR(AQ$5),'VDI208'!$I:$I=""Fer""))),0))*$E31"),0.0)</f>
        <v>0</v>
      </c>
      <c r="AR31" s="68">
        <f t="shared" si="9"/>
        <v>0</v>
      </c>
      <c r="AS31" s="75">
        <f>IFERROR(__xludf.DUMMYFUNCTION("(iferror(sum((filter(TO!$D:$D,month(TO!$B:$B)=month(AT$5),year(TO!$B:$B)=year(AT$5)))),0) )*(iferror(sum((filter(TO!$C:$C,month(TO!$B:$B)=month(AT$5),year(TO!$B:$B)=year(AT$5)))),0) )*(iferror(sum((filter(TO!$A:$A,month(TO!$B:$B)=month(AT$5),year(TO!$B:$B"&amp;")=year(AT$5)))),0) )*$E31"),2619.2520000000004)</f>
        <v>2619.252</v>
      </c>
      <c r="AT31" s="79">
        <f>IFERROR(__xludf.DUMMYFUNCTION("(IFERROR(SUM((filter('VDI208'!$D:$D,MONTH('VDI208'!$B:$B)=MONTH(AT$5),YEAR('VDI208'!$B:$B)=YEAR(AT$5),'VDI208'!$I:$I=""Fernando""))),0) + IFERROR(SUM((filter('VDI208'!$D:$D,MONTH('VDI208'!$B:$B)=MONTH(AT$5),YEAR('VDI208'!$B:$B)=YEAR(AT$5),'VDI208'!$I:$I="&amp;"""Kremer""))),0)+IFERROR(SUM((filter('VDI208'!$D:$D,MONTH('VDI208'!$B:$B)=MONTH(AT$5),YEAR('VDI208'!$B:$B)=YEAR(AT$5),'VDI208'!$I:$I=""Fer""))),0))*$E31"),0.0)</f>
        <v>0</v>
      </c>
      <c r="AU31" s="68">
        <f t="shared" si="10"/>
        <v>0</v>
      </c>
    </row>
    <row r="32">
      <c r="A32" s="48" t="s">
        <v>87</v>
      </c>
      <c r="B32" s="34">
        <v>2206.0</v>
      </c>
      <c r="C32" s="4" t="s">
        <v>95</v>
      </c>
      <c r="D32" s="64"/>
      <c r="E32" s="83">
        <v>0.05</v>
      </c>
      <c r="F32" s="75">
        <f>($G$1*E32)-(786+762+2086)/2</f>
        <v>3183</v>
      </c>
      <c r="G32" s="66">
        <f t="shared" si="1"/>
        <v>0</v>
      </c>
      <c r="H32" s="68">
        <f t="shared" si="2"/>
        <v>0</v>
      </c>
      <c r="I32" s="75"/>
      <c r="J32" s="79">
        <f>IFERROR(__xludf.DUMMYFUNCTION("(IFERROR(SUM((filter('STO2206'!$D:$D,MONTH('STO2206'!$B:$B)=MONTH(J$5),YEAR('STO2206'!$B:$B)=YEAR(J$5),'STO2206'!$I:$I=""Fernando""))),0) + IFERROR(SUM((filter('STO2206'!$D:$D,MONTH('STO2206'!$B:$B)=MONTH(J$5),YEAR('STO2206'!$B:$B)=YEAR(J$5),'STO2206'!$I:"&amp;"$I=""Kremer""))),0) + IFERROR(SUM((filter('STO2206'!$D:$D,MONTH('STO2206'!$B:$B)=MONTH(J$5),YEAR('STO2206'!$B:$B)=YEAR(J$5),'STO2206'!$I:$I=""Fer""))),0))*$E32"),0.0)</f>
        <v>0</v>
      </c>
      <c r="K32" s="68">
        <f t="shared" si="11"/>
        <v>0</v>
      </c>
      <c r="L32" s="75"/>
      <c r="M32" s="79">
        <v>0.0</v>
      </c>
      <c r="N32" s="68">
        <f t="shared" si="12"/>
        <v>0</v>
      </c>
      <c r="O32" s="75"/>
      <c r="P32" s="79">
        <v>0.0</v>
      </c>
      <c r="Q32" s="68">
        <f t="shared" si="13"/>
        <v>0</v>
      </c>
      <c r="R32" s="65"/>
      <c r="S32" s="79">
        <v>0.0</v>
      </c>
      <c r="T32" s="68">
        <f t="shared" si="14"/>
        <v>0</v>
      </c>
      <c r="U32" s="65"/>
      <c r="V32" s="79">
        <f>IFERROR(__xludf.DUMMYFUNCTION("(IFERROR(SUM((filter('STO2206'!$D:$D,MONTH('STO2206'!$B:$B)=MONTH(V$5),YEAR('STO2206'!$B:$B)=YEAR(V$5),'STO2206'!$I:$I=""Fernando""))),0) + IFERROR(SUM((filter('STO2206'!$D:$D,MONTH('STO2206'!$B:$B)=MONTH(V$5),YEAR('STO2206'!$B:$B)=YEAR(V$5),'STO2206'!$I:"&amp;"$I=""Kremer""))),0) + IFERROR(SUM((filter('STO2206'!$D:$D,MONTH('STO2206'!$B:$B)=MONTH(V$5),YEAR('STO2206'!$B:$B)=YEAR(V$5),'STO2206'!$I:$I=""Fer""))),0))*$E32"),0.0)</f>
        <v>0</v>
      </c>
      <c r="W32" s="68">
        <f t="shared" si="15"/>
        <v>0</v>
      </c>
      <c r="X32" s="80"/>
      <c r="Y32" s="81">
        <f>IFERROR(__xludf.DUMMYFUNCTION("(IFERROR(SUM((filter('STO2206'!$D:$D,MONTH('STO2206'!$B:$B)=MONTH(Y$5),YEAR('STO2206'!$B:$B)=YEAR(Y$5),'STO2206'!$I:$I=""Fernando""))),0) + IFERROR(SUM((filter('STO2206'!$D:$D,MONTH('STO2206'!$B:$B)=MONTH(Y$5),YEAR('STO2206'!$B:$B)=YEAR(Y$5),'STO2206'!$I:"&amp;"$I=""Kremer""))),0) + IFERROR(SUM((filter('STO2206'!$D:$D,MONTH('STO2206'!$B:$B)=MONTH(Y$5),YEAR('STO2206'!$B:$B)=YEAR(Y$5),'STO2206'!$I:$I=""Fer""))),0))*$E32"),0.0)</f>
        <v>0</v>
      </c>
      <c r="Z32" s="74">
        <f t="shared" si="16"/>
        <v>0</v>
      </c>
      <c r="AA32" s="65"/>
      <c r="AB32" s="79">
        <f>IFERROR(__xludf.DUMMYFUNCTION("(IFERROR(SUM((filter('STO2206'!$D:$D,MONTH('STO2206'!$B:$B)=MONTH(AB$5),YEAR('STO2206'!$B:$B)=YEAR(AB$5),'STO2206'!$I:$I=""Fernando""))),0) + IFERROR(SUM((filter('STO2206'!$D:$D,MONTH('STO2206'!$B:$B)=MONTH(AB$5),YEAR('STO2206'!$B:$B)=YEAR(AB$5),'STO2206'"&amp;"!$I:$I=""Kremer""))),0) + IFERROR(SUM((filter('STO2206'!$D:$D,MONTH('STO2206'!$B:$B)=MONTH(AB$5),YEAR('STO2206'!$B:$B)=YEAR(AB$5),'STO2206'!$I:$I=""Fer""))),0))*$E32"),0.0)</f>
        <v>0</v>
      </c>
      <c r="AC32" s="68">
        <f t="shared" si="4"/>
        <v>0</v>
      </c>
      <c r="AD32" s="65"/>
      <c r="AE32" s="79">
        <f>IFERROR(__xludf.DUMMYFUNCTION("(IFERROR(SUM((filter('STO2206'!$D:$D,MONTH('STO2206'!$B:$B)=MONTH(AE$5),YEAR('STO2206'!$B:$B)=YEAR(AE$5),'STO2206'!$I:$I=""Fernando""))),0) + IFERROR(SUM((filter('STO2206'!$D:$D,MONTH('STO2206'!$B:$B)=MONTH(AE$5),YEAR('STO2206'!$B:$B)=YEAR(AE$5),'STO2206'"&amp;"!$I:$I=""Kremer""))),0) + IFERROR(SUM((filter('STO2206'!$D:$D,MONTH('STO2206'!$B:$B)=MONTH(AE$5),YEAR('STO2206'!$B:$B)=YEAR(AE$5),'STO2206'!$I:$I=""Fer""))),0))*$E32"),0.0)</f>
        <v>0</v>
      </c>
      <c r="AF32" s="68">
        <f t="shared" si="5"/>
        <v>0</v>
      </c>
      <c r="AG32" s="65"/>
      <c r="AH32" s="79">
        <f>IFERROR(__xludf.DUMMYFUNCTION("(IFERROR(SUM((filter('STO2206'!$D:$D,MONTH('STO2206'!$B:$B)=MONTH(AH$5),YEAR('STO2206'!$B:$B)=YEAR(AH$5),'STO2206'!$I:$I=""Fernando""))),0) + IFERROR(SUM((filter('STO2206'!$D:$D,MONTH('STO2206'!$B:$B)=MONTH(AH$5),YEAR('STO2206'!$B:$B)=YEAR(AH$5),'STO2206'"&amp;"!$I:$I=""Kremer""))),0) + IFERROR(SUM((filter('STO2206'!$D:$D,MONTH('STO2206'!$B:$B)=MONTH(AH$5),YEAR('STO2206'!$B:$B)=YEAR(AH$5),'STO2206'!$I:$I=""Fer""))),0))*$E32"),0.0)</f>
        <v>0</v>
      </c>
      <c r="AI32" s="68">
        <f t="shared" si="6"/>
        <v>0</v>
      </c>
      <c r="AJ32" s="65"/>
      <c r="AK32" s="79">
        <f>IFERROR(__xludf.DUMMYFUNCTION("(IFERROR(SUM((filter('STO2206'!$D:$D,MONTH('STO2206'!$B:$B)=MONTH(AK$5),YEAR('STO2206'!$B:$B)=YEAR(AK$5),'STO2206'!$I:$I=""Fernando""))),0) + IFERROR(SUM((filter('STO2206'!$D:$D,MONTH('STO2206'!$B:$B)=MONTH(AK$5),YEAR('STO2206'!$B:$B)=YEAR(AK$5),'STO2206'"&amp;"!$I:$I=""Kremer""))),0) + IFERROR(SUM((filter('STO2206'!$D:$D,MONTH('STO2206'!$B:$B)=MONTH(AK$5),YEAR('STO2206'!$B:$B)=YEAR(AK$5),'STO2206'!$I:$I=""Fer""))),0))*$E32"),0.0)</f>
        <v>0</v>
      </c>
      <c r="AL32" s="68">
        <f t="shared" si="7"/>
        <v>0</v>
      </c>
      <c r="AM32" s="65"/>
      <c r="AN32" s="79">
        <f>IFERROR(__xludf.DUMMYFUNCTION("(IFERROR(SUM((filter('STO2206'!$D:$D,MONTH('STO2206'!$B:$B)=MONTH(AN$5),YEAR('STO2206'!$B:$B)=YEAR(AN$5),'STO2206'!$I:$I=""Fernando""))),0) + IFERROR(SUM((filter('STO2206'!$D:$D,MONTH('STO2206'!$B:$B)=MONTH(AN$5),YEAR('STO2206'!$B:$B)=YEAR(AN$5),'STO2206'"&amp;"!$I:$I=""Kremer""))),0) + IFERROR(SUM((filter('STO2206'!$D:$D,MONTH('STO2206'!$B:$B)=MONTH(AN$5),YEAR('STO2206'!$B:$B)=YEAR(AN$5),'STO2206'!$I:$I=""Fer""))),0))*$E32"),0.0)</f>
        <v>0</v>
      </c>
      <c r="AO32" s="68">
        <f t="shared" si="8"/>
        <v>0</v>
      </c>
      <c r="AP32" s="65"/>
      <c r="AQ32" s="79">
        <f>IFERROR(__xludf.DUMMYFUNCTION("(IFERROR(SUM((filter('STO2206'!$D:$D,MONTH('STO2206'!$B:$B)=MONTH(AQ$5),YEAR('STO2206'!$B:$B)=YEAR(AQ$5),'STO2206'!$I:$I=""Fernando""))),0) + IFERROR(SUM((filter('STO2206'!$D:$D,MONTH('STO2206'!$B:$B)=MONTH(AQ$5),YEAR('STO2206'!$B:$B)=YEAR(AQ$5),'STO2206'"&amp;"!$I:$I=""Kremer""))),0) + IFERROR(SUM((filter('STO2206'!$D:$D,MONTH('STO2206'!$B:$B)=MONTH(AQ$5),YEAR('STO2206'!$B:$B)=YEAR(AQ$5),'STO2206'!$I:$I=""Fer""))),0))*$E32"),0.0)</f>
        <v>0</v>
      </c>
      <c r="AR32" s="68">
        <f t="shared" si="9"/>
        <v>0</v>
      </c>
      <c r="AS32" s="65"/>
      <c r="AT32" s="79">
        <f>IFERROR(__xludf.DUMMYFUNCTION("(IFERROR(SUM((filter('STO2206'!$D:$D,MONTH('STO2206'!$B:$B)=MONTH(AT$5),YEAR('STO2206'!$B:$B)=YEAR(AT$5),'STO2206'!$I:$I=""Fernando""))),0) + IFERROR(SUM((filter('STO2206'!$D:$D,MONTH('STO2206'!$B:$B)=MONTH(AT$5),YEAR('STO2206'!$B:$B)=YEAR(AT$5),'STO2206'"&amp;"!$I:$I=""Kremer""))),0) + IFERROR(SUM((filter('STO2206'!$D:$D,MONTH('STO2206'!$B:$B)=MONTH(AT$5),YEAR('STO2206'!$B:$B)=YEAR(AT$5),'STO2206'!$I:$I=""Fer""))),0))*$E32"),0.0)</f>
        <v>0</v>
      </c>
      <c r="AU32" s="68">
        <f t="shared" si="10"/>
        <v>0</v>
      </c>
    </row>
    <row r="33">
      <c r="A33" s="110"/>
      <c r="B33" s="34"/>
      <c r="C33" s="4"/>
      <c r="D33" s="64"/>
      <c r="E33" s="83"/>
      <c r="F33" s="75"/>
      <c r="G33" s="66"/>
      <c r="H33" s="68"/>
      <c r="I33" s="75"/>
      <c r="J33" s="79"/>
      <c r="K33" s="68"/>
      <c r="L33" s="75"/>
      <c r="M33" s="79"/>
      <c r="N33" s="68"/>
      <c r="O33" s="75"/>
      <c r="P33" s="79"/>
      <c r="Q33" s="68"/>
      <c r="R33" s="65"/>
      <c r="S33" s="79"/>
      <c r="T33" s="68"/>
      <c r="U33" s="65"/>
      <c r="V33" s="79"/>
      <c r="W33" s="68"/>
      <c r="X33" s="80"/>
      <c r="Y33" s="81"/>
      <c r="Z33" s="74"/>
      <c r="AA33" s="65"/>
      <c r="AB33" s="79"/>
      <c r="AC33" s="68"/>
      <c r="AD33" s="65"/>
      <c r="AE33" s="79"/>
      <c r="AF33" s="68"/>
      <c r="AG33" s="65"/>
      <c r="AH33" s="79"/>
      <c r="AI33" s="68"/>
      <c r="AJ33" s="65"/>
      <c r="AK33" s="79"/>
      <c r="AL33" s="68"/>
      <c r="AM33" s="65"/>
      <c r="AN33" s="79"/>
      <c r="AO33" s="68"/>
      <c r="AP33" s="65"/>
      <c r="AQ33" s="79"/>
      <c r="AR33" s="68"/>
      <c r="AS33" s="65"/>
      <c r="AT33" s="79"/>
      <c r="AU33" s="68"/>
    </row>
    <row r="34">
      <c r="A34" s="110"/>
      <c r="B34" s="34"/>
      <c r="C34" s="4"/>
      <c r="D34" s="64"/>
      <c r="E34" s="83"/>
      <c r="F34" s="75"/>
      <c r="G34" s="66"/>
      <c r="H34" s="68"/>
      <c r="I34" s="75"/>
      <c r="J34" s="79"/>
      <c r="K34" s="68"/>
      <c r="L34" s="75"/>
      <c r="M34" s="79"/>
      <c r="N34" s="68"/>
      <c r="O34" s="75"/>
      <c r="P34" s="79"/>
      <c r="Q34" s="68"/>
      <c r="R34" s="65"/>
      <c r="S34" s="79"/>
      <c r="T34" s="68"/>
      <c r="U34" s="65"/>
      <c r="V34" s="79"/>
      <c r="W34" s="68"/>
      <c r="X34" s="80"/>
      <c r="Y34" s="81"/>
      <c r="Z34" s="74"/>
      <c r="AA34" s="65"/>
      <c r="AB34" s="79"/>
      <c r="AC34" s="68"/>
      <c r="AD34" s="65"/>
      <c r="AE34" s="79"/>
      <c r="AF34" s="68"/>
      <c r="AG34" s="65"/>
      <c r="AH34" s="79"/>
      <c r="AI34" s="68"/>
      <c r="AJ34" s="65"/>
      <c r="AK34" s="79"/>
      <c r="AL34" s="68"/>
      <c r="AM34" s="65"/>
      <c r="AN34" s="79"/>
      <c r="AO34" s="68"/>
      <c r="AP34" s="65"/>
      <c r="AQ34" s="79"/>
      <c r="AR34" s="68"/>
      <c r="AS34" s="65"/>
      <c r="AT34" s="79"/>
      <c r="AU34" s="68"/>
    </row>
    <row r="35">
      <c r="A35" s="110"/>
      <c r="B35" s="34"/>
      <c r="C35" s="4"/>
      <c r="D35" s="64"/>
      <c r="E35" s="83"/>
      <c r="F35" s="75"/>
      <c r="G35" s="66"/>
      <c r="H35" s="68"/>
      <c r="I35" s="75"/>
      <c r="J35" s="79"/>
      <c r="K35" s="68"/>
      <c r="L35" s="75"/>
      <c r="M35" s="79"/>
      <c r="N35" s="68"/>
      <c r="O35" s="75"/>
      <c r="P35" s="79"/>
      <c r="Q35" s="68"/>
      <c r="R35" s="65"/>
      <c r="S35" s="79"/>
      <c r="T35" s="68"/>
      <c r="U35" s="65"/>
      <c r="V35" s="79"/>
      <c r="W35" s="68"/>
      <c r="X35" s="80"/>
      <c r="Y35" s="81"/>
      <c r="Z35" s="74"/>
      <c r="AA35" s="65"/>
      <c r="AB35" s="79"/>
      <c r="AC35" s="68"/>
      <c r="AD35" s="65"/>
      <c r="AE35" s="79"/>
      <c r="AF35" s="68"/>
      <c r="AG35" s="65"/>
      <c r="AH35" s="79"/>
      <c r="AI35" s="68"/>
      <c r="AJ35" s="65"/>
      <c r="AK35" s="79"/>
      <c r="AL35" s="68"/>
      <c r="AM35" s="65"/>
      <c r="AN35" s="79"/>
      <c r="AO35" s="68"/>
      <c r="AP35" s="65"/>
      <c r="AQ35" s="79"/>
      <c r="AR35" s="68"/>
      <c r="AS35" s="65"/>
      <c r="AT35" s="79"/>
      <c r="AU35" s="68"/>
    </row>
    <row r="36">
      <c r="A36" s="110"/>
      <c r="B36" s="34"/>
      <c r="C36" s="4"/>
      <c r="D36" s="64"/>
      <c r="E36" s="83"/>
      <c r="F36" s="75"/>
      <c r="G36" s="66"/>
      <c r="H36" s="68"/>
      <c r="I36" s="75"/>
      <c r="J36" s="79"/>
      <c r="K36" s="68"/>
      <c r="L36" s="75"/>
      <c r="M36" s="79"/>
      <c r="N36" s="68"/>
      <c r="O36" s="75"/>
      <c r="P36" s="79"/>
      <c r="Q36" s="68"/>
      <c r="R36" s="65"/>
      <c r="S36" s="79"/>
      <c r="T36" s="68"/>
      <c r="U36" s="65"/>
      <c r="V36" s="79"/>
      <c r="W36" s="68"/>
      <c r="X36" s="80"/>
      <c r="Y36" s="81"/>
      <c r="Z36" s="74"/>
      <c r="AA36" s="65"/>
      <c r="AB36" s="79"/>
      <c r="AC36" s="68"/>
      <c r="AD36" s="65"/>
      <c r="AE36" s="79"/>
      <c r="AF36" s="68"/>
      <c r="AG36" s="65"/>
      <c r="AH36" s="79"/>
      <c r="AI36" s="68"/>
      <c r="AJ36" s="65"/>
      <c r="AK36" s="79"/>
      <c r="AL36" s="68"/>
      <c r="AM36" s="65"/>
      <c r="AN36" s="79"/>
      <c r="AO36" s="68"/>
      <c r="AP36" s="65"/>
      <c r="AQ36" s="79"/>
      <c r="AR36" s="68"/>
      <c r="AS36" s="65"/>
      <c r="AT36" s="79"/>
      <c r="AU36" s="68"/>
    </row>
    <row r="37">
      <c r="A37" s="110"/>
      <c r="B37" s="34"/>
      <c r="C37" s="4"/>
      <c r="D37" s="64"/>
      <c r="E37" s="83"/>
      <c r="F37" s="75"/>
      <c r="G37" s="66"/>
      <c r="H37" s="68"/>
      <c r="I37" s="75"/>
      <c r="J37" s="79"/>
      <c r="K37" s="68"/>
      <c r="L37" s="75"/>
      <c r="M37" s="79"/>
      <c r="N37" s="68"/>
      <c r="O37" s="75"/>
      <c r="P37" s="79"/>
      <c r="Q37" s="68"/>
      <c r="R37" s="65"/>
      <c r="S37" s="79"/>
      <c r="T37" s="68"/>
      <c r="U37" s="65"/>
      <c r="V37" s="79"/>
      <c r="W37" s="68"/>
      <c r="X37" s="80"/>
      <c r="Y37" s="81"/>
      <c r="Z37" s="74"/>
      <c r="AA37" s="65"/>
      <c r="AB37" s="79"/>
      <c r="AC37" s="68"/>
      <c r="AD37" s="65"/>
      <c r="AE37" s="79"/>
      <c r="AF37" s="68"/>
      <c r="AG37" s="65"/>
      <c r="AH37" s="79"/>
      <c r="AI37" s="68"/>
      <c r="AJ37" s="65"/>
      <c r="AK37" s="79"/>
      <c r="AL37" s="68"/>
      <c r="AM37" s="65"/>
      <c r="AN37" s="79"/>
      <c r="AO37" s="68"/>
      <c r="AP37" s="65"/>
      <c r="AQ37" s="79"/>
      <c r="AR37" s="68"/>
      <c r="AS37" s="65"/>
      <c r="AT37" s="79"/>
      <c r="AU37" s="68"/>
    </row>
    <row r="38">
      <c r="B38" s="4"/>
      <c r="C38" s="4"/>
      <c r="D38" s="96"/>
      <c r="E38" s="99" t="s">
        <v>146</v>
      </c>
      <c r="F38" s="100">
        <f>SUM(F$7:F$37)</f>
        <v>164835.4</v>
      </c>
      <c r="G38" s="66">
        <f>sum(M38,P38,S38,V38,Y38,AB38,AE38,AH38,AK38,AN38,AQ38,AT38)</f>
        <v>38821.0666</v>
      </c>
      <c r="H38" s="101"/>
      <c r="I38" s="100">
        <f t="shared" ref="I38:J38" si="20">SUM(I$7:I$37)</f>
        <v>3928.878</v>
      </c>
      <c r="J38" s="102">
        <f t="shared" si="20"/>
        <v>1759.28</v>
      </c>
      <c r="K38" s="101"/>
      <c r="L38" s="100">
        <f t="shared" ref="L38:M38" si="21">SUM(L$7:L$37)</f>
        <v>4172.2776</v>
      </c>
      <c r="M38" s="102">
        <f t="shared" si="21"/>
        <v>2779.95</v>
      </c>
      <c r="N38" s="101"/>
      <c r="O38" s="100">
        <f t="shared" ref="O38:P38" si="22">SUM(O$7:O$37)</f>
        <v>1572.47552</v>
      </c>
      <c r="P38" s="102">
        <f t="shared" si="22"/>
        <v>1436.62</v>
      </c>
      <c r="Q38" s="101"/>
      <c r="R38" s="100">
        <f t="shared" ref="R38:S38" si="23">SUM(R$7:R$37)</f>
        <v>7617.04116</v>
      </c>
      <c r="S38" s="102">
        <f t="shared" si="23"/>
        <v>9249.646</v>
      </c>
      <c r="T38" s="113">
        <f>iferror(S38/R38,0)</f>
        <v>1.21433583</v>
      </c>
      <c r="U38" s="100">
        <f t="shared" ref="U38:V38" si="24">SUM(U$7:U$37)</f>
        <v>5653.032</v>
      </c>
      <c r="V38" s="102">
        <f t="shared" si="24"/>
        <v>8301.718233</v>
      </c>
      <c r="W38" s="113">
        <f>iferror(V38/U38,0)</f>
        <v>1.468542586</v>
      </c>
      <c r="X38" s="100">
        <f t="shared" ref="X38:Y38" si="25">SUM(X$7:X$37)</f>
        <v>13117.67326</v>
      </c>
      <c r="Y38" s="102">
        <f t="shared" si="25"/>
        <v>8876.445917</v>
      </c>
      <c r="Z38" s="74">
        <f>iferror(Y38/X38,0)</f>
        <v>0.676678382</v>
      </c>
      <c r="AA38" s="100">
        <f t="shared" ref="AA38:AB38" si="26">SUM(AA$7:AA$37)</f>
        <v>6441.6794</v>
      </c>
      <c r="AB38" s="102">
        <f t="shared" si="26"/>
        <v>2699.601217</v>
      </c>
      <c r="AC38" s="101"/>
      <c r="AD38" s="100">
        <f t="shared" ref="AD38:AE38" si="27">SUM(AD$7:AD$37)</f>
        <v>10401.99306</v>
      </c>
      <c r="AE38" s="102">
        <f t="shared" si="27"/>
        <v>825.9175333</v>
      </c>
      <c r="AF38" s="101"/>
      <c r="AG38" s="100">
        <f t="shared" ref="AG38:AH38" si="28">SUM(AG$7:AG$37)</f>
        <v>8071.40918</v>
      </c>
      <c r="AH38" s="102">
        <f t="shared" si="28"/>
        <v>566.8485</v>
      </c>
      <c r="AI38" s="101"/>
      <c r="AJ38" s="100">
        <f t="shared" ref="AJ38:AK38" si="29">SUM(AJ$7:AJ$37)</f>
        <v>8917.8512</v>
      </c>
      <c r="AK38" s="102">
        <f t="shared" si="29"/>
        <v>778.1792</v>
      </c>
      <c r="AL38" s="101"/>
      <c r="AM38" s="100">
        <f t="shared" ref="AM38:AN38" si="30">SUM(AM$7:AM$37)</f>
        <v>13173.74807</v>
      </c>
      <c r="AN38" s="102">
        <f t="shared" si="30"/>
        <v>117.45</v>
      </c>
      <c r="AO38" s="101"/>
      <c r="AP38" s="100">
        <f t="shared" ref="AP38:AQ38" si="31">SUM(AP$7:AP$37)</f>
        <v>15757.21053</v>
      </c>
      <c r="AQ38" s="102">
        <f t="shared" si="31"/>
        <v>408</v>
      </c>
      <c r="AR38" s="101"/>
      <c r="AS38" s="100">
        <f t="shared" ref="AS38:AT38" si="32">SUM(AS$7:AS$37)</f>
        <v>27109.2582</v>
      </c>
      <c r="AT38" s="102">
        <f t="shared" si="32"/>
        <v>2780.69</v>
      </c>
      <c r="AU38" s="101"/>
    </row>
    <row r="39">
      <c r="K39" s="12"/>
      <c r="N39" s="12"/>
      <c r="Q39" s="12"/>
      <c r="T39" s="12"/>
      <c r="W39" s="12"/>
      <c r="Z39" s="12"/>
      <c r="AC39" s="12"/>
    </row>
    <row r="40">
      <c r="E40" s="4" t="s">
        <v>153</v>
      </c>
      <c r="F40" s="104">
        <v>0.06</v>
      </c>
      <c r="I40" s="4" t="s">
        <v>154</v>
      </c>
      <c r="K40" s="12"/>
      <c r="M40" s="82">
        <v>115.15679999999999</v>
      </c>
      <c r="N40" s="85"/>
      <c r="O40" s="82"/>
      <c r="P40" s="82">
        <v>157.19699999999997</v>
      </c>
      <c r="Q40" s="85"/>
      <c r="R40" s="82"/>
      <c r="S40" s="82">
        <f>(P38)*$F$40</f>
        <v>86.1972</v>
      </c>
      <c r="T40" s="85"/>
      <c r="U40" s="82"/>
      <c r="V40" s="82">
        <f>(S38-S19-S12)*$F$40</f>
        <v>460.53516</v>
      </c>
      <c r="W40" s="85"/>
      <c r="X40" s="82"/>
      <c r="Y40" s="82">
        <f>(V38)*$F$40</f>
        <v>498.103094</v>
      </c>
      <c r="Z40" s="85"/>
      <c r="AA40" s="82"/>
      <c r="AB40" s="82">
        <f>(Y38)*$F$40</f>
        <v>532.586755</v>
      </c>
      <c r="AC40" s="12"/>
    </row>
    <row r="41">
      <c r="K41" s="12"/>
      <c r="N41" s="12"/>
      <c r="Q41" s="12"/>
      <c r="S41" s="4" t="s">
        <v>155</v>
      </c>
      <c r="T41" s="12"/>
      <c r="V41" s="4" t="s">
        <v>156</v>
      </c>
      <c r="W41" s="12"/>
      <c r="Y41" s="4" t="s">
        <v>157</v>
      </c>
      <c r="Z41" s="12"/>
      <c r="AB41" s="4" t="s">
        <v>150</v>
      </c>
      <c r="AC41" s="12"/>
    </row>
    <row r="42">
      <c r="K42" s="12"/>
      <c r="N42" s="12"/>
      <c r="Q42" s="12"/>
      <c r="T42" s="12"/>
      <c r="W42" s="12"/>
      <c r="Z42" s="12"/>
      <c r="AC42" s="12"/>
    </row>
    <row r="43">
      <c r="E43" s="4" t="s">
        <v>158</v>
      </c>
      <c r="H43" s="12"/>
      <c r="J43" s="71">
        <f>J38+M38+P38+S38</f>
        <v>15225.496</v>
      </c>
      <c r="K43" s="12"/>
      <c r="N43" s="12"/>
      <c r="Q43" s="12"/>
      <c r="T43" s="12"/>
      <c r="W43" s="12"/>
      <c r="Z43" s="12"/>
      <c r="AC43" s="12"/>
    </row>
    <row r="44">
      <c r="E44" s="4" t="s">
        <v>134</v>
      </c>
      <c r="H44" s="12"/>
      <c r="J44" s="71">
        <f>J38+G38</f>
        <v>40580.3466</v>
      </c>
      <c r="K44" s="12"/>
      <c r="N44" s="12"/>
      <c r="Q44" s="12"/>
      <c r="T44" s="12"/>
      <c r="W44" s="12"/>
      <c r="Z44" s="12"/>
      <c r="AC44" s="12"/>
    </row>
    <row r="45">
      <c r="H45" s="12"/>
      <c r="K45" s="12"/>
      <c r="N45" s="12"/>
      <c r="Q45" s="12"/>
      <c r="T45" s="12"/>
      <c r="W45" s="12"/>
      <c r="Z45" s="12"/>
      <c r="AC45" s="12"/>
    </row>
    <row r="46">
      <c r="H46" s="12"/>
      <c r="K46" s="12"/>
      <c r="N46" s="12"/>
      <c r="Q46" s="12"/>
      <c r="T46" s="12"/>
      <c r="W46" s="12"/>
      <c r="Z46" s="12"/>
      <c r="AC46" s="12"/>
    </row>
    <row r="47">
      <c r="H47" s="12"/>
      <c r="K47" s="12"/>
      <c r="N47" s="12"/>
      <c r="Q47" s="12"/>
      <c r="T47" s="12"/>
      <c r="W47" s="12"/>
      <c r="Z47" s="12"/>
      <c r="AC47" s="12"/>
    </row>
    <row r="48">
      <c r="F48" s="105"/>
      <c r="H48" s="12"/>
      <c r="J48" s="4"/>
      <c r="K48" s="12"/>
      <c r="N48" s="12"/>
      <c r="Q48" s="12"/>
      <c r="T48" s="12"/>
      <c r="W48" s="12"/>
      <c r="Z48" s="12"/>
      <c r="AC48" s="12"/>
    </row>
    <row r="49">
      <c r="G49" s="4" t="s">
        <v>147</v>
      </c>
      <c r="H49" s="12"/>
      <c r="I49" s="4" t="s">
        <v>148</v>
      </c>
      <c r="K49" s="12"/>
      <c r="L49" s="4" t="s">
        <v>149</v>
      </c>
      <c r="N49" s="12"/>
      <c r="Q49" s="12"/>
      <c r="T49" s="12"/>
      <c r="W49" s="12"/>
      <c r="Z49" s="12"/>
      <c r="AC49" s="12"/>
    </row>
    <row r="50">
      <c r="G50" s="64">
        <v>0.05</v>
      </c>
      <c r="I50" s="64">
        <v>0.05</v>
      </c>
      <c r="L50" s="64">
        <v>1.0</v>
      </c>
      <c r="N50" s="12"/>
      <c r="Q50" s="12"/>
      <c r="T50" s="12"/>
      <c r="W50" s="12"/>
      <c r="Z50" s="12"/>
      <c r="AC50" s="12"/>
    </row>
    <row r="51">
      <c r="G51" s="64">
        <v>0.07</v>
      </c>
      <c r="I51" s="64">
        <v>0.07</v>
      </c>
      <c r="L51" s="64">
        <v>1.0</v>
      </c>
      <c r="N51" s="12"/>
      <c r="Q51" s="12"/>
      <c r="T51" s="12"/>
      <c r="W51" s="12"/>
      <c r="Z51" s="12"/>
      <c r="AC51" s="12"/>
    </row>
    <row r="52">
      <c r="G52" s="64">
        <v>0.05</v>
      </c>
      <c r="I52" s="64">
        <v>0.05</v>
      </c>
      <c r="L52" s="64">
        <v>1.0</v>
      </c>
      <c r="N52" s="12"/>
      <c r="Q52" s="12"/>
      <c r="T52" s="12"/>
      <c r="W52" s="12"/>
      <c r="Z52" s="12"/>
      <c r="AC52" s="12"/>
    </row>
    <row r="53">
      <c r="G53" s="83">
        <v>0.1</v>
      </c>
      <c r="H53" s="12"/>
      <c r="I53" s="83">
        <v>0.1</v>
      </c>
      <c r="K53" s="12"/>
      <c r="L53" s="64">
        <v>1.0</v>
      </c>
      <c r="N53" s="12"/>
      <c r="Q53" s="12"/>
      <c r="T53" s="12"/>
      <c r="W53" s="12"/>
      <c r="Z53" s="12"/>
      <c r="AC53" s="12"/>
    </row>
    <row r="54">
      <c r="G54" s="83">
        <v>0.05</v>
      </c>
      <c r="H54" s="12"/>
      <c r="I54" s="83">
        <v>0.05</v>
      </c>
      <c r="K54" s="12"/>
      <c r="L54" s="64">
        <v>1.0</v>
      </c>
      <c r="N54" s="12"/>
      <c r="Q54" s="12"/>
      <c r="T54" s="12"/>
      <c r="W54" s="12"/>
      <c r="Z54" s="12"/>
      <c r="AC54" s="12"/>
    </row>
    <row r="55">
      <c r="G55" s="83">
        <v>0.05</v>
      </c>
      <c r="H55" s="12"/>
      <c r="I55" s="83">
        <v>0.05</v>
      </c>
      <c r="K55" s="12"/>
      <c r="L55" s="64">
        <v>1.0</v>
      </c>
      <c r="N55" s="12"/>
      <c r="Q55" s="12"/>
      <c r="T55" s="12"/>
      <c r="W55" s="12"/>
      <c r="Z55" s="12"/>
      <c r="AC55" s="12"/>
    </row>
    <row r="56">
      <c r="G56" s="64">
        <v>0.0</v>
      </c>
      <c r="H56" s="12"/>
      <c r="I56" s="64">
        <v>0.1</v>
      </c>
      <c r="K56" s="12"/>
      <c r="L56" s="64">
        <v>1.0</v>
      </c>
      <c r="N56" s="12"/>
      <c r="Q56" s="12"/>
      <c r="T56" s="12"/>
      <c r="W56" s="12"/>
      <c r="Z56" s="12"/>
      <c r="AC56" s="12"/>
    </row>
    <row r="57">
      <c r="G57" s="83">
        <v>0.05</v>
      </c>
      <c r="H57" s="12"/>
      <c r="I57" s="83">
        <v>0.05</v>
      </c>
      <c r="K57" s="12"/>
      <c r="L57" s="64">
        <v>1.0</v>
      </c>
      <c r="N57" s="12"/>
      <c r="Q57" s="12"/>
      <c r="T57" s="12"/>
      <c r="W57" s="12"/>
      <c r="Z57" s="12"/>
      <c r="AC57" s="12"/>
    </row>
    <row r="58">
      <c r="G58" s="83">
        <v>0.1</v>
      </c>
      <c r="H58" s="12"/>
      <c r="I58" s="83">
        <v>0.1</v>
      </c>
      <c r="K58" s="12"/>
      <c r="L58" s="64">
        <v>1.0</v>
      </c>
      <c r="N58" s="12"/>
      <c r="Q58" s="12"/>
      <c r="T58" s="12"/>
      <c r="W58" s="12"/>
      <c r="Z58" s="12"/>
      <c r="AC58" s="12"/>
    </row>
    <row r="59">
      <c r="G59" s="83">
        <v>0.1</v>
      </c>
      <c r="H59" s="12"/>
      <c r="I59" s="83">
        <v>0.1</v>
      </c>
      <c r="K59" s="12"/>
      <c r="L59" s="64">
        <v>1.0</v>
      </c>
      <c r="N59" s="12"/>
      <c r="Q59" s="12"/>
      <c r="T59" s="12"/>
      <c r="W59" s="12"/>
      <c r="Z59" s="12"/>
      <c r="AC59" s="12"/>
    </row>
    <row r="60">
      <c r="G60" s="64">
        <v>0.0</v>
      </c>
      <c r="H60" s="12"/>
      <c r="I60" s="64">
        <v>0.1</v>
      </c>
      <c r="K60" s="12"/>
      <c r="L60" s="64">
        <v>1.0</v>
      </c>
      <c r="N60" s="12"/>
      <c r="Q60" s="12"/>
      <c r="T60" s="12"/>
      <c r="W60" s="12"/>
      <c r="Z60" s="12"/>
      <c r="AC60" s="12"/>
    </row>
    <row r="61">
      <c r="G61" s="64">
        <v>0.0</v>
      </c>
      <c r="H61" s="12"/>
      <c r="I61" s="64">
        <v>0.1</v>
      </c>
      <c r="K61" s="12"/>
      <c r="L61" s="64">
        <v>1.0</v>
      </c>
      <c r="N61" s="12"/>
      <c r="Q61" s="12"/>
      <c r="T61" s="12"/>
      <c r="W61" s="12"/>
      <c r="Z61" s="12"/>
      <c r="AC61" s="12"/>
    </row>
    <row r="62">
      <c r="G62" s="83">
        <v>0.1</v>
      </c>
      <c r="H62" s="12"/>
      <c r="I62" s="83">
        <v>0.1</v>
      </c>
      <c r="K62" s="12"/>
      <c r="L62" s="64">
        <v>1.0</v>
      </c>
      <c r="N62" s="12"/>
      <c r="Q62" s="12"/>
      <c r="T62" s="12"/>
      <c r="W62" s="12"/>
      <c r="Z62" s="12"/>
      <c r="AC62" s="12"/>
    </row>
    <row r="63">
      <c r="F63" s="64"/>
      <c r="G63" s="64">
        <v>0.0</v>
      </c>
      <c r="H63" s="12"/>
      <c r="I63" s="64">
        <v>0.1</v>
      </c>
      <c r="K63" s="12"/>
      <c r="L63" s="64">
        <v>1.0</v>
      </c>
      <c r="N63" s="12"/>
      <c r="Q63" s="12"/>
      <c r="T63" s="12"/>
      <c r="W63" s="12"/>
      <c r="Z63" s="12"/>
      <c r="AC63" s="12"/>
    </row>
    <row r="64">
      <c r="F64" s="64"/>
      <c r="G64" s="83">
        <v>0.1</v>
      </c>
      <c r="H64" s="12"/>
      <c r="I64" s="83">
        <v>0.1</v>
      </c>
      <c r="K64" s="12"/>
      <c r="L64" s="64">
        <v>1.0</v>
      </c>
      <c r="N64" s="12"/>
      <c r="Q64" s="12"/>
      <c r="T64" s="12"/>
      <c r="W64" s="12"/>
      <c r="Z64" s="12"/>
      <c r="AC64" s="12"/>
    </row>
    <row r="65">
      <c r="F65" s="64"/>
      <c r="G65" s="83">
        <v>0.1</v>
      </c>
      <c r="H65" s="12"/>
      <c r="I65" s="83">
        <v>0.1</v>
      </c>
      <c r="K65" s="12"/>
      <c r="L65" s="64">
        <v>1.0</v>
      </c>
      <c r="N65" s="12"/>
      <c r="Q65" s="12"/>
      <c r="T65" s="12"/>
      <c r="W65" s="12"/>
      <c r="Z65" s="12"/>
      <c r="AC65" s="12"/>
    </row>
    <row r="66">
      <c r="F66" s="64"/>
      <c r="G66" s="83">
        <v>0.1</v>
      </c>
      <c r="H66" s="12"/>
      <c r="I66" s="83">
        <v>0.1</v>
      </c>
      <c r="K66" s="12"/>
      <c r="L66" s="64">
        <v>1.0</v>
      </c>
      <c r="N66" s="12"/>
      <c r="Q66" s="12"/>
      <c r="T66" s="12"/>
      <c r="W66" s="12"/>
      <c r="Z66" s="12"/>
      <c r="AC66" s="12"/>
    </row>
    <row r="67">
      <c r="F67" s="64"/>
      <c r="G67" s="83">
        <v>0.08</v>
      </c>
      <c r="H67" s="12"/>
      <c r="I67" s="83">
        <v>0.08</v>
      </c>
      <c r="K67" s="12"/>
      <c r="L67" s="64">
        <v>1.0</v>
      </c>
      <c r="N67" s="12"/>
      <c r="Q67" s="12"/>
      <c r="T67" s="12"/>
      <c r="W67" s="12"/>
      <c r="Z67" s="12"/>
      <c r="AC67" s="12"/>
    </row>
    <row r="68">
      <c r="F68" s="64"/>
      <c r="G68" s="83">
        <v>0.1</v>
      </c>
      <c r="H68" s="12"/>
      <c r="I68" s="83">
        <v>0.1</v>
      </c>
      <c r="K68" s="12"/>
      <c r="L68" s="64">
        <v>1.0</v>
      </c>
      <c r="N68" s="12"/>
      <c r="Q68" s="12"/>
      <c r="T68" s="12"/>
      <c r="W68" s="12"/>
      <c r="Z68" s="12"/>
      <c r="AC68" s="12"/>
    </row>
    <row r="69">
      <c r="F69" s="64"/>
      <c r="G69" s="83">
        <v>0.1</v>
      </c>
      <c r="H69" s="12"/>
      <c r="I69" s="83">
        <v>0.1</v>
      </c>
      <c r="K69" s="12"/>
      <c r="L69" s="64">
        <v>1.0</v>
      </c>
      <c r="N69" s="12"/>
      <c r="Q69" s="12"/>
      <c r="T69" s="12"/>
      <c r="W69" s="12"/>
      <c r="Z69" s="12"/>
      <c r="AC69" s="12"/>
    </row>
    <row r="70">
      <c r="F70" s="64"/>
      <c r="G70" s="83">
        <v>0.1</v>
      </c>
      <c r="H70" s="12"/>
      <c r="I70" s="83">
        <v>0.1</v>
      </c>
      <c r="K70" s="12"/>
      <c r="L70" s="64">
        <v>1.0</v>
      </c>
      <c r="N70" s="12"/>
      <c r="Q70" s="12"/>
      <c r="T70" s="12"/>
      <c r="W70" s="12"/>
      <c r="Z70" s="12"/>
      <c r="AC70" s="12"/>
    </row>
    <row r="71">
      <c r="F71" s="64"/>
      <c r="G71" s="64">
        <v>0.1</v>
      </c>
      <c r="H71" s="12"/>
      <c r="I71" s="64">
        <v>0.1</v>
      </c>
      <c r="K71" s="12"/>
      <c r="L71" s="64">
        <v>1.0</v>
      </c>
      <c r="N71" s="12"/>
      <c r="Q71" s="12"/>
      <c r="T71" s="12"/>
      <c r="W71" s="12"/>
      <c r="Z71" s="12"/>
      <c r="AC71" s="12"/>
    </row>
    <row r="72">
      <c r="F72" s="64"/>
      <c r="G72" s="64">
        <v>0.1</v>
      </c>
      <c r="H72" s="28"/>
      <c r="I72" s="64">
        <v>0.1</v>
      </c>
      <c r="K72" s="12"/>
      <c r="L72" s="64">
        <v>1.0</v>
      </c>
      <c r="N72" s="12"/>
      <c r="Q72" s="12"/>
      <c r="T72" s="12"/>
      <c r="W72" s="12"/>
      <c r="Z72" s="12"/>
      <c r="AC72" s="12"/>
    </row>
    <row r="73">
      <c r="F73" s="64"/>
      <c r="G73" s="64">
        <v>0.0</v>
      </c>
      <c r="H73" s="12"/>
      <c r="I73" s="83">
        <v>0.1</v>
      </c>
      <c r="K73" s="12"/>
      <c r="L73" s="64">
        <v>1.0</v>
      </c>
      <c r="N73" s="12"/>
      <c r="Q73" s="12"/>
      <c r="T73" s="12"/>
      <c r="W73" s="12"/>
      <c r="Z73" s="12"/>
      <c r="AC73" s="12"/>
    </row>
    <row r="74">
      <c r="F74" s="64"/>
      <c r="G74" s="83">
        <v>0.0</v>
      </c>
      <c r="H74" s="12"/>
      <c r="I74" s="64">
        <v>0.1</v>
      </c>
      <c r="K74" s="12"/>
      <c r="L74" s="64">
        <v>1.0</v>
      </c>
      <c r="N74" s="12"/>
      <c r="Q74" s="12"/>
      <c r="T74" s="12"/>
      <c r="W74" s="12"/>
      <c r="Z74" s="12"/>
      <c r="AC74" s="12"/>
    </row>
    <row r="75">
      <c r="F75" s="64"/>
      <c r="G75" s="83">
        <v>0.0</v>
      </c>
      <c r="H75" s="12"/>
      <c r="I75" s="64">
        <v>0.1</v>
      </c>
      <c r="K75" s="12"/>
      <c r="L75" s="64">
        <v>1.0</v>
      </c>
      <c r="N75" s="12"/>
      <c r="Q75" s="12"/>
      <c r="T75" s="12"/>
      <c r="W75" s="12"/>
      <c r="Z75" s="12"/>
      <c r="AC75" s="12"/>
    </row>
    <row r="76">
      <c r="F76" s="64"/>
      <c r="G76" s="83">
        <v>0.2</v>
      </c>
      <c r="H76" s="12"/>
      <c r="I76" s="83">
        <v>0.2</v>
      </c>
      <c r="K76" s="12"/>
      <c r="L76" s="64">
        <v>1.0</v>
      </c>
      <c r="N76" s="12"/>
      <c r="Q76" s="12"/>
      <c r="T76" s="12"/>
      <c r="W76" s="12"/>
      <c r="Z76" s="12"/>
      <c r="AC76" s="12"/>
    </row>
    <row r="77">
      <c r="F77" s="64"/>
      <c r="G77" s="83">
        <v>0.05</v>
      </c>
      <c r="H77" s="12"/>
      <c r="I77" s="83">
        <v>0.05</v>
      </c>
      <c r="K77" s="12"/>
      <c r="L77" s="64">
        <v>1.0</v>
      </c>
      <c r="N77" s="12"/>
      <c r="Q77" s="12"/>
      <c r="T77" s="12"/>
      <c r="W77" s="12"/>
      <c r="Z77" s="12"/>
      <c r="AC77" s="12"/>
    </row>
    <row r="78">
      <c r="F78" s="64"/>
      <c r="H78" s="12"/>
      <c r="K78" s="12"/>
      <c r="N78" s="12"/>
      <c r="Q78" s="12"/>
      <c r="T78" s="12"/>
      <c r="W78" s="12"/>
      <c r="Z78" s="12"/>
      <c r="AC78" s="12"/>
    </row>
    <row r="79">
      <c r="F79" s="64"/>
      <c r="H79" s="12"/>
      <c r="K79" s="12"/>
      <c r="N79" s="12"/>
      <c r="Q79" s="12"/>
      <c r="T79" s="12"/>
      <c r="W79" s="12"/>
      <c r="Z79" s="12"/>
      <c r="AC79" s="12"/>
    </row>
    <row r="80">
      <c r="F80" s="64"/>
      <c r="H80" s="12"/>
      <c r="K80" s="12"/>
      <c r="N80" s="12"/>
      <c r="Q80" s="12"/>
      <c r="T80" s="12"/>
      <c r="W80" s="12"/>
      <c r="Z80" s="12"/>
      <c r="AC80" s="12"/>
    </row>
    <row r="81">
      <c r="F81" s="64"/>
      <c r="H81" s="12"/>
      <c r="K81" s="12"/>
      <c r="N81" s="12"/>
      <c r="Q81" s="12"/>
      <c r="T81" s="12"/>
      <c r="W81" s="12"/>
      <c r="Z81" s="12"/>
      <c r="AC81" s="12"/>
    </row>
    <row r="82">
      <c r="F82" s="64"/>
      <c r="H82" s="12"/>
      <c r="K82" s="12"/>
      <c r="N82" s="12"/>
      <c r="Q82" s="12"/>
      <c r="T82" s="12"/>
      <c r="W82" s="12"/>
      <c r="Z82" s="12"/>
      <c r="AC82" s="12"/>
    </row>
    <row r="83">
      <c r="F83" s="64"/>
      <c r="H83" s="12"/>
      <c r="K83" s="12"/>
      <c r="N83" s="12"/>
      <c r="Q83" s="12"/>
      <c r="T83" s="12"/>
      <c r="W83" s="12"/>
      <c r="Z83" s="12"/>
      <c r="AC83" s="12"/>
    </row>
    <row r="84">
      <c r="F84" s="64"/>
      <c r="H84" s="12"/>
      <c r="K84" s="12"/>
      <c r="N84" s="12"/>
      <c r="Q84" s="12"/>
      <c r="T84" s="12"/>
      <c r="W84" s="12"/>
      <c r="Z84" s="12"/>
      <c r="AC84" s="12"/>
    </row>
    <row r="85">
      <c r="F85" s="64"/>
      <c r="H85" s="12"/>
      <c r="K85" s="12"/>
      <c r="N85" s="12"/>
      <c r="Q85" s="12"/>
      <c r="T85" s="12"/>
      <c r="W85" s="12"/>
      <c r="Z85" s="12"/>
      <c r="AC85" s="12"/>
    </row>
    <row r="86">
      <c r="F86" s="64"/>
      <c r="H86" s="12"/>
      <c r="K86" s="12"/>
      <c r="N86" s="12"/>
      <c r="Q86" s="12"/>
      <c r="T86" s="12"/>
      <c r="W86" s="12"/>
      <c r="Z86" s="12"/>
      <c r="AC86" s="12"/>
    </row>
    <row r="87">
      <c r="F87" s="64"/>
      <c r="H87" s="12"/>
      <c r="K87" s="12"/>
      <c r="N87" s="12"/>
      <c r="Q87" s="12"/>
      <c r="T87" s="12"/>
      <c r="W87" s="12"/>
      <c r="Z87" s="12"/>
      <c r="AC87" s="12"/>
    </row>
    <row r="88">
      <c r="F88" s="64"/>
      <c r="H88" s="12"/>
      <c r="K88" s="12"/>
      <c r="N88" s="12"/>
      <c r="Q88" s="12"/>
      <c r="T88" s="12"/>
      <c r="W88" s="12"/>
      <c r="Z88" s="12"/>
      <c r="AC88" s="12"/>
    </row>
    <row r="89">
      <c r="F89" s="64"/>
      <c r="H89" s="12"/>
      <c r="K89" s="12"/>
      <c r="N89" s="12"/>
      <c r="Q89" s="12"/>
      <c r="T89" s="12"/>
      <c r="W89" s="12"/>
      <c r="Z89" s="12"/>
      <c r="AC89" s="12"/>
    </row>
    <row r="90">
      <c r="H90" s="12"/>
      <c r="K90" s="12"/>
      <c r="N90" s="12"/>
      <c r="Q90" s="12"/>
      <c r="T90" s="12"/>
      <c r="W90" s="12"/>
      <c r="Z90" s="12"/>
      <c r="AC90" s="12"/>
    </row>
    <row r="91">
      <c r="H91" s="12"/>
      <c r="K91" s="12"/>
      <c r="N91" s="12"/>
      <c r="Q91" s="12"/>
      <c r="T91" s="12"/>
      <c r="W91" s="12"/>
      <c r="Z91" s="12"/>
      <c r="AC91" s="12"/>
    </row>
    <row r="92">
      <c r="H92" s="12"/>
      <c r="K92" s="12"/>
      <c r="N92" s="12"/>
      <c r="Q92" s="12"/>
      <c r="T92" s="12"/>
      <c r="W92" s="12"/>
      <c r="Z92" s="12"/>
      <c r="AC92" s="12"/>
    </row>
    <row r="93">
      <c r="H93" s="12"/>
      <c r="K93" s="12"/>
      <c r="N93" s="12"/>
      <c r="Q93" s="12"/>
      <c r="T93" s="12"/>
      <c r="W93" s="12"/>
      <c r="Z93" s="12"/>
      <c r="AC93" s="12"/>
    </row>
    <row r="94">
      <c r="H94" s="12"/>
      <c r="K94" s="12"/>
      <c r="N94" s="12"/>
      <c r="Q94" s="12"/>
      <c r="T94" s="12"/>
      <c r="W94" s="12"/>
      <c r="Z94" s="12"/>
      <c r="AC94" s="12"/>
    </row>
    <row r="95">
      <c r="H95" s="12"/>
      <c r="K95" s="12"/>
      <c r="N95" s="12"/>
      <c r="Q95" s="12"/>
      <c r="T95" s="12"/>
      <c r="W95" s="12"/>
      <c r="Z95" s="12"/>
      <c r="AC95" s="12"/>
    </row>
    <row r="96">
      <c r="H96" s="12"/>
      <c r="K96" s="12"/>
      <c r="N96" s="12"/>
      <c r="Q96" s="12"/>
      <c r="T96" s="12"/>
      <c r="W96" s="12"/>
      <c r="Z96" s="12"/>
      <c r="AC96" s="12"/>
    </row>
    <row r="97">
      <c r="H97" s="12"/>
      <c r="K97" s="12"/>
      <c r="N97" s="12"/>
      <c r="Q97" s="12"/>
      <c r="T97" s="12"/>
      <c r="W97" s="12"/>
      <c r="Z97" s="12"/>
      <c r="AC97" s="12"/>
    </row>
    <row r="98">
      <c r="H98" s="12"/>
      <c r="K98" s="12"/>
      <c r="N98" s="12"/>
      <c r="Q98" s="12"/>
      <c r="T98" s="12"/>
      <c r="W98" s="12"/>
      <c r="Z98" s="12"/>
      <c r="AC98" s="12"/>
    </row>
    <row r="99">
      <c r="H99" s="12"/>
      <c r="K99" s="12"/>
      <c r="N99" s="12"/>
      <c r="Q99" s="12"/>
      <c r="T99" s="12"/>
      <c r="W99" s="12"/>
      <c r="Z99" s="12"/>
      <c r="AC99" s="12"/>
    </row>
    <row r="100">
      <c r="H100" s="12"/>
      <c r="K100" s="12"/>
      <c r="N100" s="12"/>
      <c r="Q100" s="12"/>
      <c r="T100" s="12"/>
      <c r="W100" s="12"/>
      <c r="Z100" s="12"/>
      <c r="AC100" s="12"/>
    </row>
    <row r="101">
      <c r="H101" s="12"/>
      <c r="K101" s="12"/>
      <c r="N101" s="12"/>
      <c r="Q101" s="12"/>
      <c r="T101" s="12"/>
      <c r="W101" s="12"/>
      <c r="Z101" s="12"/>
      <c r="AC101" s="12"/>
    </row>
    <row r="102">
      <c r="H102" s="12"/>
      <c r="K102" s="12"/>
      <c r="N102" s="12"/>
      <c r="Q102" s="12"/>
      <c r="T102" s="12"/>
      <c r="W102" s="12"/>
      <c r="Z102" s="12"/>
      <c r="AC102" s="12"/>
    </row>
    <row r="103">
      <c r="H103" s="12"/>
      <c r="K103" s="12"/>
      <c r="N103" s="12"/>
      <c r="Q103" s="12"/>
      <c r="T103" s="12"/>
      <c r="W103" s="12"/>
      <c r="Z103" s="12"/>
      <c r="AC103" s="12"/>
    </row>
    <row r="104">
      <c r="H104" s="12"/>
      <c r="K104" s="12"/>
      <c r="N104" s="12"/>
      <c r="Q104" s="12"/>
      <c r="T104" s="12"/>
      <c r="W104" s="12"/>
      <c r="Z104" s="12"/>
      <c r="AC104" s="12"/>
    </row>
    <row r="105">
      <c r="H105" s="12"/>
      <c r="K105" s="12"/>
      <c r="N105" s="12"/>
      <c r="Q105" s="12"/>
      <c r="T105" s="12"/>
      <c r="W105" s="12"/>
      <c r="Z105" s="12"/>
      <c r="AC105" s="12"/>
    </row>
    <row r="106">
      <c r="H106" s="12"/>
      <c r="K106" s="12"/>
      <c r="N106" s="12"/>
      <c r="Q106" s="12"/>
      <c r="T106" s="12"/>
      <c r="W106" s="12"/>
      <c r="Z106" s="12"/>
      <c r="AC106" s="12"/>
    </row>
    <row r="107">
      <c r="H107" s="12"/>
      <c r="K107" s="12"/>
      <c r="N107" s="12"/>
      <c r="Q107" s="12"/>
      <c r="T107" s="12"/>
      <c r="W107" s="12"/>
      <c r="Z107" s="12"/>
      <c r="AC107" s="12"/>
    </row>
    <row r="108">
      <c r="H108" s="12"/>
      <c r="K108" s="12"/>
      <c r="N108" s="12"/>
      <c r="Q108" s="12"/>
      <c r="T108" s="12"/>
      <c r="W108" s="12"/>
      <c r="Z108" s="12"/>
      <c r="AC108" s="12"/>
    </row>
    <row r="109">
      <c r="H109" s="12"/>
      <c r="K109" s="12"/>
      <c r="N109" s="12"/>
      <c r="Q109" s="12"/>
      <c r="T109" s="12"/>
      <c r="W109" s="12"/>
      <c r="Z109" s="12"/>
      <c r="AC109" s="12"/>
    </row>
    <row r="110">
      <c r="H110" s="12"/>
      <c r="K110" s="12"/>
      <c r="N110" s="12"/>
      <c r="Q110" s="12"/>
      <c r="T110" s="12"/>
      <c r="W110" s="12"/>
      <c r="Z110" s="12"/>
      <c r="AC110" s="12"/>
    </row>
    <row r="111">
      <c r="H111" s="12"/>
      <c r="K111" s="12"/>
      <c r="N111" s="12"/>
      <c r="Q111" s="12"/>
      <c r="T111" s="12"/>
      <c r="W111" s="12"/>
      <c r="Z111" s="12"/>
      <c r="AC111" s="12"/>
    </row>
    <row r="112">
      <c r="H112" s="12"/>
      <c r="K112" s="12"/>
      <c r="N112" s="12"/>
      <c r="Q112" s="12"/>
      <c r="T112" s="12"/>
      <c r="W112" s="12"/>
      <c r="Z112" s="12"/>
      <c r="AC112" s="12"/>
    </row>
    <row r="113">
      <c r="H113" s="12"/>
      <c r="K113" s="12"/>
      <c r="N113" s="12"/>
      <c r="Q113" s="12"/>
      <c r="T113" s="12"/>
      <c r="W113" s="12"/>
      <c r="Z113" s="12"/>
      <c r="AC113" s="12"/>
    </row>
    <row r="114">
      <c r="H114" s="12"/>
      <c r="K114" s="12"/>
      <c r="N114" s="12"/>
      <c r="Q114" s="12"/>
      <c r="T114" s="12"/>
      <c r="W114" s="12"/>
      <c r="Z114" s="12"/>
      <c r="AC114" s="12"/>
    </row>
    <row r="115">
      <c r="H115" s="12"/>
      <c r="K115" s="12"/>
      <c r="N115" s="12"/>
      <c r="Q115" s="12"/>
      <c r="T115" s="12"/>
      <c r="W115" s="12"/>
      <c r="Z115" s="12"/>
      <c r="AC115" s="12"/>
    </row>
    <row r="116">
      <c r="H116" s="12"/>
      <c r="K116" s="12"/>
      <c r="N116" s="12"/>
      <c r="Q116" s="12"/>
      <c r="T116" s="12"/>
      <c r="W116" s="12"/>
      <c r="Z116" s="12"/>
      <c r="AC116" s="12"/>
    </row>
    <row r="117">
      <c r="H117" s="12"/>
      <c r="K117" s="12"/>
      <c r="N117" s="12"/>
      <c r="Q117" s="12"/>
      <c r="T117" s="12"/>
      <c r="W117" s="12"/>
      <c r="Z117" s="12"/>
      <c r="AC117" s="12"/>
    </row>
    <row r="118">
      <c r="H118" s="12"/>
      <c r="K118" s="12"/>
      <c r="N118" s="12"/>
      <c r="Q118" s="12"/>
      <c r="T118" s="12"/>
      <c r="W118" s="12"/>
      <c r="Z118" s="12"/>
      <c r="AC118" s="12"/>
    </row>
    <row r="119">
      <c r="H119" s="12"/>
      <c r="K119" s="12"/>
      <c r="N119" s="12"/>
      <c r="Q119" s="12"/>
      <c r="T119" s="12"/>
      <c r="W119" s="12"/>
      <c r="Z119" s="12"/>
      <c r="AC119" s="12"/>
    </row>
    <row r="120">
      <c r="H120" s="12"/>
      <c r="K120" s="12"/>
      <c r="N120" s="12"/>
      <c r="Q120" s="12"/>
      <c r="T120" s="12"/>
      <c r="W120" s="12"/>
      <c r="Z120" s="12"/>
      <c r="AC120" s="12"/>
    </row>
    <row r="121">
      <c r="H121" s="12"/>
      <c r="K121" s="12"/>
      <c r="N121" s="12"/>
      <c r="Q121" s="12"/>
      <c r="T121" s="12"/>
      <c r="W121" s="12"/>
      <c r="Z121" s="12"/>
      <c r="AC121" s="12"/>
    </row>
    <row r="122">
      <c r="H122" s="12"/>
      <c r="K122" s="12"/>
      <c r="N122" s="12"/>
      <c r="Q122" s="12"/>
      <c r="T122" s="12"/>
      <c r="W122" s="12"/>
      <c r="Z122" s="12"/>
      <c r="AC122" s="12"/>
    </row>
    <row r="123">
      <c r="H123" s="12"/>
      <c r="K123" s="12"/>
      <c r="N123" s="12"/>
      <c r="Q123" s="12"/>
      <c r="T123" s="12"/>
      <c r="W123" s="12"/>
      <c r="Z123" s="12"/>
      <c r="AC123" s="12"/>
    </row>
    <row r="124">
      <c r="H124" s="12"/>
      <c r="K124" s="12"/>
      <c r="N124" s="12"/>
      <c r="Q124" s="12"/>
      <c r="T124" s="12"/>
      <c r="W124" s="12"/>
      <c r="Z124" s="12"/>
      <c r="AC124" s="12"/>
    </row>
    <row r="125">
      <c r="H125" s="12"/>
      <c r="K125" s="12"/>
      <c r="N125" s="12"/>
      <c r="Q125" s="12"/>
      <c r="T125" s="12"/>
      <c r="W125" s="12"/>
      <c r="Z125" s="12"/>
      <c r="AC125" s="12"/>
    </row>
    <row r="126">
      <c r="H126" s="12"/>
      <c r="K126" s="12"/>
      <c r="N126" s="12"/>
      <c r="Q126" s="12"/>
      <c r="T126" s="12"/>
      <c r="W126" s="12"/>
      <c r="Z126" s="12"/>
      <c r="AC126" s="12"/>
    </row>
    <row r="127">
      <c r="H127" s="12"/>
      <c r="K127" s="12"/>
      <c r="N127" s="12"/>
      <c r="Q127" s="12"/>
      <c r="T127" s="12"/>
      <c r="W127" s="12"/>
      <c r="Z127" s="12"/>
      <c r="AC127" s="12"/>
    </row>
    <row r="128">
      <c r="H128" s="12"/>
      <c r="K128" s="12"/>
      <c r="N128" s="12"/>
      <c r="Q128" s="12"/>
      <c r="T128" s="12"/>
      <c r="W128" s="12"/>
      <c r="Z128" s="12"/>
      <c r="AC128" s="12"/>
    </row>
    <row r="129">
      <c r="H129" s="12"/>
      <c r="K129" s="12"/>
      <c r="N129" s="12"/>
      <c r="Q129" s="12"/>
      <c r="T129" s="12"/>
      <c r="W129" s="12"/>
      <c r="Z129" s="12"/>
      <c r="AC129" s="12"/>
    </row>
    <row r="130">
      <c r="H130" s="12"/>
      <c r="K130" s="12"/>
      <c r="N130" s="12"/>
      <c r="Q130" s="12"/>
      <c r="T130" s="12"/>
      <c r="W130" s="12"/>
      <c r="Z130" s="12"/>
      <c r="AC130" s="12"/>
    </row>
    <row r="131">
      <c r="H131" s="12"/>
      <c r="K131" s="12"/>
      <c r="N131" s="12"/>
      <c r="Q131" s="12"/>
      <c r="T131" s="12"/>
      <c r="W131" s="12"/>
      <c r="Z131" s="12"/>
      <c r="AC131" s="12"/>
    </row>
    <row r="132">
      <c r="H132" s="12"/>
      <c r="K132" s="12"/>
      <c r="N132" s="12"/>
      <c r="Q132" s="12"/>
      <c r="T132" s="12"/>
      <c r="W132" s="12"/>
      <c r="Z132" s="12"/>
      <c r="AC132" s="12"/>
    </row>
    <row r="133">
      <c r="H133" s="12"/>
      <c r="K133" s="12"/>
      <c r="N133" s="12"/>
      <c r="Q133" s="12"/>
      <c r="T133" s="12"/>
      <c r="W133" s="12"/>
      <c r="Z133" s="12"/>
      <c r="AC133" s="12"/>
    </row>
    <row r="134">
      <c r="H134" s="12"/>
      <c r="K134" s="12"/>
      <c r="N134" s="12"/>
      <c r="Q134" s="12"/>
      <c r="T134" s="12"/>
      <c r="W134" s="12"/>
      <c r="Z134" s="12"/>
      <c r="AC134" s="12"/>
    </row>
    <row r="135">
      <c r="H135" s="12"/>
      <c r="K135" s="12"/>
      <c r="N135" s="12"/>
      <c r="Q135" s="12"/>
      <c r="T135" s="12"/>
      <c r="W135" s="12"/>
      <c r="Z135" s="12"/>
      <c r="AC135" s="12"/>
    </row>
    <row r="136">
      <c r="H136" s="12"/>
      <c r="K136" s="12"/>
      <c r="N136" s="12"/>
      <c r="Q136" s="12"/>
      <c r="T136" s="12"/>
      <c r="W136" s="12"/>
      <c r="Z136" s="12"/>
      <c r="AC136" s="12"/>
    </row>
    <row r="137">
      <c r="H137" s="12"/>
      <c r="K137" s="12"/>
      <c r="N137" s="12"/>
      <c r="Q137" s="12"/>
      <c r="T137" s="12"/>
      <c r="W137" s="12"/>
      <c r="Z137" s="12"/>
      <c r="AC137" s="12"/>
    </row>
    <row r="138">
      <c r="H138" s="12"/>
      <c r="K138" s="12"/>
      <c r="N138" s="12"/>
      <c r="Q138" s="12"/>
      <c r="T138" s="12"/>
      <c r="W138" s="12"/>
      <c r="Z138" s="12"/>
      <c r="AC138" s="12"/>
    </row>
    <row r="139">
      <c r="H139" s="12"/>
      <c r="K139" s="12"/>
      <c r="N139" s="12"/>
      <c r="Q139" s="12"/>
      <c r="T139" s="12"/>
      <c r="W139" s="12"/>
      <c r="Z139" s="12"/>
      <c r="AC139" s="12"/>
    </row>
    <row r="140">
      <c r="H140" s="12"/>
      <c r="K140" s="12"/>
      <c r="N140" s="12"/>
      <c r="Q140" s="12"/>
      <c r="T140" s="12"/>
      <c r="W140" s="12"/>
      <c r="Z140" s="12"/>
      <c r="AC140" s="12"/>
    </row>
    <row r="141">
      <c r="H141" s="12"/>
      <c r="K141" s="12"/>
      <c r="N141" s="12"/>
      <c r="Q141" s="12"/>
      <c r="T141" s="12"/>
      <c r="W141" s="12"/>
      <c r="Z141" s="12"/>
      <c r="AC141" s="12"/>
    </row>
    <row r="142">
      <c r="H142" s="12"/>
      <c r="K142" s="12"/>
      <c r="N142" s="12"/>
      <c r="Q142" s="12"/>
      <c r="T142" s="12"/>
      <c r="W142" s="12"/>
      <c r="Z142" s="12"/>
      <c r="AC142" s="12"/>
    </row>
    <row r="143">
      <c r="H143" s="12"/>
      <c r="K143" s="12"/>
      <c r="N143" s="12"/>
      <c r="Q143" s="12"/>
      <c r="T143" s="12"/>
      <c r="W143" s="12"/>
      <c r="Z143" s="12"/>
      <c r="AC143" s="12"/>
    </row>
    <row r="144">
      <c r="H144" s="12"/>
      <c r="K144" s="12"/>
      <c r="N144" s="12"/>
      <c r="Q144" s="12"/>
      <c r="T144" s="12"/>
      <c r="W144" s="12"/>
      <c r="Z144" s="12"/>
      <c r="AC144" s="12"/>
    </row>
    <row r="145">
      <c r="H145" s="12"/>
      <c r="K145" s="12"/>
      <c r="N145" s="12"/>
      <c r="Q145" s="12"/>
      <c r="T145" s="12"/>
      <c r="W145" s="12"/>
      <c r="Z145" s="12"/>
      <c r="AC145" s="12"/>
    </row>
    <row r="146">
      <c r="H146" s="12"/>
      <c r="K146" s="12"/>
      <c r="N146" s="12"/>
      <c r="Q146" s="12"/>
      <c r="T146" s="12"/>
      <c r="W146" s="12"/>
      <c r="Z146" s="12"/>
      <c r="AC146" s="12"/>
    </row>
    <row r="147">
      <c r="H147" s="12"/>
      <c r="K147" s="12"/>
      <c r="N147" s="12"/>
      <c r="Q147" s="12"/>
      <c r="T147" s="12"/>
      <c r="W147" s="12"/>
      <c r="Z147" s="12"/>
      <c r="AC147" s="12"/>
    </row>
    <row r="148">
      <c r="H148" s="12"/>
      <c r="K148" s="12"/>
      <c r="N148" s="12"/>
      <c r="Q148" s="12"/>
      <c r="T148" s="12"/>
      <c r="W148" s="12"/>
      <c r="Z148" s="12"/>
      <c r="AC148" s="12"/>
    </row>
    <row r="149">
      <c r="H149" s="12"/>
      <c r="K149" s="12"/>
      <c r="N149" s="12"/>
      <c r="Q149" s="12"/>
      <c r="T149" s="12"/>
      <c r="W149" s="12"/>
      <c r="Z149" s="12"/>
      <c r="AC149" s="12"/>
    </row>
    <row r="150">
      <c r="H150" s="12"/>
      <c r="K150" s="12"/>
      <c r="N150" s="12"/>
      <c r="Q150" s="12"/>
      <c r="T150" s="12"/>
      <c r="W150" s="12"/>
      <c r="Z150" s="12"/>
      <c r="AC150" s="12"/>
    </row>
    <row r="151">
      <c r="H151" s="12"/>
      <c r="K151" s="12"/>
      <c r="N151" s="12"/>
      <c r="Q151" s="12"/>
      <c r="T151" s="12"/>
      <c r="W151" s="12"/>
      <c r="Z151" s="12"/>
      <c r="AC151" s="12"/>
    </row>
    <row r="152">
      <c r="H152" s="12"/>
      <c r="K152" s="12"/>
      <c r="N152" s="12"/>
      <c r="Q152" s="12"/>
      <c r="T152" s="12"/>
      <c r="W152" s="12"/>
      <c r="Z152" s="12"/>
      <c r="AC152" s="12"/>
    </row>
    <row r="153">
      <c r="H153" s="12"/>
      <c r="K153" s="12"/>
      <c r="N153" s="12"/>
      <c r="Q153" s="12"/>
      <c r="T153" s="12"/>
      <c r="W153" s="12"/>
      <c r="Z153" s="12"/>
      <c r="AC153" s="12"/>
    </row>
    <row r="154">
      <c r="H154" s="12"/>
      <c r="K154" s="12"/>
      <c r="N154" s="12"/>
      <c r="Q154" s="12"/>
      <c r="T154" s="12"/>
      <c r="W154" s="12"/>
      <c r="Z154" s="12"/>
      <c r="AC154" s="12"/>
    </row>
    <row r="155">
      <c r="H155" s="12"/>
      <c r="K155" s="12"/>
      <c r="N155" s="12"/>
      <c r="Q155" s="12"/>
      <c r="T155" s="12"/>
      <c r="W155" s="12"/>
      <c r="Z155" s="12"/>
      <c r="AC155" s="12"/>
    </row>
    <row r="156">
      <c r="H156" s="12"/>
      <c r="K156" s="12"/>
      <c r="N156" s="12"/>
      <c r="Q156" s="12"/>
      <c r="T156" s="12"/>
      <c r="W156" s="12"/>
      <c r="Z156" s="12"/>
      <c r="AC156" s="12"/>
    </row>
    <row r="157">
      <c r="H157" s="12"/>
      <c r="K157" s="12"/>
      <c r="N157" s="12"/>
      <c r="Q157" s="12"/>
      <c r="T157" s="12"/>
      <c r="W157" s="12"/>
      <c r="Z157" s="12"/>
      <c r="AC157" s="12"/>
    </row>
    <row r="158">
      <c r="H158" s="12"/>
      <c r="K158" s="12"/>
      <c r="N158" s="12"/>
      <c r="Q158" s="12"/>
      <c r="T158" s="12"/>
      <c r="W158" s="12"/>
      <c r="Z158" s="12"/>
      <c r="AC158" s="12"/>
    </row>
    <row r="159">
      <c r="H159" s="12"/>
      <c r="K159" s="12"/>
      <c r="N159" s="12"/>
      <c r="Q159" s="12"/>
      <c r="T159" s="12"/>
      <c r="W159" s="12"/>
      <c r="Z159" s="12"/>
      <c r="AC159" s="12"/>
    </row>
    <row r="160">
      <c r="H160" s="12"/>
      <c r="K160" s="12"/>
      <c r="N160" s="12"/>
      <c r="Q160" s="12"/>
      <c r="T160" s="12"/>
      <c r="W160" s="12"/>
      <c r="Z160" s="12"/>
      <c r="AC160" s="12"/>
    </row>
    <row r="161">
      <c r="H161" s="12"/>
      <c r="K161" s="12"/>
      <c r="N161" s="12"/>
      <c r="Q161" s="12"/>
      <c r="T161" s="12"/>
      <c r="W161" s="12"/>
      <c r="Z161" s="12"/>
      <c r="AC161" s="12"/>
    </row>
    <row r="162">
      <c r="H162" s="12"/>
      <c r="K162" s="12"/>
      <c r="N162" s="12"/>
      <c r="Q162" s="12"/>
      <c r="T162" s="12"/>
      <c r="W162" s="12"/>
      <c r="Z162" s="12"/>
      <c r="AC162" s="12"/>
    </row>
    <row r="163">
      <c r="H163" s="12"/>
      <c r="K163" s="12"/>
      <c r="N163" s="12"/>
      <c r="Q163" s="12"/>
      <c r="T163" s="12"/>
      <c r="W163" s="12"/>
      <c r="Z163" s="12"/>
      <c r="AC163" s="12"/>
    </row>
    <row r="164">
      <c r="H164" s="12"/>
      <c r="K164" s="12"/>
      <c r="N164" s="12"/>
      <c r="Q164" s="12"/>
      <c r="T164" s="12"/>
      <c r="W164" s="12"/>
      <c r="Z164" s="12"/>
      <c r="AC164" s="12"/>
    </row>
    <row r="165">
      <c r="H165" s="12"/>
      <c r="K165" s="12"/>
      <c r="N165" s="12"/>
      <c r="Q165" s="12"/>
      <c r="T165" s="12"/>
      <c r="W165" s="12"/>
      <c r="Z165" s="12"/>
      <c r="AC165" s="12"/>
    </row>
    <row r="166">
      <c r="H166" s="12"/>
      <c r="K166" s="12"/>
      <c r="N166" s="12"/>
      <c r="Q166" s="12"/>
      <c r="T166" s="12"/>
      <c r="W166" s="12"/>
      <c r="Z166" s="12"/>
      <c r="AC166" s="12"/>
    </row>
    <row r="167">
      <c r="H167" s="12"/>
      <c r="K167" s="12"/>
      <c r="N167" s="12"/>
      <c r="Q167" s="12"/>
      <c r="T167" s="12"/>
      <c r="W167" s="12"/>
      <c r="Z167" s="12"/>
      <c r="AC167" s="12"/>
    </row>
    <row r="168">
      <c r="H168" s="12"/>
      <c r="K168" s="12"/>
      <c r="N168" s="12"/>
      <c r="Q168" s="12"/>
      <c r="T168" s="12"/>
      <c r="W168" s="12"/>
      <c r="Z168" s="12"/>
      <c r="AC168" s="12"/>
    </row>
    <row r="169">
      <c r="H169" s="12"/>
      <c r="K169" s="12"/>
      <c r="N169" s="12"/>
      <c r="Q169" s="12"/>
      <c r="T169" s="12"/>
      <c r="W169" s="12"/>
      <c r="Z169" s="12"/>
      <c r="AC169" s="12"/>
    </row>
    <row r="170">
      <c r="H170" s="12"/>
      <c r="K170" s="12"/>
      <c r="N170" s="12"/>
      <c r="Q170" s="12"/>
      <c r="T170" s="12"/>
      <c r="W170" s="12"/>
      <c r="Z170" s="12"/>
      <c r="AC170" s="12"/>
    </row>
    <row r="171">
      <c r="H171" s="12"/>
      <c r="K171" s="12"/>
      <c r="N171" s="12"/>
      <c r="Q171" s="12"/>
      <c r="T171" s="12"/>
      <c r="W171" s="12"/>
      <c r="Z171" s="12"/>
      <c r="AC171" s="12"/>
    </row>
    <row r="172">
      <c r="H172" s="12"/>
      <c r="K172" s="12"/>
      <c r="N172" s="12"/>
      <c r="Q172" s="12"/>
      <c r="T172" s="12"/>
      <c r="W172" s="12"/>
      <c r="Z172" s="12"/>
      <c r="AC172" s="12"/>
    </row>
    <row r="173">
      <c r="H173" s="12"/>
      <c r="K173" s="12"/>
      <c r="N173" s="12"/>
      <c r="Q173" s="12"/>
      <c r="T173" s="12"/>
      <c r="W173" s="12"/>
      <c r="Z173" s="12"/>
      <c r="AC173" s="12"/>
    </row>
    <row r="174">
      <c r="H174" s="12"/>
      <c r="K174" s="12"/>
      <c r="N174" s="12"/>
      <c r="Q174" s="12"/>
      <c r="T174" s="12"/>
      <c r="W174" s="12"/>
      <c r="Z174" s="12"/>
      <c r="AC174" s="12"/>
    </row>
    <row r="175">
      <c r="H175" s="12"/>
      <c r="K175" s="12"/>
      <c r="N175" s="12"/>
      <c r="Q175" s="12"/>
      <c r="T175" s="12"/>
      <c r="W175" s="12"/>
      <c r="Z175" s="12"/>
      <c r="AC175" s="12"/>
    </row>
    <row r="176">
      <c r="H176" s="12"/>
      <c r="K176" s="12"/>
      <c r="N176" s="12"/>
      <c r="Q176" s="12"/>
      <c r="T176" s="12"/>
      <c r="W176" s="12"/>
      <c r="Z176" s="12"/>
      <c r="AC176" s="12"/>
    </row>
    <row r="177">
      <c r="H177" s="12"/>
      <c r="K177" s="12"/>
      <c r="N177" s="12"/>
      <c r="Q177" s="12"/>
      <c r="T177" s="12"/>
      <c r="W177" s="12"/>
      <c r="Z177" s="12"/>
      <c r="AC177" s="12"/>
    </row>
    <row r="178">
      <c r="H178" s="12"/>
      <c r="K178" s="12"/>
      <c r="N178" s="12"/>
      <c r="Q178" s="12"/>
      <c r="T178" s="12"/>
      <c r="W178" s="12"/>
      <c r="Z178" s="12"/>
      <c r="AC178" s="12"/>
    </row>
    <row r="179">
      <c r="H179" s="12"/>
      <c r="K179" s="12"/>
      <c r="N179" s="12"/>
      <c r="Q179" s="12"/>
      <c r="T179" s="12"/>
      <c r="W179" s="12"/>
      <c r="Z179" s="12"/>
      <c r="AC179" s="12"/>
    </row>
    <row r="180">
      <c r="H180" s="12"/>
      <c r="K180" s="12"/>
      <c r="N180" s="12"/>
      <c r="Q180" s="12"/>
      <c r="T180" s="12"/>
      <c r="W180" s="12"/>
      <c r="Z180" s="12"/>
      <c r="AC180" s="12"/>
    </row>
    <row r="181">
      <c r="H181" s="12"/>
      <c r="K181" s="12"/>
      <c r="N181" s="12"/>
      <c r="Q181" s="12"/>
      <c r="T181" s="12"/>
      <c r="W181" s="12"/>
      <c r="Z181" s="12"/>
      <c r="AC181" s="12"/>
    </row>
    <row r="182">
      <c r="H182" s="12"/>
      <c r="K182" s="12"/>
      <c r="N182" s="12"/>
      <c r="Q182" s="12"/>
      <c r="T182" s="12"/>
      <c r="W182" s="12"/>
      <c r="Z182" s="12"/>
      <c r="AC182" s="12"/>
    </row>
    <row r="183">
      <c r="H183" s="12"/>
      <c r="K183" s="12"/>
      <c r="N183" s="12"/>
      <c r="Q183" s="12"/>
      <c r="T183" s="12"/>
      <c r="W183" s="12"/>
      <c r="Z183" s="12"/>
      <c r="AC183" s="12"/>
    </row>
    <row r="184">
      <c r="H184" s="12"/>
      <c r="K184" s="12"/>
      <c r="N184" s="12"/>
      <c r="Q184" s="12"/>
      <c r="T184" s="12"/>
      <c r="W184" s="12"/>
      <c r="Z184" s="12"/>
      <c r="AC184" s="12"/>
    </row>
    <row r="185">
      <c r="H185" s="12"/>
      <c r="K185" s="12"/>
      <c r="N185" s="12"/>
      <c r="Q185" s="12"/>
      <c r="T185" s="12"/>
      <c r="W185" s="12"/>
      <c r="Z185" s="12"/>
      <c r="AC185" s="12"/>
    </row>
    <row r="186">
      <c r="H186" s="12"/>
      <c r="K186" s="12"/>
      <c r="N186" s="12"/>
      <c r="Q186" s="12"/>
      <c r="T186" s="12"/>
      <c r="W186" s="12"/>
      <c r="Z186" s="12"/>
      <c r="AC186" s="12"/>
    </row>
    <row r="187">
      <c r="H187" s="12"/>
      <c r="K187" s="12"/>
      <c r="N187" s="12"/>
      <c r="Q187" s="12"/>
      <c r="T187" s="12"/>
      <c r="W187" s="12"/>
      <c r="Z187" s="12"/>
      <c r="AC187" s="12"/>
    </row>
    <row r="188">
      <c r="H188" s="12"/>
      <c r="K188" s="12"/>
      <c r="N188" s="12"/>
      <c r="Q188" s="12"/>
      <c r="T188" s="12"/>
      <c r="W188" s="12"/>
      <c r="Z188" s="12"/>
      <c r="AC188" s="12"/>
    </row>
    <row r="189">
      <c r="H189" s="12"/>
      <c r="K189" s="12"/>
      <c r="N189" s="12"/>
      <c r="Q189" s="12"/>
      <c r="T189" s="12"/>
      <c r="W189" s="12"/>
      <c r="Z189" s="12"/>
      <c r="AC189" s="12"/>
    </row>
    <row r="190">
      <c r="H190" s="12"/>
      <c r="K190" s="12"/>
      <c r="N190" s="12"/>
      <c r="Q190" s="12"/>
      <c r="T190" s="12"/>
      <c r="W190" s="12"/>
      <c r="Z190" s="12"/>
      <c r="AC190" s="12"/>
    </row>
    <row r="191">
      <c r="H191" s="12"/>
      <c r="K191" s="12"/>
      <c r="N191" s="12"/>
      <c r="Q191" s="12"/>
      <c r="T191" s="12"/>
      <c r="W191" s="12"/>
      <c r="Z191" s="12"/>
      <c r="AC191" s="12"/>
    </row>
    <row r="192">
      <c r="H192" s="12"/>
      <c r="K192" s="12"/>
      <c r="N192" s="12"/>
      <c r="Q192" s="12"/>
      <c r="T192" s="12"/>
      <c r="W192" s="12"/>
      <c r="Z192" s="12"/>
      <c r="AC192" s="12"/>
    </row>
    <row r="193">
      <c r="H193" s="12"/>
      <c r="K193" s="12"/>
      <c r="N193" s="12"/>
      <c r="Q193" s="12"/>
      <c r="T193" s="12"/>
      <c r="W193" s="12"/>
      <c r="Z193" s="12"/>
      <c r="AC193" s="12"/>
    </row>
    <row r="194">
      <c r="H194" s="12"/>
      <c r="K194" s="12"/>
      <c r="N194" s="12"/>
      <c r="Q194" s="12"/>
      <c r="T194" s="12"/>
      <c r="W194" s="12"/>
      <c r="Z194" s="12"/>
      <c r="AC194" s="12"/>
    </row>
    <row r="195">
      <c r="H195" s="12"/>
      <c r="K195" s="12"/>
      <c r="N195" s="12"/>
      <c r="Q195" s="12"/>
      <c r="T195" s="12"/>
      <c r="W195" s="12"/>
      <c r="Z195" s="12"/>
      <c r="AC195" s="12"/>
    </row>
    <row r="196">
      <c r="H196" s="12"/>
      <c r="K196" s="12"/>
      <c r="N196" s="12"/>
      <c r="Q196" s="12"/>
      <c r="T196" s="12"/>
      <c r="W196" s="12"/>
      <c r="Z196" s="12"/>
      <c r="AC196" s="12"/>
    </row>
    <row r="197">
      <c r="H197" s="12"/>
      <c r="K197" s="12"/>
      <c r="N197" s="12"/>
      <c r="Q197" s="12"/>
      <c r="T197" s="12"/>
      <c r="W197" s="12"/>
      <c r="Z197" s="12"/>
      <c r="AC197" s="12"/>
    </row>
    <row r="198">
      <c r="H198" s="12"/>
      <c r="K198" s="12"/>
      <c r="N198" s="12"/>
      <c r="Q198" s="12"/>
      <c r="T198" s="12"/>
      <c r="W198" s="12"/>
      <c r="Z198" s="12"/>
      <c r="AC198" s="12"/>
    </row>
    <row r="199">
      <c r="H199" s="12"/>
      <c r="K199" s="12"/>
      <c r="N199" s="12"/>
      <c r="Q199" s="12"/>
      <c r="T199" s="12"/>
      <c r="W199" s="12"/>
      <c r="Z199" s="12"/>
      <c r="AC199" s="12"/>
    </row>
    <row r="200">
      <c r="H200" s="12"/>
      <c r="K200" s="12"/>
      <c r="N200" s="12"/>
      <c r="Q200" s="12"/>
      <c r="T200" s="12"/>
      <c r="W200" s="12"/>
      <c r="Z200" s="12"/>
      <c r="AC200" s="12"/>
    </row>
    <row r="201">
      <c r="H201" s="12"/>
      <c r="K201" s="12"/>
      <c r="N201" s="12"/>
      <c r="Q201" s="12"/>
      <c r="T201" s="12"/>
      <c r="W201" s="12"/>
      <c r="Z201" s="12"/>
      <c r="AC201" s="12"/>
    </row>
    <row r="202">
      <c r="H202" s="12"/>
      <c r="K202" s="12"/>
      <c r="N202" s="12"/>
      <c r="Q202" s="12"/>
      <c r="T202" s="12"/>
      <c r="W202" s="12"/>
      <c r="Z202" s="12"/>
      <c r="AC202" s="12"/>
    </row>
    <row r="203">
      <c r="H203" s="12"/>
      <c r="K203" s="12"/>
      <c r="N203" s="12"/>
      <c r="Q203" s="12"/>
      <c r="T203" s="12"/>
      <c r="W203" s="12"/>
      <c r="Z203" s="12"/>
      <c r="AC203" s="12"/>
    </row>
    <row r="204">
      <c r="H204" s="12"/>
      <c r="K204" s="12"/>
      <c r="N204" s="12"/>
      <c r="Q204" s="12"/>
      <c r="T204" s="12"/>
      <c r="W204" s="12"/>
      <c r="Z204" s="12"/>
      <c r="AC204" s="12"/>
    </row>
    <row r="205">
      <c r="H205" s="12"/>
      <c r="K205" s="12"/>
      <c r="N205" s="12"/>
      <c r="Q205" s="12"/>
      <c r="T205" s="12"/>
      <c r="W205" s="12"/>
      <c r="Z205" s="12"/>
      <c r="AC205" s="12"/>
    </row>
    <row r="206">
      <c r="H206" s="12"/>
      <c r="K206" s="12"/>
      <c r="N206" s="12"/>
      <c r="Q206" s="12"/>
      <c r="T206" s="12"/>
      <c r="W206" s="12"/>
      <c r="Z206" s="12"/>
      <c r="AC206" s="12"/>
    </row>
    <row r="207">
      <c r="H207" s="12"/>
      <c r="K207" s="12"/>
      <c r="N207" s="12"/>
      <c r="Q207" s="12"/>
      <c r="T207" s="12"/>
      <c r="W207" s="12"/>
      <c r="Z207" s="12"/>
      <c r="AC207" s="12"/>
    </row>
    <row r="208">
      <c r="H208" s="12"/>
      <c r="K208" s="12"/>
      <c r="N208" s="12"/>
      <c r="Q208" s="12"/>
      <c r="T208" s="12"/>
      <c r="W208" s="12"/>
      <c r="Z208" s="12"/>
      <c r="AC208" s="12"/>
    </row>
    <row r="209">
      <c r="H209" s="12"/>
      <c r="K209" s="12"/>
      <c r="N209" s="12"/>
      <c r="Q209" s="12"/>
      <c r="T209" s="12"/>
      <c r="W209" s="12"/>
      <c r="Z209" s="12"/>
      <c r="AC209" s="12"/>
    </row>
    <row r="210">
      <c r="H210" s="12"/>
      <c r="K210" s="12"/>
      <c r="N210" s="12"/>
      <c r="Q210" s="12"/>
      <c r="T210" s="12"/>
      <c r="W210" s="12"/>
      <c r="Z210" s="12"/>
      <c r="AC210" s="12"/>
    </row>
    <row r="211">
      <c r="H211" s="12"/>
      <c r="K211" s="12"/>
      <c r="N211" s="12"/>
      <c r="Q211" s="12"/>
      <c r="T211" s="12"/>
      <c r="W211" s="12"/>
      <c r="Z211" s="12"/>
      <c r="AC211" s="12"/>
    </row>
    <row r="212">
      <c r="H212" s="12"/>
      <c r="K212" s="12"/>
      <c r="N212" s="12"/>
      <c r="Q212" s="12"/>
      <c r="T212" s="12"/>
      <c r="W212" s="12"/>
      <c r="Z212" s="12"/>
      <c r="AC212" s="12"/>
    </row>
    <row r="213">
      <c r="H213" s="12"/>
      <c r="K213" s="12"/>
      <c r="N213" s="12"/>
      <c r="Q213" s="12"/>
      <c r="T213" s="12"/>
      <c r="W213" s="12"/>
      <c r="Z213" s="12"/>
      <c r="AC213" s="12"/>
    </row>
    <row r="214">
      <c r="H214" s="12"/>
      <c r="K214" s="12"/>
      <c r="N214" s="12"/>
      <c r="Q214" s="12"/>
      <c r="T214" s="12"/>
      <c r="W214" s="12"/>
      <c r="Z214" s="12"/>
      <c r="AC214" s="12"/>
    </row>
    <row r="215">
      <c r="H215" s="12"/>
      <c r="K215" s="12"/>
      <c r="N215" s="12"/>
      <c r="Q215" s="12"/>
      <c r="T215" s="12"/>
      <c r="W215" s="12"/>
      <c r="Z215" s="12"/>
      <c r="AC215" s="12"/>
    </row>
    <row r="216">
      <c r="H216" s="12"/>
      <c r="K216" s="12"/>
      <c r="N216" s="12"/>
      <c r="Q216" s="12"/>
      <c r="T216" s="12"/>
      <c r="W216" s="12"/>
      <c r="Z216" s="12"/>
      <c r="AC216" s="12"/>
    </row>
    <row r="217">
      <c r="H217" s="12"/>
      <c r="K217" s="12"/>
      <c r="N217" s="12"/>
      <c r="Q217" s="12"/>
      <c r="T217" s="12"/>
      <c r="W217" s="12"/>
      <c r="Z217" s="12"/>
      <c r="AC217" s="12"/>
    </row>
    <row r="218">
      <c r="H218" s="12"/>
      <c r="K218" s="12"/>
      <c r="N218" s="12"/>
      <c r="Q218" s="12"/>
      <c r="T218" s="12"/>
      <c r="W218" s="12"/>
      <c r="Z218" s="12"/>
      <c r="AC218" s="12"/>
    </row>
    <row r="219">
      <c r="H219" s="12"/>
      <c r="K219" s="12"/>
      <c r="N219" s="12"/>
      <c r="Q219" s="12"/>
      <c r="T219" s="12"/>
      <c r="W219" s="12"/>
      <c r="Z219" s="12"/>
      <c r="AC219" s="12"/>
    </row>
    <row r="220">
      <c r="H220" s="12"/>
      <c r="K220" s="12"/>
      <c r="N220" s="12"/>
      <c r="Q220" s="12"/>
      <c r="T220" s="12"/>
      <c r="W220" s="12"/>
      <c r="Z220" s="12"/>
      <c r="AC220" s="12"/>
    </row>
    <row r="221">
      <c r="H221" s="12"/>
      <c r="K221" s="12"/>
      <c r="N221" s="12"/>
      <c r="Q221" s="12"/>
      <c r="T221" s="12"/>
      <c r="W221" s="12"/>
      <c r="Z221" s="12"/>
      <c r="AC221" s="12"/>
    </row>
    <row r="222">
      <c r="H222" s="12"/>
      <c r="K222" s="12"/>
      <c r="N222" s="12"/>
      <c r="Q222" s="12"/>
      <c r="T222" s="12"/>
      <c r="W222" s="12"/>
      <c r="Z222" s="12"/>
      <c r="AC222" s="12"/>
    </row>
    <row r="223">
      <c r="H223" s="12"/>
      <c r="K223" s="12"/>
      <c r="N223" s="12"/>
      <c r="Q223" s="12"/>
      <c r="T223" s="12"/>
      <c r="W223" s="12"/>
      <c r="Z223" s="12"/>
      <c r="AC223" s="12"/>
    </row>
    <row r="224">
      <c r="H224" s="12"/>
      <c r="K224" s="12"/>
      <c r="N224" s="12"/>
      <c r="Q224" s="12"/>
      <c r="T224" s="12"/>
      <c r="W224" s="12"/>
      <c r="Z224" s="12"/>
      <c r="AC224" s="12"/>
    </row>
    <row r="225">
      <c r="H225" s="12"/>
      <c r="K225" s="12"/>
      <c r="N225" s="12"/>
      <c r="Q225" s="12"/>
      <c r="T225" s="12"/>
      <c r="W225" s="12"/>
      <c r="Z225" s="12"/>
      <c r="AC225" s="12"/>
    </row>
    <row r="226">
      <c r="H226" s="12"/>
      <c r="K226" s="12"/>
      <c r="N226" s="12"/>
      <c r="Q226" s="12"/>
      <c r="T226" s="12"/>
      <c r="W226" s="12"/>
      <c r="Z226" s="12"/>
      <c r="AC226" s="12"/>
    </row>
    <row r="227">
      <c r="H227" s="12"/>
      <c r="K227" s="12"/>
      <c r="N227" s="12"/>
      <c r="Q227" s="12"/>
      <c r="T227" s="12"/>
      <c r="W227" s="12"/>
      <c r="Z227" s="12"/>
      <c r="AC227" s="12"/>
    </row>
    <row r="228">
      <c r="H228" s="12"/>
      <c r="K228" s="12"/>
      <c r="N228" s="12"/>
      <c r="Q228" s="12"/>
      <c r="T228" s="12"/>
      <c r="W228" s="12"/>
      <c r="Z228" s="12"/>
      <c r="AC228" s="12"/>
    </row>
    <row r="229">
      <c r="H229" s="12"/>
      <c r="K229" s="12"/>
      <c r="N229" s="12"/>
      <c r="Q229" s="12"/>
      <c r="T229" s="12"/>
      <c r="W229" s="12"/>
      <c r="Z229" s="12"/>
      <c r="AC229" s="12"/>
    </row>
    <row r="230">
      <c r="H230" s="12"/>
      <c r="K230" s="12"/>
      <c r="N230" s="12"/>
      <c r="Q230" s="12"/>
      <c r="T230" s="12"/>
      <c r="W230" s="12"/>
      <c r="Z230" s="12"/>
      <c r="AC230" s="12"/>
    </row>
    <row r="231">
      <c r="H231" s="12"/>
      <c r="K231" s="12"/>
      <c r="N231" s="12"/>
      <c r="Q231" s="12"/>
      <c r="T231" s="12"/>
      <c r="W231" s="12"/>
      <c r="Z231" s="12"/>
      <c r="AC231" s="12"/>
    </row>
    <row r="232">
      <c r="H232" s="12"/>
      <c r="K232" s="12"/>
      <c r="N232" s="12"/>
      <c r="Q232" s="12"/>
      <c r="T232" s="12"/>
      <c r="W232" s="12"/>
      <c r="Z232" s="12"/>
      <c r="AC232" s="12"/>
    </row>
    <row r="233">
      <c r="H233" s="12"/>
      <c r="K233" s="12"/>
      <c r="N233" s="12"/>
      <c r="Q233" s="12"/>
      <c r="T233" s="12"/>
      <c r="W233" s="12"/>
      <c r="Z233" s="12"/>
      <c r="AC233" s="12"/>
    </row>
    <row r="234">
      <c r="H234" s="12"/>
      <c r="K234" s="12"/>
      <c r="N234" s="12"/>
      <c r="Q234" s="12"/>
      <c r="T234" s="12"/>
      <c r="W234" s="12"/>
      <c r="Z234" s="12"/>
      <c r="AC234" s="12"/>
    </row>
    <row r="235">
      <c r="H235" s="12"/>
      <c r="K235" s="12"/>
      <c r="N235" s="12"/>
      <c r="Q235" s="12"/>
      <c r="T235" s="12"/>
      <c r="W235" s="12"/>
      <c r="Z235" s="12"/>
      <c r="AC235" s="12"/>
    </row>
    <row r="236">
      <c r="H236" s="12"/>
      <c r="K236" s="12"/>
      <c r="N236" s="12"/>
      <c r="Q236" s="12"/>
      <c r="T236" s="12"/>
      <c r="W236" s="12"/>
      <c r="Z236" s="12"/>
      <c r="AC236" s="12"/>
    </row>
    <row r="237">
      <c r="H237" s="12"/>
      <c r="K237" s="12"/>
      <c r="N237" s="12"/>
      <c r="Q237" s="12"/>
      <c r="T237" s="12"/>
      <c r="W237" s="12"/>
      <c r="Z237" s="12"/>
      <c r="AC237" s="12"/>
    </row>
    <row r="238">
      <c r="H238" s="12"/>
      <c r="K238" s="12"/>
      <c r="N238" s="12"/>
      <c r="Q238" s="12"/>
      <c r="T238" s="12"/>
      <c r="W238" s="12"/>
      <c r="Z238" s="12"/>
      <c r="AC238" s="12"/>
    </row>
    <row r="239">
      <c r="H239" s="12"/>
      <c r="K239" s="12"/>
      <c r="N239" s="12"/>
      <c r="Q239" s="12"/>
      <c r="T239" s="12"/>
      <c r="W239" s="12"/>
      <c r="Z239" s="12"/>
      <c r="AC239" s="12"/>
    </row>
    <row r="240">
      <c r="H240" s="12"/>
      <c r="K240" s="12"/>
      <c r="N240" s="12"/>
      <c r="Q240" s="12"/>
      <c r="T240" s="12"/>
      <c r="W240" s="12"/>
      <c r="Z240" s="12"/>
      <c r="AC240" s="12"/>
    </row>
    <row r="241">
      <c r="H241" s="12"/>
      <c r="K241" s="12"/>
      <c r="N241" s="12"/>
      <c r="Q241" s="12"/>
      <c r="T241" s="12"/>
      <c r="W241" s="12"/>
      <c r="Z241" s="12"/>
      <c r="AC241" s="12"/>
    </row>
    <row r="242">
      <c r="H242" s="12"/>
      <c r="K242" s="12"/>
      <c r="N242" s="12"/>
      <c r="Q242" s="12"/>
      <c r="T242" s="12"/>
      <c r="W242" s="12"/>
      <c r="Z242" s="12"/>
      <c r="AC242" s="12"/>
    </row>
    <row r="243">
      <c r="H243" s="12"/>
      <c r="K243" s="12"/>
      <c r="N243" s="12"/>
      <c r="Q243" s="12"/>
      <c r="T243" s="12"/>
      <c r="W243" s="12"/>
      <c r="Z243" s="12"/>
      <c r="AC243" s="12"/>
    </row>
    <row r="244">
      <c r="H244" s="12"/>
      <c r="K244" s="12"/>
      <c r="N244" s="12"/>
      <c r="Q244" s="12"/>
      <c r="T244" s="12"/>
      <c r="W244" s="12"/>
      <c r="Z244" s="12"/>
      <c r="AC244" s="12"/>
    </row>
    <row r="245">
      <c r="H245" s="12"/>
      <c r="K245" s="12"/>
      <c r="N245" s="12"/>
      <c r="Q245" s="12"/>
      <c r="T245" s="12"/>
      <c r="W245" s="12"/>
      <c r="Z245" s="12"/>
      <c r="AC245" s="12"/>
    </row>
    <row r="246">
      <c r="H246" s="12"/>
      <c r="K246" s="12"/>
      <c r="N246" s="12"/>
      <c r="Q246" s="12"/>
      <c r="T246" s="12"/>
      <c r="W246" s="12"/>
      <c r="Z246" s="12"/>
      <c r="AC246" s="12"/>
    </row>
    <row r="247">
      <c r="H247" s="12"/>
      <c r="K247" s="12"/>
      <c r="N247" s="12"/>
      <c r="Q247" s="12"/>
      <c r="T247" s="12"/>
      <c r="W247" s="12"/>
      <c r="Z247" s="12"/>
      <c r="AC247" s="12"/>
    </row>
    <row r="248">
      <c r="H248" s="12"/>
      <c r="K248" s="12"/>
      <c r="N248" s="12"/>
      <c r="Q248" s="12"/>
      <c r="T248" s="12"/>
      <c r="W248" s="12"/>
      <c r="Z248" s="12"/>
      <c r="AC248" s="12"/>
    </row>
    <row r="249">
      <c r="H249" s="12"/>
      <c r="K249" s="12"/>
      <c r="N249" s="12"/>
      <c r="Q249" s="12"/>
      <c r="T249" s="12"/>
      <c r="W249" s="12"/>
      <c r="Z249" s="12"/>
      <c r="AC249" s="12"/>
    </row>
    <row r="250">
      <c r="H250" s="12"/>
      <c r="K250" s="12"/>
      <c r="N250" s="12"/>
      <c r="Q250" s="12"/>
      <c r="T250" s="12"/>
      <c r="W250" s="12"/>
      <c r="Z250" s="12"/>
      <c r="AC250" s="12"/>
    </row>
    <row r="251">
      <c r="H251" s="12"/>
      <c r="K251" s="12"/>
      <c r="N251" s="12"/>
      <c r="Q251" s="12"/>
      <c r="T251" s="12"/>
      <c r="W251" s="12"/>
      <c r="Z251" s="12"/>
      <c r="AC251" s="12"/>
    </row>
    <row r="252">
      <c r="H252" s="12"/>
      <c r="K252" s="12"/>
      <c r="N252" s="12"/>
      <c r="Q252" s="12"/>
      <c r="T252" s="12"/>
      <c r="W252" s="12"/>
      <c r="Z252" s="12"/>
      <c r="AC252" s="12"/>
    </row>
    <row r="253">
      <c r="H253" s="12"/>
      <c r="K253" s="12"/>
      <c r="N253" s="12"/>
      <c r="Q253" s="12"/>
      <c r="T253" s="12"/>
      <c r="W253" s="12"/>
      <c r="Z253" s="12"/>
      <c r="AC253" s="12"/>
    </row>
    <row r="254">
      <c r="H254" s="12"/>
      <c r="K254" s="12"/>
      <c r="N254" s="12"/>
      <c r="Q254" s="12"/>
      <c r="T254" s="12"/>
      <c r="W254" s="12"/>
      <c r="Z254" s="12"/>
      <c r="AC254" s="12"/>
    </row>
    <row r="255">
      <c r="H255" s="12"/>
      <c r="K255" s="12"/>
      <c r="N255" s="12"/>
      <c r="Q255" s="12"/>
      <c r="T255" s="12"/>
      <c r="W255" s="12"/>
      <c r="Z255" s="12"/>
      <c r="AC255" s="12"/>
    </row>
    <row r="256">
      <c r="H256" s="12"/>
      <c r="K256" s="12"/>
      <c r="N256" s="12"/>
      <c r="Q256" s="12"/>
      <c r="T256" s="12"/>
      <c r="W256" s="12"/>
      <c r="Z256" s="12"/>
      <c r="AC256" s="12"/>
    </row>
    <row r="257">
      <c r="H257" s="12"/>
      <c r="K257" s="12"/>
      <c r="N257" s="12"/>
      <c r="Q257" s="12"/>
      <c r="T257" s="12"/>
      <c r="W257" s="12"/>
      <c r="Z257" s="12"/>
      <c r="AC257" s="12"/>
    </row>
    <row r="258">
      <c r="H258" s="12"/>
      <c r="K258" s="12"/>
      <c r="N258" s="12"/>
      <c r="Q258" s="12"/>
      <c r="T258" s="12"/>
      <c r="W258" s="12"/>
      <c r="Z258" s="12"/>
      <c r="AC258" s="12"/>
    </row>
    <row r="259">
      <c r="H259" s="12"/>
      <c r="K259" s="12"/>
      <c r="N259" s="12"/>
      <c r="Q259" s="12"/>
      <c r="T259" s="12"/>
      <c r="W259" s="12"/>
      <c r="Z259" s="12"/>
      <c r="AC259" s="12"/>
    </row>
    <row r="260">
      <c r="H260" s="12"/>
      <c r="K260" s="12"/>
      <c r="N260" s="12"/>
      <c r="Q260" s="12"/>
      <c r="T260" s="12"/>
      <c r="W260" s="12"/>
      <c r="Z260" s="12"/>
      <c r="AC260" s="12"/>
    </row>
    <row r="261">
      <c r="H261" s="12"/>
      <c r="K261" s="12"/>
      <c r="N261" s="12"/>
      <c r="Q261" s="12"/>
      <c r="T261" s="12"/>
      <c r="W261" s="12"/>
      <c r="Z261" s="12"/>
      <c r="AC261" s="12"/>
    </row>
    <row r="262">
      <c r="H262" s="12"/>
      <c r="K262" s="12"/>
      <c r="N262" s="12"/>
      <c r="Q262" s="12"/>
      <c r="T262" s="12"/>
      <c r="W262" s="12"/>
      <c r="Z262" s="12"/>
      <c r="AC262" s="12"/>
    </row>
    <row r="263">
      <c r="H263" s="12"/>
      <c r="K263" s="12"/>
      <c r="N263" s="12"/>
      <c r="Q263" s="12"/>
      <c r="T263" s="12"/>
      <c r="W263" s="12"/>
      <c r="Z263" s="12"/>
      <c r="AC263" s="12"/>
    </row>
    <row r="264">
      <c r="H264" s="12"/>
      <c r="K264" s="12"/>
      <c r="N264" s="12"/>
      <c r="Q264" s="12"/>
      <c r="T264" s="12"/>
      <c r="W264" s="12"/>
      <c r="Z264" s="12"/>
      <c r="AC264" s="12"/>
    </row>
    <row r="265">
      <c r="H265" s="12"/>
      <c r="K265" s="12"/>
      <c r="N265" s="12"/>
      <c r="Q265" s="12"/>
      <c r="T265" s="12"/>
      <c r="W265" s="12"/>
      <c r="Z265" s="12"/>
      <c r="AC265" s="12"/>
    </row>
    <row r="266">
      <c r="H266" s="12"/>
      <c r="K266" s="12"/>
      <c r="N266" s="12"/>
      <c r="Q266" s="12"/>
      <c r="T266" s="12"/>
      <c r="W266" s="12"/>
      <c r="Z266" s="12"/>
      <c r="AC266" s="12"/>
    </row>
    <row r="267">
      <c r="H267" s="12"/>
      <c r="K267" s="12"/>
      <c r="N267" s="12"/>
      <c r="Q267" s="12"/>
      <c r="T267" s="12"/>
      <c r="W267" s="12"/>
      <c r="Z267" s="12"/>
      <c r="AC267" s="12"/>
    </row>
    <row r="268">
      <c r="H268" s="12"/>
      <c r="K268" s="12"/>
      <c r="N268" s="12"/>
      <c r="Q268" s="12"/>
      <c r="T268" s="12"/>
      <c r="W268" s="12"/>
      <c r="Z268" s="12"/>
      <c r="AC268" s="12"/>
    </row>
    <row r="269">
      <c r="H269" s="12"/>
      <c r="K269" s="12"/>
      <c r="N269" s="12"/>
      <c r="Q269" s="12"/>
      <c r="T269" s="12"/>
      <c r="W269" s="12"/>
      <c r="Z269" s="12"/>
      <c r="AC269" s="12"/>
    </row>
    <row r="270">
      <c r="H270" s="12"/>
      <c r="K270" s="12"/>
      <c r="N270" s="12"/>
      <c r="Q270" s="12"/>
      <c r="T270" s="12"/>
      <c r="W270" s="12"/>
      <c r="Z270" s="12"/>
      <c r="AC270" s="12"/>
    </row>
    <row r="271">
      <c r="H271" s="12"/>
      <c r="K271" s="12"/>
      <c r="N271" s="12"/>
      <c r="Q271" s="12"/>
      <c r="T271" s="12"/>
      <c r="W271" s="12"/>
      <c r="Z271" s="12"/>
      <c r="AC271" s="12"/>
    </row>
    <row r="272">
      <c r="H272" s="12"/>
      <c r="K272" s="12"/>
      <c r="N272" s="12"/>
      <c r="Q272" s="12"/>
      <c r="T272" s="12"/>
      <c r="W272" s="12"/>
      <c r="Z272" s="12"/>
      <c r="AC272" s="12"/>
    </row>
    <row r="273">
      <c r="H273" s="12"/>
      <c r="K273" s="12"/>
      <c r="N273" s="12"/>
      <c r="Q273" s="12"/>
      <c r="T273" s="12"/>
      <c r="W273" s="12"/>
      <c r="Z273" s="12"/>
      <c r="AC273" s="12"/>
    </row>
    <row r="274">
      <c r="H274" s="12"/>
      <c r="K274" s="12"/>
      <c r="N274" s="12"/>
      <c r="Q274" s="12"/>
      <c r="T274" s="12"/>
      <c r="W274" s="12"/>
      <c r="Z274" s="12"/>
      <c r="AC274" s="12"/>
    </row>
    <row r="275">
      <c r="H275" s="12"/>
      <c r="K275" s="12"/>
      <c r="N275" s="12"/>
      <c r="Q275" s="12"/>
      <c r="T275" s="12"/>
      <c r="W275" s="12"/>
      <c r="Z275" s="12"/>
      <c r="AC275" s="12"/>
    </row>
    <row r="276">
      <c r="H276" s="12"/>
      <c r="K276" s="12"/>
      <c r="N276" s="12"/>
      <c r="Q276" s="12"/>
      <c r="T276" s="12"/>
      <c r="W276" s="12"/>
      <c r="Z276" s="12"/>
      <c r="AC276" s="12"/>
    </row>
    <row r="277">
      <c r="H277" s="12"/>
      <c r="K277" s="12"/>
      <c r="N277" s="12"/>
      <c r="Q277" s="12"/>
      <c r="T277" s="12"/>
      <c r="W277" s="12"/>
      <c r="Z277" s="12"/>
      <c r="AC277" s="12"/>
    </row>
    <row r="278">
      <c r="H278" s="12"/>
      <c r="K278" s="12"/>
      <c r="N278" s="12"/>
      <c r="Q278" s="12"/>
      <c r="T278" s="12"/>
      <c r="W278" s="12"/>
      <c r="Z278" s="12"/>
      <c r="AC278" s="12"/>
    </row>
    <row r="279">
      <c r="H279" s="12"/>
      <c r="K279" s="12"/>
      <c r="N279" s="12"/>
      <c r="Q279" s="12"/>
      <c r="T279" s="12"/>
      <c r="W279" s="12"/>
      <c r="Z279" s="12"/>
      <c r="AC279" s="12"/>
    </row>
    <row r="280">
      <c r="H280" s="12"/>
      <c r="K280" s="12"/>
      <c r="N280" s="12"/>
      <c r="Q280" s="12"/>
      <c r="T280" s="12"/>
      <c r="W280" s="12"/>
      <c r="Z280" s="12"/>
      <c r="AC280" s="12"/>
    </row>
    <row r="281">
      <c r="H281" s="12"/>
      <c r="K281" s="12"/>
      <c r="N281" s="12"/>
      <c r="Q281" s="12"/>
      <c r="T281" s="12"/>
      <c r="W281" s="12"/>
      <c r="Z281" s="12"/>
      <c r="AC281" s="12"/>
    </row>
    <row r="282">
      <c r="H282" s="12"/>
      <c r="K282" s="12"/>
      <c r="N282" s="12"/>
      <c r="Q282" s="12"/>
      <c r="T282" s="12"/>
      <c r="W282" s="12"/>
      <c r="Z282" s="12"/>
      <c r="AC282" s="12"/>
    </row>
    <row r="283">
      <c r="H283" s="12"/>
      <c r="K283" s="12"/>
      <c r="N283" s="12"/>
      <c r="Q283" s="12"/>
      <c r="T283" s="12"/>
      <c r="W283" s="12"/>
      <c r="Z283" s="12"/>
      <c r="AC283" s="12"/>
    </row>
    <row r="284">
      <c r="H284" s="12"/>
      <c r="K284" s="12"/>
      <c r="N284" s="12"/>
      <c r="Q284" s="12"/>
      <c r="T284" s="12"/>
      <c r="W284" s="12"/>
      <c r="Z284" s="12"/>
      <c r="AC284" s="12"/>
    </row>
    <row r="285">
      <c r="H285" s="12"/>
      <c r="K285" s="12"/>
      <c r="N285" s="12"/>
      <c r="Q285" s="12"/>
      <c r="T285" s="12"/>
      <c r="W285" s="12"/>
      <c r="Z285" s="12"/>
      <c r="AC285" s="12"/>
    </row>
    <row r="286">
      <c r="H286" s="12"/>
      <c r="K286" s="12"/>
      <c r="N286" s="12"/>
      <c r="Q286" s="12"/>
      <c r="T286" s="12"/>
      <c r="W286" s="12"/>
      <c r="Z286" s="12"/>
      <c r="AC286" s="12"/>
    </row>
    <row r="287">
      <c r="H287" s="12"/>
      <c r="K287" s="12"/>
      <c r="N287" s="12"/>
      <c r="Q287" s="12"/>
      <c r="T287" s="12"/>
      <c r="W287" s="12"/>
      <c r="Z287" s="12"/>
      <c r="AC287" s="12"/>
    </row>
    <row r="288">
      <c r="H288" s="12"/>
      <c r="K288" s="12"/>
      <c r="N288" s="12"/>
      <c r="Q288" s="12"/>
      <c r="T288" s="12"/>
      <c r="W288" s="12"/>
      <c r="Z288" s="12"/>
      <c r="AC288" s="12"/>
    </row>
    <row r="289">
      <c r="H289" s="12"/>
      <c r="K289" s="12"/>
      <c r="N289" s="12"/>
      <c r="Q289" s="12"/>
      <c r="T289" s="12"/>
      <c r="W289" s="12"/>
      <c r="Z289" s="12"/>
      <c r="AC289" s="12"/>
    </row>
    <row r="290">
      <c r="H290" s="12"/>
      <c r="K290" s="12"/>
      <c r="N290" s="12"/>
      <c r="Q290" s="12"/>
      <c r="T290" s="12"/>
      <c r="W290" s="12"/>
      <c r="Z290" s="12"/>
      <c r="AC290" s="12"/>
    </row>
    <row r="291">
      <c r="H291" s="12"/>
      <c r="K291" s="12"/>
      <c r="N291" s="12"/>
      <c r="Q291" s="12"/>
      <c r="T291" s="12"/>
      <c r="W291" s="12"/>
      <c r="Z291" s="12"/>
      <c r="AC291" s="12"/>
    </row>
    <row r="292">
      <c r="H292" s="12"/>
      <c r="K292" s="12"/>
      <c r="N292" s="12"/>
      <c r="Q292" s="12"/>
      <c r="T292" s="12"/>
      <c r="W292" s="12"/>
      <c r="Z292" s="12"/>
      <c r="AC292" s="12"/>
    </row>
    <row r="293">
      <c r="H293" s="12"/>
      <c r="K293" s="12"/>
      <c r="N293" s="12"/>
      <c r="Q293" s="12"/>
      <c r="T293" s="12"/>
      <c r="W293" s="12"/>
      <c r="Z293" s="12"/>
      <c r="AC293" s="12"/>
    </row>
    <row r="294">
      <c r="H294" s="12"/>
      <c r="K294" s="12"/>
      <c r="N294" s="12"/>
      <c r="Q294" s="12"/>
      <c r="T294" s="12"/>
      <c r="W294" s="12"/>
      <c r="Z294" s="12"/>
      <c r="AC294" s="12"/>
    </row>
    <row r="295">
      <c r="H295" s="12"/>
      <c r="K295" s="12"/>
      <c r="N295" s="12"/>
      <c r="Q295" s="12"/>
      <c r="T295" s="12"/>
      <c r="W295" s="12"/>
      <c r="Z295" s="12"/>
      <c r="AC295" s="12"/>
    </row>
    <row r="296">
      <c r="H296" s="12"/>
      <c r="K296" s="12"/>
      <c r="N296" s="12"/>
      <c r="Q296" s="12"/>
      <c r="T296" s="12"/>
      <c r="W296" s="12"/>
      <c r="Z296" s="12"/>
      <c r="AC296" s="12"/>
    </row>
    <row r="297">
      <c r="H297" s="12"/>
      <c r="K297" s="12"/>
      <c r="N297" s="12"/>
      <c r="Q297" s="12"/>
      <c r="T297" s="12"/>
      <c r="W297" s="12"/>
      <c r="Z297" s="12"/>
      <c r="AC297" s="12"/>
    </row>
    <row r="298">
      <c r="H298" s="12"/>
      <c r="K298" s="12"/>
      <c r="N298" s="12"/>
      <c r="Q298" s="12"/>
      <c r="T298" s="12"/>
      <c r="W298" s="12"/>
      <c r="Z298" s="12"/>
      <c r="AC298" s="12"/>
    </row>
    <row r="299">
      <c r="H299" s="12"/>
      <c r="K299" s="12"/>
      <c r="N299" s="12"/>
      <c r="Q299" s="12"/>
      <c r="T299" s="12"/>
      <c r="W299" s="12"/>
      <c r="Z299" s="12"/>
      <c r="AC299" s="12"/>
    </row>
    <row r="300">
      <c r="H300" s="12"/>
      <c r="K300" s="12"/>
      <c r="N300" s="12"/>
      <c r="Q300" s="12"/>
      <c r="T300" s="12"/>
      <c r="W300" s="12"/>
      <c r="Z300" s="12"/>
      <c r="AC300" s="12"/>
    </row>
    <row r="301">
      <c r="H301" s="12"/>
      <c r="K301" s="12"/>
      <c r="N301" s="12"/>
      <c r="Q301" s="12"/>
      <c r="T301" s="12"/>
      <c r="W301" s="12"/>
      <c r="Z301" s="12"/>
      <c r="AC301" s="12"/>
    </row>
    <row r="302">
      <c r="H302" s="12"/>
      <c r="K302" s="12"/>
      <c r="N302" s="12"/>
      <c r="Q302" s="12"/>
      <c r="T302" s="12"/>
      <c r="W302" s="12"/>
      <c r="Z302" s="12"/>
      <c r="AC302" s="12"/>
    </row>
    <row r="303">
      <c r="H303" s="12"/>
      <c r="K303" s="12"/>
      <c r="N303" s="12"/>
      <c r="Q303" s="12"/>
      <c r="T303" s="12"/>
      <c r="W303" s="12"/>
      <c r="Z303" s="12"/>
      <c r="AC303" s="12"/>
    </row>
    <row r="304">
      <c r="H304" s="12"/>
      <c r="K304" s="12"/>
      <c r="N304" s="12"/>
      <c r="Q304" s="12"/>
      <c r="T304" s="12"/>
      <c r="W304" s="12"/>
      <c r="Z304" s="12"/>
      <c r="AC304" s="12"/>
    </row>
    <row r="305">
      <c r="H305" s="12"/>
      <c r="K305" s="12"/>
      <c r="N305" s="12"/>
      <c r="Q305" s="12"/>
      <c r="T305" s="12"/>
      <c r="W305" s="12"/>
      <c r="Z305" s="12"/>
      <c r="AC305" s="12"/>
    </row>
    <row r="306">
      <c r="H306" s="12"/>
      <c r="K306" s="12"/>
      <c r="N306" s="12"/>
      <c r="Q306" s="12"/>
      <c r="T306" s="12"/>
      <c r="W306" s="12"/>
      <c r="Z306" s="12"/>
      <c r="AC306" s="12"/>
    </row>
    <row r="307">
      <c r="H307" s="12"/>
      <c r="K307" s="12"/>
      <c r="N307" s="12"/>
      <c r="Q307" s="12"/>
      <c r="T307" s="12"/>
      <c r="W307" s="12"/>
      <c r="Z307" s="12"/>
      <c r="AC307" s="12"/>
    </row>
    <row r="308">
      <c r="H308" s="12"/>
      <c r="K308" s="12"/>
      <c r="N308" s="12"/>
      <c r="Q308" s="12"/>
      <c r="T308" s="12"/>
      <c r="W308" s="12"/>
      <c r="Z308" s="12"/>
      <c r="AC308" s="12"/>
    </row>
    <row r="309">
      <c r="H309" s="12"/>
      <c r="K309" s="12"/>
      <c r="N309" s="12"/>
      <c r="Q309" s="12"/>
      <c r="T309" s="12"/>
      <c r="W309" s="12"/>
      <c r="Z309" s="12"/>
      <c r="AC309" s="12"/>
    </row>
    <row r="310">
      <c r="H310" s="12"/>
      <c r="K310" s="12"/>
      <c r="N310" s="12"/>
      <c r="Q310" s="12"/>
      <c r="T310" s="12"/>
      <c r="W310" s="12"/>
      <c r="Z310" s="12"/>
      <c r="AC310" s="12"/>
    </row>
    <row r="311">
      <c r="H311" s="12"/>
      <c r="K311" s="12"/>
      <c r="N311" s="12"/>
      <c r="Q311" s="12"/>
      <c r="T311" s="12"/>
      <c r="W311" s="12"/>
      <c r="Z311" s="12"/>
      <c r="AC311" s="12"/>
    </row>
    <row r="312">
      <c r="H312" s="12"/>
      <c r="K312" s="12"/>
      <c r="N312" s="12"/>
      <c r="Q312" s="12"/>
      <c r="T312" s="12"/>
      <c r="W312" s="12"/>
      <c r="Z312" s="12"/>
      <c r="AC312" s="12"/>
    </row>
    <row r="313">
      <c r="H313" s="12"/>
      <c r="K313" s="12"/>
      <c r="N313" s="12"/>
      <c r="Q313" s="12"/>
      <c r="T313" s="12"/>
      <c r="W313" s="12"/>
      <c r="Z313" s="12"/>
      <c r="AC313" s="12"/>
    </row>
    <row r="314">
      <c r="H314" s="12"/>
      <c r="K314" s="12"/>
      <c r="N314" s="12"/>
      <c r="Q314" s="12"/>
      <c r="T314" s="12"/>
      <c r="W314" s="12"/>
      <c r="Z314" s="12"/>
      <c r="AC314" s="12"/>
    </row>
    <row r="315">
      <c r="H315" s="12"/>
      <c r="K315" s="12"/>
      <c r="N315" s="12"/>
      <c r="Q315" s="12"/>
      <c r="T315" s="12"/>
      <c r="W315" s="12"/>
      <c r="Z315" s="12"/>
      <c r="AC315" s="12"/>
    </row>
    <row r="316">
      <c r="H316" s="12"/>
      <c r="K316" s="12"/>
      <c r="N316" s="12"/>
      <c r="Q316" s="12"/>
      <c r="T316" s="12"/>
      <c r="W316" s="12"/>
      <c r="Z316" s="12"/>
      <c r="AC316" s="12"/>
    </row>
    <row r="317">
      <c r="H317" s="12"/>
      <c r="K317" s="12"/>
      <c r="N317" s="12"/>
      <c r="Q317" s="12"/>
      <c r="T317" s="12"/>
      <c r="W317" s="12"/>
      <c r="Z317" s="12"/>
      <c r="AC317" s="12"/>
    </row>
    <row r="318">
      <c r="H318" s="12"/>
      <c r="K318" s="12"/>
      <c r="N318" s="12"/>
      <c r="Q318" s="12"/>
      <c r="T318" s="12"/>
      <c r="W318" s="12"/>
      <c r="Z318" s="12"/>
      <c r="AC318" s="12"/>
    </row>
    <row r="319">
      <c r="H319" s="12"/>
      <c r="K319" s="12"/>
      <c r="N319" s="12"/>
      <c r="Q319" s="12"/>
      <c r="T319" s="12"/>
      <c r="W319" s="12"/>
      <c r="Z319" s="12"/>
      <c r="AC319" s="12"/>
    </row>
    <row r="320">
      <c r="H320" s="12"/>
      <c r="K320" s="12"/>
      <c r="N320" s="12"/>
      <c r="Q320" s="12"/>
      <c r="T320" s="12"/>
      <c r="W320" s="12"/>
      <c r="Z320" s="12"/>
      <c r="AC320" s="12"/>
    </row>
    <row r="321">
      <c r="H321" s="12"/>
      <c r="K321" s="12"/>
      <c r="N321" s="12"/>
      <c r="Q321" s="12"/>
      <c r="T321" s="12"/>
      <c r="W321" s="12"/>
      <c r="Z321" s="12"/>
      <c r="AC321" s="12"/>
    </row>
    <row r="322">
      <c r="H322" s="12"/>
      <c r="K322" s="12"/>
      <c r="N322" s="12"/>
      <c r="Q322" s="12"/>
      <c r="T322" s="12"/>
      <c r="W322" s="12"/>
      <c r="Z322" s="12"/>
      <c r="AC322" s="12"/>
    </row>
    <row r="323">
      <c r="H323" s="12"/>
      <c r="K323" s="12"/>
      <c r="N323" s="12"/>
      <c r="Q323" s="12"/>
      <c r="T323" s="12"/>
      <c r="W323" s="12"/>
      <c r="Z323" s="12"/>
      <c r="AC323" s="12"/>
    </row>
    <row r="324">
      <c r="H324" s="12"/>
      <c r="K324" s="12"/>
      <c r="N324" s="12"/>
      <c r="Q324" s="12"/>
      <c r="T324" s="12"/>
      <c r="W324" s="12"/>
      <c r="Z324" s="12"/>
      <c r="AC324" s="12"/>
    </row>
    <row r="325">
      <c r="H325" s="12"/>
      <c r="K325" s="12"/>
      <c r="N325" s="12"/>
      <c r="Q325" s="12"/>
      <c r="T325" s="12"/>
      <c r="W325" s="12"/>
      <c r="Z325" s="12"/>
      <c r="AC325" s="12"/>
    </row>
    <row r="326">
      <c r="H326" s="12"/>
      <c r="K326" s="12"/>
      <c r="N326" s="12"/>
      <c r="Q326" s="12"/>
      <c r="T326" s="12"/>
      <c r="W326" s="12"/>
      <c r="Z326" s="12"/>
      <c r="AC326" s="12"/>
    </row>
    <row r="327">
      <c r="H327" s="12"/>
      <c r="K327" s="12"/>
      <c r="N327" s="12"/>
      <c r="Q327" s="12"/>
      <c r="T327" s="12"/>
      <c r="W327" s="12"/>
      <c r="Z327" s="12"/>
      <c r="AC327" s="12"/>
    </row>
    <row r="328">
      <c r="H328" s="12"/>
      <c r="K328" s="12"/>
      <c r="N328" s="12"/>
      <c r="Q328" s="12"/>
      <c r="T328" s="12"/>
      <c r="W328" s="12"/>
      <c r="Z328" s="12"/>
      <c r="AC328" s="12"/>
    </row>
    <row r="329">
      <c r="H329" s="12"/>
      <c r="K329" s="12"/>
      <c r="N329" s="12"/>
      <c r="Q329" s="12"/>
      <c r="T329" s="12"/>
      <c r="W329" s="12"/>
      <c r="Z329" s="12"/>
      <c r="AC329" s="12"/>
    </row>
    <row r="330">
      <c r="H330" s="12"/>
      <c r="K330" s="12"/>
      <c r="N330" s="12"/>
      <c r="Q330" s="12"/>
      <c r="T330" s="12"/>
      <c r="W330" s="12"/>
      <c r="Z330" s="12"/>
      <c r="AC330" s="12"/>
    </row>
    <row r="331">
      <c r="H331" s="12"/>
      <c r="K331" s="12"/>
      <c r="N331" s="12"/>
      <c r="Q331" s="12"/>
      <c r="T331" s="12"/>
      <c r="W331" s="12"/>
      <c r="Z331" s="12"/>
      <c r="AC331" s="12"/>
    </row>
    <row r="332">
      <c r="H332" s="12"/>
      <c r="K332" s="12"/>
      <c r="N332" s="12"/>
      <c r="Q332" s="12"/>
      <c r="T332" s="12"/>
      <c r="W332" s="12"/>
      <c r="Z332" s="12"/>
      <c r="AC332" s="12"/>
    </row>
    <row r="333">
      <c r="H333" s="12"/>
      <c r="K333" s="12"/>
      <c r="N333" s="12"/>
      <c r="Q333" s="12"/>
      <c r="T333" s="12"/>
      <c r="W333" s="12"/>
      <c r="Z333" s="12"/>
      <c r="AC333" s="12"/>
    </row>
    <row r="334">
      <c r="H334" s="12"/>
      <c r="K334" s="12"/>
      <c r="N334" s="12"/>
      <c r="Q334" s="12"/>
      <c r="T334" s="12"/>
      <c r="W334" s="12"/>
      <c r="Z334" s="12"/>
      <c r="AC334" s="12"/>
    </row>
    <row r="335">
      <c r="H335" s="12"/>
      <c r="K335" s="12"/>
      <c r="N335" s="12"/>
      <c r="Q335" s="12"/>
      <c r="T335" s="12"/>
      <c r="W335" s="12"/>
      <c r="Z335" s="12"/>
      <c r="AC335" s="12"/>
    </row>
    <row r="336">
      <c r="H336" s="12"/>
      <c r="K336" s="12"/>
      <c r="N336" s="12"/>
      <c r="Q336" s="12"/>
      <c r="T336" s="12"/>
      <c r="W336" s="12"/>
      <c r="Z336" s="12"/>
      <c r="AC336" s="12"/>
    </row>
    <row r="337">
      <c r="H337" s="12"/>
      <c r="K337" s="12"/>
      <c r="N337" s="12"/>
      <c r="Q337" s="12"/>
      <c r="T337" s="12"/>
      <c r="W337" s="12"/>
      <c r="Z337" s="12"/>
      <c r="AC337" s="12"/>
    </row>
    <row r="338">
      <c r="H338" s="12"/>
      <c r="K338" s="12"/>
      <c r="N338" s="12"/>
      <c r="Q338" s="12"/>
      <c r="T338" s="12"/>
      <c r="W338" s="12"/>
      <c r="Z338" s="12"/>
      <c r="AC338" s="12"/>
    </row>
    <row r="339">
      <c r="H339" s="12"/>
      <c r="K339" s="12"/>
      <c r="N339" s="12"/>
      <c r="Q339" s="12"/>
      <c r="T339" s="12"/>
      <c r="W339" s="12"/>
      <c r="Z339" s="12"/>
      <c r="AC339" s="12"/>
    </row>
    <row r="340">
      <c r="H340" s="12"/>
      <c r="K340" s="12"/>
      <c r="N340" s="12"/>
      <c r="Q340" s="12"/>
      <c r="T340" s="12"/>
      <c r="W340" s="12"/>
      <c r="Z340" s="12"/>
      <c r="AC340" s="12"/>
    </row>
    <row r="341">
      <c r="H341" s="12"/>
      <c r="K341" s="12"/>
      <c r="N341" s="12"/>
      <c r="Q341" s="12"/>
      <c r="T341" s="12"/>
      <c r="W341" s="12"/>
      <c r="Z341" s="12"/>
      <c r="AC341" s="12"/>
    </row>
    <row r="342">
      <c r="H342" s="12"/>
      <c r="K342" s="12"/>
      <c r="N342" s="12"/>
      <c r="Q342" s="12"/>
      <c r="T342" s="12"/>
      <c r="W342" s="12"/>
      <c r="Z342" s="12"/>
      <c r="AC342" s="12"/>
    </row>
    <row r="343">
      <c r="H343" s="12"/>
      <c r="K343" s="12"/>
      <c r="N343" s="12"/>
      <c r="Q343" s="12"/>
      <c r="T343" s="12"/>
      <c r="W343" s="12"/>
      <c r="Z343" s="12"/>
      <c r="AC343" s="12"/>
    </row>
    <row r="344">
      <c r="H344" s="12"/>
      <c r="K344" s="12"/>
      <c r="N344" s="12"/>
      <c r="Q344" s="12"/>
      <c r="T344" s="12"/>
      <c r="W344" s="12"/>
      <c r="Z344" s="12"/>
      <c r="AC344" s="12"/>
    </row>
    <row r="345">
      <c r="H345" s="12"/>
      <c r="K345" s="12"/>
      <c r="N345" s="12"/>
      <c r="Q345" s="12"/>
      <c r="T345" s="12"/>
      <c r="W345" s="12"/>
      <c r="Z345" s="12"/>
      <c r="AC345" s="12"/>
    </row>
    <row r="346">
      <c r="H346" s="12"/>
      <c r="K346" s="12"/>
      <c r="N346" s="12"/>
      <c r="Q346" s="12"/>
      <c r="T346" s="12"/>
      <c r="W346" s="12"/>
      <c r="Z346" s="12"/>
      <c r="AC346" s="12"/>
    </row>
    <row r="347">
      <c r="H347" s="12"/>
      <c r="K347" s="12"/>
      <c r="N347" s="12"/>
      <c r="Q347" s="12"/>
      <c r="T347" s="12"/>
      <c r="W347" s="12"/>
      <c r="Z347" s="12"/>
      <c r="AC347" s="12"/>
    </row>
    <row r="348">
      <c r="H348" s="12"/>
      <c r="K348" s="12"/>
      <c r="N348" s="12"/>
      <c r="Q348" s="12"/>
      <c r="T348" s="12"/>
      <c r="W348" s="12"/>
      <c r="Z348" s="12"/>
      <c r="AC348" s="12"/>
    </row>
    <row r="349">
      <c r="H349" s="12"/>
      <c r="K349" s="12"/>
      <c r="N349" s="12"/>
      <c r="Q349" s="12"/>
      <c r="T349" s="12"/>
      <c r="W349" s="12"/>
      <c r="Z349" s="12"/>
      <c r="AC349" s="12"/>
    </row>
    <row r="350">
      <c r="H350" s="12"/>
      <c r="K350" s="12"/>
      <c r="N350" s="12"/>
      <c r="Q350" s="12"/>
      <c r="T350" s="12"/>
      <c r="W350" s="12"/>
      <c r="Z350" s="12"/>
      <c r="AC350" s="12"/>
    </row>
    <row r="351">
      <c r="H351" s="12"/>
      <c r="K351" s="12"/>
      <c r="N351" s="12"/>
      <c r="Q351" s="12"/>
      <c r="T351" s="12"/>
      <c r="W351" s="12"/>
      <c r="Z351" s="12"/>
      <c r="AC351" s="12"/>
    </row>
    <row r="352">
      <c r="H352" s="12"/>
      <c r="K352" s="12"/>
      <c r="N352" s="12"/>
      <c r="Q352" s="12"/>
      <c r="T352" s="12"/>
      <c r="W352" s="12"/>
      <c r="Z352" s="12"/>
      <c r="AC352" s="12"/>
    </row>
    <row r="353">
      <c r="H353" s="12"/>
      <c r="K353" s="12"/>
      <c r="N353" s="12"/>
      <c r="Q353" s="12"/>
      <c r="T353" s="12"/>
      <c r="W353" s="12"/>
      <c r="Z353" s="12"/>
      <c r="AC353" s="12"/>
    </row>
    <row r="354">
      <c r="H354" s="12"/>
      <c r="K354" s="12"/>
      <c r="N354" s="12"/>
      <c r="Q354" s="12"/>
      <c r="T354" s="12"/>
      <c r="W354" s="12"/>
      <c r="Z354" s="12"/>
      <c r="AC354" s="12"/>
    </row>
    <row r="355">
      <c r="H355" s="12"/>
      <c r="K355" s="12"/>
      <c r="N355" s="12"/>
      <c r="Q355" s="12"/>
      <c r="T355" s="12"/>
      <c r="W355" s="12"/>
      <c r="Z355" s="12"/>
      <c r="AC355" s="12"/>
    </row>
    <row r="356">
      <c r="H356" s="12"/>
      <c r="K356" s="12"/>
      <c r="N356" s="12"/>
      <c r="Q356" s="12"/>
      <c r="T356" s="12"/>
      <c r="W356" s="12"/>
      <c r="Z356" s="12"/>
      <c r="AC356" s="12"/>
    </row>
    <row r="357">
      <c r="H357" s="12"/>
      <c r="K357" s="12"/>
      <c r="N357" s="12"/>
      <c r="Q357" s="12"/>
      <c r="T357" s="12"/>
      <c r="W357" s="12"/>
      <c r="Z357" s="12"/>
      <c r="AC357" s="12"/>
    </row>
    <row r="358">
      <c r="H358" s="12"/>
      <c r="K358" s="12"/>
      <c r="N358" s="12"/>
      <c r="Q358" s="12"/>
      <c r="T358" s="12"/>
      <c r="W358" s="12"/>
      <c r="Z358" s="12"/>
      <c r="AC358" s="12"/>
    </row>
    <row r="359">
      <c r="H359" s="12"/>
      <c r="K359" s="12"/>
      <c r="N359" s="12"/>
      <c r="Q359" s="12"/>
      <c r="T359" s="12"/>
      <c r="W359" s="12"/>
      <c r="Z359" s="12"/>
      <c r="AC359" s="12"/>
    </row>
    <row r="360">
      <c r="H360" s="12"/>
      <c r="K360" s="12"/>
      <c r="N360" s="12"/>
      <c r="Q360" s="12"/>
      <c r="T360" s="12"/>
      <c r="W360" s="12"/>
      <c r="Z360" s="12"/>
      <c r="AC360" s="12"/>
    </row>
    <row r="361">
      <c r="H361" s="12"/>
      <c r="K361" s="12"/>
      <c r="N361" s="12"/>
      <c r="Q361" s="12"/>
      <c r="T361" s="12"/>
      <c r="W361" s="12"/>
      <c r="Z361" s="12"/>
      <c r="AC361" s="12"/>
    </row>
    <row r="362">
      <c r="H362" s="12"/>
      <c r="K362" s="12"/>
      <c r="N362" s="12"/>
      <c r="Q362" s="12"/>
      <c r="T362" s="12"/>
      <c r="W362" s="12"/>
      <c r="Z362" s="12"/>
      <c r="AC362" s="12"/>
    </row>
    <row r="363">
      <c r="H363" s="12"/>
      <c r="K363" s="12"/>
      <c r="N363" s="12"/>
      <c r="Q363" s="12"/>
      <c r="T363" s="12"/>
      <c r="W363" s="12"/>
      <c r="Z363" s="12"/>
      <c r="AC363" s="12"/>
    </row>
    <row r="364">
      <c r="H364" s="12"/>
      <c r="K364" s="12"/>
      <c r="N364" s="12"/>
      <c r="Q364" s="12"/>
      <c r="T364" s="12"/>
      <c r="W364" s="12"/>
      <c r="Z364" s="12"/>
      <c r="AC364" s="12"/>
    </row>
    <row r="365">
      <c r="H365" s="12"/>
      <c r="K365" s="12"/>
      <c r="N365" s="12"/>
      <c r="Q365" s="12"/>
      <c r="T365" s="12"/>
      <c r="W365" s="12"/>
      <c r="Z365" s="12"/>
      <c r="AC365" s="12"/>
    </row>
    <row r="366">
      <c r="H366" s="12"/>
      <c r="K366" s="12"/>
      <c r="N366" s="12"/>
      <c r="Q366" s="12"/>
      <c r="T366" s="12"/>
      <c r="W366" s="12"/>
      <c r="Z366" s="12"/>
      <c r="AC366" s="12"/>
    </row>
    <row r="367">
      <c r="H367" s="12"/>
      <c r="K367" s="12"/>
      <c r="N367" s="12"/>
      <c r="Q367" s="12"/>
      <c r="T367" s="12"/>
      <c r="W367" s="12"/>
      <c r="Z367" s="12"/>
      <c r="AC367" s="12"/>
    </row>
    <row r="368">
      <c r="H368" s="12"/>
      <c r="K368" s="12"/>
      <c r="N368" s="12"/>
      <c r="Q368" s="12"/>
      <c r="T368" s="12"/>
      <c r="W368" s="12"/>
      <c r="Z368" s="12"/>
      <c r="AC368" s="12"/>
    </row>
    <row r="369">
      <c r="H369" s="12"/>
      <c r="K369" s="12"/>
      <c r="N369" s="12"/>
      <c r="Q369" s="12"/>
      <c r="T369" s="12"/>
      <c r="W369" s="12"/>
      <c r="Z369" s="12"/>
      <c r="AC369" s="12"/>
    </row>
    <row r="370">
      <c r="H370" s="12"/>
      <c r="K370" s="12"/>
      <c r="N370" s="12"/>
      <c r="Q370" s="12"/>
      <c r="T370" s="12"/>
      <c r="W370" s="12"/>
      <c r="Z370" s="12"/>
      <c r="AC370" s="12"/>
    </row>
    <row r="371">
      <c r="H371" s="12"/>
      <c r="K371" s="12"/>
      <c r="N371" s="12"/>
      <c r="Q371" s="12"/>
      <c r="T371" s="12"/>
      <c r="W371" s="12"/>
      <c r="Z371" s="12"/>
      <c r="AC371" s="12"/>
    </row>
    <row r="372">
      <c r="H372" s="12"/>
      <c r="K372" s="12"/>
      <c r="N372" s="12"/>
      <c r="Q372" s="12"/>
      <c r="T372" s="12"/>
      <c r="W372" s="12"/>
      <c r="Z372" s="12"/>
      <c r="AC372" s="12"/>
    </row>
    <row r="373">
      <c r="H373" s="12"/>
      <c r="K373" s="12"/>
      <c r="N373" s="12"/>
      <c r="Q373" s="12"/>
      <c r="T373" s="12"/>
      <c r="W373" s="12"/>
      <c r="Z373" s="12"/>
      <c r="AC373" s="12"/>
    </row>
    <row r="374">
      <c r="H374" s="12"/>
      <c r="K374" s="12"/>
      <c r="N374" s="12"/>
      <c r="Q374" s="12"/>
      <c r="T374" s="12"/>
      <c r="W374" s="12"/>
      <c r="Z374" s="12"/>
      <c r="AC374" s="12"/>
    </row>
    <row r="375">
      <c r="H375" s="12"/>
      <c r="K375" s="12"/>
      <c r="N375" s="12"/>
      <c r="Q375" s="12"/>
      <c r="T375" s="12"/>
      <c r="W375" s="12"/>
      <c r="Z375" s="12"/>
      <c r="AC375" s="12"/>
    </row>
    <row r="376">
      <c r="H376" s="12"/>
      <c r="K376" s="12"/>
      <c r="N376" s="12"/>
      <c r="Q376" s="12"/>
      <c r="T376" s="12"/>
      <c r="W376" s="12"/>
      <c r="Z376" s="12"/>
      <c r="AC376" s="12"/>
    </row>
    <row r="377">
      <c r="H377" s="12"/>
      <c r="K377" s="12"/>
      <c r="N377" s="12"/>
      <c r="Q377" s="12"/>
      <c r="T377" s="12"/>
      <c r="W377" s="12"/>
      <c r="Z377" s="12"/>
      <c r="AC377" s="12"/>
    </row>
    <row r="378">
      <c r="H378" s="12"/>
      <c r="K378" s="12"/>
      <c r="N378" s="12"/>
      <c r="Q378" s="12"/>
      <c r="T378" s="12"/>
      <c r="W378" s="12"/>
      <c r="Z378" s="12"/>
      <c r="AC378" s="12"/>
    </row>
    <row r="379">
      <c r="H379" s="12"/>
      <c r="K379" s="12"/>
      <c r="N379" s="12"/>
      <c r="Q379" s="12"/>
      <c r="T379" s="12"/>
      <c r="W379" s="12"/>
      <c r="Z379" s="12"/>
      <c r="AC379" s="12"/>
    </row>
    <row r="380">
      <c r="H380" s="12"/>
      <c r="K380" s="12"/>
      <c r="N380" s="12"/>
      <c r="Q380" s="12"/>
      <c r="T380" s="12"/>
      <c r="W380" s="12"/>
      <c r="Z380" s="12"/>
      <c r="AC380" s="12"/>
    </row>
    <row r="381">
      <c r="H381" s="12"/>
      <c r="K381" s="12"/>
      <c r="N381" s="12"/>
      <c r="Q381" s="12"/>
      <c r="T381" s="12"/>
      <c r="W381" s="12"/>
      <c r="Z381" s="12"/>
      <c r="AC381" s="12"/>
    </row>
    <row r="382">
      <c r="H382" s="12"/>
      <c r="K382" s="12"/>
      <c r="N382" s="12"/>
      <c r="Q382" s="12"/>
      <c r="T382" s="12"/>
      <c r="W382" s="12"/>
      <c r="Z382" s="12"/>
      <c r="AC382" s="12"/>
    </row>
    <row r="383">
      <c r="H383" s="12"/>
      <c r="K383" s="12"/>
      <c r="N383" s="12"/>
      <c r="Q383" s="12"/>
      <c r="T383" s="12"/>
      <c r="W383" s="12"/>
      <c r="Z383" s="12"/>
      <c r="AC383" s="12"/>
    </row>
    <row r="384">
      <c r="H384" s="12"/>
      <c r="K384" s="12"/>
      <c r="N384" s="12"/>
      <c r="Q384" s="12"/>
      <c r="T384" s="12"/>
      <c r="W384" s="12"/>
      <c r="Z384" s="12"/>
      <c r="AC384" s="12"/>
    </row>
    <row r="385">
      <c r="H385" s="12"/>
      <c r="K385" s="12"/>
      <c r="N385" s="12"/>
      <c r="Q385" s="12"/>
      <c r="T385" s="12"/>
      <c r="W385" s="12"/>
      <c r="Z385" s="12"/>
      <c r="AC385" s="12"/>
    </row>
    <row r="386">
      <c r="H386" s="12"/>
      <c r="K386" s="12"/>
      <c r="N386" s="12"/>
      <c r="Q386" s="12"/>
      <c r="T386" s="12"/>
      <c r="W386" s="12"/>
      <c r="Z386" s="12"/>
      <c r="AC386" s="12"/>
    </row>
    <row r="387">
      <c r="H387" s="12"/>
      <c r="K387" s="12"/>
      <c r="N387" s="12"/>
      <c r="Q387" s="12"/>
      <c r="T387" s="12"/>
      <c r="W387" s="12"/>
      <c r="Z387" s="12"/>
      <c r="AC387" s="12"/>
    </row>
    <row r="388">
      <c r="H388" s="12"/>
      <c r="K388" s="12"/>
      <c r="N388" s="12"/>
      <c r="Q388" s="12"/>
      <c r="T388" s="12"/>
      <c r="W388" s="12"/>
      <c r="Z388" s="12"/>
      <c r="AC388" s="12"/>
    </row>
    <row r="389">
      <c r="H389" s="12"/>
      <c r="K389" s="12"/>
      <c r="N389" s="12"/>
      <c r="Q389" s="12"/>
      <c r="T389" s="12"/>
      <c r="W389" s="12"/>
      <c r="Z389" s="12"/>
      <c r="AC389" s="12"/>
    </row>
    <row r="390">
      <c r="H390" s="12"/>
      <c r="K390" s="12"/>
      <c r="N390" s="12"/>
      <c r="Q390" s="12"/>
      <c r="T390" s="12"/>
      <c r="W390" s="12"/>
      <c r="Z390" s="12"/>
      <c r="AC390" s="12"/>
    </row>
    <row r="391">
      <c r="H391" s="12"/>
      <c r="K391" s="12"/>
      <c r="N391" s="12"/>
      <c r="Q391" s="12"/>
      <c r="T391" s="12"/>
      <c r="W391" s="12"/>
      <c r="Z391" s="12"/>
      <c r="AC391" s="12"/>
    </row>
    <row r="392">
      <c r="H392" s="12"/>
      <c r="K392" s="12"/>
      <c r="N392" s="12"/>
      <c r="Q392" s="12"/>
      <c r="T392" s="12"/>
      <c r="W392" s="12"/>
      <c r="Z392" s="12"/>
      <c r="AC392" s="12"/>
    </row>
    <row r="393">
      <c r="H393" s="12"/>
      <c r="K393" s="12"/>
      <c r="N393" s="12"/>
      <c r="Q393" s="12"/>
      <c r="T393" s="12"/>
      <c r="W393" s="12"/>
      <c r="Z393" s="12"/>
      <c r="AC393" s="12"/>
    </row>
    <row r="394">
      <c r="H394" s="12"/>
      <c r="K394" s="12"/>
      <c r="N394" s="12"/>
      <c r="Q394" s="12"/>
      <c r="T394" s="12"/>
      <c r="W394" s="12"/>
      <c r="Z394" s="12"/>
      <c r="AC394" s="12"/>
    </row>
    <row r="395">
      <c r="H395" s="12"/>
      <c r="K395" s="12"/>
      <c r="N395" s="12"/>
      <c r="Q395" s="12"/>
      <c r="T395" s="12"/>
      <c r="W395" s="12"/>
      <c r="Z395" s="12"/>
      <c r="AC395" s="12"/>
    </row>
    <row r="396">
      <c r="H396" s="12"/>
      <c r="K396" s="12"/>
      <c r="N396" s="12"/>
      <c r="Q396" s="12"/>
      <c r="T396" s="12"/>
      <c r="W396" s="12"/>
      <c r="Z396" s="12"/>
      <c r="AC396" s="12"/>
    </row>
    <row r="397">
      <c r="H397" s="12"/>
      <c r="K397" s="12"/>
      <c r="N397" s="12"/>
      <c r="Q397" s="12"/>
      <c r="T397" s="12"/>
      <c r="W397" s="12"/>
      <c r="Z397" s="12"/>
      <c r="AC397" s="12"/>
    </row>
    <row r="398">
      <c r="H398" s="12"/>
      <c r="K398" s="12"/>
      <c r="N398" s="12"/>
      <c r="Q398" s="12"/>
      <c r="T398" s="12"/>
      <c r="W398" s="12"/>
      <c r="Z398" s="12"/>
      <c r="AC398" s="12"/>
    </row>
    <row r="399">
      <c r="H399" s="12"/>
      <c r="K399" s="12"/>
      <c r="N399" s="12"/>
      <c r="Q399" s="12"/>
      <c r="T399" s="12"/>
      <c r="W399" s="12"/>
      <c r="Z399" s="12"/>
      <c r="AC399" s="12"/>
    </row>
    <row r="400">
      <c r="H400" s="12"/>
      <c r="K400" s="12"/>
      <c r="N400" s="12"/>
      <c r="Q400" s="12"/>
      <c r="T400" s="12"/>
      <c r="W400" s="12"/>
      <c r="Z400" s="12"/>
      <c r="AC400" s="12"/>
    </row>
    <row r="401">
      <c r="H401" s="12"/>
      <c r="K401" s="12"/>
      <c r="N401" s="12"/>
      <c r="Q401" s="12"/>
      <c r="T401" s="12"/>
      <c r="W401" s="12"/>
      <c r="Z401" s="12"/>
      <c r="AC401" s="12"/>
    </row>
    <row r="402">
      <c r="H402" s="12"/>
      <c r="K402" s="12"/>
      <c r="N402" s="12"/>
      <c r="Q402" s="12"/>
      <c r="T402" s="12"/>
      <c r="W402" s="12"/>
      <c r="Z402" s="12"/>
      <c r="AC402" s="12"/>
    </row>
    <row r="403">
      <c r="H403" s="12"/>
      <c r="K403" s="12"/>
      <c r="N403" s="12"/>
      <c r="Q403" s="12"/>
      <c r="T403" s="12"/>
      <c r="W403" s="12"/>
      <c r="Z403" s="12"/>
      <c r="AC403" s="12"/>
    </row>
    <row r="404">
      <c r="H404" s="12"/>
      <c r="K404" s="12"/>
      <c r="N404" s="12"/>
      <c r="Q404" s="12"/>
      <c r="T404" s="12"/>
      <c r="W404" s="12"/>
      <c r="Z404" s="12"/>
      <c r="AC404" s="12"/>
    </row>
    <row r="405">
      <c r="H405" s="12"/>
      <c r="K405" s="12"/>
      <c r="N405" s="12"/>
      <c r="Q405" s="12"/>
      <c r="T405" s="12"/>
      <c r="W405" s="12"/>
      <c r="Z405" s="12"/>
      <c r="AC405" s="12"/>
    </row>
    <row r="406">
      <c r="H406" s="12"/>
      <c r="K406" s="12"/>
      <c r="N406" s="12"/>
      <c r="Q406" s="12"/>
      <c r="T406" s="12"/>
      <c r="W406" s="12"/>
      <c r="Z406" s="12"/>
      <c r="AC406" s="12"/>
    </row>
    <row r="407">
      <c r="H407" s="12"/>
      <c r="K407" s="12"/>
      <c r="N407" s="12"/>
      <c r="Q407" s="12"/>
      <c r="T407" s="12"/>
      <c r="W407" s="12"/>
      <c r="Z407" s="12"/>
      <c r="AC407" s="12"/>
    </row>
    <row r="408">
      <c r="H408" s="12"/>
      <c r="K408" s="12"/>
      <c r="N408" s="12"/>
      <c r="Q408" s="12"/>
      <c r="T408" s="12"/>
      <c r="W408" s="12"/>
      <c r="Z408" s="12"/>
      <c r="AC408" s="12"/>
    </row>
    <row r="409">
      <c r="H409" s="12"/>
      <c r="K409" s="12"/>
      <c r="N409" s="12"/>
      <c r="Q409" s="12"/>
      <c r="T409" s="12"/>
      <c r="W409" s="12"/>
      <c r="Z409" s="12"/>
      <c r="AC409" s="12"/>
    </row>
    <row r="410">
      <c r="H410" s="12"/>
      <c r="K410" s="12"/>
      <c r="N410" s="12"/>
      <c r="Q410" s="12"/>
      <c r="T410" s="12"/>
      <c r="W410" s="12"/>
      <c r="Z410" s="12"/>
      <c r="AC410" s="12"/>
    </row>
    <row r="411">
      <c r="H411" s="12"/>
      <c r="K411" s="12"/>
      <c r="N411" s="12"/>
      <c r="Q411" s="12"/>
      <c r="T411" s="12"/>
      <c r="W411" s="12"/>
      <c r="Z411" s="12"/>
      <c r="AC411" s="12"/>
    </row>
    <row r="412">
      <c r="H412" s="12"/>
      <c r="K412" s="12"/>
      <c r="N412" s="12"/>
      <c r="Q412" s="12"/>
      <c r="T412" s="12"/>
      <c r="W412" s="12"/>
      <c r="Z412" s="12"/>
      <c r="AC412" s="12"/>
    </row>
    <row r="413">
      <c r="H413" s="12"/>
      <c r="K413" s="12"/>
      <c r="N413" s="12"/>
      <c r="Q413" s="12"/>
      <c r="T413" s="12"/>
      <c r="W413" s="12"/>
      <c r="Z413" s="12"/>
      <c r="AC413" s="12"/>
    </row>
    <row r="414">
      <c r="H414" s="12"/>
      <c r="K414" s="12"/>
      <c r="N414" s="12"/>
      <c r="Q414" s="12"/>
      <c r="T414" s="12"/>
      <c r="W414" s="12"/>
      <c r="Z414" s="12"/>
      <c r="AC414" s="12"/>
    </row>
    <row r="415">
      <c r="H415" s="12"/>
      <c r="K415" s="12"/>
      <c r="N415" s="12"/>
      <c r="Q415" s="12"/>
      <c r="T415" s="12"/>
      <c r="W415" s="12"/>
      <c r="Z415" s="12"/>
      <c r="AC415" s="12"/>
    </row>
    <row r="416">
      <c r="H416" s="12"/>
      <c r="K416" s="12"/>
      <c r="N416" s="12"/>
      <c r="Q416" s="12"/>
      <c r="T416" s="12"/>
      <c r="W416" s="12"/>
      <c r="Z416" s="12"/>
      <c r="AC416" s="12"/>
    </row>
    <row r="417">
      <c r="H417" s="12"/>
      <c r="K417" s="12"/>
      <c r="N417" s="12"/>
      <c r="Q417" s="12"/>
      <c r="T417" s="12"/>
      <c r="W417" s="12"/>
      <c r="Z417" s="12"/>
      <c r="AC417" s="12"/>
    </row>
    <row r="418">
      <c r="H418" s="12"/>
      <c r="K418" s="12"/>
      <c r="N418" s="12"/>
      <c r="Q418" s="12"/>
      <c r="T418" s="12"/>
      <c r="W418" s="12"/>
      <c r="Z418" s="12"/>
      <c r="AC418" s="12"/>
    </row>
    <row r="419">
      <c r="H419" s="12"/>
      <c r="K419" s="12"/>
      <c r="N419" s="12"/>
      <c r="Q419" s="12"/>
      <c r="T419" s="12"/>
      <c r="W419" s="12"/>
      <c r="Z419" s="12"/>
      <c r="AC419" s="12"/>
    </row>
    <row r="420">
      <c r="H420" s="12"/>
      <c r="K420" s="12"/>
      <c r="N420" s="12"/>
      <c r="Q420" s="12"/>
      <c r="T420" s="12"/>
      <c r="W420" s="12"/>
      <c r="Z420" s="12"/>
      <c r="AC420" s="12"/>
    </row>
    <row r="421">
      <c r="H421" s="12"/>
      <c r="K421" s="12"/>
      <c r="N421" s="12"/>
      <c r="Q421" s="12"/>
      <c r="T421" s="12"/>
      <c r="W421" s="12"/>
      <c r="Z421" s="12"/>
      <c r="AC421" s="12"/>
    </row>
    <row r="422">
      <c r="H422" s="12"/>
      <c r="K422" s="12"/>
      <c r="N422" s="12"/>
      <c r="Q422" s="12"/>
      <c r="T422" s="12"/>
      <c r="W422" s="12"/>
      <c r="Z422" s="12"/>
      <c r="AC422" s="12"/>
    </row>
    <row r="423">
      <c r="H423" s="12"/>
      <c r="K423" s="12"/>
      <c r="N423" s="12"/>
      <c r="Q423" s="12"/>
      <c r="T423" s="12"/>
      <c r="W423" s="12"/>
      <c r="Z423" s="12"/>
      <c r="AC423" s="12"/>
    </row>
    <row r="424">
      <c r="H424" s="12"/>
      <c r="K424" s="12"/>
      <c r="N424" s="12"/>
      <c r="Q424" s="12"/>
      <c r="T424" s="12"/>
      <c r="W424" s="12"/>
      <c r="Z424" s="12"/>
      <c r="AC424" s="12"/>
    </row>
    <row r="425">
      <c r="H425" s="12"/>
      <c r="K425" s="12"/>
      <c r="N425" s="12"/>
      <c r="Q425" s="12"/>
      <c r="T425" s="12"/>
      <c r="W425" s="12"/>
      <c r="Z425" s="12"/>
      <c r="AC425" s="12"/>
    </row>
    <row r="426">
      <c r="H426" s="12"/>
      <c r="K426" s="12"/>
      <c r="N426" s="12"/>
      <c r="Q426" s="12"/>
      <c r="T426" s="12"/>
      <c r="W426" s="12"/>
      <c r="Z426" s="12"/>
      <c r="AC426" s="12"/>
    </row>
    <row r="427">
      <c r="H427" s="12"/>
      <c r="K427" s="12"/>
      <c r="N427" s="12"/>
      <c r="Q427" s="12"/>
      <c r="T427" s="12"/>
      <c r="W427" s="12"/>
      <c r="Z427" s="12"/>
      <c r="AC427" s="12"/>
    </row>
    <row r="428">
      <c r="H428" s="12"/>
      <c r="K428" s="12"/>
      <c r="N428" s="12"/>
      <c r="Q428" s="12"/>
      <c r="T428" s="12"/>
      <c r="W428" s="12"/>
      <c r="Z428" s="12"/>
      <c r="AC428" s="12"/>
    </row>
    <row r="429">
      <c r="H429" s="12"/>
      <c r="K429" s="12"/>
      <c r="N429" s="12"/>
      <c r="Q429" s="12"/>
      <c r="T429" s="12"/>
      <c r="W429" s="12"/>
      <c r="Z429" s="12"/>
      <c r="AC429" s="12"/>
    </row>
    <row r="430">
      <c r="H430" s="12"/>
      <c r="K430" s="12"/>
      <c r="N430" s="12"/>
      <c r="Q430" s="12"/>
      <c r="T430" s="12"/>
      <c r="W430" s="12"/>
      <c r="Z430" s="12"/>
      <c r="AC430" s="12"/>
    </row>
    <row r="431">
      <c r="H431" s="12"/>
      <c r="K431" s="12"/>
      <c r="N431" s="12"/>
      <c r="Q431" s="12"/>
      <c r="T431" s="12"/>
      <c r="W431" s="12"/>
      <c r="Z431" s="12"/>
      <c r="AC431" s="12"/>
    </row>
    <row r="432">
      <c r="H432" s="12"/>
      <c r="K432" s="12"/>
      <c r="N432" s="12"/>
      <c r="Q432" s="12"/>
      <c r="T432" s="12"/>
      <c r="W432" s="12"/>
      <c r="Z432" s="12"/>
      <c r="AC432" s="12"/>
    </row>
    <row r="433">
      <c r="H433" s="12"/>
      <c r="K433" s="12"/>
      <c r="N433" s="12"/>
      <c r="Q433" s="12"/>
      <c r="T433" s="12"/>
      <c r="W433" s="12"/>
      <c r="Z433" s="12"/>
      <c r="AC433" s="12"/>
    </row>
    <row r="434">
      <c r="H434" s="12"/>
      <c r="K434" s="12"/>
      <c r="N434" s="12"/>
      <c r="Q434" s="12"/>
      <c r="T434" s="12"/>
      <c r="W434" s="12"/>
      <c r="Z434" s="12"/>
      <c r="AC434" s="12"/>
    </row>
    <row r="435">
      <c r="H435" s="12"/>
      <c r="K435" s="12"/>
      <c r="N435" s="12"/>
      <c r="Q435" s="12"/>
      <c r="T435" s="12"/>
      <c r="W435" s="12"/>
      <c r="Z435" s="12"/>
      <c r="AC435" s="12"/>
    </row>
    <row r="436">
      <c r="H436" s="12"/>
      <c r="K436" s="12"/>
      <c r="N436" s="12"/>
      <c r="Q436" s="12"/>
      <c r="T436" s="12"/>
      <c r="W436" s="12"/>
      <c r="Z436" s="12"/>
      <c r="AC436" s="12"/>
    </row>
    <row r="437">
      <c r="H437" s="12"/>
      <c r="K437" s="12"/>
      <c r="N437" s="12"/>
      <c r="Q437" s="12"/>
      <c r="T437" s="12"/>
      <c r="W437" s="12"/>
      <c r="Z437" s="12"/>
      <c r="AC437" s="12"/>
    </row>
    <row r="438">
      <c r="H438" s="12"/>
      <c r="K438" s="12"/>
      <c r="N438" s="12"/>
      <c r="Q438" s="12"/>
      <c r="T438" s="12"/>
      <c r="W438" s="12"/>
      <c r="Z438" s="12"/>
      <c r="AC438" s="12"/>
    </row>
    <row r="439">
      <c r="H439" s="12"/>
      <c r="K439" s="12"/>
      <c r="N439" s="12"/>
      <c r="Q439" s="12"/>
      <c r="T439" s="12"/>
      <c r="W439" s="12"/>
      <c r="Z439" s="12"/>
      <c r="AC439" s="12"/>
    </row>
    <row r="440">
      <c r="H440" s="12"/>
      <c r="K440" s="12"/>
      <c r="N440" s="12"/>
      <c r="Q440" s="12"/>
      <c r="T440" s="12"/>
      <c r="W440" s="12"/>
      <c r="Z440" s="12"/>
      <c r="AC440" s="12"/>
    </row>
    <row r="441">
      <c r="H441" s="12"/>
      <c r="K441" s="12"/>
      <c r="N441" s="12"/>
      <c r="Q441" s="12"/>
      <c r="T441" s="12"/>
      <c r="W441" s="12"/>
      <c r="Z441" s="12"/>
      <c r="AC441" s="12"/>
    </row>
    <row r="442">
      <c r="H442" s="12"/>
      <c r="K442" s="12"/>
      <c r="N442" s="12"/>
      <c r="Q442" s="12"/>
      <c r="T442" s="12"/>
      <c r="W442" s="12"/>
      <c r="Z442" s="12"/>
      <c r="AC442" s="12"/>
    </row>
    <row r="443">
      <c r="H443" s="12"/>
      <c r="K443" s="12"/>
      <c r="N443" s="12"/>
      <c r="Q443" s="12"/>
      <c r="T443" s="12"/>
      <c r="W443" s="12"/>
      <c r="Z443" s="12"/>
      <c r="AC443" s="12"/>
    </row>
    <row r="444">
      <c r="H444" s="12"/>
      <c r="K444" s="12"/>
      <c r="N444" s="12"/>
      <c r="Q444" s="12"/>
      <c r="T444" s="12"/>
      <c r="W444" s="12"/>
      <c r="Z444" s="12"/>
      <c r="AC444" s="12"/>
    </row>
    <row r="445">
      <c r="H445" s="12"/>
      <c r="K445" s="12"/>
      <c r="N445" s="12"/>
      <c r="Q445" s="12"/>
      <c r="T445" s="12"/>
      <c r="W445" s="12"/>
      <c r="Z445" s="12"/>
      <c r="AC445" s="12"/>
    </row>
    <row r="446">
      <c r="H446" s="12"/>
      <c r="K446" s="12"/>
      <c r="N446" s="12"/>
      <c r="Q446" s="12"/>
      <c r="T446" s="12"/>
      <c r="W446" s="12"/>
      <c r="Z446" s="12"/>
      <c r="AC446" s="12"/>
    </row>
    <row r="447">
      <c r="H447" s="12"/>
      <c r="K447" s="12"/>
      <c r="N447" s="12"/>
      <c r="Q447" s="12"/>
      <c r="T447" s="12"/>
      <c r="W447" s="12"/>
      <c r="Z447" s="12"/>
      <c r="AC447" s="12"/>
    </row>
    <row r="448">
      <c r="H448" s="12"/>
      <c r="K448" s="12"/>
      <c r="N448" s="12"/>
      <c r="Q448" s="12"/>
      <c r="T448" s="12"/>
      <c r="W448" s="12"/>
      <c r="Z448" s="12"/>
      <c r="AC448" s="12"/>
    </row>
    <row r="449">
      <c r="H449" s="12"/>
      <c r="K449" s="12"/>
      <c r="N449" s="12"/>
      <c r="Q449" s="12"/>
      <c r="T449" s="12"/>
      <c r="W449" s="12"/>
      <c r="Z449" s="12"/>
      <c r="AC449" s="12"/>
    </row>
    <row r="450">
      <c r="H450" s="12"/>
      <c r="K450" s="12"/>
      <c r="N450" s="12"/>
      <c r="Q450" s="12"/>
      <c r="T450" s="12"/>
      <c r="W450" s="12"/>
      <c r="Z450" s="12"/>
      <c r="AC450" s="12"/>
    </row>
    <row r="451">
      <c r="H451" s="12"/>
      <c r="K451" s="12"/>
      <c r="N451" s="12"/>
      <c r="Q451" s="12"/>
      <c r="T451" s="12"/>
      <c r="W451" s="12"/>
      <c r="Z451" s="12"/>
      <c r="AC451" s="12"/>
    </row>
    <row r="452">
      <c r="H452" s="12"/>
      <c r="K452" s="12"/>
      <c r="N452" s="12"/>
      <c r="Q452" s="12"/>
      <c r="T452" s="12"/>
      <c r="W452" s="12"/>
      <c r="Z452" s="12"/>
      <c r="AC452" s="12"/>
    </row>
    <row r="453">
      <c r="H453" s="12"/>
      <c r="K453" s="12"/>
      <c r="N453" s="12"/>
      <c r="Q453" s="12"/>
      <c r="T453" s="12"/>
      <c r="W453" s="12"/>
      <c r="Z453" s="12"/>
      <c r="AC453" s="12"/>
    </row>
    <row r="454">
      <c r="H454" s="12"/>
      <c r="K454" s="12"/>
      <c r="N454" s="12"/>
      <c r="Q454" s="12"/>
      <c r="T454" s="12"/>
      <c r="W454" s="12"/>
      <c r="Z454" s="12"/>
      <c r="AC454" s="12"/>
    </row>
    <row r="455">
      <c r="H455" s="12"/>
      <c r="K455" s="12"/>
      <c r="N455" s="12"/>
      <c r="Q455" s="12"/>
      <c r="T455" s="12"/>
      <c r="W455" s="12"/>
      <c r="Z455" s="12"/>
      <c r="AC455" s="12"/>
    </row>
    <row r="456">
      <c r="H456" s="12"/>
      <c r="K456" s="12"/>
      <c r="N456" s="12"/>
      <c r="Q456" s="12"/>
      <c r="T456" s="12"/>
      <c r="W456" s="12"/>
      <c r="Z456" s="12"/>
      <c r="AC456" s="12"/>
    </row>
    <row r="457">
      <c r="H457" s="12"/>
      <c r="K457" s="12"/>
      <c r="N457" s="12"/>
      <c r="Q457" s="12"/>
      <c r="T457" s="12"/>
      <c r="W457" s="12"/>
      <c r="Z457" s="12"/>
      <c r="AC457" s="12"/>
    </row>
    <row r="458">
      <c r="H458" s="12"/>
      <c r="K458" s="12"/>
      <c r="N458" s="12"/>
      <c r="Q458" s="12"/>
      <c r="T458" s="12"/>
      <c r="W458" s="12"/>
      <c r="Z458" s="12"/>
      <c r="AC458" s="12"/>
    </row>
    <row r="459">
      <c r="H459" s="12"/>
      <c r="K459" s="12"/>
      <c r="N459" s="12"/>
      <c r="Q459" s="12"/>
      <c r="T459" s="12"/>
      <c r="W459" s="12"/>
      <c r="Z459" s="12"/>
      <c r="AC459" s="12"/>
    </row>
    <row r="460">
      <c r="H460" s="12"/>
      <c r="K460" s="12"/>
      <c r="N460" s="12"/>
      <c r="Q460" s="12"/>
      <c r="T460" s="12"/>
      <c r="W460" s="12"/>
      <c r="Z460" s="12"/>
      <c r="AC460" s="12"/>
    </row>
    <row r="461">
      <c r="H461" s="12"/>
      <c r="K461" s="12"/>
      <c r="N461" s="12"/>
      <c r="Q461" s="12"/>
      <c r="T461" s="12"/>
      <c r="W461" s="12"/>
      <c r="Z461" s="12"/>
      <c r="AC461" s="12"/>
    </row>
    <row r="462">
      <c r="H462" s="12"/>
      <c r="K462" s="12"/>
      <c r="N462" s="12"/>
      <c r="Q462" s="12"/>
      <c r="T462" s="12"/>
      <c r="W462" s="12"/>
      <c r="Z462" s="12"/>
      <c r="AC462" s="12"/>
    </row>
    <row r="463">
      <c r="H463" s="12"/>
      <c r="K463" s="12"/>
      <c r="N463" s="12"/>
      <c r="Q463" s="12"/>
      <c r="T463" s="12"/>
      <c r="W463" s="12"/>
      <c r="Z463" s="12"/>
      <c r="AC463" s="12"/>
    </row>
    <row r="464">
      <c r="H464" s="12"/>
      <c r="K464" s="12"/>
      <c r="N464" s="12"/>
      <c r="Q464" s="12"/>
      <c r="T464" s="12"/>
      <c r="W464" s="12"/>
      <c r="Z464" s="12"/>
      <c r="AC464" s="12"/>
    </row>
    <row r="465">
      <c r="H465" s="12"/>
      <c r="K465" s="12"/>
      <c r="N465" s="12"/>
      <c r="Q465" s="12"/>
      <c r="T465" s="12"/>
      <c r="W465" s="12"/>
      <c r="Z465" s="12"/>
      <c r="AC465" s="12"/>
    </row>
    <row r="466">
      <c r="H466" s="12"/>
      <c r="K466" s="12"/>
      <c r="N466" s="12"/>
      <c r="Q466" s="12"/>
      <c r="T466" s="12"/>
      <c r="W466" s="12"/>
      <c r="Z466" s="12"/>
      <c r="AC466" s="12"/>
    </row>
    <row r="467">
      <c r="H467" s="12"/>
      <c r="K467" s="12"/>
      <c r="N467" s="12"/>
      <c r="Q467" s="12"/>
      <c r="T467" s="12"/>
      <c r="W467" s="12"/>
      <c r="Z467" s="12"/>
      <c r="AC467" s="12"/>
    </row>
    <row r="468">
      <c r="H468" s="12"/>
      <c r="K468" s="12"/>
      <c r="N468" s="12"/>
      <c r="Q468" s="12"/>
      <c r="T468" s="12"/>
      <c r="W468" s="12"/>
      <c r="Z468" s="12"/>
      <c r="AC468" s="12"/>
    </row>
    <row r="469">
      <c r="H469" s="12"/>
      <c r="K469" s="12"/>
      <c r="N469" s="12"/>
      <c r="Q469" s="12"/>
      <c r="T469" s="12"/>
      <c r="W469" s="12"/>
      <c r="Z469" s="12"/>
      <c r="AC469" s="12"/>
    </row>
    <row r="470">
      <c r="H470" s="12"/>
      <c r="K470" s="12"/>
      <c r="N470" s="12"/>
      <c r="Q470" s="12"/>
      <c r="T470" s="12"/>
      <c r="W470" s="12"/>
      <c r="Z470" s="12"/>
      <c r="AC470" s="12"/>
    </row>
    <row r="471">
      <c r="H471" s="12"/>
      <c r="K471" s="12"/>
      <c r="N471" s="12"/>
      <c r="Q471" s="12"/>
      <c r="T471" s="12"/>
      <c r="W471" s="12"/>
      <c r="Z471" s="12"/>
      <c r="AC471" s="12"/>
    </row>
    <row r="472">
      <c r="H472" s="12"/>
      <c r="K472" s="12"/>
      <c r="N472" s="12"/>
      <c r="Q472" s="12"/>
      <c r="T472" s="12"/>
      <c r="W472" s="12"/>
      <c r="Z472" s="12"/>
      <c r="AC472" s="12"/>
    </row>
    <row r="473">
      <c r="H473" s="12"/>
      <c r="K473" s="12"/>
      <c r="N473" s="12"/>
      <c r="Q473" s="12"/>
      <c r="T473" s="12"/>
      <c r="W473" s="12"/>
      <c r="Z473" s="12"/>
      <c r="AC473" s="12"/>
    </row>
    <row r="474">
      <c r="H474" s="12"/>
      <c r="K474" s="12"/>
      <c r="N474" s="12"/>
      <c r="Q474" s="12"/>
      <c r="T474" s="12"/>
      <c r="W474" s="12"/>
      <c r="Z474" s="12"/>
      <c r="AC474" s="12"/>
    </row>
    <row r="475">
      <c r="H475" s="12"/>
      <c r="K475" s="12"/>
      <c r="N475" s="12"/>
      <c r="Q475" s="12"/>
      <c r="T475" s="12"/>
      <c r="W475" s="12"/>
      <c r="Z475" s="12"/>
      <c r="AC475" s="12"/>
    </row>
    <row r="476">
      <c r="H476" s="12"/>
      <c r="K476" s="12"/>
      <c r="N476" s="12"/>
      <c r="Q476" s="12"/>
      <c r="T476" s="12"/>
      <c r="W476" s="12"/>
      <c r="Z476" s="12"/>
      <c r="AC476" s="12"/>
    </row>
    <row r="477">
      <c r="H477" s="12"/>
      <c r="K477" s="12"/>
      <c r="N477" s="12"/>
      <c r="Q477" s="12"/>
      <c r="T477" s="12"/>
      <c r="W477" s="12"/>
      <c r="Z477" s="12"/>
      <c r="AC477" s="12"/>
    </row>
    <row r="478">
      <c r="H478" s="12"/>
      <c r="K478" s="12"/>
      <c r="N478" s="12"/>
      <c r="Q478" s="12"/>
      <c r="T478" s="12"/>
      <c r="W478" s="12"/>
      <c r="Z478" s="12"/>
      <c r="AC478" s="12"/>
    </row>
    <row r="479">
      <c r="H479" s="12"/>
      <c r="K479" s="12"/>
      <c r="N479" s="12"/>
      <c r="Q479" s="12"/>
      <c r="T479" s="12"/>
      <c r="W479" s="12"/>
      <c r="Z479" s="12"/>
      <c r="AC479" s="12"/>
    </row>
    <row r="480">
      <c r="H480" s="12"/>
      <c r="K480" s="12"/>
      <c r="N480" s="12"/>
      <c r="Q480" s="12"/>
      <c r="T480" s="12"/>
      <c r="W480" s="12"/>
      <c r="Z480" s="12"/>
      <c r="AC480" s="12"/>
    </row>
    <row r="481">
      <c r="H481" s="12"/>
      <c r="K481" s="12"/>
      <c r="N481" s="12"/>
      <c r="Q481" s="12"/>
      <c r="T481" s="12"/>
      <c r="W481" s="12"/>
      <c r="Z481" s="12"/>
      <c r="AC481" s="12"/>
    </row>
    <row r="482">
      <c r="H482" s="12"/>
      <c r="K482" s="12"/>
      <c r="N482" s="12"/>
      <c r="Q482" s="12"/>
      <c r="T482" s="12"/>
      <c r="W482" s="12"/>
      <c r="Z482" s="12"/>
      <c r="AC482" s="12"/>
    </row>
    <row r="483">
      <c r="H483" s="12"/>
      <c r="K483" s="12"/>
      <c r="N483" s="12"/>
      <c r="Q483" s="12"/>
      <c r="T483" s="12"/>
      <c r="W483" s="12"/>
      <c r="Z483" s="12"/>
      <c r="AC483" s="12"/>
    </row>
    <row r="484">
      <c r="H484" s="12"/>
      <c r="K484" s="12"/>
      <c r="N484" s="12"/>
      <c r="Q484" s="12"/>
      <c r="T484" s="12"/>
      <c r="W484" s="12"/>
      <c r="Z484" s="12"/>
      <c r="AC484" s="12"/>
    </row>
    <row r="485">
      <c r="H485" s="12"/>
      <c r="K485" s="12"/>
      <c r="N485" s="12"/>
      <c r="Q485" s="12"/>
      <c r="T485" s="12"/>
      <c r="W485" s="12"/>
      <c r="Z485" s="12"/>
      <c r="AC485" s="12"/>
    </row>
    <row r="486">
      <c r="H486" s="12"/>
      <c r="K486" s="12"/>
      <c r="N486" s="12"/>
      <c r="Q486" s="12"/>
      <c r="T486" s="12"/>
      <c r="W486" s="12"/>
      <c r="Z486" s="12"/>
      <c r="AC486" s="12"/>
    </row>
    <row r="487">
      <c r="H487" s="12"/>
      <c r="K487" s="12"/>
      <c r="N487" s="12"/>
      <c r="Q487" s="12"/>
      <c r="T487" s="12"/>
      <c r="W487" s="12"/>
      <c r="Z487" s="12"/>
      <c r="AC487" s="12"/>
    </row>
    <row r="488">
      <c r="H488" s="12"/>
      <c r="K488" s="12"/>
      <c r="N488" s="12"/>
      <c r="Q488" s="12"/>
      <c r="T488" s="12"/>
      <c r="W488" s="12"/>
      <c r="Z488" s="12"/>
      <c r="AC488" s="12"/>
    </row>
    <row r="489">
      <c r="H489" s="12"/>
      <c r="K489" s="12"/>
      <c r="N489" s="12"/>
      <c r="Q489" s="12"/>
      <c r="T489" s="12"/>
      <c r="W489" s="12"/>
      <c r="Z489" s="12"/>
      <c r="AC489" s="12"/>
    </row>
    <row r="490">
      <c r="H490" s="12"/>
      <c r="K490" s="12"/>
      <c r="N490" s="12"/>
      <c r="Q490" s="12"/>
      <c r="T490" s="12"/>
      <c r="W490" s="12"/>
      <c r="Z490" s="12"/>
      <c r="AC490" s="12"/>
    </row>
    <row r="491">
      <c r="H491" s="12"/>
      <c r="K491" s="12"/>
      <c r="N491" s="12"/>
      <c r="Q491" s="12"/>
      <c r="T491" s="12"/>
      <c r="W491" s="12"/>
      <c r="Z491" s="12"/>
      <c r="AC491" s="12"/>
    </row>
    <row r="492">
      <c r="H492" s="12"/>
      <c r="K492" s="12"/>
      <c r="N492" s="12"/>
      <c r="Q492" s="12"/>
      <c r="T492" s="12"/>
      <c r="W492" s="12"/>
      <c r="Z492" s="12"/>
      <c r="AC492" s="12"/>
    </row>
    <row r="493">
      <c r="H493" s="12"/>
      <c r="K493" s="12"/>
      <c r="N493" s="12"/>
      <c r="Q493" s="12"/>
      <c r="T493" s="12"/>
      <c r="W493" s="12"/>
      <c r="Z493" s="12"/>
      <c r="AC493" s="12"/>
    </row>
    <row r="494">
      <c r="H494" s="12"/>
      <c r="K494" s="12"/>
      <c r="N494" s="12"/>
      <c r="Q494" s="12"/>
      <c r="T494" s="12"/>
      <c r="W494" s="12"/>
      <c r="Z494" s="12"/>
      <c r="AC494" s="12"/>
    </row>
    <row r="495">
      <c r="H495" s="12"/>
      <c r="K495" s="12"/>
      <c r="N495" s="12"/>
      <c r="Q495" s="12"/>
      <c r="T495" s="12"/>
      <c r="W495" s="12"/>
      <c r="Z495" s="12"/>
      <c r="AC495" s="12"/>
    </row>
    <row r="496">
      <c r="H496" s="12"/>
      <c r="K496" s="12"/>
      <c r="N496" s="12"/>
      <c r="Q496" s="12"/>
      <c r="T496" s="12"/>
      <c r="W496" s="12"/>
      <c r="Z496" s="12"/>
      <c r="AC496" s="12"/>
    </row>
    <row r="497">
      <c r="H497" s="12"/>
      <c r="K497" s="12"/>
      <c r="N497" s="12"/>
      <c r="Q497" s="12"/>
      <c r="T497" s="12"/>
      <c r="W497" s="12"/>
      <c r="Z497" s="12"/>
      <c r="AC497" s="12"/>
    </row>
    <row r="498">
      <c r="H498" s="12"/>
      <c r="K498" s="12"/>
      <c r="N498" s="12"/>
      <c r="Q498" s="12"/>
      <c r="T498" s="12"/>
      <c r="W498" s="12"/>
      <c r="Z498" s="12"/>
      <c r="AC498" s="12"/>
    </row>
    <row r="499">
      <c r="H499" s="12"/>
      <c r="K499" s="12"/>
      <c r="N499" s="12"/>
      <c r="Q499" s="12"/>
      <c r="T499" s="12"/>
      <c r="W499" s="12"/>
      <c r="Z499" s="12"/>
      <c r="AC499" s="12"/>
    </row>
    <row r="500">
      <c r="H500" s="12"/>
      <c r="K500" s="12"/>
      <c r="N500" s="12"/>
      <c r="Q500" s="12"/>
      <c r="T500" s="12"/>
      <c r="W500" s="12"/>
      <c r="Z500" s="12"/>
      <c r="AC500" s="12"/>
    </row>
    <row r="501">
      <c r="H501" s="12"/>
      <c r="K501" s="12"/>
      <c r="N501" s="12"/>
      <c r="Q501" s="12"/>
      <c r="T501" s="12"/>
      <c r="W501" s="12"/>
      <c r="Z501" s="12"/>
      <c r="AC501" s="12"/>
    </row>
    <row r="502">
      <c r="H502" s="12"/>
      <c r="K502" s="12"/>
      <c r="N502" s="12"/>
      <c r="Q502" s="12"/>
      <c r="T502" s="12"/>
      <c r="W502" s="12"/>
      <c r="Z502" s="12"/>
      <c r="AC502" s="12"/>
    </row>
    <row r="503">
      <c r="H503" s="12"/>
      <c r="K503" s="12"/>
      <c r="N503" s="12"/>
      <c r="Q503" s="12"/>
      <c r="T503" s="12"/>
      <c r="W503" s="12"/>
      <c r="Z503" s="12"/>
      <c r="AC503" s="12"/>
    </row>
    <row r="504">
      <c r="H504" s="12"/>
      <c r="K504" s="12"/>
      <c r="N504" s="12"/>
      <c r="Q504" s="12"/>
      <c r="T504" s="12"/>
      <c r="W504" s="12"/>
      <c r="Z504" s="12"/>
      <c r="AC504" s="12"/>
    </row>
    <row r="505">
      <c r="H505" s="12"/>
      <c r="K505" s="12"/>
      <c r="N505" s="12"/>
      <c r="Q505" s="12"/>
      <c r="T505" s="12"/>
      <c r="W505" s="12"/>
      <c r="Z505" s="12"/>
      <c r="AC505" s="12"/>
    </row>
    <row r="506">
      <c r="H506" s="12"/>
      <c r="K506" s="12"/>
      <c r="N506" s="12"/>
      <c r="Q506" s="12"/>
      <c r="T506" s="12"/>
      <c r="W506" s="12"/>
      <c r="Z506" s="12"/>
      <c r="AC506" s="12"/>
    </row>
    <row r="507">
      <c r="H507" s="12"/>
      <c r="K507" s="12"/>
      <c r="N507" s="12"/>
      <c r="Q507" s="12"/>
      <c r="T507" s="12"/>
      <c r="W507" s="12"/>
      <c r="Z507" s="12"/>
      <c r="AC507" s="12"/>
    </row>
    <row r="508">
      <c r="H508" s="12"/>
      <c r="K508" s="12"/>
      <c r="N508" s="12"/>
      <c r="Q508" s="12"/>
      <c r="T508" s="12"/>
      <c r="W508" s="12"/>
      <c r="Z508" s="12"/>
      <c r="AC508" s="12"/>
    </row>
    <row r="509">
      <c r="H509" s="12"/>
      <c r="K509" s="12"/>
      <c r="N509" s="12"/>
      <c r="Q509" s="12"/>
      <c r="T509" s="12"/>
      <c r="W509" s="12"/>
      <c r="Z509" s="12"/>
      <c r="AC509" s="12"/>
    </row>
    <row r="510">
      <c r="H510" s="12"/>
      <c r="K510" s="12"/>
      <c r="N510" s="12"/>
      <c r="Q510" s="12"/>
      <c r="T510" s="12"/>
      <c r="W510" s="12"/>
      <c r="Z510" s="12"/>
      <c r="AC510" s="12"/>
    </row>
    <row r="511">
      <c r="H511" s="12"/>
      <c r="K511" s="12"/>
      <c r="N511" s="12"/>
      <c r="Q511" s="12"/>
      <c r="T511" s="12"/>
      <c r="W511" s="12"/>
      <c r="Z511" s="12"/>
      <c r="AC511" s="12"/>
    </row>
    <row r="512">
      <c r="H512" s="12"/>
      <c r="K512" s="12"/>
      <c r="N512" s="12"/>
      <c r="Q512" s="12"/>
      <c r="T512" s="12"/>
      <c r="W512" s="12"/>
      <c r="Z512" s="12"/>
      <c r="AC512" s="12"/>
    </row>
    <row r="513">
      <c r="H513" s="12"/>
      <c r="K513" s="12"/>
      <c r="N513" s="12"/>
      <c r="Q513" s="12"/>
      <c r="T513" s="12"/>
      <c r="W513" s="12"/>
      <c r="Z513" s="12"/>
      <c r="AC513" s="12"/>
    </row>
    <row r="514">
      <c r="H514" s="12"/>
      <c r="K514" s="12"/>
      <c r="N514" s="12"/>
      <c r="Q514" s="12"/>
      <c r="T514" s="12"/>
      <c r="W514" s="12"/>
      <c r="Z514" s="12"/>
      <c r="AC514" s="12"/>
    </row>
    <row r="515">
      <c r="H515" s="12"/>
      <c r="K515" s="12"/>
      <c r="N515" s="12"/>
      <c r="Q515" s="12"/>
      <c r="T515" s="12"/>
      <c r="W515" s="12"/>
      <c r="Z515" s="12"/>
      <c r="AC515" s="12"/>
    </row>
    <row r="516">
      <c r="H516" s="12"/>
      <c r="K516" s="12"/>
      <c r="N516" s="12"/>
      <c r="Q516" s="12"/>
      <c r="T516" s="12"/>
      <c r="W516" s="12"/>
      <c r="Z516" s="12"/>
      <c r="AC516" s="12"/>
    </row>
    <row r="517">
      <c r="H517" s="12"/>
      <c r="K517" s="12"/>
      <c r="N517" s="12"/>
      <c r="Q517" s="12"/>
      <c r="T517" s="12"/>
      <c r="W517" s="12"/>
      <c r="Z517" s="12"/>
      <c r="AC517" s="12"/>
    </row>
    <row r="518">
      <c r="H518" s="12"/>
      <c r="K518" s="12"/>
      <c r="N518" s="12"/>
      <c r="Q518" s="12"/>
      <c r="T518" s="12"/>
      <c r="W518" s="12"/>
      <c r="Z518" s="12"/>
      <c r="AC518" s="12"/>
    </row>
    <row r="519">
      <c r="H519" s="12"/>
      <c r="K519" s="12"/>
      <c r="N519" s="12"/>
      <c r="Q519" s="12"/>
      <c r="T519" s="12"/>
      <c r="W519" s="12"/>
      <c r="Z519" s="12"/>
      <c r="AC519" s="12"/>
    </row>
    <row r="520">
      <c r="H520" s="12"/>
      <c r="K520" s="12"/>
      <c r="N520" s="12"/>
      <c r="Q520" s="12"/>
      <c r="T520" s="12"/>
      <c r="W520" s="12"/>
      <c r="Z520" s="12"/>
      <c r="AC520" s="12"/>
    </row>
    <row r="521">
      <c r="H521" s="12"/>
      <c r="K521" s="12"/>
      <c r="N521" s="12"/>
      <c r="Q521" s="12"/>
      <c r="T521" s="12"/>
      <c r="W521" s="12"/>
      <c r="Z521" s="12"/>
      <c r="AC521" s="12"/>
    </row>
    <row r="522">
      <c r="H522" s="12"/>
      <c r="K522" s="12"/>
      <c r="N522" s="12"/>
      <c r="Q522" s="12"/>
      <c r="T522" s="12"/>
      <c r="W522" s="12"/>
      <c r="Z522" s="12"/>
      <c r="AC522" s="12"/>
    </row>
    <row r="523">
      <c r="H523" s="12"/>
      <c r="K523" s="12"/>
      <c r="N523" s="12"/>
      <c r="Q523" s="12"/>
      <c r="T523" s="12"/>
      <c r="W523" s="12"/>
      <c r="Z523" s="12"/>
      <c r="AC523" s="12"/>
    </row>
    <row r="524">
      <c r="H524" s="12"/>
      <c r="K524" s="12"/>
      <c r="N524" s="12"/>
      <c r="Q524" s="12"/>
      <c r="T524" s="12"/>
      <c r="W524" s="12"/>
      <c r="Z524" s="12"/>
      <c r="AC524" s="12"/>
    </row>
    <row r="525">
      <c r="H525" s="12"/>
      <c r="K525" s="12"/>
      <c r="N525" s="12"/>
      <c r="Q525" s="12"/>
      <c r="T525" s="12"/>
      <c r="W525" s="12"/>
      <c r="Z525" s="12"/>
      <c r="AC525" s="12"/>
    </row>
    <row r="526">
      <c r="H526" s="12"/>
      <c r="K526" s="12"/>
      <c r="N526" s="12"/>
      <c r="Q526" s="12"/>
      <c r="T526" s="12"/>
      <c r="W526" s="12"/>
      <c r="Z526" s="12"/>
      <c r="AC526" s="12"/>
    </row>
    <row r="527">
      <c r="H527" s="12"/>
      <c r="K527" s="12"/>
      <c r="N527" s="12"/>
      <c r="Q527" s="12"/>
      <c r="T527" s="12"/>
      <c r="W527" s="12"/>
      <c r="Z527" s="12"/>
      <c r="AC527" s="12"/>
    </row>
    <row r="528">
      <c r="H528" s="12"/>
      <c r="K528" s="12"/>
      <c r="N528" s="12"/>
      <c r="Q528" s="12"/>
      <c r="T528" s="12"/>
      <c r="W528" s="12"/>
      <c r="Z528" s="12"/>
      <c r="AC528" s="12"/>
    </row>
    <row r="529">
      <c r="H529" s="12"/>
      <c r="K529" s="12"/>
      <c r="N529" s="12"/>
      <c r="Q529" s="12"/>
      <c r="T529" s="12"/>
      <c r="W529" s="12"/>
      <c r="Z529" s="12"/>
      <c r="AC529" s="12"/>
    </row>
    <row r="530">
      <c r="H530" s="12"/>
      <c r="K530" s="12"/>
      <c r="N530" s="12"/>
      <c r="Q530" s="12"/>
      <c r="T530" s="12"/>
      <c r="W530" s="12"/>
      <c r="Z530" s="12"/>
      <c r="AC530" s="12"/>
    </row>
    <row r="531">
      <c r="H531" s="12"/>
      <c r="K531" s="12"/>
      <c r="N531" s="12"/>
      <c r="Q531" s="12"/>
      <c r="T531" s="12"/>
      <c r="W531" s="12"/>
      <c r="Z531" s="12"/>
      <c r="AC531" s="12"/>
    </row>
    <row r="532">
      <c r="H532" s="12"/>
      <c r="K532" s="12"/>
      <c r="N532" s="12"/>
      <c r="Q532" s="12"/>
      <c r="T532" s="12"/>
      <c r="W532" s="12"/>
      <c r="Z532" s="12"/>
      <c r="AC532" s="12"/>
    </row>
    <row r="533">
      <c r="H533" s="12"/>
      <c r="K533" s="12"/>
      <c r="N533" s="12"/>
      <c r="Q533" s="12"/>
      <c r="T533" s="12"/>
      <c r="W533" s="12"/>
      <c r="Z533" s="12"/>
      <c r="AC533" s="12"/>
    </row>
    <row r="534">
      <c r="H534" s="12"/>
      <c r="K534" s="12"/>
      <c r="N534" s="12"/>
      <c r="Q534" s="12"/>
      <c r="T534" s="12"/>
      <c r="W534" s="12"/>
      <c r="Z534" s="12"/>
      <c r="AC534" s="12"/>
    </row>
    <row r="535">
      <c r="H535" s="12"/>
      <c r="K535" s="12"/>
      <c r="N535" s="12"/>
      <c r="Q535" s="12"/>
      <c r="T535" s="12"/>
      <c r="W535" s="12"/>
      <c r="Z535" s="12"/>
      <c r="AC535" s="12"/>
    </row>
    <row r="536">
      <c r="H536" s="12"/>
      <c r="K536" s="12"/>
      <c r="N536" s="12"/>
      <c r="Q536" s="12"/>
      <c r="T536" s="12"/>
      <c r="W536" s="12"/>
      <c r="Z536" s="12"/>
      <c r="AC536" s="12"/>
    </row>
    <row r="537">
      <c r="H537" s="12"/>
      <c r="K537" s="12"/>
      <c r="N537" s="12"/>
      <c r="Q537" s="12"/>
      <c r="T537" s="12"/>
      <c r="W537" s="12"/>
      <c r="Z537" s="12"/>
      <c r="AC537" s="12"/>
    </row>
    <row r="538">
      <c r="H538" s="12"/>
      <c r="K538" s="12"/>
      <c r="N538" s="12"/>
      <c r="Q538" s="12"/>
      <c r="T538" s="12"/>
      <c r="W538" s="12"/>
      <c r="Z538" s="12"/>
      <c r="AC538" s="12"/>
    </row>
    <row r="539">
      <c r="H539" s="12"/>
      <c r="K539" s="12"/>
      <c r="N539" s="12"/>
      <c r="Q539" s="12"/>
      <c r="T539" s="12"/>
      <c r="W539" s="12"/>
      <c r="Z539" s="12"/>
      <c r="AC539" s="12"/>
    </row>
    <row r="540">
      <c r="H540" s="12"/>
      <c r="K540" s="12"/>
      <c r="N540" s="12"/>
      <c r="Q540" s="12"/>
      <c r="T540" s="12"/>
      <c r="W540" s="12"/>
      <c r="Z540" s="12"/>
      <c r="AC540" s="12"/>
    </row>
    <row r="541">
      <c r="H541" s="12"/>
      <c r="K541" s="12"/>
      <c r="N541" s="12"/>
      <c r="Q541" s="12"/>
      <c r="T541" s="12"/>
      <c r="W541" s="12"/>
      <c r="Z541" s="12"/>
      <c r="AC541" s="12"/>
    </row>
    <row r="542">
      <c r="H542" s="12"/>
      <c r="K542" s="12"/>
      <c r="N542" s="12"/>
      <c r="Q542" s="12"/>
      <c r="T542" s="12"/>
      <c r="W542" s="12"/>
      <c r="Z542" s="12"/>
      <c r="AC542" s="12"/>
    </row>
    <row r="543">
      <c r="H543" s="12"/>
      <c r="K543" s="12"/>
      <c r="N543" s="12"/>
      <c r="Q543" s="12"/>
      <c r="T543" s="12"/>
      <c r="W543" s="12"/>
      <c r="Z543" s="12"/>
      <c r="AC543" s="12"/>
    </row>
    <row r="544">
      <c r="H544" s="12"/>
      <c r="K544" s="12"/>
      <c r="N544" s="12"/>
      <c r="Q544" s="12"/>
      <c r="T544" s="12"/>
      <c r="W544" s="12"/>
      <c r="Z544" s="12"/>
      <c r="AC544" s="12"/>
    </row>
    <row r="545">
      <c r="H545" s="12"/>
      <c r="K545" s="12"/>
      <c r="N545" s="12"/>
      <c r="Q545" s="12"/>
      <c r="T545" s="12"/>
      <c r="W545" s="12"/>
      <c r="Z545" s="12"/>
      <c r="AC545" s="12"/>
    </row>
    <row r="546">
      <c r="H546" s="12"/>
      <c r="K546" s="12"/>
      <c r="N546" s="12"/>
      <c r="Q546" s="12"/>
      <c r="T546" s="12"/>
      <c r="W546" s="12"/>
      <c r="Z546" s="12"/>
      <c r="AC546" s="12"/>
    </row>
    <row r="547">
      <c r="H547" s="12"/>
      <c r="K547" s="12"/>
      <c r="N547" s="12"/>
      <c r="Q547" s="12"/>
      <c r="T547" s="12"/>
      <c r="W547" s="12"/>
      <c r="Z547" s="12"/>
      <c r="AC547" s="12"/>
    </row>
    <row r="548">
      <c r="H548" s="12"/>
      <c r="K548" s="12"/>
      <c r="N548" s="12"/>
      <c r="Q548" s="12"/>
      <c r="T548" s="12"/>
      <c r="W548" s="12"/>
      <c r="Z548" s="12"/>
      <c r="AC548" s="12"/>
    </row>
    <row r="549">
      <c r="H549" s="12"/>
      <c r="K549" s="12"/>
      <c r="N549" s="12"/>
      <c r="Q549" s="12"/>
      <c r="T549" s="12"/>
      <c r="W549" s="12"/>
      <c r="Z549" s="12"/>
      <c r="AC549" s="12"/>
    </row>
    <row r="550">
      <c r="H550" s="12"/>
      <c r="K550" s="12"/>
      <c r="N550" s="12"/>
      <c r="Q550" s="12"/>
      <c r="T550" s="12"/>
      <c r="W550" s="12"/>
      <c r="Z550" s="12"/>
      <c r="AC550" s="12"/>
    </row>
    <row r="551">
      <c r="H551" s="12"/>
      <c r="K551" s="12"/>
      <c r="N551" s="12"/>
      <c r="Q551" s="12"/>
      <c r="T551" s="12"/>
      <c r="W551" s="12"/>
      <c r="Z551" s="12"/>
      <c r="AC551" s="12"/>
    </row>
    <row r="552">
      <c r="H552" s="12"/>
      <c r="K552" s="12"/>
      <c r="N552" s="12"/>
      <c r="Q552" s="12"/>
      <c r="T552" s="12"/>
      <c r="W552" s="12"/>
      <c r="Z552" s="12"/>
      <c r="AC552" s="12"/>
    </row>
    <row r="553">
      <c r="H553" s="12"/>
      <c r="K553" s="12"/>
      <c r="N553" s="12"/>
      <c r="Q553" s="12"/>
      <c r="T553" s="12"/>
      <c r="W553" s="12"/>
      <c r="Z553" s="12"/>
      <c r="AC553" s="12"/>
    </row>
    <row r="554">
      <c r="H554" s="12"/>
      <c r="K554" s="12"/>
      <c r="N554" s="12"/>
      <c r="Q554" s="12"/>
      <c r="T554" s="12"/>
      <c r="W554" s="12"/>
      <c r="Z554" s="12"/>
      <c r="AC554" s="12"/>
    </row>
    <row r="555">
      <c r="H555" s="12"/>
      <c r="K555" s="12"/>
      <c r="N555" s="12"/>
      <c r="Q555" s="12"/>
      <c r="T555" s="12"/>
      <c r="W555" s="12"/>
      <c r="Z555" s="12"/>
      <c r="AC555" s="12"/>
    </row>
    <row r="556">
      <c r="H556" s="12"/>
      <c r="K556" s="12"/>
      <c r="N556" s="12"/>
      <c r="Q556" s="12"/>
      <c r="T556" s="12"/>
      <c r="W556" s="12"/>
      <c r="Z556" s="12"/>
      <c r="AC556" s="12"/>
    </row>
    <row r="557">
      <c r="H557" s="12"/>
      <c r="K557" s="12"/>
      <c r="N557" s="12"/>
      <c r="Q557" s="12"/>
      <c r="T557" s="12"/>
      <c r="W557" s="12"/>
      <c r="Z557" s="12"/>
      <c r="AC557" s="12"/>
    </row>
    <row r="558">
      <c r="H558" s="12"/>
      <c r="K558" s="12"/>
      <c r="N558" s="12"/>
      <c r="Q558" s="12"/>
      <c r="T558" s="12"/>
      <c r="W558" s="12"/>
      <c r="Z558" s="12"/>
      <c r="AC558" s="12"/>
    </row>
    <row r="559">
      <c r="H559" s="12"/>
      <c r="K559" s="12"/>
      <c r="N559" s="12"/>
      <c r="Q559" s="12"/>
      <c r="T559" s="12"/>
      <c r="W559" s="12"/>
      <c r="Z559" s="12"/>
      <c r="AC559" s="12"/>
    </row>
    <row r="560">
      <c r="H560" s="12"/>
      <c r="K560" s="12"/>
      <c r="N560" s="12"/>
      <c r="Q560" s="12"/>
      <c r="T560" s="12"/>
      <c r="W560" s="12"/>
      <c r="Z560" s="12"/>
      <c r="AC560" s="12"/>
    </row>
    <row r="561">
      <c r="H561" s="12"/>
      <c r="K561" s="12"/>
      <c r="N561" s="12"/>
      <c r="Q561" s="12"/>
      <c r="T561" s="12"/>
      <c r="W561" s="12"/>
      <c r="Z561" s="12"/>
      <c r="AC561" s="12"/>
    </row>
    <row r="562">
      <c r="H562" s="12"/>
      <c r="K562" s="12"/>
      <c r="N562" s="12"/>
      <c r="Q562" s="12"/>
      <c r="T562" s="12"/>
      <c r="W562" s="12"/>
      <c r="Z562" s="12"/>
      <c r="AC562" s="12"/>
    </row>
    <row r="563">
      <c r="H563" s="12"/>
      <c r="K563" s="12"/>
      <c r="N563" s="12"/>
      <c r="Q563" s="12"/>
      <c r="T563" s="12"/>
      <c r="W563" s="12"/>
      <c r="Z563" s="12"/>
      <c r="AC563" s="12"/>
    </row>
    <row r="564">
      <c r="H564" s="12"/>
      <c r="K564" s="12"/>
      <c r="N564" s="12"/>
      <c r="Q564" s="12"/>
      <c r="T564" s="12"/>
      <c r="W564" s="12"/>
      <c r="Z564" s="12"/>
      <c r="AC564" s="12"/>
    </row>
    <row r="565">
      <c r="H565" s="12"/>
      <c r="K565" s="12"/>
      <c r="N565" s="12"/>
      <c r="Q565" s="12"/>
      <c r="T565" s="12"/>
      <c r="W565" s="12"/>
      <c r="Z565" s="12"/>
      <c r="AC565" s="12"/>
    </row>
    <row r="566">
      <c r="H566" s="12"/>
      <c r="K566" s="12"/>
      <c r="N566" s="12"/>
      <c r="Q566" s="12"/>
      <c r="T566" s="12"/>
      <c r="W566" s="12"/>
      <c r="Z566" s="12"/>
      <c r="AC566" s="12"/>
    </row>
    <row r="567">
      <c r="H567" s="12"/>
      <c r="K567" s="12"/>
      <c r="N567" s="12"/>
      <c r="Q567" s="12"/>
      <c r="T567" s="12"/>
      <c r="W567" s="12"/>
      <c r="Z567" s="12"/>
      <c r="AC567" s="12"/>
    </row>
    <row r="568">
      <c r="H568" s="12"/>
      <c r="K568" s="12"/>
      <c r="N568" s="12"/>
      <c r="Q568" s="12"/>
      <c r="T568" s="12"/>
      <c r="W568" s="12"/>
      <c r="Z568" s="12"/>
      <c r="AC568" s="12"/>
    </row>
    <row r="569">
      <c r="H569" s="12"/>
      <c r="K569" s="12"/>
      <c r="N569" s="12"/>
      <c r="Q569" s="12"/>
      <c r="T569" s="12"/>
      <c r="W569" s="12"/>
      <c r="Z569" s="12"/>
      <c r="AC569" s="12"/>
    </row>
    <row r="570">
      <c r="H570" s="12"/>
      <c r="K570" s="12"/>
      <c r="N570" s="12"/>
      <c r="Q570" s="12"/>
      <c r="T570" s="12"/>
      <c r="W570" s="12"/>
      <c r="Z570" s="12"/>
      <c r="AC570" s="12"/>
    </row>
    <row r="571">
      <c r="H571" s="12"/>
      <c r="K571" s="12"/>
      <c r="N571" s="12"/>
      <c r="Q571" s="12"/>
      <c r="T571" s="12"/>
      <c r="W571" s="12"/>
      <c r="Z571" s="12"/>
      <c r="AC571" s="12"/>
    </row>
    <row r="572">
      <c r="H572" s="12"/>
      <c r="K572" s="12"/>
      <c r="N572" s="12"/>
      <c r="Q572" s="12"/>
      <c r="T572" s="12"/>
      <c r="W572" s="12"/>
      <c r="Z572" s="12"/>
      <c r="AC572" s="12"/>
    </row>
    <row r="573">
      <c r="H573" s="12"/>
      <c r="K573" s="12"/>
      <c r="N573" s="12"/>
      <c r="Q573" s="12"/>
      <c r="T573" s="12"/>
      <c r="W573" s="12"/>
      <c r="Z573" s="12"/>
      <c r="AC573" s="12"/>
    </row>
    <row r="574">
      <c r="H574" s="12"/>
      <c r="K574" s="12"/>
      <c r="N574" s="12"/>
      <c r="Q574" s="12"/>
      <c r="T574" s="12"/>
      <c r="W574" s="12"/>
      <c r="Z574" s="12"/>
      <c r="AC574" s="12"/>
    </row>
    <row r="575">
      <c r="H575" s="12"/>
      <c r="K575" s="12"/>
      <c r="N575" s="12"/>
      <c r="Q575" s="12"/>
      <c r="T575" s="12"/>
      <c r="W575" s="12"/>
      <c r="Z575" s="12"/>
      <c r="AC575" s="12"/>
    </row>
    <row r="576">
      <c r="H576" s="12"/>
      <c r="K576" s="12"/>
      <c r="N576" s="12"/>
      <c r="Q576" s="12"/>
      <c r="T576" s="12"/>
      <c r="W576" s="12"/>
      <c r="Z576" s="12"/>
      <c r="AC576" s="12"/>
    </row>
    <row r="577">
      <c r="H577" s="12"/>
      <c r="K577" s="12"/>
      <c r="N577" s="12"/>
      <c r="Q577" s="12"/>
      <c r="T577" s="12"/>
      <c r="W577" s="12"/>
      <c r="Z577" s="12"/>
      <c r="AC577" s="12"/>
    </row>
    <row r="578">
      <c r="H578" s="12"/>
      <c r="K578" s="12"/>
      <c r="N578" s="12"/>
      <c r="Q578" s="12"/>
      <c r="T578" s="12"/>
      <c r="W578" s="12"/>
      <c r="Z578" s="12"/>
      <c r="AC578" s="12"/>
    </row>
    <row r="579">
      <c r="H579" s="12"/>
      <c r="K579" s="12"/>
      <c r="N579" s="12"/>
      <c r="Q579" s="12"/>
      <c r="T579" s="12"/>
      <c r="W579" s="12"/>
      <c r="Z579" s="12"/>
      <c r="AC579" s="12"/>
    </row>
    <row r="580">
      <c r="H580" s="12"/>
      <c r="K580" s="12"/>
      <c r="N580" s="12"/>
      <c r="Q580" s="12"/>
      <c r="T580" s="12"/>
      <c r="W580" s="12"/>
      <c r="Z580" s="12"/>
      <c r="AC580" s="12"/>
    </row>
    <row r="581">
      <c r="H581" s="12"/>
      <c r="K581" s="12"/>
      <c r="N581" s="12"/>
      <c r="Q581" s="12"/>
      <c r="T581" s="12"/>
      <c r="W581" s="12"/>
      <c r="Z581" s="12"/>
      <c r="AC581" s="12"/>
    </row>
    <row r="582">
      <c r="H582" s="12"/>
      <c r="K582" s="12"/>
      <c r="N582" s="12"/>
      <c r="Q582" s="12"/>
      <c r="T582" s="12"/>
      <c r="W582" s="12"/>
      <c r="Z582" s="12"/>
      <c r="AC582" s="12"/>
    </row>
    <row r="583">
      <c r="H583" s="12"/>
      <c r="K583" s="12"/>
      <c r="N583" s="12"/>
      <c r="Q583" s="12"/>
      <c r="T583" s="12"/>
      <c r="W583" s="12"/>
      <c r="Z583" s="12"/>
      <c r="AC583" s="12"/>
    </row>
    <row r="584">
      <c r="H584" s="12"/>
      <c r="K584" s="12"/>
      <c r="N584" s="12"/>
      <c r="Q584" s="12"/>
      <c r="T584" s="12"/>
      <c r="W584" s="12"/>
      <c r="Z584" s="12"/>
      <c r="AC584" s="12"/>
    </row>
    <row r="585">
      <c r="H585" s="12"/>
      <c r="K585" s="12"/>
      <c r="N585" s="12"/>
      <c r="Q585" s="12"/>
      <c r="T585" s="12"/>
      <c r="W585" s="12"/>
      <c r="Z585" s="12"/>
      <c r="AC585" s="12"/>
    </row>
    <row r="586">
      <c r="H586" s="12"/>
      <c r="K586" s="12"/>
      <c r="N586" s="12"/>
      <c r="Q586" s="12"/>
      <c r="T586" s="12"/>
      <c r="W586" s="12"/>
      <c r="Z586" s="12"/>
      <c r="AC586" s="12"/>
    </row>
    <row r="587">
      <c r="H587" s="12"/>
      <c r="K587" s="12"/>
      <c r="N587" s="12"/>
      <c r="Q587" s="12"/>
      <c r="T587" s="12"/>
      <c r="W587" s="12"/>
      <c r="Z587" s="12"/>
      <c r="AC587" s="12"/>
    </row>
    <row r="588">
      <c r="H588" s="12"/>
      <c r="K588" s="12"/>
      <c r="N588" s="12"/>
      <c r="Q588" s="12"/>
      <c r="T588" s="12"/>
      <c r="W588" s="12"/>
      <c r="Z588" s="12"/>
      <c r="AC588" s="12"/>
    </row>
    <row r="589">
      <c r="H589" s="12"/>
      <c r="K589" s="12"/>
      <c r="N589" s="12"/>
      <c r="Q589" s="12"/>
      <c r="T589" s="12"/>
      <c r="W589" s="12"/>
      <c r="Z589" s="12"/>
      <c r="AC589" s="12"/>
    </row>
    <row r="590">
      <c r="H590" s="12"/>
      <c r="K590" s="12"/>
      <c r="N590" s="12"/>
      <c r="Q590" s="12"/>
      <c r="T590" s="12"/>
      <c r="W590" s="12"/>
      <c r="Z590" s="12"/>
      <c r="AC590" s="12"/>
    </row>
    <row r="591">
      <c r="H591" s="12"/>
      <c r="K591" s="12"/>
      <c r="N591" s="12"/>
      <c r="Q591" s="12"/>
      <c r="T591" s="12"/>
      <c r="W591" s="12"/>
      <c r="Z591" s="12"/>
      <c r="AC591" s="12"/>
    </row>
    <row r="592">
      <c r="H592" s="12"/>
      <c r="K592" s="12"/>
      <c r="N592" s="12"/>
      <c r="Q592" s="12"/>
      <c r="T592" s="12"/>
      <c r="W592" s="12"/>
      <c r="Z592" s="12"/>
      <c r="AC592" s="12"/>
    </row>
    <row r="593">
      <c r="H593" s="12"/>
      <c r="K593" s="12"/>
      <c r="N593" s="12"/>
      <c r="Q593" s="12"/>
      <c r="T593" s="12"/>
      <c r="W593" s="12"/>
      <c r="Z593" s="12"/>
      <c r="AC593" s="12"/>
    </row>
    <row r="594">
      <c r="H594" s="12"/>
      <c r="K594" s="12"/>
      <c r="N594" s="12"/>
      <c r="Q594" s="12"/>
      <c r="T594" s="12"/>
      <c r="W594" s="12"/>
      <c r="Z594" s="12"/>
      <c r="AC594" s="12"/>
    </row>
    <row r="595">
      <c r="H595" s="12"/>
      <c r="K595" s="12"/>
      <c r="N595" s="12"/>
      <c r="Q595" s="12"/>
      <c r="T595" s="12"/>
      <c r="W595" s="12"/>
      <c r="Z595" s="12"/>
      <c r="AC595" s="12"/>
    </row>
    <row r="596">
      <c r="H596" s="12"/>
      <c r="K596" s="12"/>
      <c r="N596" s="12"/>
      <c r="Q596" s="12"/>
      <c r="T596" s="12"/>
      <c r="W596" s="12"/>
      <c r="Z596" s="12"/>
      <c r="AC596" s="12"/>
    </row>
    <row r="597">
      <c r="H597" s="12"/>
      <c r="K597" s="12"/>
      <c r="N597" s="12"/>
      <c r="Q597" s="12"/>
      <c r="T597" s="12"/>
      <c r="W597" s="12"/>
      <c r="Z597" s="12"/>
      <c r="AC597" s="12"/>
    </row>
    <row r="598">
      <c r="H598" s="12"/>
      <c r="K598" s="12"/>
      <c r="N598" s="12"/>
      <c r="Q598" s="12"/>
      <c r="T598" s="12"/>
      <c r="W598" s="12"/>
      <c r="Z598" s="12"/>
      <c r="AC598" s="12"/>
    </row>
    <row r="599">
      <c r="H599" s="12"/>
      <c r="K599" s="12"/>
      <c r="N599" s="12"/>
      <c r="Q599" s="12"/>
      <c r="T599" s="12"/>
      <c r="W599" s="12"/>
      <c r="Z599" s="12"/>
      <c r="AC599" s="12"/>
    </row>
    <row r="600">
      <c r="H600" s="12"/>
      <c r="K600" s="12"/>
      <c r="N600" s="12"/>
      <c r="Q600" s="12"/>
      <c r="T600" s="12"/>
      <c r="W600" s="12"/>
      <c r="Z600" s="12"/>
      <c r="AC600" s="12"/>
    </row>
    <row r="601">
      <c r="H601" s="12"/>
      <c r="K601" s="12"/>
      <c r="N601" s="12"/>
      <c r="Q601" s="12"/>
      <c r="T601" s="12"/>
      <c r="W601" s="12"/>
      <c r="Z601" s="12"/>
      <c r="AC601" s="12"/>
    </row>
    <row r="602">
      <c r="H602" s="12"/>
      <c r="K602" s="12"/>
      <c r="N602" s="12"/>
      <c r="Q602" s="12"/>
      <c r="T602" s="12"/>
      <c r="W602" s="12"/>
      <c r="Z602" s="12"/>
      <c r="AC602" s="12"/>
    </row>
    <row r="603">
      <c r="H603" s="12"/>
      <c r="K603" s="12"/>
      <c r="N603" s="12"/>
      <c r="Q603" s="12"/>
      <c r="T603" s="12"/>
      <c r="W603" s="12"/>
      <c r="Z603" s="12"/>
      <c r="AC603" s="12"/>
    </row>
    <row r="604">
      <c r="H604" s="12"/>
      <c r="K604" s="12"/>
      <c r="N604" s="12"/>
      <c r="Q604" s="12"/>
      <c r="T604" s="12"/>
      <c r="W604" s="12"/>
      <c r="Z604" s="12"/>
      <c r="AC604" s="12"/>
    </row>
    <row r="605">
      <c r="H605" s="12"/>
      <c r="K605" s="12"/>
      <c r="N605" s="12"/>
      <c r="Q605" s="12"/>
      <c r="T605" s="12"/>
      <c r="W605" s="12"/>
      <c r="Z605" s="12"/>
      <c r="AC605" s="12"/>
    </row>
    <row r="606">
      <c r="H606" s="12"/>
      <c r="K606" s="12"/>
      <c r="N606" s="12"/>
      <c r="Q606" s="12"/>
      <c r="T606" s="12"/>
      <c r="W606" s="12"/>
      <c r="Z606" s="12"/>
      <c r="AC606" s="12"/>
    </row>
    <row r="607">
      <c r="H607" s="12"/>
      <c r="K607" s="12"/>
      <c r="N607" s="12"/>
      <c r="Q607" s="12"/>
      <c r="T607" s="12"/>
      <c r="W607" s="12"/>
      <c r="Z607" s="12"/>
      <c r="AC607" s="12"/>
    </row>
    <row r="608">
      <c r="H608" s="12"/>
      <c r="K608" s="12"/>
      <c r="N608" s="12"/>
      <c r="Q608" s="12"/>
      <c r="T608" s="12"/>
      <c r="W608" s="12"/>
      <c r="Z608" s="12"/>
      <c r="AC608" s="12"/>
    </row>
    <row r="609">
      <c r="H609" s="12"/>
      <c r="K609" s="12"/>
      <c r="N609" s="12"/>
      <c r="Q609" s="12"/>
      <c r="T609" s="12"/>
      <c r="W609" s="12"/>
      <c r="Z609" s="12"/>
      <c r="AC609" s="12"/>
    </row>
    <row r="610">
      <c r="H610" s="12"/>
      <c r="K610" s="12"/>
      <c r="N610" s="12"/>
      <c r="Q610" s="12"/>
      <c r="T610" s="12"/>
      <c r="W610" s="12"/>
      <c r="Z610" s="12"/>
      <c r="AC610" s="12"/>
    </row>
    <row r="611">
      <c r="H611" s="12"/>
      <c r="K611" s="12"/>
      <c r="N611" s="12"/>
      <c r="Q611" s="12"/>
      <c r="T611" s="12"/>
      <c r="W611" s="12"/>
      <c r="Z611" s="12"/>
      <c r="AC611" s="12"/>
    </row>
    <row r="612">
      <c r="H612" s="12"/>
      <c r="K612" s="12"/>
      <c r="N612" s="12"/>
      <c r="Q612" s="12"/>
      <c r="T612" s="12"/>
      <c r="W612" s="12"/>
      <c r="Z612" s="12"/>
      <c r="AC612" s="12"/>
    </row>
    <row r="613">
      <c r="H613" s="12"/>
      <c r="K613" s="12"/>
      <c r="N613" s="12"/>
      <c r="Q613" s="12"/>
      <c r="T613" s="12"/>
      <c r="W613" s="12"/>
      <c r="Z613" s="12"/>
      <c r="AC613" s="12"/>
    </row>
    <row r="614">
      <c r="H614" s="12"/>
      <c r="K614" s="12"/>
      <c r="N614" s="12"/>
      <c r="Q614" s="12"/>
      <c r="T614" s="12"/>
      <c r="W614" s="12"/>
      <c r="Z614" s="12"/>
      <c r="AC614" s="12"/>
    </row>
    <row r="615">
      <c r="H615" s="12"/>
      <c r="K615" s="12"/>
      <c r="N615" s="12"/>
      <c r="Q615" s="12"/>
      <c r="T615" s="12"/>
      <c r="W615" s="12"/>
      <c r="Z615" s="12"/>
      <c r="AC615" s="12"/>
    </row>
    <row r="616">
      <c r="H616" s="12"/>
      <c r="K616" s="12"/>
      <c r="N616" s="12"/>
      <c r="Q616" s="12"/>
      <c r="T616" s="12"/>
      <c r="W616" s="12"/>
      <c r="Z616" s="12"/>
      <c r="AC616" s="12"/>
    </row>
    <row r="617">
      <c r="H617" s="12"/>
      <c r="K617" s="12"/>
      <c r="N617" s="12"/>
      <c r="Q617" s="12"/>
      <c r="T617" s="12"/>
      <c r="W617" s="12"/>
      <c r="Z617" s="12"/>
      <c r="AC617" s="12"/>
    </row>
    <row r="618">
      <c r="H618" s="12"/>
      <c r="K618" s="12"/>
      <c r="N618" s="12"/>
      <c r="Q618" s="12"/>
      <c r="T618" s="12"/>
      <c r="W618" s="12"/>
      <c r="Z618" s="12"/>
      <c r="AC618" s="12"/>
    </row>
    <row r="619">
      <c r="H619" s="12"/>
      <c r="K619" s="12"/>
      <c r="N619" s="12"/>
      <c r="Q619" s="12"/>
      <c r="T619" s="12"/>
      <c r="W619" s="12"/>
      <c r="Z619" s="12"/>
      <c r="AC619" s="12"/>
    </row>
    <row r="620">
      <c r="H620" s="12"/>
      <c r="K620" s="12"/>
      <c r="N620" s="12"/>
      <c r="Q620" s="12"/>
      <c r="T620" s="12"/>
      <c r="W620" s="12"/>
      <c r="Z620" s="12"/>
      <c r="AC620" s="12"/>
    </row>
    <row r="621">
      <c r="H621" s="12"/>
      <c r="K621" s="12"/>
      <c r="N621" s="12"/>
      <c r="Q621" s="12"/>
      <c r="T621" s="12"/>
      <c r="W621" s="12"/>
      <c r="Z621" s="12"/>
      <c r="AC621" s="12"/>
    </row>
    <row r="622">
      <c r="H622" s="12"/>
      <c r="K622" s="12"/>
      <c r="N622" s="12"/>
      <c r="Q622" s="12"/>
      <c r="T622" s="12"/>
      <c r="W622" s="12"/>
      <c r="Z622" s="12"/>
      <c r="AC622" s="12"/>
    </row>
    <row r="623">
      <c r="H623" s="12"/>
      <c r="K623" s="12"/>
      <c r="N623" s="12"/>
      <c r="Q623" s="12"/>
      <c r="T623" s="12"/>
      <c r="W623" s="12"/>
      <c r="Z623" s="12"/>
      <c r="AC623" s="12"/>
    </row>
    <row r="624">
      <c r="H624" s="12"/>
      <c r="K624" s="12"/>
      <c r="N624" s="12"/>
      <c r="Q624" s="12"/>
      <c r="T624" s="12"/>
      <c r="W624" s="12"/>
      <c r="Z624" s="12"/>
      <c r="AC624" s="12"/>
    </row>
    <row r="625">
      <c r="H625" s="12"/>
      <c r="K625" s="12"/>
      <c r="N625" s="12"/>
      <c r="Q625" s="12"/>
      <c r="T625" s="12"/>
      <c r="W625" s="12"/>
      <c r="Z625" s="12"/>
      <c r="AC625" s="12"/>
    </row>
    <row r="626">
      <c r="H626" s="12"/>
      <c r="K626" s="12"/>
      <c r="N626" s="12"/>
      <c r="Q626" s="12"/>
      <c r="T626" s="12"/>
      <c r="W626" s="12"/>
      <c r="Z626" s="12"/>
      <c r="AC626" s="12"/>
    </row>
    <row r="627">
      <c r="H627" s="12"/>
      <c r="K627" s="12"/>
      <c r="N627" s="12"/>
      <c r="Q627" s="12"/>
      <c r="T627" s="12"/>
      <c r="W627" s="12"/>
      <c r="Z627" s="12"/>
      <c r="AC627" s="12"/>
    </row>
    <row r="628">
      <c r="H628" s="12"/>
      <c r="K628" s="12"/>
      <c r="N628" s="12"/>
      <c r="Q628" s="12"/>
      <c r="T628" s="12"/>
      <c r="W628" s="12"/>
      <c r="Z628" s="12"/>
      <c r="AC628" s="12"/>
    </row>
    <row r="629">
      <c r="H629" s="12"/>
      <c r="K629" s="12"/>
      <c r="N629" s="12"/>
      <c r="Q629" s="12"/>
      <c r="T629" s="12"/>
      <c r="W629" s="12"/>
      <c r="Z629" s="12"/>
      <c r="AC629" s="12"/>
    </row>
    <row r="630">
      <c r="H630" s="12"/>
      <c r="K630" s="12"/>
      <c r="N630" s="12"/>
      <c r="Q630" s="12"/>
      <c r="T630" s="12"/>
      <c r="W630" s="12"/>
      <c r="Z630" s="12"/>
      <c r="AC630" s="12"/>
    </row>
    <row r="631">
      <c r="H631" s="12"/>
      <c r="K631" s="12"/>
      <c r="N631" s="12"/>
      <c r="Q631" s="12"/>
      <c r="T631" s="12"/>
      <c r="W631" s="12"/>
      <c r="Z631" s="12"/>
      <c r="AC631" s="12"/>
    </row>
    <row r="632">
      <c r="H632" s="12"/>
      <c r="K632" s="12"/>
      <c r="N632" s="12"/>
      <c r="Q632" s="12"/>
      <c r="T632" s="12"/>
      <c r="W632" s="12"/>
      <c r="Z632" s="12"/>
      <c r="AC632" s="12"/>
    </row>
    <row r="633">
      <c r="H633" s="12"/>
      <c r="K633" s="12"/>
      <c r="N633" s="12"/>
      <c r="Q633" s="12"/>
      <c r="T633" s="12"/>
      <c r="W633" s="12"/>
      <c r="Z633" s="12"/>
      <c r="AC633" s="12"/>
    </row>
    <row r="634">
      <c r="H634" s="12"/>
      <c r="K634" s="12"/>
      <c r="N634" s="12"/>
      <c r="Q634" s="12"/>
      <c r="T634" s="12"/>
      <c r="W634" s="12"/>
      <c r="Z634" s="12"/>
      <c r="AC634" s="12"/>
    </row>
    <row r="635">
      <c r="H635" s="12"/>
      <c r="K635" s="12"/>
      <c r="N635" s="12"/>
      <c r="Q635" s="12"/>
      <c r="T635" s="12"/>
      <c r="W635" s="12"/>
      <c r="Z635" s="12"/>
      <c r="AC635" s="12"/>
    </row>
    <row r="636">
      <c r="H636" s="12"/>
      <c r="K636" s="12"/>
      <c r="N636" s="12"/>
      <c r="Q636" s="12"/>
      <c r="T636" s="12"/>
      <c r="W636" s="12"/>
      <c r="Z636" s="12"/>
      <c r="AC636" s="12"/>
    </row>
    <row r="637">
      <c r="H637" s="12"/>
      <c r="K637" s="12"/>
      <c r="N637" s="12"/>
      <c r="Q637" s="12"/>
      <c r="T637" s="12"/>
      <c r="W637" s="12"/>
      <c r="Z637" s="12"/>
      <c r="AC637" s="12"/>
    </row>
    <row r="638">
      <c r="H638" s="12"/>
      <c r="K638" s="12"/>
      <c r="N638" s="12"/>
      <c r="Q638" s="12"/>
      <c r="T638" s="12"/>
      <c r="W638" s="12"/>
      <c r="Z638" s="12"/>
      <c r="AC638" s="12"/>
    </row>
    <row r="639">
      <c r="H639" s="12"/>
      <c r="K639" s="12"/>
      <c r="N639" s="12"/>
      <c r="Q639" s="12"/>
      <c r="T639" s="12"/>
      <c r="W639" s="12"/>
      <c r="Z639" s="12"/>
      <c r="AC639" s="12"/>
    </row>
    <row r="640">
      <c r="H640" s="12"/>
      <c r="K640" s="12"/>
      <c r="N640" s="12"/>
      <c r="Q640" s="12"/>
      <c r="T640" s="12"/>
      <c r="W640" s="12"/>
      <c r="Z640" s="12"/>
      <c r="AC640" s="12"/>
    </row>
    <row r="641">
      <c r="H641" s="12"/>
      <c r="K641" s="12"/>
      <c r="N641" s="12"/>
      <c r="Q641" s="12"/>
      <c r="T641" s="12"/>
      <c r="W641" s="12"/>
      <c r="Z641" s="12"/>
      <c r="AC641" s="12"/>
    </row>
    <row r="642">
      <c r="H642" s="12"/>
      <c r="K642" s="12"/>
      <c r="N642" s="12"/>
      <c r="Q642" s="12"/>
      <c r="T642" s="12"/>
      <c r="W642" s="12"/>
      <c r="Z642" s="12"/>
      <c r="AC642" s="12"/>
    </row>
    <row r="643">
      <c r="H643" s="12"/>
      <c r="K643" s="12"/>
      <c r="N643" s="12"/>
      <c r="Q643" s="12"/>
      <c r="T643" s="12"/>
      <c r="W643" s="12"/>
      <c r="Z643" s="12"/>
      <c r="AC643" s="12"/>
    </row>
    <row r="644">
      <c r="H644" s="12"/>
      <c r="K644" s="12"/>
      <c r="N644" s="12"/>
      <c r="Q644" s="12"/>
      <c r="T644" s="12"/>
      <c r="W644" s="12"/>
      <c r="Z644" s="12"/>
      <c r="AC644" s="12"/>
    </row>
    <row r="645">
      <c r="H645" s="12"/>
      <c r="K645" s="12"/>
      <c r="N645" s="12"/>
      <c r="Q645" s="12"/>
      <c r="T645" s="12"/>
      <c r="W645" s="12"/>
      <c r="Z645" s="12"/>
      <c r="AC645" s="12"/>
    </row>
    <row r="646">
      <c r="H646" s="12"/>
      <c r="K646" s="12"/>
      <c r="N646" s="12"/>
      <c r="Q646" s="12"/>
      <c r="T646" s="12"/>
      <c r="W646" s="12"/>
      <c r="Z646" s="12"/>
      <c r="AC646" s="12"/>
    </row>
    <row r="647">
      <c r="H647" s="12"/>
      <c r="K647" s="12"/>
      <c r="N647" s="12"/>
      <c r="Q647" s="12"/>
      <c r="T647" s="12"/>
      <c r="W647" s="12"/>
      <c r="Z647" s="12"/>
      <c r="AC647" s="12"/>
    </row>
    <row r="648">
      <c r="H648" s="12"/>
      <c r="K648" s="12"/>
      <c r="N648" s="12"/>
      <c r="Q648" s="12"/>
      <c r="T648" s="12"/>
      <c r="W648" s="12"/>
      <c r="Z648" s="12"/>
      <c r="AC648" s="12"/>
    </row>
    <row r="649">
      <c r="H649" s="12"/>
      <c r="K649" s="12"/>
      <c r="N649" s="12"/>
      <c r="Q649" s="12"/>
      <c r="T649" s="12"/>
      <c r="W649" s="12"/>
      <c r="Z649" s="12"/>
      <c r="AC649" s="12"/>
    </row>
    <row r="650">
      <c r="H650" s="12"/>
      <c r="K650" s="12"/>
      <c r="N650" s="12"/>
      <c r="Q650" s="12"/>
      <c r="T650" s="12"/>
      <c r="W650" s="12"/>
      <c r="Z650" s="12"/>
      <c r="AC650" s="12"/>
    </row>
    <row r="651">
      <c r="H651" s="12"/>
      <c r="K651" s="12"/>
      <c r="N651" s="12"/>
      <c r="Q651" s="12"/>
      <c r="T651" s="12"/>
      <c r="W651" s="12"/>
      <c r="Z651" s="12"/>
      <c r="AC651" s="12"/>
    </row>
    <row r="652">
      <c r="H652" s="12"/>
      <c r="K652" s="12"/>
      <c r="N652" s="12"/>
      <c r="Q652" s="12"/>
      <c r="T652" s="12"/>
      <c r="W652" s="12"/>
      <c r="Z652" s="12"/>
      <c r="AC652" s="12"/>
    </row>
    <row r="653">
      <c r="H653" s="12"/>
      <c r="K653" s="12"/>
      <c r="N653" s="12"/>
      <c r="Q653" s="12"/>
      <c r="T653" s="12"/>
      <c r="W653" s="12"/>
      <c r="Z653" s="12"/>
      <c r="AC653" s="12"/>
    </row>
    <row r="654">
      <c r="H654" s="12"/>
      <c r="K654" s="12"/>
      <c r="N654" s="12"/>
      <c r="Q654" s="12"/>
      <c r="T654" s="12"/>
      <c r="W654" s="12"/>
      <c r="Z654" s="12"/>
      <c r="AC654" s="12"/>
    </row>
    <row r="655">
      <c r="H655" s="12"/>
      <c r="K655" s="12"/>
      <c r="N655" s="12"/>
      <c r="Q655" s="12"/>
      <c r="T655" s="12"/>
      <c r="W655" s="12"/>
      <c r="Z655" s="12"/>
      <c r="AC655" s="12"/>
    </row>
    <row r="656">
      <c r="H656" s="12"/>
      <c r="K656" s="12"/>
      <c r="N656" s="12"/>
      <c r="Q656" s="12"/>
      <c r="T656" s="12"/>
      <c r="W656" s="12"/>
      <c r="Z656" s="12"/>
      <c r="AC656" s="12"/>
    </row>
    <row r="657">
      <c r="H657" s="12"/>
      <c r="K657" s="12"/>
      <c r="N657" s="12"/>
      <c r="Q657" s="12"/>
      <c r="T657" s="12"/>
      <c r="W657" s="12"/>
      <c r="Z657" s="12"/>
      <c r="AC657" s="12"/>
    </row>
    <row r="658">
      <c r="H658" s="12"/>
      <c r="K658" s="12"/>
      <c r="N658" s="12"/>
      <c r="Q658" s="12"/>
      <c r="T658" s="12"/>
      <c r="W658" s="12"/>
      <c r="Z658" s="12"/>
      <c r="AC658" s="12"/>
    </row>
    <row r="659">
      <c r="H659" s="12"/>
      <c r="K659" s="12"/>
      <c r="N659" s="12"/>
      <c r="Q659" s="12"/>
      <c r="T659" s="12"/>
      <c r="W659" s="12"/>
      <c r="Z659" s="12"/>
      <c r="AC659" s="12"/>
    </row>
    <row r="660">
      <c r="H660" s="12"/>
      <c r="K660" s="12"/>
      <c r="N660" s="12"/>
      <c r="Q660" s="12"/>
      <c r="T660" s="12"/>
      <c r="W660" s="12"/>
      <c r="Z660" s="12"/>
      <c r="AC660" s="12"/>
    </row>
    <row r="661">
      <c r="H661" s="12"/>
      <c r="K661" s="12"/>
      <c r="N661" s="12"/>
      <c r="Q661" s="12"/>
      <c r="T661" s="12"/>
      <c r="W661" s="12"/>
      <c r="Z661" s="12"/>
      <c r="AC661" s="12"/>
    </row>
    <row r="662">
      <c r="H662" s="12"/>
      <c r="K662" s="12"/>
      <c r="N662" s="12"/>
      <c r="Q662" s="12"/>
      <c r="T662" s="12"/>
      <c r="W662" s="12"/>
      <c r="Z662" s="12"/>
      <c r="AC662" s="12"/>
    </row>
    <row r="663">
      <c r="H663" s="12"/>
      <c r="K663" s="12"/>
      <c r="N663" s="12"/>
      <c r="Q663" s="12"/>
      <c r="T663" s="12"/>
      <c r="W663" s="12"/>
      <c r="Z663" s="12"/>
      <c r="AC663" s="12"/>
    </row>
    <row r="664">
      <c r="H664" s="12"/>
      <c r="K664" s="12"/>
      <c r="N664" s="12"/>
      <c r="Q664" s="12"/>
      <c r="T664" s="12"/>
      <c r="W664" s="12"/>
      <c r="Z664" s="12"/>
      <c r="AC664" s="12"/>
    </row>
    <row r="665">
      <c r="H665" s="12"/>
      <c r="K665" s="12"/>
      <c r="N665" s="12"/>
      <c r="Q665" s="12"/>
      <c r="T665" s="12"/>
      <c r="W665" s="12"/>
      <c r="Z665" s="12"/>
      <c r="AC665" s="12"/>
    </row>
    <row r="666">
      <c r="H666" s="12"/>
      <c r="K666" s="12"/>
      <c r="N666" s="12"/>
      <c r="Q666" s="12"/>
      <c r="T666" s="12"/>
      <c r="W666" s="12"/>
      <c r="Z666" s="12"/>
      <c r="AC666" s="12"/>
    </row>
    <row r="667">
      <c r="H667" s="12"/>
      <c r="K667" s="12"/>
      <c r="N667" s="12"/>
      <c r="Q667" s="12"/>
      <c r="T667" s="12"/>
      <c r="W667" s="12"/>
      <c r="Z667" s="12"/>
      <c r="AC667" s="12"/>
    </row>
    <row r="668">
      <c r="H668" s="12"/>
      <c r="K668" s="12"/>
      <c r="N668" s="12"/>
      <c r="Q668" s="12"/>
      <c r="T668" s="12"/>
      <c r="W668" s="12"/>
      <c r="Z668" s="12"/>
      <c r="AC668" s="12"/>
    </row>
    <row r="669">
      <c r="H669" s="12"/>
      <c r="K669" s="12"/>
      <c r="N669" s="12"/>
      <c r="Q669" s="12"/>
      <c r="T669" s="12"/>
      <c r="W669" s="12"/>
      <c r="Z669" s="12"/>
      <c r="AC669" s="12"/>
    </row>
    <row r="670">
      <c r="H670" s="12"/>
      <c r="K670" s="12"/>
      <c r="N670" s="12"/>
      <c r="Q670" s="12"/>
      <c r="T670" s="12"/>
      <c r="W670" s="12"/>
      <c r="Z670" s="12"/>
      <c r="AC670" s="12"/>
    </row>
    <row r="671">
      <c r="H671" s="12"/>
      <c r="K671" s="12"/>
      <c r="N671" s="12"/>
      <c r="Q671" s="12"/>
      <c r="T671" s="12"/>
      <c r="W671" s="12"/>
      <c r="Z671" s="12"/>
      <c r="AC671" s="12"/>
    </row>
    <row r="672">
      <c r="H672" s="12"/>
      <c r="K672" s="12"/>
      <c r="N672" s="12"/>
      <c r="Q672" s="12"/>
      <c r="T672" s="12"/>
      <c r="W672" s="12"/>
      <c r="Z672" s="12"/>
      <c r="AC672" s="12"/>
    </row>
    <row r="673">
      <c r="H673" s="12"/>
      <c r="K673" s="12"/>
      <c r="N673" s="12"/>
      <c r="Q673" s="12"/>
      <c r="T673" s="12"/>
      <c r="W673" s="12"/>
      <c r="Z673" s="12"/>
      <c r="AC673" s="12"/>
    </row>
    <row r="674">
      <c r="H674" s="12"/>
      <c r="K674" s="12"/>
      <c r="N674" s="12"/>
      <c r="Q674" s="12"/>
      <c r="T674" s="12"/>
      <c r="W674" s="12"/>
      <c r="Z674" s="12"/>
      <c r="AC674" s="12"/>
    </row>
    <row r="675">
      <c r="H675" s="12"/>
      <c r="K675" s="12"/>
      <c r="N675" s="12"/>
      <c r="Q675" s="12"/>
      <c r="T675" s="12"/>
      <c r="W675" s="12"/>
      <c r="Z675" s="12"/>
      <c r="AC675" s="12"/>
    </row>
    <row r="676">
      <c r="H676" s="12"/>
      <c r="K676" s="12"/>
      <c r="N676" s="12"/>
      <c r="Q676" s="12"/>
      <c r="T676" s="12"/>
      <c r="W676" s="12"/>
      <c r="Z676" s="12"/>
      <c r="AC676" s="12"/>
    </row>
    <row r="677">
      <c r="H677" s="12"/>
      <c r="K677" s="12"/>
      <c r="N677" s="12"/>
      <c r="Q677" s="12"/>
      <c r="T677" s="12"/>
      <c r="W677" s="12"/>
      <c r="Z677" s="12"/>
      <c r="AC677" s="12"/>
    </row>
    <row r="678">
      <c r="H678" s="12"/>
      <c r="K678" s="12"/>
      <c r="N678" s="12"/>
      <c r="Q678" s="12"/>
      <c r="T678" s="12"/>
      <c r="W678" s="12"/>
      <c r="Z678" s="12"/>
      <c r="AC678" s="12"/>
    </row>
    <row r="679">
      <c r="H679" s="12"/>
      <c r="K679" s="12"/>
      <c r="N679" s="12"/>
      <c r="Q679" s="12"/>
      <c r="T679" s="12"/>
      <c r="W679" s="12"/>
      <c r="Z679" s="12"/>
      <c r="AC679" s="12"/>
    </row>
    <row r="680">
      <c r="H680" s="12"/>
      <c r="K680" s="12"/>
      <c r="N680" s="12"/>
      <c r="Q680" s="12"/>
      <c r="T680" s="12"/>
      <c r="W680" s="12"/>
      <c r="Z680" s="12"/>
      <c r="AC680" s="12"/>
    </row>
    <row r="681">
      <c r="H681" s="12"/>
      <c r="K681" s="12"/>
      <c r="N681" s="12"/>
      <c r="Q681" s="12"/>
      <c r="T681" s="12"/>
      <c r="W681" s="12"/>
      <c r="Z681" s="12"/>
      <c r="AC681" s="12"/>
    </row>
    <row r="682">
      <c r="H682" s="12"/>
      <c r="K682" s="12"/>
      <c r="N682" s="12"/>
      <c r="Q682" s="12"/>
      <c r="T682" s="12"/>
      <c r="W682" s="12"/>
      <c r="Z682" s="12"/>
      <c r="AC682" s="12"/>
    </row>
    <row r="683">
      <c r="H683" s="12"/>
      <c r="K683" s="12"/>
      <c r="N683" s="12"/>
      <c r="Q683" s="12"/>
      <c r="T683" s="12"/>
      <c r="W683" s="12"/>
      <c r="Z683" s="12"/>
      <c r="AC683" s="12"/>
    </row>
    <row r="684">
      <c r="H684" s="12"/>
      <c r="K684" s="12"/>
      <c r="N684" s="12"/>
      <c r="Q684" s="12"/>
      <c r="T684" s="12"/>
      <c r="W684" s="12"/>
      <c r="Z684" s="12"/>
      <c r="AC684" s="12"/>
    </row>
    <row r="685">
      <c r="H685" s="12"/>
      <c r="K685" s="12"/>
      <c r="N685" s="12"/>
      <c r="Q685" s="12"/>
      <c r="T685" s="12"/>
      <c r="W685" s="12"/>
      <c r="Z685" s="12"/>
      <c r="AC685" s="12"/>
    </row>
    <row r="686">
      <c r="H686" s="12"/>
      <c r="K686" s="12"/>
      <c r="N686" s="12"/>
      <c r="Q686" s="12"/>
      <c r="T686" s="12"/>
      <c r="W686" s="12"/>
      <c r="Z686" s="12"/>
      <c r="AC686" s="12"/>
    </row>
    <row r="687">
      <c r="H687" s="12"/>
      <c r="K687" s="12"/>
      <c r="N687" s="12"/>
      <c r="Q687" s="12"/>
      <c r="T687" s="12"/>
      <c r="W687" s="12"/>
      <c r="Z687" s="12"/>
      <c r="AC687" s="12"/>
    </row>
    <row r="688">
      <c r="H688" s="12"/>
      <c r="K688" s="12"/>
      <c r="N688" s="12"/>
      <c r="Q688" s="12"/>
      <c r="T688" s="12"/>
      <c r="W688" s="12"/>
      <c r="Z688" s="12"/>
      <c r="AC688" s="12"/>
    </row>
    <row r="689">
      <c r="H689" s="12"/>
      <c r="K689" s="12"/>
      <c r="N689" s="12"/>
      <c r="Q689" s="12"/>
      <c r="T689" s="12"/>
      <c r="W689" s="12"/>
      <c r="Z689" s="12"/>
      <c r="AC689" s="12"/>
    </row>
    <row r="690">
      <c r="H690" s="12"/>
      <c r="K690" s="12"/>
      <c r="N690" s="12"/>
      <c r="Q690" s="12"/>
      <c r="T690" s="12"/>
      <c r="W690" s="12"/>
      <c r="Z690" s="12"/>
      <c r="AC690" s="12"/>
    </row>
    <row r="691">
      <c r="H691" s="12"/>
      <c r="K691" s="12"/>
      <c r="N691" s="12"/>
      <c r="Q691" s="12"/>
      <c r="T691" s="12"/>
      <c r="W691" s="12"/>
      <c r="Z691" s="12"/>
      <c r="AC691" s="12"/>
    </row>
    <row r="692">
      <c r="H692" s="12"/>
      <c r="K692" s="12"/>
      <c r="N692" s="12"/>
      <c r="Q692" s="12"/>
      <c r="T692" s="12"/>
      <c r="W692" s="12"/>
      <c r="Z692" s="12"/>
      <c r="AC692" s="12"/>
    </row>
    <row r="693">
      <c r="H693" s="12"/>
      <c r="K693" s="12"/>
      <c r="N693" s="12"/>
      <c r="Q693" s="12"/>
      <c r="T693" s="12"/>
      <c r="W693" s="12"/>
      <c r="Z693" s="12"/>
      <c r="AC693" s="12"/>
    </row>
    <row r="694">
      <c r="H694" s="12"/>
      <c r="K694" s="12"/>
      <c r="N694" s="12"/>
      <c r="Q694" s="12"/>
      <c r="T694" s="12"/>
      <c r="W694" s="12"/>
      <c r="Z694" s="12"/>
      <c r="AC694" s="12"/>
    </row>
    <row r="695">
      <c r="H695" s="12"/>
      <c r="K695" s="12"/>
      <c r="N695" s="12"/>
      <c r="Q695" s="12"/>
      <c r="T695" s="12"/>
      <c r="W695" s="12"/>
      <c r="Z695" s="12"/>
      <c r="AC695" s="12"/>
    </row>
    <row r="696">
      <c r="H696" s="12"/>
      <c r="K696" s="12"/>
      <c r="N696" s="12"/>
      <c r="Q696" s="12"/>
      <c r="T696" s="12"/>
      <c r="W696" s="12"/>
      <c r="Z696" s="12"/>
      <c r="AC696" s="12"/>
    </row>
    <row r="697">
      <c r="H697" s="12"/>
      <c r="K697" s="12"/>
      <c r="N697" s="12"/>
      <c r="Q697" s="12"/>
      <c r="T697" s="12"/>
      <c r="W697" s="12"/>
      <c r="Z697" s="12"/>
      <c r="AC697" s="12"/>
    </row>
    <row r="698">
      <c r="H698" s="12"/>
      <c r="K698" s="12"/>
      <c r="N698" s="12"/>
      <c r="Q698" s="12"/>
      <c r="T698" s="12"/>
      <c r="W698" s="12"/>
      <c r="Z698" s="12"/>
      <c r="AC698" s="12"/>
    </row>
    <row r="699">
      <c r="H699" s="12"/>
      <c r="K699" s="12"/>
      <c r="N699" s="12"/>
      <c r="Q699" s="12"/>
      <c r="T699" s="12"/>
      <c r="W699" s="12"/>
      <c r="Z699" s="12"/>
      <c r="AC699" s="12"/>
    </row>
    <row r="700">
      <c r="H700" s="12"/>
      <c r="K700" s="12"/>
      <c r="N700" s="12"/>
      <c r="Q700" s="12"/>
      <c r="T700" s="12"/>
      <c r="W700" s="12"/>
      <c r="Z700" s="12"/>
      <c r="AC700" s="12"/>
    </row>
    <row r="701">
      <c r="H701" s="12"/>
      <c r="K701" s="12"/>
      <c r="N701" s="12"/>
      <c r="Q701" s="12"/>
      <c r="T701" s="12"/>
      <c r="W701" s="12"/>
      <c r="Z701" s="12"/>
      <c r="AC701" s="12"/>
    </row>
    <row r="702">
      <c r="H702" s="12"/>
      <c r="K702" s="12"/>
      <c r="N702" s="12"/>
      <c r="Q702" s="12"/>
      <c r="T702" s="12"/>
      <c r="W702" s="12"/>
      <c r="Z702" s="12"/>
      <c r="AC702" s="12"/>
    </row>
    <row r="703">
      <c r="H703" s="12"/>
      <c r="K703" s="12"/>
      <c r="N703" s="12"/>
      <c r="Q703" s="12"/>
      <c r="T703" s="12"/>
      <c r="W703" s="12"/>
      <c r="Z703" s="12"/>
      <c r="AC703" s="12"/>
    </row>
    <row r="704">
      <c r="H704" s="12"/>
      <c r="K704" s="12"/>
      <c r="N704" s="12"/>
      <c r="Q704" s="12"/>
      <c r="T704" s="12"/>
      <c r="W704" s="12"/>
      <c r="Z704" s="12"/>
      <c r="AC704" s="12"/>
    </row>
    <row r="705">
      <c r="H705" s="12"/>
      <c r="K705" s="12"/>
      <c r="N705" s="12"/>
      <c r="Q705" s="12"/>
      <c r="T705" s="12"/>
      <c r="W705" s="12"/>
      <c r="Z705" s="12"/>
      <c r="AC705" s="12"/>
    </row>
    <row r="706">
      <c r="H706" s="12"/>
      <c r="K706" s="12"/>
      <c r="N706" s="12"/>
      <c r="Q706" s="12"/>
      <c r="T706" s="12"/>
      <c r="W706" s="12"/>
      <c r="Z706" s="12"/>
      <c r="AC706" s="12"/>
    </row>
    <row r="707">
      <c r="H707" s="12"/>
      <c r="K707" s="12"/>
      <c r="N707" s="12"/>
      <c r="Q707" s="12"/>
      <c r="T707" s="12"/>
      <c r="W707" s="12"/>
      <c r="Z707" s="12"/>
      <c r="AC707" s="12"/>
    </row>
    <row r="708">
      <c r="H708" s="12"/>
      <c r="K708" s="12"/>
      <c r="N708" s="12"/>
      <c r="Q708" s="12"/>
      <c r="T708" s="12"/>
      <c r="W708" s="12"/>
      <c r="Z708" s="12"/>
      <c r="AC708" s="12"/>
    </row>
    <row r="709">
      <c r="H709" s="12"/>
      <c r="K709" s="12"/>
      <c r="N709" s="12"/>
      <c r="Q709" s="12"/>
      <c r="T709" s="12"/>
      <c r="W709" s="12"/>
      <c r="Z709" s="12"/>
      <c r="AC709" s="12"/>
    </row>
    <row r="710">
      <c r="H710" s="12"/>
      <c r="K710" s="12"/>
      <c r="N710" s="12"/>
      <c r="Q710" s="12"/>
      <c r="T710" s="12"/>
      <c r="W710" s="12"/>
      <c r="Z710" s="12"/>
      <c r="AC710" s="12"/>
    </row>
    <row r="711">
      <c r="H711" s="12"/>
      <c r="K711" s="12"/>
      <c r="N711" s="12"/>
      <c r="Q711" s="12"/>
      <c r="T711" s="12"/>
      <c r="W711" s="12"/>
      <c r="Z711" s="12"/>
      <c r="AC711" s="12"/>
    </row>
    <row r="712">
      <c r="H712" s="12"/>
      <c r="K712" s="12"/>
      <c r="N712" s="12"/>
      <c r="Q712" s="12"/>
      <c r="T712" s="12"/>
      <c r="W712" s="12"/>
      <c r="Z712" s="12"/>
      <c r="AC712" s="12"/>
    </row>
    <row r="713">
      <c r="H713" s="12"/>
      <c r="K713" s="12"/>
      <c r="N713" s="12"/>
      <c r="Q713" s="12"/>
      <c r="T713" s="12"/>
      <c r="W713" s="12"/>
      <c r="Z713" s="12"/>
      <c r="AC713" s="12"/>
    </row>
    <row r="714">
      <c r="H714" s="12"/>
      <c r="K714" s="12"/>
      <c r="N714" s="12"/>
      <c r="Q714" s="12"/>
      <c r="T714" s="12"/>
      <c r="W714" s="12"/>
      <c r="Z714" s="12"/>
      <c r="AC714" s="12"/>
    </row>
    <row r="715">
      <c r="H715" s="12"/>
      <c r="K715" s="12"/>
      <c r="N715" s="12"/>
      <c r="Q715" s="12"/>
      <c r="T715" s="12"/>
      <c r="W715" s="12"/>
      <c r="Z715" s="12"/>
      <c r="AC715" s="12"/>
    </row>
    <row r="716">
      <c r="H716" s="12"/>
      <c r="K716" s="12"/>
      <c r="N716" s="12"/>
      <c r="Q716" s="12"/>
      <c r="T716" s="12"/>
      <c r="W716" s="12"/>
      <c r="Z716" s="12"/>
      <c r="AC716" s="12"/>
    </row>
    <row r="717">
      <c r="H717" s="12"/>
      <c r="K717" s="12"/>
      <c r="N717" s="12"/>
      <c r="Q717" s="12"/>
      <c r="T717" s="12"/>
      <c r="W717" s="12"/>
      <c r="Z717" s="12"/>
      <c r="AC717" s="12"/>
    </row>
    <row r="718">
      <c r="H718" s="12"/>
      <c r="K718" s="12"/>
      <c r="N718" s="12"/>
      <c r="Q718" s="12"/>
      <c r="T718" s="12"/>
      <c r="W718" s="12"/>
      <c r="Z718" s="12"/>
      <c r="AC718" s="12"/>
    </row>
    <row r="719">
      <c r="H719" s="12"/>
      <c r="K719" s="12"/>
      <c r="N719" s="12"/>
      <c r="Q719" s="12"/>
      <c r="T719" s="12"/>
      <c r="W719" s="12"/>
      <c r="Z719" s="12"/>
      <c r="AC719" s="12"/>
    </row>
    <row r="720">
      <c r="H720" s="12"/>
      <c r="K720" s="12"/>
      <c r="N720" s="12"/>
      <c r="Q720" s="12"/>
      <c r="T720" s="12"/>
      <c r="W720" s="12"/>
      <c r="Z720" s="12"/>
      <c r="AC720" s="12"/>
    </row>
    <row r="721">
      <c r="H721" s="12"/>
      <c r="K721" s="12"/>
      <c r="N721" s="12"/>
      <c r="Q721" s="12"/>
      <c r="T721" s="12"/>
      <c r="W721" s="12"/>
      <c r="Z721" s="12"/>
      <c r="AC721" s="12"/>
    </row>
    <row r="722">
      <c r="H722" s="12"/>
      <c r="K722" s="12"/>
      <c r="N722" s="12"/>
      <c r="Q722" s="12"/>
      <c r="T722" s="12"/>
      <c r="W722" s="12"/>
      <c r="Z722" s="12"/>
      <c r="AC722" s="12"/>
    </row>
    <row r="723">
      <c r="H723" s="12"/>
      <c r="K723" s="12"/>
      <c r="N723" s="12"/>
      <c r="Q723" s="12"/>
      <c r="T723" s="12"/>
      <c r="W723" s="12"/>
      <c r="Z723" s="12"/>
      <c r="AC723" s="12"/>
    </row>
    <row r="724">
      <c r="H724" s="12"/>
      <c r="K724" s="12"/>
      <c r="N724" s="12"/>
      <c r="Q724" s="12"/>
      <c r="T724" s="12"/>
      <c r="W724" s="12"/>
      <c r="Z724" s="12"/>
      <c r="AC724" s="12"/>
    </row>
    <row r="725">
      <c r="H725" s="12"/>
      <c r="K725" s="12"/>
      <c r="N725" s="12"/>
      <c r="Q725" s="12"/>
      <c r="T725" s="12"/>
      <c r="W725" s="12"/>
      <c r="Z725" s="12"/>
      <c r="AC725" s="12"/>
    </row>
    <row r="726">
      <c r="H726" s="12"/>
      <c r="K726" s="12"/>
      <c r="N726" s="12"/>
      <c r="Q726" s="12"/>
      <c r="T726" s="12"/>
      <c r="W726" s="12"/>
      <c r="Z726" s="12"/>
      <c r="AC726" s="12"/>
    </row>
    <row r="727">
      <c r="H727" s="12"/>
      <c r="K727" s="12"/>
      <c r="N727" s="12"/>
      <c r="Q727" s="12"/>
      <c r="T727" s="12"/>
      <c r="W727" s="12"/>
      <c r="Z727" s="12"/>
      <c r="AC727" s="12"/>
    </row>
    <row r="728">
      <c r="H728" s="12"/>
      <c r="K728" s="12"/>
      <c r="N728" s="12"/>
      <c r="Q728" s="12"/>
      <c r="T728" s="12"/>
      <c r="W728" s="12"/>
      <c r="Z728" s="12"/>
      <c r="AC728" s="12"/>
    </row>
    <row r="729">
      <c r="H729" s="12"/>
      <c r="K729" s="12"/>
      <c r="N729" s="12"/>
      <c r="Q729" s="12"/>
      <c r="T729" s="12"/>
      <c r="W729" s="12"/>
      <c r="Z729" s="12"/>
      <c r="AC729" s="12"/>
    </row>
    <row r="730">
      <c r="H730" s="12"/>
      <c r="K730" s="12"/>
      <c r="N730" s="12"/>
      <c r="Q730" s="12"/>
      <c r="T730" s="12"/>
      <c r="W730" s="12"/>
      <c r="Z730" s="12"/>
      <c r="AC730" s="12"/>
    </row>
    <row r="731">
      <c r="H731" s="12"/>
      <c r="K731" s="12"/>
      <c r="N731" s="12"/>
      <c r="Q731" s="12"/>
      <c r="T731" s="12"/>
      <c r="W731" s="12"/>
      <c r="Z731" s="12"/>
      <c r="AC731" s="12"/>
    </row>
    <row r="732">
      <c r="H732" s="12"/>
      <c r="K732" s="12"/>
      <c r="N732" s="12"/>
      <c r="Q732" s="12"/>
      <c r="T732" s="12"/>
      <c r="W732" s="12"/>
      <c r="Z732" s="12"/>
      <c r="AC732" s="12"/>
    </row>
    <row r="733">
      <c r="H733" s="12"/>
      <c r="K733" s="12"/>
      <c r="N733" s="12"/>
      <c r="Q733" s="12"/>
      <c r="T733" s="12"/>
      <c r="W733" s="12"/>
      <c r="Z733" s="12"/>
      <c r="AC733" s="12"/>
    </row>
    <row r="734">
      <c r="H734" s="12"/>
      <c r="K734" s="12"/>
      <c r="N734" s="12"/>
      <c r="Q734" s="12"/>
      <c r="T734" s="12"/>
      <c r="W734" s="12"/>
      <c r="Z734" s="12"/>
      <c r="AC734" s="12"/>
    </row>
    <row r="735">
      <c r="H735" s="12"/>
      <c r="K735" s="12"/>
      <c r="N735" s="12"/>
      <c r="Q735" s="12"/>
      <c r="T735" s="12"/>
      <c r="W735" s="12"/>
      <c r="Z735" s="12"/>
      <c r="AC735" s="12"/>
    </row>
    <row r="736">
      <c r="H736" s="12"/>
      <c r="K736" s="12"/>
      <c r="N736" s="12"/>
      <c r="Q736" s="12"/>
      <c r="T736" s="12"/>
      <c r="W736" s="12"/>
      <c r="Z736" s="12"/>
      <c r="AC736" s="12"/>
    </row>
    <row r="737">
      <c r="H737" s="12"/>
      <c r="K737" s="12"/>
      <c r="N737" s="12"/>
      <c r="Q737" s="12"/>
      <c r="T737" s="12"/>
      <c r="W737" s="12"/>
      <c r="Z737" s="12"/>
      <c r="AC737" s="12"/>
    </row>
    <row r="738">
      <c r="H738" s="12"/>
      <c r="K738" s="12"/>
      <c r="N738" s="12"/>
      <c r="Q738" s="12"/>
      <c r="T738" s="12"/>
      <c r="W738" s="12"/>
      <c r="Z738" s="12"/>
      <c r="AC738" s="12"/>
    </row>
    <row r="739">
      <c r="H739" s="12"/>
      <c r="K739" s="12"/>
      <c r="N739" s="12"/>
      <c r="Q739" s="12"/>
      <c r="T739" s="12"/>
      <c r="W739" s="12"/>
      <c r="Z739" s="12"/>
      <c r="AC739" s="12"/>
    </row>
    <row r="740">
      <c r="H740" s="12"/>
      <c r="K740" s="12"/>
      <c r="N740" s="12"/>
      <c r="Q740" s="12"/>
      <c r="T740" s="12"/>
      <c r="W740" s="12"/>
      <c r="Z740" s="12"/>
      <c r="AC740" s="12"/>
    </row>
    <row r="741">
      <c r="H741" s="12"/>
      <c r="K741" s="12"/>
      <c r="N741" s="12"/>
      <c r="Q741" s="12"/>
      <c r="T741" s="12"/>
      <c r="W741" s="12"/>
      <c r="Z741" s="12"/>
      <c r="AC741" s="12"/>
    </row>
    <row r="742">
      <c r="H742" s="12"/>
      <c r="K742" s="12"/>
      <c r="N742" s="12"/>
      <c r="Q742" s="12"/>
      <c r="T742" s="12"/>
      <c r="W742" s="12"/>
      <c r="Z742" s="12"/>
      <c r="AC742" s="12"/>
    </row>
    <row r="743">
      <c r="H743" s="12"/>
      <c r="K743" s="12"/>
      <c r="N743" s="12"/>
      <c r="Q743" s="12"/>
      <c r="T743" s="12"/>
      <c r="W743" s="12"/>
      <c r="Z743" s="12"/>
      <c r="AC743" s="12"/>
    </row>
    <row r="744">
      <c r="H744" s="12"/>
      <c r="K744" s="12"/>
      <c r="N744" s="12"/>
      <c r="Q744" s="12"/>
      <c r="T744" s="12"/>
      <c r="W744" s="12"/>
      <c r="Z744" s="12"/>
      <c r="AC744" s="12"/>
    </row>
    <row r="745">
      <c r="H745" s="12"/>
      <c r="K745" s="12"/>
      <c r="N745" s="12"/>
      <c r="Q745" s="12"/>
      <c r="T745" s="12"/>
      <c r="W745" s="12"/>
      <c r="Z745" s="12"/>
      <c r="AC745" s="12"/>
    </row>
    <row r="746">
      <c r="H746" s="12"/>
      <c r="K746" s="12"/>
      <c r="N746" s="12"/>
      <c r="Q746" s="12"/>
      <c r="T746" s="12"/>
      <c r="W746" s="12"/>
      <c r="Z746" s="12"/>
      <c r="AC746" s="12"/>
    </row>
    <row r="747">
      <c r="H747" s="12"/>
      <c r="K747" s="12"/>
      <c r="N747" s="12"/>
      <c r="Q747" s="12"/>
      <c r="T747" s="12"/>
      <c r="W747" s="12"/>
      <c r="Z747" s="12"/>
      <c r="AC747" s="12"/>
    </row>
    <row r="748">
      <c r="H748" s="12"/>
      <c r="K748" s="12"/>
      <c r="N748" s="12"/>
      <c r="Q748" s="12"/>
      <c r="T748" s="12"/>
      <c r="W748" s="12"/>
      <c r="Z748" s="12"/>
      <c r="AC748" s="12"/>
    </row>
    <row r="749">
      <c r="H749" s="12"/>
      <c r="K749" s="12"/>
      <c r="N749" s="12"/>
      <c r="Q749" s="12"/>
      <c r="T749" s="12"/>
      <c r="W749" s="12"/>
      <c r="Z749" s="12"/>
      <c r="AC749" s="12"/>
    </row>
    <row r="750">
      <c r="H750" s="12"/>
      <c r="K750" s="12"/>
      <c r="N750" s="12"/>
      <c r="Q750" s="12"/>
      <c r="T750" s="12"/>
      <c r="W750" s="12"/>
      <c r="Z750" s="12"/>
      <c r="AC750" s="12"/>
    </row>
    <row r="751">
      <c r="H751" s="12"/>
      <c r="K751" s="12"/>
      <c r="N751" s="12"/>
      <c r="Q751" s="12"/>
      <c r="T751" s="12"/>
      <c r="W751" s="12"/>
      <c r="Z751" s="12"/>
      <c r="AC751" s="12"/>
    </row>
    <row r="752">
      <c r="H752" s="12"/>
      <c r="K752" s="12"/>
      <c r="N752" s="12"/>
      <c r="Q752" s="12"/>
      <c r="T752" s="12"/>
      <c r="W752" s="12"/>
      <c r="Z752" s="12"/>
      <c r="AC752" s="12"/>
    </row>
    <row r="753">
      <c r="H753" s="12"/>
      <c r="K753" s="12"/>
      <c r="N753" s="12"/>
      <c r="Q753" s="12"/>
      <c r="T753" s="12"/>
      <c r="W753" s="12"/>
      <c r="Z753" s="12"/>
      <c r="AC753" s="12"/>
    </row>
    <row r="754">
      <c r="H754" s="12"/>
      <c r="K754" s="12"/>
      <c r="N754" s="12"/>
      <c r="Q754" s="12"/>
      <c r="T754" s="12"/>
      <c r="W754" s="12"/>
      <c r="Z754" s="12"/>
      <c r="AC754" s="12"/>
    </row>
    <row r="755">
      <c r="H755" s="12"/>
      <c r="K755" s="12"/>
      <c r="N755" s="12"/>
      <c r="Q755" s="12"/>
      <c r="T755" s="12"/>
      <c r="W755" s="12"/>
      <c r="Z755" s="12"/>
      <c r="AC755" s="12"/>
    </row>
    <row r="756">
      <c r="H756" s="12"/>
      <c r="K756" s="12"/>
      <c r="N756" s="12"/>
      <c r="Q756" s="12"/>
      <c r="T756" s="12"/>
      <c r="W756" s="12"/>
      <c r="Z756" s="12"/>
      <c r="AC756" s="12"/>
    </row>
    <row r="757">
      <c r="H757" s="12"/>
      <c r="K757" s="12"/>
      <c r="N757" s="12"/>
      <c r="Q757" s="12"/>
      <c r="T757" s="12"/>
      <c r="W757" s="12"/>
      <c r="Z757" s="12"/>
      <c r="AC757" s="12"/>
    </row>
    <row r="758">
      <c r="H758" s="12"/>
      <c r="K758" s="12"/>
      <c r="N758" s="12"/>
      <c r="Q758" s="12"/>
      <c r="T758" s="12"/>
      <c r="W758" s="12"/>
      <c r="Z758" s="12"/>
      <c r="AC758" s="12"/>
    </row>
    <row r="759">
      <c r="H759" s="12"/>
      <c r="K759" s="12"/>
      <c r="N759" s="12"/>
      <c r="Q759" s="12"/>
      <c r="T759" s="12"/>
      <c r="W759" s="12"/>
      <c r="Z759" s="12"/>
      <c r="AC759" s="12"/>
    </row>
    <row r="760">
      <c r="H760" s="12"/>
      <c r="K760" s="12"/>
      <c r="N760" s="12"/>
      <c r="Q760" s="12"/>
      <c r="T760" s="12"/>
      <c r="W760" s="12"/>
      <c r="Z760" s="12"/>
      <c r="AC760" s="12"/>
    </row>
    <row r="761">
      <c r="H761" s="12"/>
      <c r="K761" s="12"/>
      <c r="N761" s="12"/>
      <c r="Q761" s="12"/>
      <c r="T761" s="12"/>
      <c r="W761" s="12"/>
      <c r="Z761" s="12"/>
      <c r="AC761" s="12"/>
    </row>
    <row r="762">
      <c r="H762" s="12"/>
      <c r="K762" s="12"/>
      <c r="N762" s="12"/>
      <c r="Q762" s="12"/>
      <c r="T762" s="12"/>
      <c r="W762" s="12"/>
      <c r="Z762" s="12"/>
      <c r="AC762" s="12"/>
    </row>
    <row r="763">
      <c r="H763" s="12"/>
      <c r="K763" s="12"/>
      <c r="N763" s="12"/>
      <c r="Q763" s="12"/>
      <c r="T763" s="12"/>
      <c r="W763" s="12"/>
      <c r="Z763" s="12"/>
      <c r="AC763" s="12"/>
    </row>
    <row r="764">
      <c r="H764" s="12"/>
      <c r="K764" s="12"/>
      <c r="N764" s="12"/>
      <c r="Q764" s="12"/>
      <c r="T764" s="12"/>
      <c r="W764" s="12"/>
      <c r="Z764" s="12"/>
      <c r="AC764" s="12"/>
    </row>
    <row r="765">
      <c r="H765" s="12"/>
      <c r="K765" s="12"/>
      <c r="N765" s="12"/>
      <c r="Q765" s="12"/>
      <c r="T765" s="12"/>
      <c r="W765" s="12"/>
      <c r="Z765" s="12"/>
      <c r="AC765" s="12"/>
    </row>
    <row r="766">
      <c r="H766" s="12"/>
      <c r="K766" s="12"/>
      <c r="N766" s="12"/>
      <c r="Q766" s="12"/>
      <c r="T766" s="12"/>
      <c r="W766" s="12"/>
      <c r="Z766" s="12"/>
      <c r="AC766" s="12"/>
    </row>
    <row r="767">
      <c r="H767" s="12"/>
      <c r="K767" s="12"/>
      <c r="N767" s="12"/>
      <c r="Q767" s="12"/>
      <c r="T767" s="12"/>
      <c r="W767" s="12"/>
      <c r="Z767" s="12"/>
      <c r="AC767" s="12"/>
    </row>
    <row r="768">
      <c r="H768" s="12"/>
      <c r="K768" s="12"/>
      <c r="N768" s="12"/>
      <c r="Q768" s="12"/>
      <c r="T768" s="12"/>
      <c r="W768" s="12"/>
      <c r="Z768" s="12"/>
      <c r="AC768" s="12"/>
    </row>
    <row r="769">
      <c r="H769" s="12"/>
      <c r="K769" s="12"/>
      <c r="N769" s="12"/>
      <c r="Q769" s="12"/>
      <c r="T769" s="12"/>
      <c r="W769" s="12"/>
      <c r="Z769" s="12"/>
      <c r="AC769" s="12"/>
    </row>
    <row r="770">
      <c r="H770" s="12"/>
      <c r="K770" s="12"/>
      <c r="N770" s="12"/>
      <c r="Q770" s="12"/>
      <c r="T770" s="12"/>
      <c r="W770" s="12"/>
      <c r="Z770" s="12"/>
      <c r="AC770" s="12"/>
    </row>
    <row r="771">
      <c r="H771" s="12"/>
      <c r="K771" s="12"/>
      <c r="N771" s="12"/>
      <c r="Q771" s="12"/>
      <c r="T771" s="12"/>
      <c r="W771" s="12"/>
      <c r="Z771" s="12"/>
      <c r="AC771" s="12"/>
    </row>
    <row r="772">
      <c r="H772" s="12"/>
      <c r="K772" s="12"/>
      <c r="N772" s="12"/>
      <c r="Q772" s="12"/>
      <c r="T772" s="12"/>
      <c r="W772" s="12"/>
      <c r="Z772" s="12"/>
      <c r="AC772" s="12"/>
    </row>
    <row r="773">
      <c r="H773" s="12"/>
      <c r="K773" s="12"/>
      <c r="N773" s="12"/>
      <c r="Q773" s="12"/>
      <c r="T773" s="12"/>
      <c r="W773" s="12"/>
      <c r="Z773" s="12"/>
      <c r="AC773" s="12"/>
    </row>
    <row r="774">
      <c r="H774" s="12"/>
      <c r="K774" s="12"/>
      <c r="N774" s="12"/>
      <c r="Q774" s="12"/>
      <c r="T774" s="12"/>
      <c r="W774" s="12"/>
      <c r="Z774" s="12"/>
      <c r="AC774" s="12"/>
    </row>
    <row r="775">
      <c r="H775" s="12"/>
      <c r="K775" s="12"/>
      <c r="N775" s="12"/>
      <c r="Q775" s="12"/>
      <c r="T775" s="12"/>
      <c r="W775" s="12"/>
      <c r="Z775" s="12"/>
      <c r="AC775" s="12"/>
    </row>
    <row r="776">
      <c r="H776" s="12"/>
      <c r="K776" s="12"/>
      <c r="N776" s="12"/>
      <c r="Q776" s="12"/>
      <c r="T776" s="12"/>
      <c r="W776" s="12"/>
      <c r="Z776" s="12"/>
      <c r="AC776" s="12"/>
    </row>
    <row r="777">
      <c r="H777" s="12"/>
      <c r="K777" s="12"/>
      <c r="N777" s="12"/>
      <c r="Q777" s="12"/>
      <c r="T777" s="12"/>
      <c r="W777" s="12"/>
      <c r="Z777" s="12"/>
      <c r="AC777" s="12"/>
    </row>
    <row r="778">
      <c r="H778" s="12"/>
      <c r="K778" s="12"/>
      <c r="N778" s="12"/>
      <c r="Q778" s="12"/>
      <c r="T778" s="12"/>
      <c r="W778" s="12"/>
      <c r="Z778" s="12"/>
      <c r="AC778" s="12"/>
    </row>
    <row r="779">
      <c r="H779" s="12"/>
      <c r="K779" s="12"/>
      <c r="N779" s="12"/>
      <c r="Q779" s="12"/>
      <c r="T779" s="12"/>
      <c r="W779" s="12"/>
      <c r="Z779" s="12"/>
      <c r="AC779" s="12"/>
    </row>
    <row r="780">
      <c r="H780" s="12"/>
      <c r="K780" s="12"/>
      <c r="N780" s="12"/>
      <c r="Q780" s="12"/>
      <c r="T780" s="12"/>
      <c r="W780" s="12"/>
      <c r="Z780" s="12"/>
      <c r="AC780" s="12"/>
    </row>
    <row r="781">
      <c r="H781" s="12"/>
      <c r="K781" s="12"/>
      <c r="N781" s="12"/>
      <c r="Q781" s="12"/>
      <c r="T781" s="12"/>
      <c r="W781" s="12"/>
      <c r="Z781" s="12"/>
      <c r="AC781" s="12"/>
    </row>
    <row r="782">
      <c r="H782" s="12"/>
      <c r="K782" s="12"/>
      <c r="N782" s="12"/>
      <c r="Q782" s="12"/>
      <c r="T782" s="12"/>
      <c r="W782" s="12"/>
      <c r="Z782" s="12"/>
      <c r="AC782" s="12"/>
    </row>
    <row r="783">
      <c r="H783" s="12"/>
      <c r="K783" s="12"/>
      <c r="N783" s="12"/>
      <c r="Q783" s="12"/>
      <c r="T783" s="12"/>
      <c r="W783" s="12"/>
      <c r="Z783" s="12"/>
      <c r="AC783" s="12"/>
    </row>
    <row r="784">
      <c r="H784" s="12"/>
      <c r="K784" s="12"/>
      <c r="N784" s="12"/>
      <c r="Q784" s="12"/>
      <c r="T784" s="12"/>
      <c r="W784" s="12"/>
      <c r="Z784" s="12"/>
      <c r="AC784" s="12"/>
    </row>
    <row r="785">
      <c r="H785" s="12"/>
      <c r="K785" s="12"/>
      <c r="N785" s="12"/>
      <c r="Q785" s="12"/>
      <c r="T785" s="12"/>
      <c r="W785" s="12"/>
      <c r="Z785" s="12"/>
      <c r="AC785" s="12"/>
    </row>
    <row r="786">
      <c r="H786" s="12"/>
      <c r="K786" s="12"/>
      <c r="N786" s="12"/>
      <c r="Q786" s="12"/>
      <c r="T786" s="12"/>
      <c r="W786" s="12"/>
      <c r="Z786" s="12"/>
      <c r="AC786" s="12"/>
    </row>
    <row r="787">
      <c r="H787" s="12"/>
      <c r="K787" s="12"/>
      <c r="N787" s="12"/>
      <c r="Q787" s="12"/>
      <c r="T787" s="12"/>
      <c r="W787" s="12"/>
      <c r="Z787" s="12"/>
      <c r="AC787" s="12"/>
    </row>
    <row r="788">
      <c r="H788" s="12"/>
      <c r="K788" s="12"/>
      <c r="N788" s="12"/>
      <c r="Q788" s="12"/>
      <c r="T788" s="12"/>
      <c r="W788" s="12"/>
      <c r="Z788" s="12"/>
      <c r="AC788" s="12"/>
    </row>
    <row r="789">
      <c r="H789" s="12"/>
      <c r="K789" s="12"/>
      <c r="N789" s="12"/>
      <c r="Q789" s="12"/>
      <c r="T789" s="12"/>
      <c r="W789" s="12"/>
      <c r="Z789" s="12"/>
      <c r="AC789" s="12"/>
    </row>
    <row r="790">
      <c r="H790" s="12"/>
      <c r="K790" s="12"/>
      <c r="N790" s="12"/>
      <c r="Q790" s="12"/>
      <c r="T790" s="12"/>
      <c r="W790" s="12"/>
      <c r="Z790" s="12"/>
      <c r="AC790" s="12"/>
    </row>
    <row r="791">
      <c r="H791" s="12"/>
      <c r="K791" s="12"/>
      <c r="N791" s="12"/>
      <c r="Q791" s="12"/>
      <c r="T791" s="12"/>
      <c r="W791" s="12"/>
      <c r="Z791" s="12"/>
      <c r="AC791" s="12"/>
    </row>
    <row r="792">
      <c r="H792" s="12"/>
      <c r="K792" s="12"/>
      <c r="N792" s="12"/>
      <c r="Q792" s="12"/>
      <c r="T792" s="12"/>
      <c r="W792" s="12"/>
      <c r="Z792" s="12"/>
      <c r="AC792" s="12"/>
    </row>
    <row r="793">
      <c r="H793" s="12"/>
      <c r="K793" s="12"/>
      <c r="N793" s="12"/>
      <c r="Q793" s="12"/>
      <c r="T793" s="12"/>
      <c r="W793" s="12"/>
      <c r="Z793" s="12"/>
      <c r="AC793" s="12"/>
    </row>
    <row r="794">
      <c r="H794" s="12"/>
      <c r="K794" s="12"/>
      <c r="N794" s="12"/>
      <c r="Q794" s="12"/>
      <c r="T794" s="12"/>
      <c r="W794" s="12"/>
      <c r="Z794" s="12"/>
      <c r="AC794" s="12"/>
    </row>
    <row r="795">
      <c r="H795" s="12"/>
      <c r="K795" s="12"/>
      <c r="N795" s="12"/>
      <c r="Q795" s="12"/>
      <c r="T795" s="12"/>
      <c r="W795" s="12"/>
      <c r="Z795" s="12"/>
      <c r="AC795" s="12"/>
    </row>
    <row r="796">
      <c r="H796" s="12"/>
      <c r="K796" s="12"/>
      <c r="N796" s="12"/>
      <c r="Q796" s="12"/>
      <c r="T796" s="12"/>
      <c r="W796" s="12"/>
      <c r="Z796" s="12"/>
      <c r="AC796" s="12"/>
    </row>
    <row r="797">
      <c r="H797" s="12"/>
      <c r="K797" s="12"/>
      <c r="N797" s="12"/>
      <c r="Q797" s="12"/>
      <c r="T797" s="12"/>
      <c r="W797" s="12"/>
      <c r="Z797" s="12"/>
      <c r="AC797" s="12"/>
    </row>
    <row r="798">
      <c r="H798" s="12"/>
      <c r="K798" s="12"/>
      <c r="N798" s="12"/>
      <c r="Q798" s="12"/>
      <c r="T798" s="12"/>
      <c r="W798" s="12"/>
      <c r="Z798" s="12"/>
      <c r="AC798" s="12"/>
    </row>
    <row r="799">
      <c r="H799" s="12"/>
      <c r="K799" s="12"/>
      <c r="N799" s="12"/>
      <c r="Q799" s="12"/>
      <c r="T799" s="12"/>
      <c r="W799" s="12"/>
      <c r="Z799" s="12"/>
      <c r="AC799" s="12"/>
    </row>
    <row r="800">
      <c r="H800" s="12"/>
      <c r="K800" s="12"/>
      <c r="N800" s="12"/>
      <c r="Q800" s="12"/>
      <c r="T800" s="12"/>
      <c r="W800" s="12"/>
      <c r="Z800" s="12"/>
      <c r="AC800" s="12"/>
    </row>
    <row r="801">
      <c r="H801" s="12"/>
      <c r="K801" s="12"/>
      <c r="N801" s="12"/>
      <c r="Q801" s="12"/>
      <c r="T801" s="12"/>
      <c r="W801" s="12"/>
      <c r="Z801" s="12"/>
      <c r="AC801" s="12"/>
    </row>
    <row r="802">
      <c r="H802" s="12"/>
      <c r="K802" s="12"/>
      <c r="N802" s="12"/>
      <c r="Q802" s="12"/>
      <c r="T802" s="12"/>
      <c r="W802" s="12"/>
      <c r="Z802" s="12"/>
      <c r="AC802" s="12"/>
    </row>
    <row r="803">
      <c r="H803" s="12"/>
      <c r="K803" s="12"/>
      <c r="N803" s="12"/>
      <c r="Q803" s="12"/>
      <c r="T803" s="12"/>
      <c r="W803" s="12"/>
      <c r="Z803" s="12"/>
      <c r="AC803" s="12"/>
    </row>
    <row r="804">
      <c r="H804" s="12"/>
      <c r="K804" s="12"/>
      <c r="N804" s="12"/>
      <c r="Q804" s="12"/>
      <c r="T804" s="12"/>
      <c r="W804" s="12"/>
      <c r="Z804" s="12"/>
      <c r="AC804" s="12"/>
    </row>
    <row r="805">
      <c r="H805" s="12"/>
      <c r="K805" s="12"/>
      <c r="N805" s="12"/>
      <c r="Q805" s="12"/>
      <c r="T805" s="12"/>
      <c r="W805" s="12"/>
      <c r="Z805" s="12"/>
      <c r="AC805" s="12"/>
    </row>
    <row r="806">
      <c r="H806" s="12"/>
      <c r="K806" s="12"/>
      <c r="N806" s="12"/>
      <c r="Q806" s="12"/>
      <c r="T806" s="12"/>
      <c r="W806" s="12"/>
      <c r="Z806" s="12"/>
      <c r="AC806" s="12"/>
    </row>
    <row r="807">
      <c r="H807" s="12"/>
      <c r="K807" s="12"/>
      <c r="N807" s="12"/>
      <c r="Q807" s="12"/>
      <c r="T807" s="12"/>
      <c r="W807" s="12"/>
      <c r="Z807" s="12"/>
      <c r="AC807" s="12"/>
    </row>
    <row r="808">
      <c r="H808" s="12"/>
      <c r="K808" s="12"/>
      <c r="N808" s="12"/>
      <c r="Q808" s="12"/>
      <c r="T808" s="12"/>
      <c r="W808" s="12"/>
      <c r="Z808" s="12"/>
      <c r="AC808" s="12"/>
    </row>
    <row r="809">
      <c r="H809" s="12"/>
      <c r="K809" s="12"/>
      <c r="N809" s="12"/>
      <c r="Q809" s="12"/>
      <c r="T809" s="12"/>
      <c r="W809" s="12"/>
      <c r="Z809" s="12"/>
      <c r="AC809" s="12"/>
    </row>
    <row r="810">
      <c r="H810" s="12"/>
      <c r="K810" s="12"/>
      <c r="N810" s="12"/>
      <c r="Q810" s="12"/>
      <c r="T810" s="12"/>
      <c r="W810" s="12"/>
      <c r="Z810" s="12"/>
      <c r="AC810" s="12"/>
    </row>
    <row r="811">
      <c r="H811" s="12"/>
      <c r="K811" s="12"/>
      <c r="N811" s="12"/>
      <c r="Q811" s="12"/>
      <c r="T811" s="12"/>
      <c r="W811" s="12"/>
      <c r="Z811" s="12"/>
      <c r="AC811" s="12"/>
    </row>
    <row r="812">
      <c r="H812" s="12"/>
      <c r="K812" s="12"/>
      <c r="N812" s="12"/>
      <c r="Q812" s="12"/>
      <c r="T812" s="12"/>
      <c r="W812" s="12"/>
      <c r="Z812" s="12"/>
      <c r="AC812" s="12"/>
    </row>
    <row r="813">
      <c r="H813" s="12"/>
      <c r="K813" s="12"/>
      <c r="N813" s="12"/>
      <c r="Q813" s="12"/>
      <c r="T813" s="12"/>
      <c r="W813" s="12"/>
      <c r="Z813" s="12"/>
      <c r="AC813" s="12"/>
    </row>
    <row r="814">
      <c r="H814" s="12"/>
      <c r="K814" s="12"/>
      <c r="N814" s="12"/>
      <c r="Q814" s="12"/>
      <c r="T814" s="12"/>
      <c r="W814" s="12"/>
      <c r="Z814" s="12"/>
      <c r="AC814" s="12"/>
    </row>
    <row r="815">
      <c r="H815" s="12"/>
      <c r="K815" s="12"/>
      <c r="N815" s="12"/>
      <c r="Q815" s="12"/>
      <c r="T815" s="12"/>
      <c r="W815" s="12"/>
      <c r="Z815" s="12"/>
      <c r="AC815" s="12"/>
    </row>
    <row r="816">
      <c r="H816" s="12"/>
      <c r="K816" s="12"/>
      <c r="N816" s="12"/>
      <c r="Q816" s="12"/>
      <c r="T816" s="12"/>
      <c r="W816" s="12"/>
      <c r="Z816" s="12"/>
      <c r="AC816" s="12"/>
    </row>
    <row r="817">
      <c r="H817" s="12"/>
      <c r="K817" s="12"/>
      <c r="N817" s="12"/>
      <c r="Q817" s="12"/>
      <c r="T817" s="12"/>
      <c r="W817" s="12"/>
      <c r="Z817" s="12"/>
      <c r="AC817" s="12"/>
    </row>
    <row r="818">
      <c r="H818" s="12"/>
      <c r="K818" s="12"/>
      <c r="N818" s="12"/>
      <c r="Q818" s="12"/>
      <c r="T818" s="12"/>
      <c r="W818" s="12"/>
      <c r="Z818" s="12"/>
      <c r="AC818" s="12"/>
    </row>
    <row r="819">
      <c r="H819" s="12"/>
      <c r="K819" s="12"/>
      <c r="N819" s="12"/>
      <c r="Q819" s="12"/>
      <c r="T819" s="12"/>
      <c r="W819" s="12"/>
      <c r="Z819" s="12"/>
      <c r="AC819" s="12"/>
    </row>
    <row r="820">
      <c r="H820" s="12"/>
      <c r="K820" s="12"/>
      <c r="N820" s="12"/>
      <c r="Q820" s="12"/>
      <c r="T820" s="12"/>
      <c r="W820" s="12"/>
      <c r="Z820" s="12"/>
      <c r="AC820" s="12"/>
    </row>
    <row r="821">
      <c r="H821" s="12"/>
      <c r="K821" s="12"/>
      <c r="N821" s="12"/>
      <c r="Q821" s="12"/>
      <c r="T821" s="12"/>
      <c r="W821" s="12"/>
      <c r="Z821" s="12"/>
      <c r="AC821" s="12"/>
    </row>
    <row r="822">
      <c r="H822" s="12"/>
      <c r="K822" s="12"/>
      <c r="N822" s="12"/>
      <c r="Q822" s="12"/>
      <c r="T822" s="12"/>
      <c r="W822" s="12"/>
      <c r="Z822" s="12"/>
      <c r="AC822" s="12"/>
    </row>
    <row r="823">
      <c r="H823" s="12"/>
      <c r="K823" s="12"/>
      <c r="N823" s="12"/>
      <c r="Q823" s="12"/>
      <c r="T823" s="12"/>
      <c r="W823" s="12"/>
      <c r="Z823" s="12"/>
      <c r="AC823" s="12"/>
    </row>
    <row r="824">
      <c r="H824" s="12"/>
      <c r="K824" s="12"/>
      <c r="N824" s="12"/>
      <c r="Q824" s="12"/>
      <c r="T824" s="12"/>
      <c r="W824" s="12"/>
      <c r="Z824" s="12"/>
      <c r="AC824" s="12"/>
    </row>
    <row r="825">
      <c r="H825" s="12"/>
      <c r="K825" s="12"/>
      <c r="N825" s="12"/>
      <c r="Q825" s="12"/>
      <c r="T825" s="12"/>
      <c r="W825" s="12"/>
      <c r="Z825" s="12"/>
      <c r="AC825" s="12"/>
    </row>
    <row r="826">
      <c r="H826" s="12"/>
      <c r="K826" s="12"/>
      <c r="N826" s="12"/>
      <c r="Q826" s="12"/>
      <c r="T826" s="12"/>
      <c r="W826" s="12"/>
      <c r="Z826" s="12"/>
      <c r="AC826" s="12"/>
    </row>
    <row r="827">
      <c r="H827" s="12"/>
      <c r="K827" s="12"/>
      <c r="N827" s="12"/>
      <c r="Q827" s="12"/>
      <c r="T827" s="12"/>
      <c r="W827" s="12"/>
      <c r="Z827" s="12"/>
      <c r="AC827" s="12"/>
    </row>
    <row r="828">
      <c r="H828" s="12"/>
      <c r="K828" s="12"/>
      <c r="N828" s="12"/>
      <c r="Q828" s="12"/>
      <c r="T828" s="12"/>
      <c r="W828" s="12"/>
      <c r="Z828" s="12"/>
      <c r="AC828" s="12"/>
    </row>
    <row r="829">
      <c r="H829" s="12"/>
      <c r="K829" s="12"/>
      <c r="N829" s="12"/>
      <c r="Q829" s="12"/>
      <c r="T829" s="12"/>
      <c r="W829" s="12"/>
      <c r="Z829" s="12"/>
      <c r="AC829" s="12"/>
    </row>
    <row r="830">
      <c r="H830" s="12"/>
      <c r="K830" s="12"/>
      <c r="N830" s="12"/>
      <c r="Q830" s="12"/>
      <c r="T830" s="12"/>
      <c r="W830" s="12"/>
      <c r="Z830" s="12"/>
      <c r="AC830" s="12"/>
    </row>
    <row r="831">
      <c r="H831" s="12"/>
      <c r="K831" s="12"/>
      <c r="N831" s="12"/>
      <c r="Q831" s="12"/>
      <c r="T831" s="12"/>
      <c r="W831" s="12"/>
      <c r="Z831" s="12"/>
      <c r="AC831" s="12"/>
    </row>
    <row r="832">
      <c r="H832" s="12"/>
      <c r="K832" s="12"/>
      <c r="N832" s="12"/>
      <c r="Q832" s="12"/>
      <c r="T832" s="12"/>
      <c r="W832" s="12"/>
      <c r="Z832" s="12"/>
      <c r="AC832" s="12"/>
    </row>
    <row r="833">
      <c r="H833" s="12"/>
      <c r="K833" s="12"/>
      <c r="N833" s="12"/>
      <c r="Q833" s="12"/>
      <c r="T833" s="12"/>
      <c r="W833" s="12"/>
      <c r="Z833" s="12"/>
      <c r="AC833" s="12"/>
    </row>
    <row r="834">
      <c r="H834" s="12"/>
      <c r="K834" s="12"/>
      <c r="N834" s="12"/>
      <c r="Q834" s="12"/>
      <c r="T834" s="12"/>
      <c r="W834" s="12"/>
      <c r="Z834" s="12"/>
      <c r="AC834" s="12"/>
    </row>
    <row r="835">
      <c r="H835" s="12"/>
      <c r="K835" s="12"/>
      <c r="N835" s="12"/>
      <c r="Q835" s="12"/>
      <c r="T835" s="12"/>
      <c r="W835" s="12"/>
      <c r="Z835" s="12"/>
      <c r="AC835" s="12"/>
    </row>
    <row r="836">
      <c r="H836" s="12"/>
      <c r="K836" s="12"/>
      <c r="N836" s="12"/>
      <c r="Q836" s="12"/>
      <c r="T836" s="12"/>
      <c r="W836" s="12"/>
      <c r="Z836" s="12"/>
      <c r="AC836" s="12"/>
    </row>
    <row r="837">
      <c r="H837" s="12"/>
      <c r="K837" s="12"/>
      <c r="N837" s="12"/>
      <c r="Q837" s="12"/>
      <c r="T837" s="12"/>
      <c r="W837" s="12"/>
      <c r="Z837" s="12"/>
      <c r="AC837" s="12"/>
    </row>
    <row r="838">
      <c r="H838" s="12"/>
      <c r="K838" s="12"/>
      <c r="N838" s="12"/>
      <c r="Q838" s="12"/>
      <c r="T838" s="12"/>
      <c r="W838" s="12"/>
      <c r="Z838" s="12"/>
      <c r="AC838" s="12"/>
    </row>
    <row r="839">
      <c r="H839" s="12"/>
      <c r="K839" s="12"/>
      <c r="N839" s="12"/>
      <c r="Q839" s="12"/>
      <c r="T839" s="12"/>
      <c r="W839" s="12"/>
      <c r="Z839" s="12"/>
      <c r="AC839" s="12"/>
    </row>
    <row r="840">
      <c r="H840" s="12"/>
      <c r="K840" s="12"/>
      <c r="N840" s="12"/>
      <c r="Q840" s="12"/>
      <c r="T840" s="12"/>
      <c r="W840" s="12"/>
      <c r="Z840" s="12"/>
      <c r="AC840" s="12"/>
    </row>
    <row r="841">
      <c r="H841" s="12"/>
      <c r="K841" s="12"/>
      <c r="N841" s="12"/>
      <c r="Q841" s="12"/>
      <c r="T841" s="12"/>
      <c r="W841" s="12"/>
      <c r="Z841" s="12"/>
      <c r="AC841" s="12"/>
    </row>
    <row r="842">
      <c r="H842" s="12"/>
      <c r="K842" s="12"/>
      <c r="N842" s="12"/>
      <c r="Q842" s="12"/>
      <c r="T842" s="12"/>
      <c r="W842" s="12"/>
      <c r="Z842" s="12"/>
      <c r="AC842" s="12"/>
    </row>
    <row r="843">
      <c r="H843" s="12"/>
      <c r="K843" s="12"/>
      <c r="N843" s="12"/>
      <c r="Q843" s="12"/>
      <c r="T843" s="12"/>
      <c r="W843" s="12"/>
      <c r="Z843" s="12"/>
      <c r="AC843" s="12"/>
    </row>
    <row r="844">
      <c r="H844" s="12"/>
      <c r="K844" s="12"/>
      <c r="N844" s="12"/>
      <c r="Q844" s="12"/>
      <c r="T844" s="12"/>
      <c r="W844" s="12"/>
      <c r="Z844" s="12"/>
      <c r="AC844" s="12"/>
    </row>
    <row r="845">
      <c r="H845" s="12"/>
      <c r="K845" s="12"/>
      <c r="N845" s="12"/>
      <c r="Q845" s="12"/>
      <c r="T845" s="12"/>
      <c r="W845" s="12"/>
      <c r="Z845" s="12"/>
      <c r="AC845" s="12"/>
    </row>
    <row r="846">
      <c r="H846" s="12"/>
      <c r="K846" s="12"/>
      <c r="N846" s="12"/>
      <c r="Q846" s="12"/>
      <c r="T846" s="12"/>
      <c r="W846" s="12"/>
      <c r="Z846" s="12"/>
      <c r="AC846" s="12"/>
    </row>
    <row r="847">
      <c r="H847" s="12"/>
      <c r="K847" s="12"/>
      <c r="N847" s="12"/>
      <c r="Q847" s="12"/>
      <c r="T847" s="12"/>
      <c r="W847" s="12"/>
      <c r="Z847" s="12"/>
      <c r="AC847" s="12"/>
    </row>
    <row r="848">
      <c r="H848" s="12"/>
      <c r="K848" s="12"/>
      <c r="N848" s="12"/>
      <c r="Q848" s="12"/>
      <c r="T848" s="12"/>
      <c r="W848" s="12"/>
      <c r="Z848" s="12"/>
      <c r="AC848" s="12"/>
    </row>
    <row r="849">
      <c r="H849" s="12"/>
      <c r="K849" s="12"/>
      <c r="N849" s="12"/>
      <c r="Q849" s="12"/>
      <c r="T849" s="12"/>
      <c r="W849" s="12"/>
      <c r="Z849" s="12"/>
      <c r="AC849" s="12"/>
    </row>
    <row r="850">
      <c r="H850" s="12"/>
      <c r="K850" s="12"/>
      <c r="N850" s="12"/>
      <c r="Q850" s="12"/>
      <c r="T850" s="12"/>
      <c r="W850" s="12"/>
      <c r="Z850" s="12"/>
      <c r="AC850" s="12"/>
    </row>
    <row r="851">
      <c r="H851" s="12"/>
      <c r="K851" s="12"/>
      <c r="N851" s="12"/>
      <c r="Q851" s="12"/>
      <c r="T851" s="12"/>
      <c r="W851" s="12"/>
      <c r="Z851" s="12"/>
      <c r="AC851" s="12"/>
    </row>
    <row r="852">
      <c r="H852" s="12"/>
      <c r="K852" s="12"/>
      <c r="N852" s="12"/>
      <c r="Q852" s="12"/>
      <c r="T852" s="12"/>
      <c r="W852" s="12"/>
      <c r="Z852" s="12"/>
      <c r="AC852" s="12"/>
    </row>
    <row r="853">
      <c r="H853" s="12"/>
      <c r="K853" s="12"/>
      <c r="N853" s="12"/>
      <c r="Q853" s="12"/>
      <c r="T853" s="12"/>
      <c r="W853" s="12"/>
      <c r="Z853" s="12"/>
      <c r="AC853" s="12"/>
    </row>
    <row r="854">
      <c r="H854" s="12"/>
      <c r="K854" s="12"/>
      <c r="N854" s="12"/>
      <c r="Q854" s="12"/>
      <c r="T854" s="12"/>
      <c r="W854" s="12"/>
      <c r="Z854" s="12"/>
      <c r="AC854" s="12"/>
    </row>
    <row r="855">
      <c r="H855" s="12"/>
      <c r="K855" s="12"/>
      <c r="N855" s="12"/>
      <c r="Q855" s="12"/>
      <c r="T855" s="12"/>
      <c r="W855" s="12"/>
      <c r="Z855" s="12"/>
      <c r="AC855" s="12"/>
    </row>
    <row r="856">
      <c r="H856" s="12"/>
      <c r="K856" s="12"/>
      <c r="N856" s="12"/>
      <c r="Q856" s="12"/>
      <c r="T856" s="12"/>
      <c r="W856" s="12"/>
      <c r="Z856" s="12"/>
      <c r="AC856" s="12"/>
    </row>
    <row r="857">
      <c r="H857" s="12"/>
      <c r="K857" s="12"/>
      <c r="N857" s="12"/>
      <c r="Q857" s="12"/>
      <c r="T857" s="12"/>
      <c r="W857" s="12"/>
      <c r="Z857" s="12"/>
      <c r="AC857" s="12"/>
    </row>
    <row r="858">
      <c r="H858" s="12"/>
      <c r="K858" s="12"/>
      <c r="N858" s="12"/>
      <c r="Q858" s="12"/>
      <c r="T858" s="12"/>
      <c r="W858" s="12"/>
      <c r="Z858" s="12"/>
      <c r="AC858" s="12"/>
    </row>
    <row r="859">
      <c r="H859" s="12"/>
      <c r="K859" s="12"/>
      <c r="N859" s="12"/>
      <c r="Q859" s="12"/>
      <c r="T859" s="12"/>
      <c r="W859" s="12"/>
      <c r="Z859" s="12"/>
      <c r="AC859" s="12"/>
    </row>
    <row r="860">
      <c r="H860" s="12"/>
      <c r="K860" s="12"/>
      <c r="N860" s="12"/>
      <c r="Q860" s="12"/>
      <c r="T860" s="12"/>
      <c r="W860" s="12"/>
      <c r="Z860" s="12"/>
      <c r="AC860" s="12"/>
    </row>
    <row r="861">
      <c r="H861" s="12"/>
      <c r="K861" s="12"/>
      <c r="N861" s="12"/>
      <c r="Q861" s="12"/>
      <c r="T861" s="12"/>
      <c r="W861" s="12"/>
      <c r="Z861" s="12"/>
      <c r="AC861" s="12"/>
    </row>
    <row r="862">
      <c r="H862" s="12"/>
      <c r="K862" s="12"/>
      <c r="N862" s="12"/>
      <c r="Q862" s="12"/>
      <c r="T862" s="12"/>
      <c r="W862" s="12"/>
      <c r="Z862" s="12"/>
      <c r="AC862" s="12"/>
    </row>
    <row r="863">
      <c r="H863" s="12"/>
      <c r="K863" s="12"/>
      <c r="N863" s="12"/>
      <c r="Q863" s="12"/>
      <c r="T863" s="12"/>
      <c r="W863" s="12"/>
      <c r="Z863" s="12"/>
      <c r="AC863" s="12"/>
    </row>
    <row r="864">
      <c r="H864" s="12"/>
      <c r="K864" s="12"/>
      <c r="N864" s="12"/>
      <c r="Q864" s="12"/>
      <c r="T864" s="12"/>
      <c r="W864" s="12"/>
      <c r="Z864" s="12"/>
      <c r="AC864" s="12"/>
    </row>
    <row r="865">
      <c r="H865" s="12"/>
      <c r="K865" s="12"/>
      <c r="N865" s="12"/>
      <c r="Q865" s="12"/>
      <c r="T865" s="12"/>
      <c r="W865" s="12"/>
      <c r="Z865" s="12"/>
      <c r="AC865" s="12"/>
    </row>
    <row r="866">
      <c r="H866" s="12"/>
      <c r="K866" s="12"/>
      <c r="N866" s="12"/>
      <c r="Q866" s="12"/>
      <c r="T866" s="12"/>
      <c r="W866" s="12"/>
      <c r="Z866" s="12"/>
      <c r="AC866" s="12"/>
    </row>
    <row r="867">
      <c r="H867" s="12"/>
      <c r="K867" s="12"/>
      <c r="N867" s="12"/>
      <c r="Q867" s="12"/>
      <c r="T867" s="12"/>
      <c r="W867" s="12"/>
      <c r="Z867" s="12"/>
      <c r="AC867" s="12"/>
    </row>
    <row r="868">
      <c r="H868" s="12"/>
      <c r="K868" s="12"/>
      <c r="N868" s="12"/>
      <c r="Q868" s="12"/>
      <c r="T868" s="12"/>
      <c r="W868" s="12"/>
      <c r="Z868" s="12"/>
      <c r="AC868" s="12"/>
    </row>
    <row r="869">
      <c r="H869" s="12"/>
      <c r="K869" s="12"/>
      <c r="N869" s="12"/>
      <c r="Q869" s="12"/>
      <c r="T869" s="12"/>
      <c r="W869" s="12"/>
      <c r="Z869" s="12"/>
      <c r="AC869" s="12"/>
    </row>
    <row r="870">
      <c r="H870" s="12"/>
      <c r="K870" s="12"/>
      <c r="N870" s="12"/>
      <c r="Q870" s="12"/>
      <c r="T870" s="12"/>
      <c r="W870" s="12"/>
      <c r="Z870" s="12"/>
      <c r="AC870" s="12"/>
    </row>
    <row r="871">
      <c r="H871" s="12"/>
      <c r="K871" s="12"/>
      <c r="N871" s="12"/>
      <c r="Q871" s="12"/>
      <c r="T871" s="12"/>
      <c r="W871" s="12"/>
      <c r="Z871" s="12"/>
      <c r="AC871" s="12"/>
    </row>
    <row r="872">
      <c r="H872" s="12"/>
      <c r="K872" s="12"/>
      <c r="N872" s="12"/>
      <c r="Q872" s="12"/>
      <c r="T872" s="12"/>
      <c r="W872" s="12"/>
      <c r="Z872" s="12"/>
      <c r="AC872" s="12"/>
    </row>
    <row r="873">
      <c r="H873" s="12"/>
      <c r="K873" s="12"/>
      <c r="N873" s="12"/>
      <c r="Q873" s="12"/>
      <c r="T873" s="12"/>
      <c r="W873" s="12"/>
      <c r="Z873" s="12"/>
      <c r="AC873" s="12"/>
    </row>
    <row r="874">
      <c r="H874" s="12"/>
      <c r="K874" s="12"/>
      <c r="N874" s="12"/>
      <c r="Q874" s="12"/>
      <c r="T874" s="12"/>
      <c r="W874" s="12"/>
      <c r="Z874" s="12"/>
      <c r="AC874" s="12"/>
    </row>
    <row r="875">
      <c r="H875" s="12"/>
      <c r="K875" s="12"/>
      <c r="N875" s="12"/>
      <c r="Q875" s="12"/>
      <c r="T875" s="12"/>
      <c r="W875" s="12"/>
      <c r="Z875" s="12"/>
      <c r="AC875" s="12"/>
    </row>
    <row r="876">
      <c r="H876" s="12"/>
      <c r="K876" s="12"/>
      <c r="N876" s="12"/>
      <c r="Q876" s="12"/>
      <c r="T876" s="12"/>
      <c r="W876" s="12"/>
      <c r="Z876" s="12"/>
      <c r="AC876" s="12"/>
    </row>
    <row r="877">
      <c r="H877" s="12"/>
      <c r="K877" s="12"/>
      <c r="N877" s="12"/>
      <c r="Q877" s="12"/>
      <c r="T877" s="12"/>
      <c r="W877" s="12"/>
      <c r="Z877" s="12"/>
      <c r="AC877" s="12"/>
    </row>
    <row r="878">
      <c r="H878" s="12"/>
      <c r="K878" s="12"/>
      <c r="N878" s="12"/>
      <c r="Q878" s="12"/>
      <c r="T878" s="12"/>
      <c r="W878" s="12"/>
      <c r="Z878" s="12"/>
      <c r="AC878" s="12"/>
    </row>
    <row r="879">
      <c r="H879" s="12"/>
      <c r="K879" s="12"/>
      <c r="N879" s="12"/>
      <c r="Q879" s="12"/>
      <c r="T879" s="12"/>
      <c r="W879" s="12"/>
      <c r="Z879" s="12"/>
      <c r="AC879" s="12"/>
    </row>
    <row r="880">
      <c r="H880" s="12"/>
      <c r="K880" s="12"/>
      <c r="N880" s="12"/>
      <c r="Q880" s="12"/>
      <c r="T880" s="12"/>
      <c r="W880" s="12"/>
      <c r="Z880" s="12"/>
      <c r="AC880" s="12"/>
    </row>
    <row r="881">
      <c r="H881" s="12"/>
      <c r="K881" s="12"/>
      <c r="N881" s="12"/>
      <c r="Q881" s="12"/>
      <c r="T881" s="12"/>
      <c r="W881" s="12"/>
      <c r="Z881" s="12"/>
      <c r="AC881" s="12"/>
    </row>
    <row r="882">
      <c r="H882" s="12"/>
      <c r="K882" s="12"/>
      <c r="N882" s="12"/>
      <c r="Q882" s="12"/>
      <c r="T882" s="12"/>
      <c r="W882" s="12"/>
      <c r="Z882" s="12"/>
      <c r="AC882" s="12"/>
    </row>
    <row r="883">
      <c r="H883" s="12"/>
      <c r="K883" s="12"/>
      <c r="N883" s="12"/>
      <c r="Q883" s="12"/>
      <c r="T883" s="12"/>
      <c r="W883" s="12"/>
      <c r="Z883" s="12"/>
      <c r="AC883" s="12"/>
    </row>
    <row r="884">
      <c r="H884" s="12"/>
      <c r="K884" s="12"/>
      <c r="N884" s="12"/>
      <c r="Q884" s="12"/>
      <c r="T884" s="12"/>
      <c r="W884" s="12"/>
      <c r="Z884" s="12"/>
      <c r="AC884" s="12"/>
    </row>
    <row r="885">
      <c r="H885" s="12"/>
      <c r="K885" s="12"/>
      <c r="N885" s="12"/>
      <c r="Q885" s="12"/>
      <c r="T885" s="12"/>
      <c r="W885" s="12"/>
      <c r="Z885" s="12"/>
      <c r="AC885" s="12"/>
    </row>
    <row r="886">
      <c r="H886" s="12"/>
      <c r="K886" s="12"/>
      <c r="N886" s="12"/>
      <c r="Q886" s="12"/>
      <c r="T886" s="12"/>
      <c r="W886" s="12"/>
      <c r="Z886" s="12"/>
      <c r="AC886" s="12"/>
    </row>
    <row r="887">
      <c r="H887" s="12"/>
      <c r="K887" s="12"/>
      <c r="N887" s="12"/>
      <c r="Q887" s="12"/>
      <c r="T887" s="12"/>
      <c r="W887" s="12"/>
      <c r="Z887" s="12"/>
      <c r="AC887" s="12"/>
    </row>
    <row r="888">
      <c r="H888" s="12"/>
      <c r="K888" s="12"/>
      <c r="N888" s="12"/>
      <c r="Q888" s="12"/>
      <c r="T888" s="12"/>
      <c r="W888" s="12"/>
      <c r="Z888" s="12"/>
      <c r="AC888" s="12"/>
    </row>
    <row r="889">
      <c r="H889" s="12"/>
      <c r="K889" s="12"/>
      <c r="N889" s="12"/>
      <c r="Q889" s="12"/>
      <c r="T889" s="12"/>
      <c r="W889" s="12"/>
      <c r="Z889" s="12"/>
      <c r="AC889" s="12"/>
    </row>
    <row r="890">
      <c r="H890" s="12"/>
      <c r="K890" s="12"/>
      <c r="N890" s="12"/>
      <c r="Q890" s="12"/>
      <c r="T890" s="12"/>
      <c r="W890" s="12"/>
      <c r="Z890" s="12"/>
      <c r="AC890" s="12"/>
    </row>
    <row r="891">
      <c r="H891" s="12"/>
      <c r="K891" s="12"/>
      <c r="N891" s="12"/>
      <c r="Q891" s="12"/>
      <c r="T891" s="12"/>
      <c r="W891" s="12"/>
      <c r="Z891" s="12"/>
      <c r="AC891" s="12"/>
    </row>
    <row r="892">
      <c r="H892" s="12"/>
      <c r="K892" s="12"/>
      <c r="N892" s="12"/>
      <c r="Q892" s="12"/>
      <c r="T892" s="12"/>
      <c r="W892" s="12"/>
      <c r="Z892" s="12"/>
      <c r="AC892" s="12"/>
    </row>
    <row r="893">
      <c r="H893" s="12"/>
      <c r="K893" s="12"/>
      <c r="N893" s="12"/>
      <c r="Q893" s="12"/>
      <c r="T893" s="12"/>
      <c r="W893" s="12"/>
      <c r="Z893" s="12"/>
      <c r="AC893" s="12"/>
    </row>
    <row r="894">
      <c r="H894" s="12"/>
      <c r="K894" s="12"/>
      <c r="N894" s="12"/>
      <c r="Q894" s="12"/>
      <c r="T894" s="12"/>
      <c r="W894" s="12"/>
      <c r="Z894" s="12"/>
      <c r="AC894" s="12"/>
    </row>
    <row r="895">
      <c r="H895" s="12"/>
      <c r="K895" s="12"/>
      <c r="N895" s="12"/>
      <c r="Q895" s="12"/>
      <c r="T895" s="12"/>
      <c r="W895" s="12"/>
      <c r="Z895" s="12"/>
      <c r="AC895" s="12"/>
    </row>
    <row r="896">
      <c r="H896" s="12"/>
      <c r="K896" s="12"/>
      <c r="N896" s="12"/>
      <c r="Q896" s="12"/>
      <c r="T896" s="12"/>
      <c r="W896" s="12"/>
      <c r="Z896" s="12"/>
      <c r="AC896" s="12"/>
    </row>
    <row r="897">
      <c r="H897" s="12"/>
      <c r="K897" s="12"/>
      <c r="N897" s="12"/>
      <c r="Q897" s="12"/>
      <c r="T897" s="12"/>
      <c r="W897" s="12"/>
      <c r="Z897" s="12"/>
      <c r="AC897" s="12"/>
    </row>
    <row r="898">
      <c r="H898" s="12"/>
      <c r="K898" s="12"/>
      <c r="N898" s="12"/>
      <c r="Q898" s="12"/>
      <c r="T898" s="12"/>
      <c r="W898" s="12"/>
      <c r="Z898" s="12"/>
      <c r="AC898" s="12"/>
    </row>
    <row r="899">
      <c r="H899" s="12"/>
      <c r="K899" s="12"/>
      <c r="N899" s="12"/>
      <c r="Q899" s="12"/>
      <c r="T899" s="12"/>
      <c r="W899" s="12"/>
      <c r="Z899" s="12"/>
      <c r="AC899" s="12"/>
    </row>
    <row r="900">
      <c r="H900" s="12"/>
      <c r="K900" s="12"/>
      <c r="N900" s="12"/>
      <c r="Q900" s="12"/>
      <c r="T900" s="12"/>
      <c r="W900" s="12"/>
      <c r="Z900" s="12"/>
      <c r="AC900" s="12"/>
    </row>
    <row r="901">
      <c r="H901" s="12"/>
      <c r="K901" s="12"/>
      <c r="N901" s="12"/>
      <c r="Q901" s="12"/>
      <c r="T901" s="12"/>
      <c r="W901" s="12"/>
      <c r="Z901" s="12"/>
      <c r="AC901" s="12"/>
    </row>
    <row r="902">
      <c r="H902" s="12"/>
      <c r="K902" s="12"/>
      <c r="N902" s="12"/>
      <c r="Q902" s="12"/>
      <c r="T902" s="12"/>
      <c r="W902" s="12"/>
      <c r="Z902" s="12"/>
      <c r="AC902" s="12"/>
    </row>
    <row r="903">
      <c r="H903" s="12"/>
      <c r="K903" s="12"/>
      <c r="N903" s="12"/>
      <c r="Q903" s="12"/>
      <c r="T903" s="12"/>
      <c r="W903" s="12"/>
      <c r="Z903" s="12"/>
      <c r="AC903" s="12"/>
    </row>
    <row r="904">
      <c r="H904" s="12"/>
      <c r="K904" s="12"/>
      <c r="N904" s="12"/>
      <c r="Q904" s="12"/>
      <c r="T904" s="12"/>
      <c r="W904" s="12"/>
      <c r="Z904" s="12"/>
      <c r="AC904" s="12"/>
    </row>
    <row r="905">
      <c r="H905" s="12"/>
      <c r="K905" s="12"/>
      <c r="N905" s="12"/>
      <c r="Q905" s="12"/>
      <c r="T905" s="12"/>
      <c r="W905" s="12"/>
      <c r="Z905" s="12"/>
      <c r="AC905" s="12"/>
    </row>
    <row r="906">
      <c r="H906" s="12"/>
      <c r="K906" s="12"/>
      <c r="N906" s="12"/>
      <c r="Q906" s="12"/>
      <c r="T906" s="12"/>
      <c r="W906" s="12"/>
      <c r="Z906" s="12"/>
      <c r="AC906" s="12"/>
    </row>
    <row r="907">
      <c r="H907" s="12"/>
      <c r="K907" s="12"/>
      <c r="N907" s="12"/>
      <c r="Q907" s="12"/>
      <c r="T907" s="12"/>
      <c r="W907" s="12"/>
      <c r="Z907" s="12"/>
      <c r="AC907" s="12"/>
    </row>
    <row r="908">
      <c r="H908" s="12"/>
      <c r="K908" s="12"/>
      <c r="N908" s="12"/>
      <c r="Q908" s="12"/>
      <c r="T908" s="12"/>
      <c r="W908" s="12"/>
      <c r="Z908" s="12"/>
      <c r="AC908" s="12"/>
    </row>
    <row r="909">
      <c r="H909" s="12"/>
      <c r="K909" s="12"/>
      <c r="N909" s="12"/>
      <c r="Q909" s="12"/>
      <c r="T909" s="12"/>
      <c r="W909" s="12"/>
      <c r="Z909" s="12"/>
      <c r="AC909" s="12"/>
    </row>
    <row r="910">
      <c r="H910" s="12"/>
      <c r="K910" s="12"/>
      <c r="N910" s="12"/>
      <c r="Q910" s="12"/>
      <c r="T910" s="12"/>
      <c r="W910" s="12"/>
      <c r="Z910" s="12"/>
      <c r="AC910" s="12"/>
    </row>
    <row r="911">
      <c r="H911" s="12"/>
      <c r="K911" s="12"/>
      <c r="N911" s="12"/>
      <c r="Q911" s="12"/>
      <c r="T911" s="12"/>
      <c r="W911" s="12"/>
      <c r="Z911" s="12"/>
      <c r="AC911" s="12"/>
    </row>
    <row r="912">
      <c r="H912" s="12"/>
      <c r="K912" s="12"/>
      <c r="N912" s="12"/>
      <c r="Q912" s="12"/>
      <c r="T912" s="12"/>
      <c r="W912" s="12"/>
      <c r="Z912" s="12"/>
      <c r="AC912" s="12"/>
    </row>
    <row r="913">
      <c r="H913" s="12"/>
      <c r="K913" s="12"/>
      <c r="N913" s="12"/>
      <c r="Q913" s="12"/>
      <c r="T913" s="12"/>
      <c r="W913" s="12"/>
      <c r="Z913" s="12"/>
      <c r="AC913" s="12"/>
    </row>
    <row r="914">
      <c r="H914" s="12"/>
      <c r="K914" s="12"/>
      <c r="N914" s="12"/>
      <c r="Q914" s="12"/>
      <c r="T914" s="12"/>
      <c r="W914" s="12"/>
      <c r="Z914" s="12"/>
      <c r="AC914" s="12"/>
    </row>
    <row r="915">
      <c r="H915" s="12"/>
      <c r="K915" s="12"/>
      <c r="N915" s="12"/>
      <c r="Q915" s="12"/>
      <c r="T915" s="12"/>
      <c r="W915" s="12"/>
      <c r="Z915" s="12"/>
      <c r="AC915" s="12"/>
    </row>
    <row r="916">
      <c r="H916" s="12"/>
      <c r="K916" s="12"/>
      <c r="N916" s="12"/>
      <c r="Q916" s="12"/>
      <c r="T916" s="12"/>
      <c r="W916" s="12"/>
      <c r="Z916" s="12"/>
      <c r="AC916" s="12"/>
    </row>
    <row r="917">
      <c r="H917" s="12"/>
      <c r="K917" s="12"/>
      <c r="N917" s="12"/>
      <c r="Q917" s="12"/>
      <c r="T917" s="12"/>
      <c r="W917" s="12"/>
      <c r="Z917" s="12"/>
      <c r="AC917" s="12"/>
    </row>
    <row r="918">
      <c r="H918" s="12"/>
      <c r="K918" s="12"/>
      <c r="N918" s="12"/>
      <c r="Q918" s="12"/>
      <c r="T918" s="12"/>
      <c r="W918" s="12"/>
      <c r="Z918" s="12"/>
      <c r="AC918" s="12"/>
    </row>
    <row r="919">
      <c r="H919" s="12"/>
      <c r="K919" s="12"/>
      <c r="N919" s="12"/>
      <c r="Q919" s="12"/>
      <c r="T919" s="12"/>
      <c r="W919" s="12"/>
      <c r="Z919" s="12"/>
      <c r="AC919" s="12"/>
    </row>
    <row r="920">
      <c r="H920" s="12"/>
      <c r="K920" s="12"/>
      <c r="N920" s="12"/>
      <c r="Q920" s="12"/>
      <c r="T920" s="12"/>
      <c r="W920" s="12"/>
      <c r="Z920" s="12"/>
      <c r="AC920" s="12"/>
    </row>
    <row r="921">
      <c r="H921" s="12"/>
      <c r="K921" s="12"/>
      <c r="N921" s="12"/>
      <c r="Q921" s="12"/>
      <c r="T921" s="12"/>
      <c r="W921" s="12"/>
      <c r="Z921" s="12"/>
      <c r="AC921" s="12"/>
    </row>
    <row r="922">
      <c r="H922" s="12"/>
      <c r="K922" s="12"/>
      <c r="N922" s="12"/>
      <c r="Q922" s="12"/>
      <c r="T922" s="12"/>
      <c r="W922" s="12"/>
      <c r="Z922" s="12"/>
      <c r="AC922" s="12"/>
    </row>
    <row r="923">
      <c r="H923" s="12"/>
      <c r="K923" s="12"/>
      <c r="N923" s="12"/>
      <c r="Q923" s="12"/>
      <c r="T923" s="12"/>
      <c r="W923" s="12"/>
      <c r="Z923" s="12"/>
      <c r="AC923" s="12"/>
    </row>
    <row r="924">
      <c r="H924" s="12"/>
      <c r="K924" s="12"/>
      <c r="N924" s="12"/>
      <c r="Q924" s="12"/>
      <c r="T924" s="12"/>
      <c r="W924" s="12"/>
      <c r="Z924" s="12"/>
      <c r="AC924" s="12"/>
    </row>
    <row r="925">
      <c r="H925" s="12"/>
      <c r="K925" s="12"/>
      <c r="N925" s="12"/>
      <c r="Q925" s="12"/>
      <c r="T925" s="12"/>
      <c r="W925" s="12"/>
      <c r="Z925" s="12"/>
      <c r="AC925" s="12"/>
    </row>
    <row r="926">
      <c r="H926" s="12"/>
      <c r="K926" s="12"/>
      <c r="N926" s="12"/>
      <c r="Q926" s="12"/>
      <c r="T926" s="12"/>
      <c r="W926" s="12"/>
      <c r="Z926" s="12"/>
      <c r="AC926" s="12"/>
    </row>
    <row r="927">
      <c r="H927" s="12"/>
      <c r="K927" s="12"/>
      <c r="N927" s="12"/>
      <c r="Q927" s="12"/>
      <c r="T927" s="12"/>
      <c r="W927" s="12"/>
      <c r="Z927" s="12"/>
      <c r="AC927" s="12"/>
    </row>
    <row r="928">
      <c r="H928" s="12"/>
      <c r="K928" s="12"/>
      <c r="N928" s="12"/>
      <c r="Q928" s="12"/>
      <c r="T928" s="12"/>
      <c r="W928" s="12"/>
      <c r="Z928" s="12"/>
      <c r="AC928" s="12"/>
    </row>
    <row r="929">
      <c r="H929" s="12"/>
      <c r="K929" s="12"/>
      <c r="N929" s="12"/>
      <c r="Q929" s="12"/>
      <c r="T929" s="12"/>
      <c r="W929" s="12"/>
      <c r="Z929" s="12"/>
      <c r="AC929" s="12"/>
    </row>
    <row r="930">
      <c r="H930" s="12"/>
      <c r="K930" s="12"/>
      <c r="N930" s="12"/>
      <c r="Q930" s="12"/>
      <c r="T930" s="12"/>
      <c r="W930" s="12"/>
      <c r="Z930" s="12"/>
      <c r="AC930" s="12"/>
    </row>
    <row r="931">
      <c r="H931" s="12"/>
      <c r="K931" s="12"/>
      <c r="N931" s="12"/>
      <c r="Q931" s="12"/>
      <c r="T931" s="12"/>
      <c r="W931" s="12"/>
      <c r="Z931" s="12"/>
      <c r="AC931" s="12"/>
    </row>
    <row r="932">
      <c r="H932" s="12"/>
      <c r="K932" s="12"/>
      <c r="N932" s="12"/>
      <c r="Q932" s="12"/>
      <c r="T932" s="12"/>
      <c r="W932" s="12"/>
      <c r="Z932" s="12"/>
      <c r="AC932" s="12"/>
    </row>
    <row r="933">
      <c r="H933" s="12"/>
      <c r="K933" s="12"/>
      <c r="N933" s="12"/>
      <c r="Q933" s="12"/>
      <c r="T933" s="12"/>
      <c r="W933" s="12"/>
      <c r="Z933" s="12"/>
      <c r="AC933" s="12"/>
    </row>
    <row r="934">
      <c r="H934" s="12"/>
      <c r="K934" s="12"/>
      <c r="N934" s="12"/>
      <c r="Q934" s="12"/>
      <c r="T934" s="12"/>
      <c r="W934" s="12"/>
      <c r="Z934" s="12"/>
      <c r="AC934" s="12"/>
    </row>
    <row r="935">
      <c r="H935" s="12"/>
      <c r="K935" s="12"/>
      <c r="N935" s="12"/>
      <c r="Q935" s="12"/>
      <c r="T935" s="12"/>
      <c r="W935" s="12"/>
      <c r="Z935" s="12"/>
      <c r="AC935" s="12"/>
    </row>
    <row r="936">
      <c r="H936" s="12"/>
      <c r="K936" s="12"/>
      <c r="N936" s="12"/>
      <c r="Q936" s="12"/>
      <c r="T936" s="12"/>
      <c r="W936" s="12"/>
      <c r="Z936" s="12"/>
      <c r="AC936" s="12"/>
    </row>
    <row r="937">
      <c r="H937" s="12"/>
      <c r="K937" s="12"/>
      <c r="N937" s="12"/>
      <c r="Q937" s="12"/>
      <c r="T937" s="12"/>
      <c r="W937" s="12"/>
      <c r="Z937" s="12"/>
      <c r="AC937" s="12"/>
    </row>
    <row r="938">
      <c r="H938" s="12"/>
      <c r="K938" s="12"/>
      <c r="N938" s="12"/>
      <c r="Q938" s="12"/>
      <c r="T938" s="12"/>
      <c r="W938" s="12"/>
      <c r="Z938" s="12"/>
      <c r="AC938" s="12"/>
    </row>
    <row r="939">
      <c r="H939" s="12"/>
      <c r="K939" s="12"/>
      <c r="N939" s="12"/>
      <c r="Q939" s="12"/>
      <c r="T939" s="12"/>
      <c r="W939" s="12"/>
      <c r="Z939" s="12"/>
      <c r="AC939" s="12"/>
    </row>
    <row r="940">
      <c r="H940" s="12"/>
      <c r="K940" s="12"/>
      <c r="N940" s="12"/>
      <c r="Q940" s="12"/>
      <c r="T940" s="12"/>
      <c r="W940" s="12"/>
      <c r="Z940" s="12"/>
      <c r="AC940" s="12"/>
    </row>
    <row r="941">
      <c r="H941" s="12"/>
      <c r="K941" s="12"/>
      <c r="N941" s="12"/>
      <c r="Q941" s="12"/>
      <c r="T941" s="12"/>
      <c r="W941" s="12"/>
      <c r="Z941" s="12"/>
      <c r="AC941" s="12"/>
    </row>
    <row r="942">
      <c r="H942" s="12"/>
      <c r="K942" s="12"/>
      <c r="N942" s="12"/>
      <c r="Q942" s="12"/>
      <c r="T942" s="12"/>
      <c r="W942" s="12"/>
      <c r="Z942" s="12"/>
      <c r="AC942" s="12"/>
    </row>
    <row r="943">
      <c r="H943" s="12"/>
      <c r="K943" s="12"/>
      <c r="N943" s="12"/>
      <c r="Q943" s="12"/>
      <c r="T943" s="12"/>
      <c r="W943" s="12"/>
      <c r="Z943" s="12"/>
      <c r="AC943" s="12"/>
    </row>
    <row r="944">
      <c r="H944" s="12"/>
      <c r="K944" s="12"/>
      <c r="N944" s="12"/>
      <c r="Q944" s="12"/>
      <c r="T944" s="12"/>
      <c r="W944" s="12"/>
      <c r="Z944" s="12"/>
      <c r="AC944" s="12"/>
    </row>
    <row r="945">
      <c r="H945" s="12"/>
      <c r="K945" s="12"/>
      <c r="N945" s="12"/>
      <c r="Q945" s="12"/>
      <c r="T945" s="12"/>
      <c r="W945" s="12"/>
      <c r="Z945" s="12"/>
      <c r="AC945" s="12"/>
    </row>
    <row r="946">
      <c r="H946" s="12"/>
      <c r="K946" s="12"/>
      <c r="N946" s="12"/>
      <c r="Q946" s="12"/>
      <c r="T946" s="12"/>
      <c r="W946" s="12"/>
      <c r="Z946" s="12"/>
      <c r="AC946" s="12"/>
    </row>
    <row r="947">
      <c r="H947" s="12"/>
      <c r="K947" s="12"/>
      <c r="N947" s="12"/>
      <c r="Q947" s="12"/>
      <c r="T947" s="12"/>
      <c r="W947" s="12"/>
      <c r="Z947" s="12"/>
      <c r="AC947" s="12"/>
    </row>
    <row r="948">
      <c r="H948" s="12"/>
      <c r="K948" s="12"/>
      <c r="N948" s="12"/>
      <c r="Q948" s="12"/>
      <c r="T948" s="12"/>
      <c r="W948" s="12"/>
      <c r="Z948" s="12"/>
      <c r="AC948" s="12"/>
    </row>
    <row r="949">
      <c r="H949" s="12"/>
      <c r="K949" s="12"/>
      <c r="N949" s="12"/>
      <c r="Q949" s="12"/>
      <c r="T949" s="12"/>
      <c r="W949" s="12"/>
      <c r="Z949" s="12"/>
      <c r="AC949" s="12"/>
    </row>
    <row r="950">
      <c r="H950" s="12"/>
      <c r="K950" s="12"/>
      <c r="N950" s="12"/>
      <c r="Q950" s="12"/>
      <c r="T950" s="12"/>
      <c r="W950" s="12"/>
      <c r="Z950" s="12"/>
      <c r="AC950" s="12"/>
    </row>
    <row r="951">
      <c r="H951" s="12"/>
      <c r="K951" s="12"/>
      <c r="N951" s="12"/>
      <c r="Q951" s="12"/>
      <c r="T951" s="12"/>
      <c r="W951" s="12"/>
      <c r="Z951" s="12"/>
      <c r="AC951" s="12"/>
    </row>
    <row r="952">
      <c r="H952" s="12"/>
      <c r="K952" s="12"/>
      <c r="N952" s="12"/>
      <c r="Q952" s="12"/>
      <c r="T952" s="12"/>
      <c r="W952" s="12"/>
      <c r="Z952" s="12"/>
      <c r="AC952" s="12"/>
    </row>
    <row r="953">
      <c r="H953" s="12"/>
      <c r="K953" s="12"/>
      <c r="N953" s="12"/>
      <c r="Q953" s="12"/>
      <c r="T953" s="12"/>
      <c r="W953" s="12"/>
      <c r="Z953" s="12"/>
      <c r="AC953" s="12"/>
    </row>
    <row r="954">
      <c r="H954" s="12"/>
      <c r="K954" s="12"/>
      <c r="N954" s="12"/>
      <c r="Q954" s="12"/>
      <c r="T954" s="12"/>
      <c r="W954" s="12"/>
      <c r="Z954" s="12"/>
      <c r="AC954" s="12"/>
    </row>
    <row r="955">
      <c r="H955" s="12"/>
      <c r="K955" s="12"/>
      <c r="N955" s="12"/>
      <c r="Q955" s="12"/>
      <c r="T955" s="12"/>
      <c r="W955" s="12"/>
      <c r="Z955" s="12"/>
      <c r="AC955" s="12"/>
    </row>
    <row r="956">
      <c r="H956" s="12"/>
      <c r="K956" s="12"/>
      <c r="N956" s="12"/>
      <c r="Q956" s="12"/>
      <c r="T956" s="12"/>
      <c r="W956" s="12"/>
      <c r="Z956" s="12"/>
      <c r="AC956" s="12"/>
    </row>
    <row r="957">
      <c r="H957" s="12"/>
      <c r="K957" s="12"/>
      <c r="N957" s="12"/>
      <c r="Q957" s="12"/>
      <c r="T957" s="12"/>
      <c r="W957" s="12"/>
      <c r="Z957" s="12"/>
      <c r="AC957" s="12"/>
    </row>
    <row r="958">
      <c r="H958" s="12"/>
      <c r="K958" s="12"/>
      <c r="N958" s="12"/>
      <c r="Q958" s="12"/>
      <c r="T958" s="12"/>
      <c r="W958" s="12"/>
      <c r="Z958" s="12"/>
      <c r="AC958" s="12"/>
    </row>
    <row r="959">
      <c r="H959" s="12"/>
      <c r="K959" s="12"/>
      <c r="N959" s="12"/>
      <c r="Q959" s="12"/>
      <c r="T959" s="12"/>
      <c r="W959" s="12"/>
      <c r="Z959" s="12"/>
      <c r="AC959" s="12"/>
    </row>
    <row r="960">
      <c r="H960" s="12"/>
      <c r="K960" s="12"/>
      <c r="N960" s="12"/>
      <c r="Q960" s="12"/>
      <c r="T960" s="12"/>
      <c r="W960" s="12"/>
      <c r="Z960" s="12"/>
      <c r="AC960" s="12"/>
    </row>
    <row r="961">
      <c r="H961" s="12"/>
      <c r="K961" s="12"/>
      <c r="N961" s="12"/>
      <c r="Q961" s="12"/>
      <c r="T961" s="12"/>
      <c r="W961" s="12"/>
      <c r="Z961" s="12"/>
      <c r="AC961" s="12"/>
    </row>
    <row r="962">
      <c r="H962" s="12"/>
      <c r="K962" s="12"/>
      <c r="N962" s="12"/>
      <c r="Q962" s="12"/>
      <c r="T962" s="12"/>
      <c r="W962" s="12"/>
      <c r="Z962" s="12"/>
      <c r="AC962" s="12"/>
    </row>
    <row r="963">
      <c r="H963" s="12"/>
      <c r="K963" s="12"/>
      <c r="N963" s="12"/>
      <c r="Q963" s="12"/>
      <c r="T963" s="12"/>
      <c r="W963" s="12"/>
      <c r="Z963" s="12"/>
      <c r="AC963" s="12"/>
    </row>
    <row r="964">
      <c r="H964" s="12"/>
      <c r="K964" s="12"/>
      <c r="N964" s="12"/>
      <c r="Q964" s="12"/>
      <c r="T964" s="12"/>
      <c r="W964" s="12"/>
      <c r="Z964" s="12"/>
      <c r="AC964" s="12"/>
    </row>
    <row r="965">
      <c r="H965" s="12"/>
      <c r="K965" s="12"/>
      <c r="N965" s="12"/>
      <c r="Q965" s="12"/>
      <c r="T965" s="12"/>
      <c r="W965" s="12"/>
      <c r="Z965" s="12"/>
      <c r="AC965" s="12"/>
    </row>
    <row r="966">
      <c r="H966" s="12"/>
      <c r="K966" s="12"/>
      <c r="N966" s="12"/>
      <c r="Q966" s="12"/>
      <c r="T966" s="12"/>
      <c r="W966" s="12"/>
      <c r="Z966" s="12"/>
      <c r="AC966" s="12"/>
    </row>
    <row r="967">
      <c r="H967" s="12"/>
      <c r="K967" s="12"/>
      <c r="N967" s="12"/>
      <c r="Q967" s="12"/>
      <c r="T967" s="12"/>
      <c r="W967" s="12"/>
      <c r="Z967" s="12"/>
      <c r="AC967" s="12"/>
    </row>
    <row r="968">
      <c r="H968" s="12"/>
      <c r="K968" s="12"/>
      <c r="N968" s="12"/>
      <c r="Q968" s="12"/>
      <c r="T968" s="12"/>
      <c r="W968" s="12"/>
      <c r="Z968" s="12"/>
      <c r="AC968" s="12"/>
    </row>
    <row r="969">
      <c r="H969" s="12"/>
      <c r="K969" s="12"/>
      <c r="N969" s="12"/>
      <c r="Q969" s="12"/>
      <c r="T969" s="12"/>
      <c r="W969" s="12"/>
      <c r="Z969" s="12"/>
      <c r="AC969" s="12"/>
    </row>
    <row r="970">
      <c r="H970" s="12"/>
      <c r="K970" s="12"/>
      <c r="N970" s="12"/>
      <c r="Q970" s="12"/>
      <c r="T970" s="12"/>
      <c r="W970" s="12"/>
      <c r="Z970" s="12"/>
      <c r="AC970" s="12"/>
    </row>
    <row r="971">
      <c r="H971" s="12"/>
      <c r="K971" s="12"/>
      <c r="N971" s="12"/>
      <c r="Q971" s="12"/>
      <c r="T971" s="12"/>
      <c r="W971" s="12"/>
      <c r="Z971" s="12"/>
      <c r="AC971" s="12"/>
    </row>
    <row r="972">
      <c r="H972" s="12"/>
      <c r="K972" s="12"/>
      <c r="N972" s="12"/>
      <c r="Q972" s="12"/>
      <c r="T972" s="12"/>
      <c r="W972" s="12"/>
      <c r="Z972" s="12"/>
      <c r="AC972" s="12"/>
    </row>
    <row r="973">
      <c r="H973" s="12"/>
      <c r="K973" s="12"/>
      <c r="N973" s="12"/>
      <c r="Q973" s="12"/>
      <c r="T973" s="12"/>
      <c r="W973" s="12"/>
      <c r="Z973" s="12"/>
      <c r="AC973" s="12"/>
    </row>
    <row r="974">
      <c r="H974" s="12"/>
      <c r="K974" s="12"/>
      <c r="N974" s="12"/>
      <c r="Q974" s="12"/>
      <c r="T974" s="12"/>
      <c r="W974" s="12"/>
      <c r="Z974" s="12"/>
      <c r="AC974" s="12"/>
    </row>
    <row r="975">
      <c r="H975" s="12"/>
      <c r="K975" s="12"/>
      <c r="N975" s="12"/>
      <c r="Q975" s="12"/>
      <c r="T975" s="12"/>
      <c r="W975" s="12"/>
      <c r="Z975" s="12"/>
      <c r="AC975" s="12"/>
    </row>
    <row r="976">
      <c r="H976" s="12"/>
      <c r="K976" s="12"/>
      <c r="N976" s="12"/>
      <c r="Q976" s="12"/>
      <c r="T976" s="12"/>
      <c r="W976" s="12"/>
      <c r="Z976" s="12"/>
      <c r="AC976" s="12"/>
    </row>
    <row r="977">
      <c r="H977" s="12"/>
      <c r="K977" s="12"/>
      <c r="N977" s="12"/>
      <c r="Q977" s="12"/>
      <c r="T977" s="12"/>
      <c r="W977" s="12"/>
      <c r="Z977" s="12"/>
      <c r="AC977" s="12"/>
    </row>
    <row r="978">
      <c r="H978" s="12"/>
      <c r="K978" s="12"/>
      <c r="N978" s="12"/>
      <c r="Q978" s="12"/>
      <c r="T978" s="12"/>
      <c r="W978" s="12"/>
      <c r="Z978" s="12"/>
      <c r="AC978" s="12"/>
    </row>
    <row r="979">
      <c r="H979" s="12"/>
      <c r="K979" s="12"/>
      <c r="N979" s="12"/>
      <c r="Q979" s="12"/>
      <c r="T979" s="12"/>
      <c r="W979" s="12"/>
      <c r="Z979" s="12"/>
      <c r="AC979" s="12"/>
    </row>
    <row r="980">
      <c r="H980" s="12"/>
      <c r="K980" s="12"/>
      <c r="N980" s="12"/>
      <c r="Q980" s="12"/>
      <c r="T980" s="12"/>
      <c r="W980" s="12"/>
      <c r="Z980" s="12"/>
      <c r="AC980" s="12"/>
    </row>
    <row r="981">
      <c r="H981" s="12"/>
      <c r="K981" s="12"/>
      <c r="N981" s="12"/>
      <c r="Q981" s="12"/>
      <c r="T981" s="12"/>
      <c r="W981" s="12"/>
      <c r="Z981" s="12"/>
      <c r="AC981" s="12"/>
    </row>
    <row r="982">
      <c r="H982" s="12"/>
      <c r="K982" s="12"/>
      <c r="N982" s="12"/>
      <c r="Q982" s="12"/>
      <c r="T982" s="12"/>
      <c r="W982" s="12"/>
      <c r="Z982" s="12"/>
      <c r="AC982" s="12"/>
    </row>
    <row r="983">
      <c r="H983" s="12"/>
      <c r="K983" s="12"/>
      <c r="N983" s="12"/>
      <c r="Q983" s="12"/>
      <c r="T983" s="12"/>
      <c r="W983" s="12"/>
      <c r="Z983" s="12"/>
      <c r="AC983" s="12"/>
    </row>
    <row r="984">
      <c r="H984" s="12"/>
      <c r="K984" s="12"/>
      <c r="N984" s="12"/>
      <c r="Q984" s="12"/>
      <c r="T984" s="12"/>
      <c r="W984" s="12"/>
      <c r="Z984" s="12"/>
      <c r="AC984" s="12"/>
    </row>
    <row r="985">
      <c r="H985" s="12"/>
      <c r="K985" s="12"/>
      <c r="N985" s="12"/>
      <c r="Q985" s="12"/>
      <c r="T985" s="12"/>
      <c r="W985" s="12"/>
      <c r="Z985" s="12"/>
      <c r="AC985" s="12"/>
    </row>
    <row r="986">
      <c r="H986" s="12"/>
      <c r="K986" s="12"/>
      <c r="N986" s="12"/>
      <c r="Q986" s="12"/>
      <c r="T986" s="12"/>
      <c r="W986" s="12"/>
      <c r="Z986" s="12"/>
      <c r="AC986" s="12"/>
    </row>
    <row r="987">
      <c r="H987" s="12"/>
      <c r="K987" s="12"/>
      <c r="N987" s="12"/>
      <c r="Q987" s="12"/>
      <c r="T987" s="12"/>
      <c r="W987" s="12"/>
      <c r="Z987" s="12"/>
      <c r="AC987" s="12"/>
    </row>
    <row r="988">
      <c r="H988" s="12"/>
      <c r="K988" s="12"/>
      <c r="N988" s="12"/>
      <c r="Q988" s="12"/>
      <c r="T988" s="12"/>
      <c r="W988" s="12"/>
      <c r="Z988" s="12"/>
      <c r="AC988" s="12"/>
    </row>
    <row r="989">
      <c r="H989" s="12"/>
      <c r="K989" s="12"/>
      <c r="N989" s="12"/>
      <c r="Q989" s="12"/>
      <c r="T989" s="12"/>
      <c r="W989" s="12"/>
      <c r="Z989" s="12"/>
      <c r="AC989" s="12"/>
    </row>
    <row r="990">
      <c r="H990" s="12"/>
      <c r="K990" s="12"/>
      <c r="N990" s="12"/>
      <c r="Q990" s="12"/>
      <c r="T990" s="12"/>
      <c r="W990" s="12"/>
      <c r="Z990" s="12"/>
      <c r="AC990" s="12"/>
    </row>
    <row r="991">
      <c r="H991" s="12"/>
      <c r="K991" s="12"/>
      <c r="N991" s="12"/>
      <c r="Q991" s="12"/>
      <c r="T991" s="12"/>
      <c r="W991" s="12"/>
      <c r="Z991" s="12"/>
      <c r="AC991" s="12"/>
    </row>
    <row r="992">
      <c r="H992" s="12"/>
      <c r="K992" s="12"/>
      <c r="N992" s="12"/>
      <c r="Q992" s="12"/>
      <c r="T992" s="12"/>
      <c r="W992" s="12"/>
      <c r="Z992" s="12"/>
      <c r="AC992" s="12"/>
    </row>
    <row r="993">
      <c r="H993" s="12"/>
      <c r="K993" s="12"/>
      <c r="N993" s="12"/>
      <c r="Q993" s="12"/>
      <c r="T993" s="12"/>
      <c r="W993" s="12"/>
      <c r="Z993" s="12"/>
      <c r="AC993" s="12"/>
    </row>
    <row r="994">
      <c r="H994" s="12"/>
      <c r="K994" s="12"/>
      <c r="N994" s="12"/>
      <c r="Q994" s="12"/>
      <c r="T994" s="12"/>
      <c r="W994" s="12"/>
      <c r="Z994" s="12"/>
      <c r="AC994" s="12"/>
    </row>
    <row r="995">
      <c r="H995" s="12"/>
      <c r="K995" s="12"/>
      <c r="N995" s="12"/>
      <c r="Q995" s="12"/>
      <c r="T995" s="12"/>
      <c r="W995" s="12"/>
      <c r="Z995" s="12"/>
      <c r="AC995" s="12"/>
    </row>
    <row r="996">
      <c r="H996" s="12"/>
      <c r="K996" s="12"/>
      <c r="N996" s="12"/>
      <c r="Q996" s="12"/>
      <c r="T996" s="12"/>
      <c r="W996" s="12"/>
      <c r="Z996" s="12"/>
      <c r="AC996" s="12"/>
    </row>
    <row r="997">
      <c r="H997" s="12"/>
      <c r="K997" s="12"/>
      <c r="N997" s="12"/>
      <c r="Q997" s="12"/>
      <c r="T997" s="12"/>
      <c r="W997" s="12"/>
      <c r="Z997" s="12"/>
      <c r="AC997" s="12"/>
    </row>
    <row r="998">
      <c r="H998" s="12"/>
      <c r="K998" s="12"/>
      <c r="N998" s="12"/>
      <c r="Q998" s="12"/>
      <c r="T998" s="12"/>
      <c r="W998" s="12"/>
      <c r="Z998" s="12"/>
      <c r="AC998" s="12"/>
    </row>
    <row r="999">
      <c r="H999" s="12"/>
      <c r="K999" s="12"/>
      <c r="N999" s="12"/>
      <c r="Q999" s="12"/>
      <c r="T999" s="12"/>
      <c r="W999" s="12"/>
      <c r="Z999" s="12"/>
      <c r="AC999" s="12"/>
    </row>
    <row r="1000">
      <c r="H1000" s="12"/>
      <c r="K1000" s="12"/>
      <c r="N1000" s="12"/>
      <c r="Q1000" s="12"/>
      <c r="T1000" s="12"/>
      <c r="W1000" s="12"/>
      <c r="Z1000" s="12"/>
      <c r="AC1000" s="12"/>
    </row>
    <row r="1001">
      <c r="H1001" s="12"/>
      <c r="K1001" s="12"/>
      <c r="N1001" s="12"/>
      <c r="Q1001" s="12"/>
      <c r="T1001" s="12"/>
      <c r="W1001" s="12"/>
      <c r="Z1001" s="12"/>
      <c r="AC1001" s="12"/>
    </row>
    <row r="1002">
      <c r="H1002" s="12"/>
      <c r="K1002" s="12"/>
      <c r="N1002" s="12"/>
      <c r="Q1002" s="12"/>
      <c r="T1002" s="12"/>
      <c r="W1002" s="12"/>
      <c r="Z1002" s="12"/>
      <c r="AC1002" s="12"/>
    </row>
    <row r="1003">
      <c r="H1003" s="12"/>
      <c r="K1003" s="12"/>
      <c r="N1003" s="12"/>
      <c r="Q1003" s="12"/>
      <c r="T1003" s="12"/>
      <c r="W1003" s="12"/>
      <c r="Z1003" s="12"/>
      <c r="AC1003" s="12"/>
    </row>
    <row r="1004">
      <c r="H1004" s="12"/>
      <c r="K1004" s="12"/>
      <c r="N1004" s="12"/>
      <c r="Q1004" s="12"/>
      <c r="T1004" s="12"/>
      <c r="W1004" s="12"/>
      <c r="Z1004" s="12"/>
      <c r="AC1004" s="12"/>
    </row>
    <row r="1005">
      <c r="H1005" s="12"/>
      <c r="K1005" s="12"/>
      <c r="N1005" s="12"/>
      <c r="Q1005" s="12"/>
      <c r="T1005" s="12"/>
      <c r="W1005" s="12"/>
      <c r="Z1005" s="12"/>
      <c r="AC1005" s="12"/>
    </row>
    <row r="1006">
      <c r="H1006" s="12"/>
      <c r="K1006" s="12"/>
      <c r="N1006" s="12"/>
      <c r="Q1006" s="12"/>
      <c r="T1006" s="12"/>
      <c r="W1006" s="12"/>
      <c r="Z1006" s="12"/>
      <c r="AC1006" s="12"/>
    </row>
    <row r="1007">
      <c r="H1007" s="12"/>
      <c r="K1007" s="12"/>
      <c r="N1007" s="12"/>
      <c r="Q1007" s="12"/>
      <c r="T1007" s="12"/>
      <c r="W1007" s="12"/>
      <c r="Z1007" s="12"/>
      <c r="AC1007" s="12"/>
    </row>
    <row r="1008">
      <c r="H1008" s="12"/>
      <c r="K1008" s="12"/>
      <c r="N1008" s="12"/>
      <c r="Q1008" s="12"/>
      <c r="T1008" s="12"/>
      <c r="W1008" s="12"/>
      <c r="Z1008" s="12"/>
      <c r="AC1008" s="12"/>
    </row>
    <row r="1009">
      <c r="H1009" s="12"/>
      <c r="K1009" s="12"/>
      <c r="N1009" s="12"/>
      <c r="Q1009" s="12"/>
      <c r="T1009" s="12"/>
      <c r="W1009" s="12"/>
      <c r="Z1009" s="12"/>
      <c r="AC1009" s="12"/>
    </row>
    <row r="1010">
      <c r="H1010" s="12"/>
      <c r="K1010" s="12"/>
      <c r="N1010" s="12"/>
      <c r="Q1010" s="12"/>
      <c r="T1010" s="12"/>
      <c r="W1010" s="12"/>
      <c r="Z1010" s="12"/>
      <c r="AC1010" s="12"/>
    </row>
    <row r="1011">
      <c r="H1011" s="12"/>
      <c r="K1011" s="12"/>
      <c r="N1011" s="12"/>
      <c r="Q1011" s="12"/>
      <c r="T1011" s="12"/>
      <c r="W1011" s="12"/>
      <c r="Z1011" s="12"/>
      <c r="AC1011" s="12"/>
    </row>
    <row r="1012">
      <c r="H1012" s="12"/>
      <c r="K1012" s="12"/>
      <c r="N1012" s="12"/>
      <c r="Q1012" s="12"/>
      <c r="T1012" s="12"/>
      <c r="W1012" s="12"/>
      <c r="Z1012" s="12"/>
      <c r="AC1012" s="12"/>
    </row>
    <row r="1013">
      <c r="H1013" s="12"/>
      <c r="K1013" s="12"/>
      <c r="N1013" s="12"/>
      <c r="Q1013" s="12"/>
      <c r="T1013" s="12"/>
      <c r="W1013" s="12"/>
      <c r="Z1013" s="12"/>
      <c r="AC1013" s="12"/>
    </row>
    <row r="1014">
      <c r="H1014" s="12"/>
      <c r="K1014" s="12"/>
      <c r="N1014" s="12"/>
      <c r="Q1014" s="12"/>
      <c r="T1014" s="12"/>
      <c r="W1014" s="12"/>
      <c r="Z1014" s="12"/>
      <c r="AC1014" s="12"/>
    </row>
    <row r="1015">
      <c r="H1015" s="12"/>
      <c r="K1015" s="12"/>
      <c r="N1015" s="12"/>
      <c r="Q1015" s="12"/>
      <c r="T1015" s="12"/>
      <c r="W1015" s="12"/>
      <c r="Z1015" s="12"/>
      <c r="AC1015" s="12"/>
    </row>
    <row r="1016">
      <c r="H1016" s="12"/>
      <c r="K1016" s="12"/>
      <c r="N1016" s="12"/>
      <c r="Q1016" s="12"/>
      <c r="T1016" s="12"/>
      <c r="W1016" s="12"/>
      <c r="Z1016" s="12"/>
      <c r="AC1016" s="12"/>
    </row>
    <row r="1017">
      <c r="H1017" s="12"/>
      <c r="K1017" s="12"/>
      <c r="N1017" s="12"/>
      <c r="Q1017" s="12"/>
      <c r="T1017" s="12"/>
      <c r="W1017" s="12"/>
      <c r="Z1017" s="12"/>
      <c r="AC1017" s="12"/>
    </row>
    <row r="1018">
      <c r="H1018" s="12"/>
      <c r="K1018" s="12"/>
      <c r="N1018" s="12"/>
      <c r="Q1018" s="12"/>
      <c r="T1018" s="12"/>
      <c r="W1018" s="12"/>
      <c r="Z1018" s="12"/>
      <c r="AC1018" s="12"/>
    </row>
    <row r="1019">
      <c r="H1019" s="12"/>
      <c r="K1019" s="12"/>
      <c r="N1019" s="12"/>
      <c r="Q1019" s="12"/>
      <c r="T1019" s="12"/>
      <c r="W1019" s="12"/>
      <c r="Z1019" s="12"/>
      <c r="AC1019" s="12"/>
    </row>
  </sheetData>
  <mergeCells count="8">
    <mergeCell ref="G1:I1"/>
    <mergeCell ref="E1:F1"/>
    <mergeCell ref="E3:F3"/>
    <mergeCell ref="G3:I3"/>
    <mergeCell ref="E2:F2"/>
    <mergeCell ref="G2:I2"/>
    <mergeCell ref="A1:D3"/>
    <mergeCell ref="F5:G5"/>
  </mergeCells>
  <conditionalFormatting sqref="Z1:AC3">
    <cfRule type="cellIs" dxfId="1" priority="1" operator="equal">
      <formula>"n/a"</formula>
    </cfRule>
  </conditionalFormatting>
  <hyperlinks>
    <hyperlink display="ILC1110" location="ILC1110!A1" ref="A7"/>
    <hyperlink display="ILC1111" location="ILC1111!A1" ref="A8"/>
    <hyperlink display="ILC1112" location="ILC1112!A1" ref="A9"/>
    <hyperlink display="ILC1211" location="ILC1211!A1" ref="A10"/>
    <hyperlink display="ILC1213" location="ILC1213!A1" ref="A11"/>
    <hyperlink display="ILC1314" location="ILC1314!A1" ref="A12"/>
    <hyperlink display="ILC1404" location="ILC1404!A1" ref="A13"/>
    <hyperlink display="ILC2203" location="ILC2203!A1" ref="A14"/>
    <hyperlink display="ILC2206" location="ILC2206!A1" ref="A15"/>
    <hyperlink display="ILC2303" location="ILC2303!A1" ref="A16"/>
    <hyperlink display="ILC2307" location="ILC2307!A1" ref="A17"/>
    <hyperlink display="ILC2313" location="ILC2313!A1" ref="A18"/>
    <hyperlink display="ILC2412" location="ILC2412!A1" ref="A19"/>
    <hyperlink display="ILC2413" location="ILC2413!A1" ref="A20"/>
    <hyperlink display="ILC3104" location="ILC3104!A1" ref="A21"/>
    <hyperlink display="ILC3310" location="ILC3310!A1" ref="A22"/>
    <hyperlink display="ILC3312" location="ILC3312!A1" ref="A23"/>
    <hyperlink display="ILC3413" location="null!A1" ref="A24"/>
    <hyperlink display="ILC3415" location="null!A1" ref="A25"/>
    <hyperlink display="ILC4406" location="ILC4406!A1" ref="A26"/>
    <hyperlink display="ILC4410" location="ILC4410!A1" ref="A27"/>
    <hyperlink display="JBV455" location="JBV455!A1" ref="A28"/>
    <hyperlink display="JBV462" location="JBV462!A1" ref="A29"/>
    <hyperlink display="JBV464" location="JBV464!A1" ref="A30"/>
    <hyperlink display="VDI208" location="VDI208!A1" ref="A31"/>
    <hyperlink display="STO2206" location="STO2206!A1" ref="A32"/>
  </hyperlin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4.0" ySplit="11.0" topLeftCell="E12" activePane="bottomRight" state="frozen"/>
      <selection activeCell="E1" sqref="E1" pane="topRight"/>
      <selection activeCell="A12" sqref="A12" pane="bottomLeft"/>
      <selection activeCell="E12" sqref="E12" pane="bottomRight"/>
    </sheetView>
  </sheetViews>
  <sheetFormatPr customHeight="1" defaultColWidth="14.43" defaultRowHeight="15.75"/>
  <cols>
    <col customWidth="1" min="1" max="1" width="12.0"/>
    <col customWidth="1" min="2" max="2" width="11.29"/>
    <col customWidth="1" min="3" max="3" width="14.71"/>
    <col customWidth="1" min="4" max="4" width="9.0"/>
    <col customWidth="1" min="5" max="5" width="15.29"/>
    <col customWidth="1" min="6" max="7" width="8.57"/>
    <col customWidth="1" min="8" max="8" width="8.29"/>
    <col customWidth="1" min="9" max="9" width="3.14"/>
    <col customWidth="1" min="10" max="10" width="6.14"/>
    <col customWidth="1" min="11" max="11" width="11.29"/>
    <col customWidth="1" min="12" max="12" width="4.43"/>
    <col customWidth="1" min="13" max="13" width="6.14"/>
    <col customWidth="1" min="14" max="15" width="9.57"/>
    <col customWidth="1" min="16" max="16" width="4.14"/>
    <col customWidth="1" min="17" max="17" width="6.14"/>
    <col customWidth="1" min="18" max="19" width="9.71"/>
    <col customWidth="1" min="20" max="20" width="4.14"/>
    <col customWidth="1" min="21" max="21" width="6.14"/>
    <col customWidth="1" min="22" max="23" width="9.29"/>
    <col customWidth="1" min="24" max="24" width="5.0"/>
    <col customWidth="1" min="25" max="25" width="6.14"/>
    <col customWidth="1" min="26" max="27" width="9.71"/>
    <col customWidth="1" min="28" max="28" width="4.86"/>
    <col customWidth="1" min="29" max="29" width="6.14"/>
    <col customWidth="1" min="30" max="30" width="11.0"/>
    <col customWidth="1" min="31" max="31" width="3.14"/>
    <col customWidth="1" min="32" max="32" width="6.14"/>
    <col customWidth="1" min="33" max="33" width="8.43"/>
    <col customWidth="1" min="34" max="34" width="3.14"/>
    <col customWidth="1" min="35" max="35" width="6.14"/>
    <col customWidth="1" min="36" max="36" width="8.0"/>
    <col customWidth="1" min="37" max="37" width="3.29"/>
    <col customWidth="1" min="38" max="38" width="6.14"/>
    <col customWidth="1" min="39" max="39" width="9.14"/>
    <col customWidth="1" min="40" max="40" width="3.29"/>
    <col customWidth="1" min="41" max="41" width="6.14"/>
    <col customWidth="1" min="42" max="42" width="8.57"/>
    <col customWidth="1" min="43" max="43" width="3.29"/>
    <col customWidth="1" min="44" max="44" width="6.14"/>
    <col customWidth="1" min="45" max="45" width="8.71"/>
    <col customWidth="1" min="46" max="46" width="3.29"/>
    <col customWidth="1" min="47" max="47" width="6.14"/>
    <col customWidth="1" min="48" max="48" width="9.14"/>
    <col customWidth="1" min="49" max="49" width="3.29"/>
    <col customWidth="1" min="50" max="50" width="6.14"/>
    <col customWidth="1" min="51" max="51" width="9.0"/>
    <col customWidth="1" min="52" max="52" width="3.29"/>
  </cols>
  <sheetData>
    <row r="1">
      <c r="A1" s="1"/>
      <c r="B1" s="2"/>
      <c r="C1" s="2"/>
      <c r="D1" s="3"/>
      <c r="E1" s="34" t="s">
        <v>7</v>
      </c>
      <c r="H1" s="36">
        <v>100000.0</v>
      </c>
      <c r="K1" s="6"/>
      <c r="L1" s="38"/>
      <c r="M1" s="6"/>
      <c r="N1" s="6"/>
      <c r="O1" s="6"/>
      <c r="P1" s="38"/>
      <c r="Q1" s="6"/>
      <c r="R1" s="6"/>
      <c r="S1" s="6"/>
      <c r="T1" s="38"/>
      <c r="U1" s="6"/>
      <c r="V1" s="6"/>
      <c r="W1" s="6"/>
      <c r="X1" s="40"/>
      <c r="Y1" s="9"/>
      <c r="Z1" s="9"/>
      <c r="AA1" s="9"/>
      <c r="AB1" s="40"/>
      <c r="AC1" s="9"/>
      <c r="AD1" s="9"/>
      <c r="AE1" s="40"/>
      <c r="AF1" s="9"/>
      <c r="AG1" s="9"/>
      <c r="AH1" s="43"/>
    </row>
    <row r="2">
      <c r="A2" s="13"/>
      <c r="D2" s="15"/>
      <c r="E2" s="34" t="s">
        <v>34</v>
      </c>
      <c r="H2" s="36">
        <v>80000.0</v>
      </c>
      <c r="K2" s="6"/>
      <c r="L2" s="38"/>
      <c r="M2" s="6"/>
      <c r="N2" s="6"/>
      <c r="O2" s="6"/>
      <c r="P2" s="38"/>
      <c r="Q2" s="6"/>
      <c r="R2" s="6"/>
      <c r="S2" s="6"/>
      <c r="T2" s="38"/>
      <c r="U2" s="6"/>
      <c r="V2" s="6"/>
      <c r="W2" s="6"/>
      <c r="X2" s="40"/>
      <c r="Y2" s="9"/>
      <c r="Z2" s="9"/>
      <c r="AA2" s="9"/>
      <c r="AB2" s="40"/>
      <c r="AC2" s="9"/>
      <c r="AD2" s="9"/>
      <c r="AE2" s="40"/>
      <c r="AF2" s="9"/>
      <c r="AG2" s="9"/>
      <c r="AH2" s="40"/>
    </row>
    <row r="3">
      <c r="A3" s="17"/>
      <c r="B3" s="19"/>
      <c r="C3" s="19"/>
      <c r="D3" s="21"/>
      <c r="E3" s="34" t="s">
        <v>37</v>
      </c>
      <c r="H3" s="36">
        <v>60000.0</v>
      </c>
      <c r="K3" s="24"/>
      <c r="L3" s="46"/>
      <c r="M3" s="24"/>
      <c r="N3" s="24"/>
      <c r="O3" s="24"/>
      <c r="P3" s="46"/>
      <c r="Q3" s="24"/>
      <c r="R3" s="24"/>
      <c r="S3" s="24"/>
      <c r="T3" s="46"/>
      <c r="U3" s="24"/>
      <c r="V3" s="24"/>
      <c r="W3" s="24"/>
      <c r="X3" s="47"/>
      <c r="Y3" s="26"/>
      <c r="Z3" s="26"/>
      <c r="AA3" s="26"/>
      <c r="AB3" s="47"/>
      <c r="AC3" s="26"/>
      <c r="AD3" s="26"/>
      <c r="AE3" s="47"/>
      <c r="AF3" s="26"/>
      <c r="AG3" s="26"/>
      <c r="AH3" s="47"/>
    </row>
    <row r="4">
      <c r="C4" s="34" t="s">
        <v>133</v>
      </c>
      <c r="E4" s="82">
        <f>O43+S43+W43+AA43</f>
        <v>17754.715</v>
      </c>
      <c r="I4" s="12"/>
      <c r="L4" s="12"/>
      <c r="P4" s="12"/>
      <c r="T4" s="12"/>
      <c r="X4" s="12"/>
      <c r="AB4" s="12"/>
      <c r="AE4" s="12"/>
      <c r="AH4" s="12"/>
    </row>
    <row r="5">
      <c r="C5" s="34" t="s">
        <v>134</v>
      </c>
      <c r="E5" s="82">
        <f>K43+H43</f>
        <v>28349.34194</v>
      </c>
      <c r="I5" s="12"/>
      <c r="L5" s="12"/>
      <c r="P5" s="12"/>
      <c r="T5" s="12"/>
      <c r="X5" s="12"/>
      <c r="AB5" s="12"/>
      <c r="AE5" s="12"/>
      <c r="AH5" s="12"/>
    </row>
    <row r="6">
      <c r="B6" s="34" t="s">
        <v>135</v>
      </c>
      <c r="I6" s="12"/>
      <c r="K6" s="84">
        <f>IFERROR(__xludf.DUMMYFUNCTION("SUM(K12:K37)/IFERROR(COUNT(FILTER(K12:K37,K12:K37&gt;0)),0)"),1059.4626940476192)</f>
        <v>1059.462694</v>
      </c>
      <c r="L6" s="12"/>
      <c r="O6" s="84">
        <f>IFERROR(__xludf.DUMMYFUNCTION("SUM(O12:O37)/IFERROR(COUNT(FILTER(O12:O37,O12:O37&gt;0)),0)"),926.65)</f>
        <v>926.65</v>
      </c>
      <c r="P6" s="12"/>
      <c r="S6" s="84">
        <f>IFERROR(__xludf.DUMMYFUNCTION("SUM(S12:S37)/IFERROR(COUNT(FILTER(S12:S37,S12:S37&gt;0)),0)"),1436.6200000000001)</f>
        <v>1436.62</v>
      </c>
      <c r="T6" s="12"/>
      <c r="W6" s="84">
        <f>IFERROR(__xludf.DUMMYFUNCTION("SUM(W12:W37)/IFERROR(COUNT(FILTER(W12:W37,W12:W37&gt;0)),0)"),868.1055000000002)</f>
        <v>868.1055</v>
      </c>
      <c r="X6" s="12"/>
      <c r="Z6" s="84"/>
      <c r="AA6" s="84">
        <f>IFERROR(__xludf.DUMMYFUNCTION("SUM(AA12:AA37)/IFERROR(COUNT(FILTER(AA12:AA37,AA12:AA37&gt;0)),0)"),539.6766666666666)</f>
        <v>539.6766667</v>
      </c>
      <c r="AB6" s="12"/>
      <c r="AD6" s="84" t="str">
        <f>IFERROR(__xludf.DUMMYFUNCTION("SUM(AD12:AD37)/IFERROR(COUNT(FILTER(AD12:AD37,AD12:AD37&gt;0)),0)"),"#DIV/0!")</f>
        <v>#DIV/0!</v>
      </c>
      <c r="AE6" s="12"/>
      <c r="AH6" s="12"/>
    </row>
    <row r="7">
      <c r="A7" s="4"/>
      <c r="B7" s="34" t="s">
        <v>136</v>
      </c>
      <c r="I7" s="12"/>
      <c r="L7" s="12"/>
      <c r="N7" s="82"/>
      <c r="O7" s="84">
        <f>IFERROR(__xludf.DUMMYFUNCTION("SUM(N12:N37)/IFERROR(COUNT(FILTER(N12:N37,N12:N37&gt;0)),0)"),13099.75)</f>
        <v>13099.75</v>
      </c>
      <c r="P7" s="12"/>
      <c r="R7" s="82"/>
      <c r="S7" s="84">
        <f>IFERROR(__xludf.DUMMYFUNCTION("SUM(R12:R37)/IFERROR(COUNT(FILTER(R12:R37,R12:R37&gt;0)),0)"),14366.2)</f>
        <v>14366.2</v>
      </c>
      <c r="T7" s="12"/>
      <c r="V7" s="82"/>
      <c r="W7" s="84">
        <f>IFERROR(__xludf.DUMMYFUNCTION("SUM(V12:V37)/IFERROR(COUNT(FILTER(V12:V37,V12:V37&gt;0)),0)"),9090.730000000001)</f>
        <v>9090.73</v>
      </c>
      <c r="X7" s="12"/>
      <c r="Z7" s="82"/>
      <c r="AA7" s="84">
        <f>IFERROR(__xludf.DUMMYFUNCTION("SUM(Z12:Z37)/IFERROR(COUNT(FILTER(Z12:Z37,Z12:Z37&gt;0)),0)"),5241.822222222222)</f>
        <v>5241.822222</v>
      </c>
      <c r="AB7" s="85"/>
      <c r="AC7" s="82"/>
      <c r="AD7" s="82"/>
      <c r="AE7" s="12"/>
      <c r="AH7" s="12"/>
    </row>
    <row r="8">
      <c r="A8" s="4"/>
      <c r="B8" s="4" t="s">
        <v>137</v>
      </c>
      <c r="C8" s="34"/>
      <c r="D8" s="34"/>
      <c r="I8" s="12"/>
      <c r="L8" s="12"/>
      <c r="N8" s="82"/>
      <c r="O8" s="84"/>
      <c r="P8" s="12"/>
      <c r="R8" s="82"/>
      <c r="S8" s="82"/>
      <c r="T8" s="12"/>
      <c r="V8" s="82"/>
      <c r="W8" s="82">
        <f>average(V18:V28,V32,V15)</f>
        <v>11072.2</v>
      </c>
      <c r="X8" s="12"/>
      <c r="Z8" s="82"/>
      <c r="AA8" s="82">
        <f>average(Z18:Z28,Z32,Z15)</f>
        <v>5904.142857</v>
      </c>
      <c r="AB8" s="85"/>
      <c r="AC8" s="82"/>
      <c r="AD8" s="82"/>
      <c r="AE8" s="12"/>
      <c r="AH8" s="12"/>
    </row>
    <row r="9">
      <c r="A9" s="4" t="s">
        <v>138</v>
      </c>
      <c r="B9" s="86">
        <v>0.06</v>
      </c>
      <c r="C9" s="34" t="s">
        <v>139</v>
      </c>
      <c r="I9" s="12"/>
      <c r="L9" s="12"/>
      <c r="N9" s="82"/>
      <c r="O9" s="82">
        <v>115.15679999999999</v>
      </c>
      <c r="P9" s="12"/>
      <c r="R9" s="82"/>
      <c r="S9" s="82">
        <v>157.19699999999997</v>
      </c>
      <c r="T9" s="12"/>
      <c r="V9" s="82"/>
      <c r="W9" s="82">
        <f>(S43)*$B9</f>
        <v>86.1972</v>
      </c>
      <c r="X9" s="12"/>
      <c r="Z9" s="82"/>
      <c r="AA9" s="82">
        <f>(W43-W17-W24)*$B$9</f>
        <v>426.4197</v>
      </c>
      <c r="AB9" s="85"/>
      <c r="AC9" s="82"/>
      <c r="AD9" s="82">
        <f>(AA43+W24)*$B$9</f>
        <v>370.914</v>
      </c>
      <c r="AE9" s="12"/>
      <c r="AH9" s="12"/>
    </row>
    <row r="10">
      <c r="A10" s="32" t="s">
        <v>6</v>
      </c>
      <c r="B10" s="37" t="s">
        <v>9</v>
      </c>
      <c r="C10" s="37" t="s">
        <v>10</v>
      </c>
      <c r="D10" s="37" t="s">
        <v>19</v>
      </c>
      <c r="E10" s="37" t="s">
        <v>140</v>
      </c>
      <c r="F10" s="45">
        <v>2019.0</v>
      </c>
      <c r="G10" s="45">
        <v>2019.0</v>
      </c>
      <c r="H10" s="45">
        <v>2019.0</v>
      </c>
      <c r="I10" s="54" t="s">
        <v>44</v>
      </c>
      <c r="J10" s="56">
        <v>43435.0</v>
      </c>
      <c r="K10" s="56">
        <v>43435.0</v>
      </c>
      <c r="L10" s="54" t="s">
        <v>44</v>
      </c>
      <c r="M10" s="56">
        <v>43466.0</v>
      </c>
      <c r="N10" s="56">
        <v>43466.0</v>
      </c>
      <c r="O10" s="56">
        <v>43466.0</v>
      </c>
      <c r="P10" s="54" t="s">
        <v>44</v>
      </c>
      <c r="Q10" s="56">
        <v>43497.0</v>
      </c>
      <c r="R10" s="56">
        <v>43497.0</v>
      </c>
      <c r="S10" s="56">
        <v>43497.0</v>
      </c>
      <c r="T10" s="54" t="s">
        <v>44</v>
      </c>
      <c r="U10" s="56">
        <v>43525.0</v>
      </c>
      <c r="V10" s="56">
        <v>43525.0</v>
      </c>
      <c r="W10" s="56">
        <v>43525.0</v>
      </c>
      <c r="X10" s="54" t="s">
        <v>44</v>
      </c>
      <c r="Y10" s="56">
        <v>43556.0</v>
      </c>
      <c r="Z10" s="56">
        <v>43556.0</v>
      </c>
      <c r="AA10" s="56">
        <v>43556.0</v>
      </c>
      <c r="AB10" s="54" t="s">
        <v>44</v>
      </c>
      <c r="AC10" s="56">
        <v>43586.0</v>
      </c>
      <c r="AD10" s="56">
        <v>43586.0</v>
      </c>
      <c r="AE10" s="54" t="s">
        <v>44</v>
      </c>
      <c r="AF10" s="56">
        <v>43617.0</v>
      </c>
      <c r="AG10" s="56">
        <v>43617.0</v>
      </c>
      <c r="AH10" s="54" t="s">
        <v>44</v>
      </c>
      <c r="AI10" s="56">
        <v>43647.0</v>
      </c>
      <c r="AJ10" s="56">
        <v>43647.0</v>
      </c>
      <c r="AK10" s="54" t="s">
        <v>44</v>
      </c>
      <c r="AL10" s="56">
        <v>43678.0</v>
      </c>
      <c r="AM10" s="56">
        <v>43678.0</v>
      </c>
      <c r="AN10" s="54" t="s">
        <v>44</v>
      </c>
      <c r="AO10" s="56">
        <v>43709.0</v>
      </c>
      <c r="AP10" s="56">
        <v>43709.0</v>
      </c>
      <c r="AQ10" s="54" t="s">
        <v>44</v>
      </c>
      <c r="AR10" s="56">
        <v>43739.0</v>
      </c>
      <c r="AS10" s="56">
        <v>43739.0</v>
      </c>
      <c r="AT10" s="54" t="s">
        <v>44</v>
      </c>
      <c r="AU10" s="56">
        <v>43770.0</v>
      </c>
      <c r="AV10" s="56">
        <v>43770.0</v>
      </c>
      <c r="AW10" s="54" t="s">
        <v>44</v>
      </c>
      <c r="AX10" s="56">
        <v>43800.0</v>
      </c>
      <c r="AY10" s="56">
        <v>43800.0</v>
      </c>
      <c r="AZ10" s="54" t="s">
        <v>44</v>
      </c>
    </row>
    <row r="11">
      <c r="A11" s="59"/>
      <c r="B11" s="60"/>
      <c r="C11" s="60"/>
      <c r="D11" s="60"/>
      <c r="E11" s="60"/>
      <c r="F11" s="87" t="s">
        <v>141</v>
      </c>
      <c r="G11" s="87" t="s">
        <v>66</v>
      </c>
      <c r="H11" s="62" t="s">
        <v>69</v>
      </c>
      <c r="I11" s="63"/>
      <c r="J11" s="87" t="s">
        <v>66</v>
      </c>
      <c r="K11" s="88"/>
      <c r="L11" s="63"/>
      <c r="M11" s="89" t="s">
        <v>66</v>
      </c>
      <c r="N11" s="90" t="s">
        <v>142</v>
      </c>
      <c r="O11" s="90" t="s">
        <v>69</v>
      </c>
      <c r="P11" s="63"/>
      <c r="Q11" s="89" t="s">
        <v>66</v>
      </c>
      <c r="R11" s="90" t="s">
        <v>142</v>
      </c>
      <c r="S11" s="90" t="s">
        <v>69</v>
      </c>
      <c r="T11" s="63"/>
      <c r="U11" s="89" t="s">
        <v>66</v>
      </c>
      <c r="V11" s="90" t="s">
        <v>142</v>
      </c>
      <c r="W11" s="90" t="s">
        <v>69</v>
      </c>
      <c r="X11" s="63"/>
      <c r="Y11" s="89" t="s">
        <v>66</v>
      </c>
      <c r="Z11" s="90" t="s">
        <v>142</v>
      </c>
      <c r="AA11" s="90" t="s">
        <v>69</v>
      </c>
      <c r="AB11" s="63"/>
      <c r="AC11" s="87" t="s">
        <v>66</v>
      </c>
      <c r="AD11" s="90" t="s">
        <v>69</v>
      </c>
      <c r="AE11" s="63"/>
      <c r="AF11" s="87" t="s">
        <v>66</v>
      </c>
      <c r="AG11" s="90" t="s">
        <v>69</v>
      </c>
      <c r="AH11" s="63"/>
      <c r="AI11" s="87" t="s">
        <v>66</v>
      </c>
      <c r="AJ11" s="90" t="s">
        <v>69</v>
      </c>
      <c r="AK11" s="63"/>
      <c r="AL11" s="87" t="s">
        <v>66</v>
      </c>
      <c r="AM11" s="90" t="s">
        <v>69</v>
      </c>
      <c r="AN11" s="63"/>
      <c r="AO11" s="87" t="s">
        <v>66</v>
      </c>
      <c r="AP11" s="90" t="s">
        <v>69</v>
      </c>
      <c r="AQ11" s="63"/>
      <c r="AR11" s="87" t="s">
        <v>66</v>
      </c>
      <c r="AS11" s="90" t="s">
        <v>69</v>
      </c>
      <c r="AT11" s="63"/>
      <c r="AU11" s="87" t="s">
        <v>66</v>
      </c>
      <c r="AV11" s="90" t="s">
        <v>69</v>
      </c>
      <c r="AW11" s="63"/>
      <c r="AX11" s="87" t="s">
        <v>66</v>
      </c>
      <c r="AY11" s="90" t="s">
        <v>69</v>
      </c>
      <c r="AZ11" s="63"/>
    </row>
    <row r="12">
      <c r="A12" s="48" t="s">
        <v>38</v>
      </c>
      <c r="B12" s="4">
        <v>1110.0</v>
      </c>
      <c r="C12" s="4" t="s">
        <v>76</v>
      </c>
      <c r="D12" s="4" t="s">
        <v>77</v>
      </c>
      <c r="E12" s="64">
        <v>0.05</v>
      </c>
      <c r="F12" s="65">
        <f t="shared" ref="F12:F14" si="1">43620</f>
        <v>43620</v>
      </c>
      <c r="G12" s="65">
        <f>43620*0.05</f>
        <v>2181</v>
      </c>
      <c r="H12" s="66">
        <f t="shared" ref="H12:H37" si="2">sum(O12,S12,W12,AA12,AD12,AG12,AJ12,AM12,AP12,AS12,AV12,AY12)</f>
        <v>0</v>
      </c>
      <c r="I12" s="68">
        <f t="shared" ref="I12:I15" si="3">iferror(H12/G12,0)</f>
        <v>0</v>
      </c>
      <c r="J12" s="65"/>
      <c r="K12" s="71">
        <v>0.0</v>
      </c>
      <c r="L12" s="91">
        <f t="shared" ref="L12:L15" si="4">iferror(K12/J12,0)</f>
        <v>0</v>
      </c>
      <c r="M12" s="65"/>
      <c r="N12" s="71"/>
      <c r="O12" s="71">
        <v>0.0</v>
      </c>
      <c r="P12" s="91">
        <f t="shared" ref="P12:P15" si="5">iferror(O12/M12,0)</f>
        <v>0</v>
      </c>
      <c r="Q12" s="65"/>
      <c r="R12" s="71"/>
      <c r="S12" s="71">
        <v>0.0</v>
      </c>
      <c r="T12" s="91">
        <f t="shared" ref="T12:T15" si="6">iferror(S12/Q12,0)</f>
        <v>0</v>
      </c>
      <c r="U12" s="65"/>
      <c r="V12" s="71"/>
      <c r="W12" s="71">
        <v>0.0</v>
      </c>
      <c r="X12" s="91">
        <f t="shared" ref="X12:X15" si="7">iferror(W12/U12,0)</f>
        <v>0</v>
      </c>
      <c r="Y12" s="65"/>
      <c r="Z12" s="71"/>
      <c r="AA12" s="71">
        <v>0.0</v>
      </c>
      <c r="AB12" s="91">
        <f t="shared" ref="AB12:AB15" si="8">iferror(AA12/Y12,0)</f>
        <v>0</v>
      </c>
      <c r="AC12" s="65"/>
      <c r="AD12" s="71"/>
      <c r="AE12" s="68">
        <f t="shared" ref="AE12:AE15" si="9">iferror(AD12/AC12,0)</f>
        <v>0</v>
      </c>
      <c r="AF12" s="75"/>
      <c r="AG12" s="92"/>
      <c r="AH12" s="68"/>
      <c r="AI12" s="75"/>
      <c r="AJ12" s="92"/>
      <c r="AK12" s="68"/>
      <c r="AL12" s="75"/>
      <c r="AM12" s="92"/>
      <c r="AN12" s="68"/>
      <c r="AO12" s="75"/>
      <c r="AP12" s="92"/>
      <c r="AQ12" s="68"/>
      <c r="AR12" s="75"/>
      <c r="AS12" s="92"/>
      <c r="AT12" s="68"/>
      <c r="AU12" s="75"/>
      <c r="AV12" s="92"/>
      <c r="AW12" s="68"/>
      <c r="AX12" s="75"/>
      <c r="AY12" s="92"/>
      <c r="AZ12" s="68"/>
    </row>
    <row r="13">
      <c r="A13" s="48" t="s">
        <v>41</v>
      </c>
      <c r="B13" s="4">
        <v>1111.0</v>
      </c>
      <c r="C13" s="4" t="s">
        <v>119</v>
      </c>
      <c r="D13" s="4" t="s">
        <v>120</v>
      </c>
      <c r="E13" s="64">
        <v>0.07</v>
      </c>
      <c r="F13" s="65">
        <f t="shared" si="1"/>
        <v>43620</v>
      </c>
      <c r="G13" s="65">
        <f>43620*0.07</f>
        <v>3053.4</v>
      </c>
      <c r="H13" s="66">
        <f t="shared" si="2"/>
        <v>0</v>
      </c>
      <c r="I13" s="68">
        <f t="shared" si="3"/>
        <v>0</v>
      </c>
      <c r="J13" s="65"/>
      <c r="K13" s="71">
        <v>0.0</v>
      </c>
      <c r="L13" s="91">
        <f t="shared" si="4"/>
        <v>0</v>
      </c>
      <c r="M13" s="65"/>
      <c r="N13" s="71"/>
      <c r="O13" s="71">
        <v>0.0</v>
      </c>
      <c r="P13" s="91">
        <f t="shared" si="5"/>
        <v>0</v>
      </c>
      <c r="Q13" s="65"/>
      <c r="R13" s="71"/>
      <c r="S13" s="71">
        <v>0.0</v>
      </c>
      <c r="T13" s="91">
        <f t="shared" si="6"/>
        <v>0</v>
      </c>
      <c r="U13" s="65"/>
      <c r="V13" s="71"/>
      <c r="W13" s="71">
        <v>0.0</v>
      </c>
      <c r="X13" s="91">
        <f t="shared" si="7"/>
        <v>0</v>
      </c>
      <c r="Y13" s="65"/>
      <c r="Z13" s="71"/>
      <c r="AA13" s="71">
        <v>0.0</v>
      </c>
      <c r="AB13" s="91">
        <f t="shared" si="8"/>
        <v>0</v>
      </c>
      <c r="AC13" s="65"/>
      <c r="AD13" s="71"/>
      <c r="AE13" s="68">
        <f t="shared" si="9"/>
        <v>0</v>
      </c>
      <c r="AF13" s="75">
        <f>IFERROR(__xludf.DUMMYFUNCTION("(iferror(sum((filter(TO!$D:$D,month(TO!$B:$B)=month(AG$10),year(TO!$B:$B)=year(AG$10)))),0) )*(iferror(sum((filter(TO!$C:$C,month(TO!$B:$B)=month(AG$10),year(TO!$B:$B)=year(AG$10)))),0) )*(iferror(sum((filter(TO!$A:$A,month(TO!$B:$B)=month(AG$10),year(TO!"&amp;"$B:$B)=year(AG$10)))),0) )*$E13"),217.84140000000002)</f>
        <v>217.8414</v>
      </c>
      <c r="AG13" s="92"/>
      <c r="AH13" s="68">
        <f>iferror(AG13/AF13,0)</f>
        <v>0</v>
      </c>
      <c r="AI13" s="75">
        <f>IFERROR(__xludf.DUMMYFUNCTION("(iferror(sum((filter(TO!$D:$D,month(TO!$B:$B)=month(AJ$10),year(TO!$B:$B)=year(AJ$10)))),0) )*(iferror(sum((filter(TO!$C:$C,month(TO!$B:$B)=month(AJ$10),year(TO!$B:$B)=year(AJ$10)))),0) )*(iferror(sum((filter(TO!$A:$A,month(TO!$B:$B)=month(AJ$10),year(TO!"&amp;"$B:$B)=year(AJ$10)))),0) )*$E13"),358.56320500000004)</f>
        <v>358.563205</v>
      </c>
      <c r="AJ13" s="92"/>
      <c r="AK13" s="68">
        <f>iferror(AJ13/AI13,0)</f>
        <v>0</v>
      </c>
      <c r="AL13" s="75">
        <f>IFERROR(__xludf.DUMMYFUNCTION("(iferror(sum((filter(TO!$D:$D,month(TO!$B:$B)=month(AM$10),year(TO!$B:$B)=year(AM$10)))),0) )*(iferror(sum((filter(TO!$C:$C,month(TO!$B:$B)=month(AM$10),year(TO!$B:$B)=year(AM$10)))),0) )*(iferror(sum((filter(TO!$A:$A,month(TO!$B:$B)=month(AM$10),year(TO!"&amp;"$B:$B)=year(AM$10)))),0) )*$E13"),275.75058)</f>
        <v>275.75058</v>
      </c>
      <c r="AM13" s="92"/>
      <c r="AN13" s="68">
        <f>iferror(AM13/AL13,0)</f>
        <v>0</v>
      </c>
      <c r="AO13" s="75">
        <f>IFERROR(__xludf.DUMMYFUNCTION("(iferror(sum((filter(TO!$D:$D,month(TO!$B:$B)=month(AP$10),year(TO!$B:$B)=year(AP$10)))),0) )*(iferror(sum((filter(TO!$C:$C,month(TO!$B:$B)=month(AP$10),year(TO!$B:$B)=year(AP$10)))),0) )*(iferror(sum((filter(TO!$A:$A,month(TO!$B:$B)=month(AP$10),year(TO!"&amp;"$B:$B)=year(AP$10)))),0) )*$E13"),305.8272)</f>
        <v>305.8272</v>
      </c>
      <c r="AP13" s="92"/>
      <c r="AQ13" s="68">
        <f>iferror(AP13/AO13,0)</f>
        <v>0</v>
      </c>
      <c r="AR13" s="75">
        <f>IFERROR(__xludf.DUMMYFUNCTION("(iferror(sum((filter(TO!$D:$D,month(TO!$B:$B)=month(AS$10),year(TO!$B:$B)=year(AS$10)))),0) )*(iferror(sum((filter(TO!$C:$C,month(TO!$B:$B)=month(AS$10),year(TO!$B:$B)=year(AS$10)))),0) )*(iferror(sum((filter(TO!$A:$A,month(TO!$B:$B)=month(AS$10),year(TO!"&amp;"$B:$B)=year(AS$10)))),0) )*$E13"),445.48906500000004)</f>
        <v>445.489065</v>
      </c>
      <c r="AS13" s="92"/>
      <c r="AT13" s="68">
        <f>iferror(AS13/AR13,0)</f>
        <v>0</v>
      </c>
      <c r="AU13" s="75">
        <f>IFERROR(__xludf.DUMMYFUNCTION("(iferror(sum((filter(TO!$D:$D,month(TO!$B:$B)=month(AV$10),year(TO!$B:$B)=year(AV$10)))),0) )*(iferror(sum((filter(TO!$C:$C,month(TO!$B:$B)=month(AV$10),year(TO!$B:$B)=year(AV$10)))),0) )*(iferror(sum((filter(TO!$A:$A,month(TO!$B:$B)=month(AV$10),year(TO!"&amp;"$B:$B)=year(AV$10)))),0) )*$E13"),532.8525299999999)</f>
        <v>532.85253</v>
      </c>
      <c r="AV13" s="92"/>
      <c r="AW13" s="68">
        <f>iferror(AV13/AU13,0)</f>
        <v>0</v>
      </c>
      <c r="AX13" s="75">
        <f>IFERROR(__xludf.DUMMYFUNCTION("(iferror(sum((filter(TO!$D:$D,month(TO!$B:$B)=month(AY$10),year(TO!$B:$B)=year(AY$10)))),0) )*(iferror(sum((filter(TO!$C:$C,month(TO!$B:$B)=month(AY$10),year(TO!$B:$B)=year(AY$10)))),0) )*(iferror(sum((filter(TO!$A:$A,month(TO!$B:$B)=month(AY$10),year(TO!"&amp;"$B:$B)=year(AY$10)))),0) )*$E13"),916.7382000000001)</f>
        <v>916.7382</v>
      </c>
      <c r="AY13" s="92"/>
      <c r="AZ13" s="68">
        <f>iferror(AY13/AX13,0)</f>
        <v>0</v>
      </c>
    </row>
    <row r="14">
      <c r="A14" s="48" t="s">
        <v>42</v>
      </c>
      <c r="B14" s="4">
        <v>1112.0</v>
      </c>
      <c r="C14" s="4" t="s">
        <v>76</v>
      </c>
      <c r="D14" s="4" t="s">
        <v>77</v>
      </c>
      <c r="E14" s="64">
        <v>0.05</v>
      </c>
      <c r="F14" s="65">
        <f t="shared" si="1"/>
        <v>43620</v>
      </c>
      <c r="G14" s="65">
        <f>43620*0.05</f>
        <v>2181</v>
      </c>
      <c r="H14" s="66">
        <f t="shared" si="2"/>
        <v>0</v>
      </c>
      <c r="I14" s="68">
        <f t="shared" si="3"/>
        <v>0</v>
      </c>
      <c r="J14" s="75"/>
      <c r="K14" s="79">
        <v>0.0</v>
      </c>
      <c r="L14" s="68">
        <f t="shared" si="4"/>
        <v>0</v>
      </c>
      <c r="M14" s="75"/>
      <c r="N14" s="79"/>
      <c r="O14" s="79">
        <v>0.0</v>
      </c>
      <c r="P14" s="68">
        <f t="shared" si="5"/>
        <v>0</v>
      </c>
      <c r="Q14" s="75"/>
      <c r="R14" s="79"/>
      <c r="S14" s="79">
        <v>0.0</v>
      </c>
      <c r="T14" s="68">
        <f t="shared" si="6"/>
        <v>0</v>
      </c>
      <c r="U14" s="75"/>
      <c r="V14" s="79"/>
      <c r="W14" s="79">
        <v>0.0</v>
      </c>
      <c r="X14" s="68">
        <f t="shared" si="7"/>
        <v>0</v>
      </c>
      <c r="Y14" s="75"/>
      <c r="Z14" s="79"/>
      <c r="AA14" s="79">
        <v>0.0</v>
      </c>
      <c r="AB14" s="68">
        <f t="shared" si="8"/>
        <v>0</v>
      </c>
      <c r="AC14" s="75"/>
      <c r="AD14" s="79"/>
      <c r="AE14" s="68">
        <f t="shared" si="9"/>
        <v>0</v>
      </c>
      <c r="AF14" s="75"/>
      <c r="AG14" s="92"/>
      <c r="AH14" s="68"/>
      <c r="AI14" s="75"/>
      <c r="AJ14" s="92"/>
      <c r="AK14" s="68"/>
      <c r="AL14" s="75"/>
      <c r="AM14" s="92"/>
      <c r="AN14" s="68"/>
      <c r="AO14" s="75"/>
      <c r="AP14" s="92"/>
      <c r="AQ14" s="68"/>
      <c r="AR14" s="75"/>
      <c r="AS14" s="92"/>
      <c r="AT14" s="68"/>
      <c r="AU14" s="75"/>
      <c r="AV14" s="92"/>
      <c r="AW14" s="68"/>
      <c r="AX14" s="75"/>
      <c r="AY14" s="92"/>
      <c r="AZ14" s="68"/>
    </row>
    <row r="15">
      <c r="A15" s="48" t="s">
        <v>45</v>
      </c>
      <c r="B15" s="4">
        <v>1211.0</v>
      </c>
      <c r="C15" s="4" t="s">
        <v>71</v>
      </c>
      <c r="D15" s="64"/>
      <c r="E15" s="83">
        <v>0.1</v>
      </c>
      <c r="F15" s="65">
        <f>100000-20860-15720</f>
        <v>63420</v>
      </c>
      <c r="G15" s="65">
        <f>(($H$1*$E$15) -2086-1572)</f>
        <v>6342</v>
      </c>
      <c r="H15" s="66">
        <f t="shared" si="2"/>
        <v>1687.484</v>
      </c>
      <c r="I15" s="68">
        <f t="shared" si="3"/>
        <v>0.2660807316</v>
      </c>
      <c r="J15" s="75"/>
      <c r="K15" s="79">
        <f>IFERROR(__xludf.DUMMYFUNCTION("(IFERROR(SUM((filter('ILC1211'!$D:$D,MONTH('ILC1211'!$B:$B)=MONTH(K$10),YEAR('ILC1211'!$B:$B)=YEAR(K$10),'ILC1211'!$I:$I=""Fernando""))),0) + IFERROR(SUM((filter('ILC1211'!$D:$D,MONTH('ILC1211'!$B:$B)=MONTH(K$10),YEAR('ILC1211'!$B:$B)=YEAR(K$10),'ILC1211'"&amp;"!$I:$I=""Kremer""))),0) + IFERROR(SUM((filter('ILC1211'!$D:$D,MONTH('ILC1211'!$B:$B)=MONTH(K$10),YEAR('ILC1211'!$B:$B)=YEAR(K$10),'ILC1211'!$I:$I=""Fer""))),0))*$E15"),0.0)</f>
        <v>0</v>
      </c>
      <c r="L15" s="68">
        <f t="shared" si="4"/>
        <v>0</v>
      </c>
      <c r="M15" s="75"/>
      <c r="N15" s="79"/>
      <c r="O15" s="79">
        <v>0.0</v>
      </c>
      <c r="P15" s="68">
        <f t="shared" si="5"/>
        <v>0</v>
      </c>
      <c r="Q15" s="75"/>
      <c r="R15" s="79"/>
      <c r="S15" s="79">
        <v>0.0</v>
      </c>
      <c r="T15" s="68">
        <f t="shared" si="6"/>
        <v>0</v>
      </c>
      <c r="U15" s="75">
        <f>IFERROR(__xludf.DUMMYFUNCTION("(iferror(sum((filter(TO!$D:$D,month(TO!$B:$B)=month(W$10),year(TO!$B:$B)=year(W$10)))),0) )*(iferror(sum((filter(TO!$C:$C,month(TO!$B:$B)=month(W$10),year(TO!$B:$B)=year(W$10)))),0) )*(iferror(sum((filter(TO!$A:$A,month(TO!$B:$B)=month(W$10),year(TO!$B:$B"&amp;")=year(W$10)))),0) )*$E15"),761.6712400000001)</f>
        <v>761.67124</v>
      </c>
      <c r="V15" s="93">
        <f>W15/0.1</f>
        <v>11350.94</v>
      </c>
      <c r="W15" s="93">
        <v>1135.0940000000005</v>
      </c>
      <c r="X15" s="68">
        <f t="shared" si="7"/>
        <v>1.490267638</v>
      </c>
      <c r="Y15" s="75">
        <f>IFERROR(__xludf.DUMMYFUNCTION("(iferror(sum((filter(TO!$D:$D,month(TO!$B:$B)=month(AA$10),year(TO!$B:$B)=year(AA$10)))),0) )*(iferror(sum((filter(TO!$C:$C,month(TO!$B:$B)=month(AA$10),year(TO!$B:$B)=year(AA$10)))),0) )*(iferror(sum((filter(TO!$A:$A,month(TO!$B:$B)=month(AA$10),year(TO!"&amp;"$B:$B)=year(AA$10)))),0) )*$E15"),565.3032000000001)</f>
        <v>565.3032</v>
      </c>
      <c r="Z15" s="93">
        <f>AA15/0.1</f>
        <v>5523.9</v>
      </c>
      <c r="AA15" s="93">
        <v>552.39</v>
      </c>
      <c r="AB15" s="68">
        <f t="shared" si="8"/>
        <v>0.9771570371</v>
      </c>
      <c r="AC15" s="75">
        <f>IFERROR(__xludf.DUMMYFUNCTION("(iferror(sum((filter(TO!$D:$D,month(TO!$B:$B)=month(AD$10),year(TO!$B:$B)=year(AD$10)))),0) )*(iferror(sum((filter(TO!$C:$C,month(TO!$B:$B)=month(AD$10),year(TO!$B:$B)=year(AD$10)))),0) )*(iferror(sum((filter(TO!$A:$A,month(TO!$B:$B)=month(AD$10),year(TO!"&amp;"$B:$B)=year(AD$10)))),0) )*$E15"),655.8775400000001)</f>
        <v>655.87754</v>
      </c>
      <c r="AD15" s="79"/>
      <c r="AE15" s="68">
        <f t="shared" si="9"/>
        <v>0</v>
      </c>
      <c r="AF15" s="75">
        <f>IFERROR(__xludf.DUMMYFUNCTION("(iferror(sum((filter(TO!$D:$D,month(TO!$B:$B)=month(AG$10),year(TO!$B:$B)=year(AG$10)))),0) )*(iferror(sum((filter(TO!$C:$C,month(TO!$B:$B)=month(AG$10),year(TO!$B:$B)=year(AG$10)))),0) )*(iferror(sum((filter(TO!$A:$A,month(TO!$B:$B)=month(AG$10),year(TO!"&amp;"$B:$B)=year(AG$10)))),0) )*$E15"),311.202)</f>
        <v>311.202</v>
      </c>
      <c r="AG15" s="92"/>
      <c r="AH15" s="68">
        <f t="shared" ref="AH15:AH37" si="10">iferror(AG15/AF15,0)</f>
        <v>0</v>
      </c>
      <c r="AI15" s="75">
        <f>IFERROR(__xludf.DUMMYFUNCTION("(iferror(sum((filter(TO!$D:$D,month(TO!$B:$B)=month(AJ$10),year(TO!$B:$B)=year(AJ$10)))),0) )*(iferror(sum((filter(TO!$C:$C,month(TO!$B:$B)=month(AJ$10),year(TO!$B:$B)=year(AJ$10)))),0) )*(iferror(sum((filter(TO!$A:$A,month(TO!$B:$B)=month(AJ$10),year(TO!"&amp;"$B:$B)=year(AJ$10)))),0) )*$E15"),512.23315)</f>
        <v>512.23315</v>
      </c>
      <c r="AJ15" s="92"/>
      <c r="AK15" s="68">
        <f t="shared" ref="AK15:AK37" si="11">iferror(AJ15/AI15,0)</f>
        <v>0</v>
      </c>
      <c r="AL15" s="75">
        <f>IFERROR(__xludf.DUMMYFUNCTION("(iferror(sum((filter(TO!$D:$D,month(TO!$B:$B)=month(AM$10),year(TO!$B:$B)=year(AM$10)))),0) )*(iferror(sum((filter(TO!$C:$C,month(TO!$B:$B)=month(AM$10),year(TO!$B:$B)=year(AM$10)))),0) )*(iferror(sum((filter(TO!$A:$A,month(TO!$B:$B)=month(AM$10),year(TO!"&amp;"$B:$B)=year(AM$10)))),0) )*$E15"),393.9294)</f>
        <v>393.9294</v>
      </c>
      <c r="AM15" s="92"/>
      <c r="AN15" s="68">
        <f t="shared" ref="AN15:AN37" si="12">iferror(AM15/AL15,0)</f>
        <v>0</v>
      </c>
      <c r="AO15" s="75">
        <f>IFERROR(__xludf.DUMMYFUNCTION("(iferror(sum((filter(TO!$D:$D,month(TO!$B:$B)=month(AP$10),year(TO!$B:$B)=year(AP$10)))),0) )*(iferror(sum((filter(TO!$C:$C,month(TO!$B:$B)=month(AP$10),year(TO!$B:$B)=year(AP$10)))),0) )*(iferror(sum((filter(TO!$A:$A,month(TO!$B:$B)=month(AP$10),year(TO!"&amp;"$B:$B)=year(AP$10)))),0) )*$E15"),436.896)</f>
        <v>436.896</v>
      </c>
      <c r="AP15" s="92"/>
      <c r="AQ15" s="68">
        <f t="shared" ref="AQ15:AQ37" si="13">iferror(AP15/AO15,0)</f>
        <v>0</v>
      </c>
      <c r="AR15" s="75">
        <f>IFERROR(__xludf.DUMMYFUNCTION("(iferror(sum((filter(TO!$D:$D,month(TO!$B:$B)=month(AS$10),year(TO!$B:$B)=year(AS$10)))),0) )*(iferror(sum((filter(TO!$C:$C,month(TO!$B:$B)=month(AS$10),year(TO!$B:$B)=year(AS$10)))),0) )*(iferror(sum((filter(TO!$A:$A,month(TO!$B:$B)=month(AS$10),year(TO!"&amp;"$B:$B)=year(AS$10)))),0) )*$E15"),636.41295)</f>
        <v>636.41295</v>
      </c>
      <c r="AS15" s="92"/>
      <c r="AT15" s="68">
        <f t="shared" ref="AT15:AT37" si="14">iferror(AS15/AR15,0)</f>
        <v>0</v>
      </c>
      <c r="AU15" s="75">
        <f>IFERROR(__xludf.DUMMYFUNCTION("(iferror(sum((filter(TO!$D:$D,month(TO!$B:$B)=month(AV$10),year(TO!$B:$B)=year(AV$10)))),0) )*(iferror(sum((filter(TO!$C:$C,month(TO!$B:$B)=month(AV$10),year(TO!$B:$B)=year(AV$10)))),0) )*(iferror(sum((filter(TO!$A:$A,month(TO!$B:$B)=month(AV$10),year(TO!"&amp;"$B:$B)=year(AV$10)))),0) )*$E15"),761.2178999999999)</f>
        <v>761.2179</v>
      </c>
      <c r="AV15" s="92"/>
      <c r="AW15" s="68">
        <f t="shared" ref="AW15:AW37" si="15">iferror(AV15/AU15,0)</f>
        <v>0</v>
      </c>
      <c r="AX15" s="75">
        <f>IFERROR(__xludf.DUMMYFUNCTION("(iferror(sum((filter(TO!$D:$D,month(TO!$B:$B)=month(AY$10),year(TO!$B:$B)=year(AY$10)))),0) )*(iferror(sum((filter(TO!$C:$C,month(TO!$B:$B)=month(AY$10),year(TO!$B:$B)=year(AY$10)))),0) )*(iferror(sum((filter(TO!$A:$A,month(TO!$B:$B)=month(AY$10),year(TO!"&amp;"$B:$B)=year(AY$10)))),0) )*$E15"),1309.6260000000002)</f>
        <v>1309.626</v>
      </c>
      <c r="AY15" s="92"/>
      <c r="AZ15" s="68">
        <f t="shared" ref="AZ15:AZ37" si="16">iferror(AY15/AX15,0)</f>
        <v>0</v>
      </c>
    </row>
    <row r="16">
      <c r="A16" s="48" t="s">
        <v>47</v>
      </c>
      <c r="B16" s="4">
        <v>1213.0</v>
      </c>
      <c r="C16" s="4" t="s">
        <v>89</v>
      </c>
      <c r="D16" s="4"/>
      <c r="E16" s="83">
        <v>0.05</v>
      </c>
      <c r="F16" s="65">
        <v>43620.0</v>
      </c>
      <c r="G16" s="65">
        <f>(($H$1*$E$16) +(-2086-1572-762-565-656)/2)</f>
        <v>2179.5</v>
      </c>
      <c r="H16" s="66">
        <f t="shared" si="2"/>
        <v>0</v>
      </c>
      <c r="I16" s="68"/>
      <c r="J16" s="65"/>
      <c r="K16" s="71">
        <f>IFERROR(__xludf.DUMMYFUNCTION("(iferror(sum((filter('ILC1213'!$D:$D,month('ILC1213'!$B:$B)=month(K$10),year('ILC1213'!$B:$B)=year(K$10),'ILC1213'!$I:$I=""Fernando""))),0) + iferror(sum((filter('ILC1213'!$D:$D,month('ILC1213'!$B:$B)=month(K$10),year('ILC1213'!$B:$B)=year(K$10),'ILC1213'"&amp;"!$I:$I=""Kremer""))),0) + iferror(sum((filter('ILC1213'!$D:$D,month('ILC1213'!$B:$B)=month(K$10),year('ILC1213'!$B:$B)=year(K$10),'ILC1213'!$I:$I=""Fer""))),0))*$E16"),0.0)</f>
        <v>0</v>
      </c>
      <c r="L16" s="91">
        <v>0.0</v>
      </c>
      <c r="M16" s="65"/>
      <c r="N16" s="71"/>
      <c r="O16" s="71">
        <v>0.0</v>
      </c>
      <c r="P16" s="91">
        <v>0.0</v>
      </c>
      <c r="Q16" s="65"/>
      <c r="R16" s="71"/>
      <c r="S16" s="71">
        <v>0.0</v>
      </c>
      <c r="T16" s="91">
        <v>0.0</v>
      </c>
      <c r="U16" s="65"/>
      <c r="V16" s="71"/>
      <c r="W16" s="95">
        <v>0.0</v>
      </c>
      <c r="X16" s="91">
        <v>0.0</v>
      </c>
      <c r="Y16" s="65"/>
      <c r="Z16" s="71"/>
      <c r="AA16" s="71">
        <f>IFERROR(__xludf.DUMMYFUNCTION("(iferror(sum((filter('ILC1213'!$D:$D,month('ILC1213'!$B:$B)=month(AA$10),year('ILC1213'!$B:$B)=year(AA$10),'ILC1213'!$I:$I=""Fernando""))),0) + iferror(sum((filter('ILC1213'!$D:$D,month('ILC1213'!$B:$B)=month(AA$10),year('ILC1213'!$B:$B)=year(AA$10),'ILC1"&amp;"213'!$I:$I=""Kremer""))),0) + iferror(sum((filter('ILC1213'!$D:$D,month('ILC1213'!$B:$B)=month(AA$10),year('ILC1213'!$B:$B)=year(AA$10),'ILC1213'!$I:$I=""Fer""))),0))*$E16"),0.0)</f>
        <v>0</v>
      </c>
      <c r="AB16" s="91">
        <v>0.0</v>
      </c>
      <c r="AC16" s="65"/>
      <c r="AD16" s="71"/>
      <c r="AE16" s="91">
        <v>0.0</v>
      </c>
      <c r="AF16" s="75">
        <f>IFERROR(__xludf.DUMMYFUNCTION("(iferror(sum((filter(TO!$D:$D,month(TO!$B:$B)=month(AG$10),year(TO!$B:$B)=year(AG$10)))),0) )*(iferror(sum((filter(TO!$C:$C,month(TO!$B:$B)=month(AG$10),year(TO!$B:$B)=year(AG$10)))),0) )*(iferror(sum((filter(TO!$A:$A,month(TO!$B:$B)=month(AG$10),year(TO!"&amp;"$B:$B)=year(AG$10)))),0) )*$E16"),155.601)</f>
        <v>155.601</v>
      </c>
      <c r="AG16" s="71"/>
      <c r="AH16" s="68">
        <f t="shared" si="10"/>
        <v>0</v>
      </c>
      <c r="AI16" s="75">
        <f>IFERROR(__xludf.DUMMYFUNCTION("(iferror(sum((filter(TO!$D:$D,month(TO!$B:$B)=month(AJ$10),year(TO!$B:$B)=year(AJ$10)))),0) )*(iferror(sum((filter(TO!$C:$C,month(TO!$B:$B)=month(AJ$10),year(TO!$B:$B)=year(AJ$10)))),0) )*(iferror(sum((filter(TO!$A:$A,month(TO!$B:$B)=month(AJ$10),year(TO!"&amp;"$B:$B)=year(AJ$10)))),0) )*$E16"),256.116575)</f>
        <v>256.116575</v>
      </c>
      <c r="AJ16" s="71"/>
      <c r="AK16" s="68">
        <f t="shared" si="11"/>
        <v>0</v>
      </c>
      <c r="AL16" s="75">
        <f>IFERROR(__xludf.DUMMYFUNCTION("(iferror(sum((filter(TO!$D:$D,month(TO!$B:$B)=month(AM$10),year(TO!$B:$B)=year(AM$10)))),0) )*(iferror(sum((filter(TO!$C:$C,month(TO!$B:$B)=month(AM$10),year(TO!$B:$B)=year(AM$10)))),0) )*(iferror(sum((filter(TO!$A:$A,month(TO!$B:$B)=month(AM$10),year(TO!"&amp;"$B:$B)=year(AM$10)))),0) )*$E16"),196.9647)</f>
        <v>196.9647</v>
      </c>
      <c r="AM16" s="71"/>
      <c r="AN16" s="68">
        <f t="shared" si="12"/>
        <v>0</v>
      </c>
      <c r="AO16" s="75">
        <f>IFERROR(__xludf.DUMMYFUNCTION("(iferror(sum((filter(TO!$D:$D,month(TO!$B:$B)=month(AP$10),year(TO!$B:$B)=year(AP$10)))),0) )*(iferror(sum((filter(TO!$C:$C,month(TO!$B:$B)=month(AP$10),year(TO!$B:$B)=year(AP$10)))),0) )*(iferror(sum((filter(TO!$A:$A,month(TO!$B:$B)=month(AP$10),year(TO!"&amp;"$B:$B)=year(AP$10)))),0) )*$E16"),218.448)</f>
        <v>218.448</v>
      </c>
      <c r="AP16" s="71"/>
      <c r="AQ16" s="68">
        <f t="shared" si="13"/>
        <v>0</v>
      </c>
      <c r="AR16" s="75">
        <f>IFERROR(__xludf.DUMMYFUNCTION("(iferror(sum((filter(TO!$D:$D,month(TO!$B:$B)=month(AS$10),year(TO!$B:$B)=year(AS$10)))),0) )*(iferror(sum((filter(TO!$C:$C,month(TO!$B:$B)=month(AS$10),year(TO!$B:$B)=year(AS$10)))),0) )*(iferror(sum((filter(TO!$A:$A,month(TO!$B:$B)=month(AS$10),year(TO!"&amp;"$B:$B)=year(AS$10)))),0) )*$E16"),318.206475)</f>
        <v>318.206475</v>
      </c>
      <c r="AS16" s="71"/>
      <c r="AT16" s="68">
        <f t="shared" si="14"/>
        <v>0</v>
      </c>
      <c r="AU16" s="75">
        <f>IFERROR(__xludf.DUMMYFUNCTION("(iferror(sum((filter(TO!$D:$D,month(TO!$B:$B)=month(AV$10),year(TO!$B:$B)=year(AV$10)))),0) )*(iferror(sum((filter(TO!$C:$C,month(TO!$B:$B)=month(AV$10),year(TO!$B:$B)=year(AV$10)))),0) )*(iferror(sum((filter(TO!$A:$A,month(TO!$B:$B)=month(AV$10),year(TO!"&amp;"$B:$B)=year(AV$10)))),0) )*$E16"),380.60894999999994)</f>
        <v>380.60895</v>
      </c>
      <c r="AV16" s="71"/>
      <c r="AW16" s="68">
        <f t="shared" si="15"/>
        <v>0</v>
      </c>
      <c r="AX16" s="75">
        <f>IFERROR(__xludf.DUMMYFUNCTION("(iferror(sum((filter(TO!$D:$D,month(TO!$B:$B)=month(AY$10),year(TO!$B:$B)=year(AY$10)))),0) )*(iferror(sum((filter(TO!$C:$C,month(TO!$B:$B)=month(AY$10),year(TO!$B:$B)=year(AY$10)))),0) )*(iferror(sum((filter(TO!$A:$A,month(TO!$B:$B)=month(AY$10),year(TO!"&amp;"$B:$B)=year(AY$10)))),0) )*$E16"),654.8130000000001)</f>
        <v>654.813</v>
      </c>
      <c r="AY16" s="71"/>
      <c r="AZ16" s="68">
        <f t="shared" si="16"/>
        <v>0</v>
      </c>
    </row>
    <row r="17">
      <c r="A17" s="48" t="s">
        <v>51</v>
      </c>
      <c r="B17" s="4">
        <v>1314.0</v>
      </c>
      <c r="C17" s="4" t="s">
        <v>90</v>
      </c>
      <c r="D17" s="4" t="s">
        <v>143</v>
      </c>
      <c r="E17" s="83">
        <v>0.05</v>
      </c>
      <c r="F17" s="65">
        <v>43620.0</v>
      </c>
      <c r="G17" s="65">
        <f>(($H$1*$E$17) +(-2086-1572-762-565-656)/2)</f>
        <v>2179.5</v>
      </c>
      <c r="H17" s="66">
        <f t="shared" si="2"/>
        <v>249.25</v>
      </c>
      <c r="I17" s="68">
        <f t="shared" ref="I17:I37" si="17">iferror(H17/G17,0)</f>
        <v>0.114361092</v>
      </c>
      <c r="J17" s="65"/>
      <c r="K17" s="71">
        <f>IFERROR(__xludf.DUMMYFUNCTION("(iferror(sum((filter('ILC1314'!$D:$D,month('ILC1314'!$B:$B)=month(K$10),year('ILC1314'!$B:$B)=year(K$10),'ILC1314'!$I:$I=""Fernando""))),0) + iferror(sum((filter('ILC1314'!$D:$D,month('ILC1314'!$B:$B)=month(K$10),year('ILC1314'!$B:$B)=year(K$10),'ILC1314'"&amp;"!$I:$I=""Kremer""))),0)+iferror(sum((filter('ILC1314'!$D:$D,month('ILC1314'!$B:$B)=month(K$10),year('ILC1314'!$B:$B)=year(K$10),'ILC1314'!$I:$I=""Fer""))),0))*$E$17"),0.0)</f>
        <v>0</v>
      </c>
      <c r="L17" s="68">
        <f t="shared" ref="L17:L37" si="18">iferror(K17/J17,0)</f>
        <v>0</v>
      </c>
      <c r="M17" s="65"/>
      <c r="N17" s="71"/>
      <c r="O17" s="71">
        <v>0.0</v>
      </c>
      <c r="P17" s="68">
        <f t="shared" ref="P17:P37" si="19">iferror(O17/M17,0)</f>
        <v>0</v>
      </c>
      <c r="Q17" s="65"/>
      <c r="R17" s="71"/>
      <c r="S17" s="71">
        <v>0.0</v>
      </c>
      <c r="T17" s="68">
        <f t="shared" ref="T17:T37" si="20">iferror(S17/Q17,0)</f>
        <v>0</v>
      </c>
      <c r="U17" s="65">
        <v>250.0</v>
      </c>
      <c r="V17" s="71">
        <f>W17/0.05</f>
        <v>4985</v>
      </c>
      <c r="W17" s="71">
        <v>249.25</v>
      </c>
      <c r="X17" s="68">
        <f t="shared" ref="X17:X37" si="21">iferror(W17/U17,0)</f>
        <v>0.997</v>
      </c>
      <c r="Y17" s="65"/>
      <c r="Z17" s="71"/>
      <c r="AA17" s="71">
        <f>IFERROR(__xludf.DUMMYFUNCTION("(iferror(sum((filter('ILC1314'!$D:$D,month('ILC1314'!$B:$B)=month(AA$10),year('ILC1314'!$B:$B)=year(AA$10),'ILC1314'!$I:$I=""Fernando""))),0) + iferror(sum((filter('ILC1314'!$D:$D,month('ILC1314'!$B:$B)=month(AA$10),year('ILC1314'!$B:$B)=year(AA$10),'ILC1"&amp;"314'!$I:$I=""Kremer""))),0)+iferror(sum((filter('ILC1314'!$D:$D,month('ILC1314'!$B:$B)=month(AA$10),year('ILC1314'!$B:$B)=year(AA$10),'ILC1314'!$I:$I=""Fer""))),0))*$E$17"),0.0)</f>
        <v>0</v>
      </c>
      <c r="AB17" s="68">
        <f t="shared" ref="AB17:AB37" si="22">iferror(AA17/Y17,0)</f>
        <v>0</v>
      </c>
      <c r="AC17" s="65"/>
      <c r="AD17" s="71"/>
      <c r="AE17" s="68">
        <f t="shared" ref="AE17:AE37" si="23">iferror(AD17/AC17,0)</f>
        <v>0</v>
      </c>
      <c r="AF17" s="75">
        <f>IFERROR(__xludf.DUMMYFUNCTION("(iferror(sum((filter(TO!$D:$D,month(TO!$B:$B)=month(AG$10),year(TO!$B:$B)=year(AG$10)))),0) )*(iferror(sum((filter(TO!$C:$C,month(TO!$B:$B)=month(AG$10),year(TO!$B:$B)=year(AG$10)))),0) )*(iferror(sum((filter(TO!$A:$A,month(TO!$B:$B)=month(AG$10),year(TO!"&amp;"$B:$B)=year(AG$10)))),0) )*$E17"),155.601)</f>
        <v>155.601</v>
      </c>
      <c r="AG17" s="71"/>
      <c r="AH17" s="68">
        <f t="shared" si="10"/>
        <v>0</v>
      </c>
      <c r="AI17" s="75">
        <f>IFERROR(__xludf.DUMMYFUNCTION("(iferror(sum((filter(TO!$D:$D,month(TO!$B:$B)=month(AJ$10),year(TO!$B:$B)=year(AJ$10)))),0) )*(iferror(sum((filter(TO!$C:$C,month(TO!$B:$B)=month(AJ$10),year(TO!$B:$B)=year(AJ$10)))),0) )*(iferror(sum((filter(TO!$A:$A,month(TO!$B:$B)=month(AJ$10),year(TO!"&amp;"$B:$B)=year(AJ$10)))),0) )*$E17"),256.116575)</f>
        <v>256.116575</v>
      </c>
      <c r="AJ17" s="71"/>
      <c r="AK17" s="68">
        <f t="shared" si="11"/>
        <v>0</v>
      </c>
      <c r="AL17" s="75">
        <f>IFERROR(__xludf.DUMMYFUNCTION("(iferror(sum((filter(TO!$D:$D,month(TO!$B:$B)=month(AM$10),year(TO!$B:$B)=year(AM$10)))),0) )*(iferror(sum((filter(TO!$C:$C,month(TO!$B:$B)=month(AM$10),year(TO!$B:$B)=year(AM$10)))),0) )*(iferror(sum((filter(TO!$A:$A,month(TO!$B:$B)=month(AM$10),year(TO!"&amp;"$B:$B)=year(AM$10)))),0) )*$E17"),196.9647)</f>
        <v>196.9647</v>
      </c>
      <c r="AM17" s="71"/>
      <c r="AN17" s="68">
        <f t="shared" si="12"/>
        <v>0</v>
      </c>
      <c r="AO17" s="75">
        <f>IFERROR(__xludf.DUMMYFUNCTION("(iferror(sum((filter(TO!$D:$D,month(TO!$B:$B)=month(AP$10),year(TO!$B:$B)=year(AP$10)))),0) )*(iferror(sum((filter(TO!$C:$C,month(TO!$B:$B)=month(AP$10),year(TO!$B:$B)=year(AP$10)))),0) )*(iferror(sum((filter(TO!$A:$A,month(TO!$B:$B)=month(AP$10),year(TO!"&amp;"$B:$B)=year(AP$10)))),0) )*$E17"),218.448)</f>
        <v>218.448</v>
      </c>
      <c r="AP17" s="71"/>
      <c r="AQ17" s="68">
        <f t="shared" si="13"/>
        <v>0</v>
      </c>
      <c r="AR17" s="75">
        <f>IFERROR(__xludf.DUMMYFUNCTION("(iferror(sum((filter(TO!$D:$D,month(TO!$B:$B)=month(AS$10),year(TO!$B:$B)=year(AS$10)))),0) )*(iferror(sum((filter(TO!$C:$C,month(TO!$B:$B)=month(AS$10),year(TO!$B:$B)=year(AS$10)))),0) )*(iferror(sum((filter(TO!$A:$A,month(TO!$B:$B)=month(AS$10),year(TO!"&amp;"$B:$B)=year(AS$10)))),0) )*$E17"),318.206475)</f>
        <v>318.206475</v>
      </c>
      <c r="AS17" s="71"/>
      <c r="AT17" s="68">
        <f t="shared" si="14"/>
        <v>0</v>
      </c>
      <c r="AU17" s="75">
        <f>IFERROR(__xludf.DUMMYFUNCTION("(iferror(sum((filter(TO!$D:$D,month(TO!$B:$B)=month(AV$10),year(TO!$B:$B)=year(AV$10)))),0) )*(iferror(sum((filter(TO!$C:$C,month(TO!$B:$B)=month(AV$10),year(TO!$B:$B)=year(AV$10)))),0) )*(iferror(sum((filter(TO!$A:$A,month(TO!$B:$B)=month(AV$10),year(TO!"&amp;"$B:$B)=year(AV$10)))),0) )*$E17"),380.60894999999994)</f>
        <v>380.60895</v>
      </c>
      <c r="AV17" s="71"/>
      <c r="AW17" s="68">
        <f t="shared" si="15"/>
        <v>0</v>
      </c>
      <c r="AX17" s="75">
        <f>IFERROR(__xludf.DUMMYFUNCTION("(iferror(sum((filter(TO!$D:$D,month(TO!$B:$B)=month(AY$10),year(TO!$B:$B)=year(AY$10)))),0) )*(iferror(sum((filter(TO!$C:$C,month(TO!$B:$B)=month(AY$10),year(TO!$B:$B)=year(AY$10)))),0) )*(iferror(sum((filter(TO!$A:$A,month(TO!$B:$B)=month(AY$10),year(TO!"&amp;"$B:$B)=year(AY$10)))),0) )*$E17"),654.8130000000001)</f>
        <v>654.813</v>
      </c>
      <c r="AY17" s="71"/>
      <c r="AZ17" s="68">
        <f t="shared" si="16"/>
        <v>0</v>
      </c>
    </row>
    <row r="18">
      <c r="A18" s="48" t="s">
        <v>55</v>
      </c>
      <c r="B18" s="4">
        <v>1404.0</v>
      </c>
      <c r="C18" s="4" t="s">
        <v>93</v>
      </c>
      <c r="D18" s="64"/>
      <c r="E18" s="64">
        <v>0.1</v>
      </c>
      <c r="F18" s="65">
        <v>100000.0</v>
      </c>
      <c r="G18" s="75">
        <f>$H$1*E18</f>
        <v>10000</v>
      </c>
      <c r="H18" s="66">
        <f t="shared" si="2"/>
        <v>0</v>
      </c>
      <c r="I18" s="68">
        <f t="shared" si="17"/>
        <v>0</v>
      </c>
      <c r="J18" s="75">
        <f>IFERROR(__xludf.DUMMYFUNCTION("(iferror(sum((filter(TO!$D:$D,month(TO!$B:$B)=month(K$10),year(TO!$B:$B)=year(K$10)))),0) )*(iferror(sum((filter(TO!$C:$C,month(TO!$B:$B)=month(K$10),year(TO!$B:$B)=year(K$10)))),0) )*(iferror(sum((filter(TO!$A:$A,month(TO!$B:$B)=month(K$10),year(TO!$B:$B"&amp;")=year(K$10)))),0) )*$E18"),1309.6260000000002)</f>
        <v>1309.626</v>
      </c>
      <c r="K18" s="79">
        <f>IFERROR(__xludf.DUMMYFUNCTION("(IFERROR(SUM((filter('ILC1404'!$D:$D,MONTH('ILC1404'!$B:$B)=MONTH(K$10),YEAR('ILC1404'!$B:$B)=YEAR(K$10),'ILC1404'!$I:$I=""Fernando""))),0) + IFERROR(SUM((filter('ILC1404'!$D:$D,MONTH('ILC1404'!$B:$B)=MONTH(K$10),YEAR('ILC1404'!$B:$B)=YEAR(K$10),'ILC1404'"&amp;"!$I:$I=""Kremer""))),0) + IFERROR(SUM((filter('ILC1404'!$D:$D,MONTH('ILC1404'!$B:$B)=MONTH(K$10),YEAR('ILC1404'!$B:$B)=YEAR(K$10),'ILC1404'!$I:$I=""Fer""))),0))*$E18"),1510.8491904761904)</f>
        <v>1510.84919</v>
      </c>
      <c r="L18" s="68">
        <f t="shared" si="18"/>
        <v>1.153649355</v>
      </c>
      <c r="M18" s="75"/>
      <c r="N18" s="79"/>
      <c r="O18" s="79">
        <v>0.0</v>
      </c>
      <c r="P18" s="68">
        <f t="shared" si="19"/>
        <v>0</v>
      </c>
      <c r="Q18" s="75"/>
      <c r="R18" s="79"/>
      <c r="S18" s="79">
        <v>0.0</v>
      </c>
      <c r="T18" s="68">
        <f t="shared" si="20"/>
        <v>0</v>
      </c>
      <c r="U18" s="75">
        <f>IFERROR(__xludf.DUMMYFUNCTION("(iferror(sum((filter(TO!$D:$D,month(TO!$B:$B)=month(W$10),year(TO!$B:$B)=year(W$10)))),0) )*(iferror(sum((filter(TO!$C:$C,month(TO!$B:$B)=month(W$10),year(TO!$B:$B)=year(W$10)))),0) )*(iferror(sum((filter(TO!$A:$A,month(TO!$B:$B)=month(W$10),year(TO!$B:$B"&amp;")=year(W$10)))),0) )*$E18"),761.6712400000001)</f>
        <v>761.67124</v>
      </c>
      <c r="V18" s="79"/>
      <c r="W18" s="93">
        <v>0.0</v>
      </c>
      <c r="X18" s="68">
        <f t="shared" si="21"/>
        <v>0</v>
      </c>
      <c r="Y18" s="75">
        <f>IFERROR(__xludf.DUMMYFUNCTION("(iferror(sum((filter(TO!$D:$D,month(TO!$B:$B)=month(AA$10),year(TO!$B:$B)=year(AA$10)))),0) )*(iferror(sum((filter(TO!$C:$C,month(TO!$B:$B)=month(AA$10),year(TO!$B:$B)=year(AA$10)))),0) )*(iferror(sum((filter(TO!$A:$A,month(TO!$B:$B)=month(AA$10),year(TO!"&amp;"$B:$B)=year(AA$10)))),0) )*$E18"),565.3032000000001)</f>
        <v>565.3032</v>
      </c>
      <c r="Z18" s="93"/>
      <c r="AA18" s="93">
        <v>0.0</v>
      </c>
      <c r="AB18" s="68">
        <f t="shared" si="22"/>
        <v>0</v>
      </c>
      <c r="AC18" s="75">
        <f>IFERROR(__xludf.DUMMYFUNCTION("(iferror(sum((filter(TO!$D:$D,month(TO!$B:$B)=month(AD$10),year(TO!$B:$B)=year(AD$10)))),0) )*(iferror(sum((filter(TO!$C:$C,month(TO!$B:$B)=month(AD$10),year(TO!$B:$B)=year(AD$10)))),0) )*(iferror(sum((filter(TO!$A:$A,month(TO!$B:$B)=month(AD$10),year(TO!"&amp;"$B:$B)=year(AD$10)))),0) )*$E18"),655.8775400000001)</f>
        <v>655.87754</v>
      </c>
      <c r="AD18" s="79"/>
      <c r="AE18" s="68">
        <f t="shared" si="23"/>
        <v>0</v>
      </c>
      <c r="AF18" s="75">
        <f>IFERROR(__xludf.DUMMYFUNCTION("(iferror(sum((filter(TO!$D:$D,month(TO!$B:$B)=month(AG$10),year(TO!$B:$B)=year(AG$10)))),0) )*(iferror(sum((filter(TO!$C:$C,month(TO!$B:$B)=month(AG$10),year(TO!$B:$B)=year(AG$10)))),0) )*(iferror(sum((filter(TO!$A:$A,month(TO!$B:$B)=month(AG$10),year(TO!"&amp;"$B:$B)=year(AG$10)))),0) )*$E18"),311.202)</f>
        <v>311.202</v>
      </c>
      <c r="AG18" s="79"/>
      <c r="AH18" s="68">
        <f t="shared" si="10"/>
        <v>0</v>
      </c>
      <c r="AI18" s="75">
        <f>IFERROR(__xludf.DUMMYFUNCTION("(iferror(sum((filter(TO!$D:$D,month(TO!$B:$B)=month(AJ$10),year(TO!$B:$B)=year(AJ$10)))),0) )*(iferror(sum((filter(TO!$C:$C,month(TO!$B:$B)=month(AJ$10),year(TO!$B:$B)=year(AJ$10)))),0) )*(iferror(sum((filter(TO!$A:$A,month(TO!$B:$B)=month(AJ$10),year(TO!"&amp;"$B:$B)=year(AJ$10)))),0) )*$E18"),512.23315)</f>
        <v>512.23315</v>
      </c>
      <c r="AJ18" s="79"/>
      <c r="AK18" s="68">
        <f t="shared" si="11"/>
        <v>0</v>
      </c>
      <c r="AL18" s="75">
        <f>IFERROR(__xludf.DUMMYFUNCTION("(iferror(sum((filter(TO!$D:$D,month(TO!$B:$B)=month(AM$10),year(TO!$B:$B)=year(AM$10)))),0) )*(iferror(sum((filter(TO!$C:$C,month(TO!$B:$B)=month(AM$10),year(TO!$B:$B)=year(AM$10)))),0) )*(iferror(sum((filter(TO!$A:$A,month(TO!$B:$B)=month(AM$10),year(TO!"&amp;"$B:$B)=year(AM$10)))),0) )*$E18"),393.9294)</f>
        <v>393.9294</v>
      </c>
      <c r="AM18" s="79"/>
      <c r="AN18" s="68">
        <f t="shared" si="12"/>
        <v>0</v>
      </c>
      <c r="AO18" s="75">
        <f>IFERROR(__xludf.DUMMYFUNCTION("(iferror(sum((filter(TO!$D:$D,month(TO!$B:$B)=month(AP$10),year(TO!$B:$B)=year(AP$10)))),0) )*(iferror(sum((filter(TO!$C:$C,month(TO!$B:$B)=month(AP$10),year(TO!$B:$B)=year(AP$10)))),0) )*(iferror(sum((filter(TO!$A:$A,month(TO!$B:$B)=month(AP$10),year(TO!"&amp;"$B:$B)=year(AP$10)))),0) )*$E18"),436.896)</f>
        <v>436.896</v>
      </c>
      <c r="AP18" s="79"/>
      <c r="AQ18" s="68">
        <f t="shared" si="13"/>
        <v>0</v>
      </c>
      <c r="AR18" s="75">
        <f>IFERROR(__xludf.DUMMYFUNCTION("(iferror(sum((filter(TO!$D:$D,month(TO!$B:$B)=month(AS$10),year(TO!$B:$B)=year(AS$10)))),0) )*(iferror(sum((filter(TO!$C:$C,month(TO!$B:$B)=month(AS$10),year(TO!$B:$B)=year(AS$10)))),0) )*(iferror(sum((filter(TO!$A:$A,month(TO!$B:$B)=month(AS$10),year(TO!"&amp;"$B:$B)=year(AS$10)))),0) )*$E18"),636.41295)</f>
        <v>636.41295</v>
      </c>
      <c r="AS18" s="79"/>
      <c r="AT18" s="68">
        <f t="shared" si="14"/>
        <v>0</v>
      </c>
      <c r="AU18" s="75">
        <f>IFERROR(__xludf.DUMMYFUNCTION("(iferror(sum((filter(TO!$D:$D,month(TO!$B:$B)=month(AV$10),year(TO!$B:$B)=year(AV$10)))),0) )*(iferror(sum((filter(TO!$C:$C,month(TO!$B:$B)=month(AV$10),year(TO!$B:$B)=year(AV$10)))),0) )*(iferror(sum((filter(TO!$A:$A,month(TO!$B:$B)=month(AV$10),year(TO!"&amp;"$B:$B)=year(AV$10)))),0) )*$E18"),761.2178999999999)</f>
        <v>761.2179</v>
      </c>
      <c r="AV18" s="79"/>
      <c r="AW18" s="68">
        <f t="shared" si="15"/>
        <v>0</v>
      </c>
      <c r="AX18" s="75">
        <f>IFERROR(__xludf.DUMMYFUNCTION("(iferror(sum((filter(TO!$D:$D,month(TO!$B:$B)=month(AY$10),year(TO!$B:$B)=year(AY$10)))),0) )*(iferror(sum((filter(TO!$C:$C,month(TO!$B:$B)=month(AY$10),year(TO!$B:$B)=year(AY$10)))),0) )*(iferror(sum((filter(TO!$A:$A,month(TO!$B:$B)=month(AY$10),year(TO!"&amp;"$B:$B)=year(AY$10)))),0) )*$E18"),1309.6260000000002)</f>
        <v>1309.626</v>
      </c>
      <c r="AY18" s="79"/>
      <c r="AZ18" s="68">
        <f t="shared" si="16"/>
        <v>0</v>
      </c>
    </row>
    <row r="19">
      <c r="A19" s="48" t="s">
        <v>56</v>
      </c>
      <c r="B19" s="4">
        <v>2203.0</v>
      </c>
      <c r="C19" s="4" t="s">
        <v>95</v>
      </c>
      <c r="D19" s="64"/>
      <c r="E19" s="64">
        <v>0.1</v>
      </c>
      <c r="F19" s="65">
        <v>63420.0</v>
      </c>
      <c r="G19" s="75">
        <f>$H$1*E19-(2086+1572)</f>
        <v>6342</v>
      </c>
      <c r="H19" s="66">
        <f t="shared" si="2"/>
        <v>1073.55</v>
      </c>
      <c r="I19" s="68">
        <f t="shared" si="17"/>
        <v>0.1692762535</v>
      </c>
      <c r="J19" s="75"/>
      <c r="K19" s="79">
        <f>IFERROR(__xludf.DUMMYFUNCTION("(IFERROR(SUM((filter('ILC2203'!$D:$D,MONTH('ILC2203'!$B:$B)=MONTH(K$10),YEAR('ILC2203'!$B:$B)=YEAR(K$10),'ILC2203'!$I:$I=""Fernando""))),0) + IFERROR(SUM((filter('ILC2203'!$D:$D,MONTH('ILC2203'!$B:$B)=MONTH(K$10),YEAR('ILC2203'!$B:$B)=YEAR(K$10),'ILC2203'"&amp;"!$I:$I=""Kremer""))),0) + IFERROR(SUM((filter('ILC2203'!$D:$D,MONTH('ILC2203'!$B:$B)=MONTH(K$10),YEAR('ILC2203'!$B:$B)=YEAR(K$10),'ILC2203'!$I:$I=""Fer""))),0)) * $E$19"),0.0)</f>
        <v>0</v>
      </c>
      <c r="L19" s="68">
        <f t="shared" si="18"/>
        <v>0</v>
      </c>
      <c r="M19" s="75"/>
      <c r="N19" s="79"/>
      <c r="O19" s="79">
        <v>0.0</v>
      </c>
      <c r="P19" s="68">
        <f t="shared" si="19"/>
        <v>0</v>
      </c>
      <c r="Q19" s="75"/>
      <c r="R19" s="79"/>
      <c r="S19" s="79">
        <v>0.0</v>
      </c>
      <c r="T19" s="68">
        <f t="shared" si="20"/>
        <v>0</v>
      </c>
      <c r="U19" s="75">
        <f>IFERROR(__xludf.DUMMYFUNCTION("(iferror(sum((filter(TO!$D:$D,month(TO!$B:$B)=month(W$10),year(TO!$B:$B)=year(W$10)))),0) )*(iferror(sum((filter(TO!$C:$C,month(TO!$B:$B)=month(W$10),year(TO!$B:$B)=year(W$10)))),0) )*(iferror(sum((filter(TO!$A:$A,month(TO!$B:$B)=month(W$10),year(TO!$B:$B"&amp;")=year(W$10)))),0) )*$E19"),761.6712400000001)</f>
        <v>761.67124</v>
      </c>
      <c r="V19" s="93">
        <f>W19/0.05</f>
        <v>9467</v>
      </c>
      <c r="W19" s="93">
        <v>473.35</v>
      </c>
      <c r="X19" s="68">
        <f t="shared" si="21"/>
        <v>0.6214623517</v>
      </c>
      <c r="Y19" s="75">
        <f>IFERROR(__xludf.DUMMYFUNCTION("(iferror(sum((filter(TO!$D:$D,month(TO!$B:$B)=month(AA$10),year(TO!$B:$B)=year(AA$10)))),0) )*(iferror(sum((filter(TO!$C:$C,month(TO!$B:$B)=month(AA$10),year(TO!$B:$B)=year(AA$10)))),0) )*(iferror(sum((filter(TO!$A:$A,month(TO!$B:$B)=month(AA$10),year(TO!"&amp;"$B:$B)=year(AA$10)))),0) )*$E19"),565.3032000000001)</f>
        <v>565.3032</v>
      </c>
      <c r="Z19" s="93">
        <f t="shared" ref="Z19:Z20" si="24">AA19/0.1</f>
        <v>6002</v>
      </c>
      <c r="AA19" s="93">
        <v>600.2</v>
      </c>
      <c r="AB19" s="68">
        <f t="shared" si="22"/>
        <v>1.061731121</v>
      </c>
      <c r="AC19" s="75">
        <f>IFERROR(__xludf.DUMMYFUNCTION("(iferror(sum((filter(TO!$D:$D,month(TO!$B:$B)=month(AD$10),year(TO!$B:$B)=year(AD$10)))),0) )*(iferror(sum((filter(TO!$C:$C,month(TO!$B:$B)=month(AD$10),year(TO!$B:$B)=year(AD$10)))),0) )*(iferror(sum((filter(TO!$A:$A,month(TO!$B:$B)=month(AD$10),year(TO!"&amp;"$B:$B)=year(AD$10)))),0) )*$E19"),655.8775400000001)</f>
        <v>655.87754</v>
      </c>
      <c r="AD19" s="79"/>
      <c r="AE19" s="68">
        <f t="shared" si="23"/>
        <v>0</v>
      </c>
      <c r="AF19" s="75">
        <f>IFERROR(__xludf.DUMMYFUNCTION("(iferror(sum((filter(TO!$D:$D,month(TO!$B:$B)=month(AG$10),year(TO!$B:$B)=year(AG$10)))),0) )*(iferror(sum((filter(TO!$C:$C,month(TO!$B:$B)=month(AG$10),year(TO!$B:$B)=year(AG$10)))),0) )*(iferror(sum((filter(TO!$A:$A,month(TO!$B:$B)=month(AG$10),year(TO!"&amp;"$B:$B)=year(AG$10)))),0) )*$E19"),311.202)</f>
        <v>311.202</v>
      </c>
      <c r="AG19" s="79"/>
      <c r="AH19" s="68">
        <f t="shared" si="10"/>
        <v>0</v>
      </c>
      <c r="AI19" s="75">
        <f>IFERROR(__xludf.DUMMYFUNCTION("(iferror(sum((filter(TO!$D:$D,month(TO!$B:$B)=month(AJ$10),year(TO!$B:$B)=year(AJ$10)))),0) )*(iferror(sum((filter(TO!$C:$C,month(TO!$B:$B)=month(AJ$10),year(TO!$B:$B)=year(AJ$10)))),0) )*(iferror(sum((filter(TO!$A:$A,month(TO!$B:$B)=month(AJ$10),year(TO!"&amp;"$B:$B)=year(AJ$10)))),0) )*$E19"),512.23315)</f>
        <v>512.23315</v>
      </c>
      <c r="AJ19" s="79"/>
      <c r="AK19" s="68">
        <f t="shared" si="11"/>
        <v>0</v>
      </c>
      <c r="AL19" s="75">
        <f>IFERROR(__xludf.DUMMYFUNCTION("(iferror(sum((filter(TO!$D:$D,month(TO!$B:$B)=month(AM$10),year(TO!$B:$B)=year(AM$10)))),0) )*(iferror(sum((filter(TO!$C:$C,month(TO!$B:$B)=month(AM$10),year(TO!$B:$B)=year(AM$10)))),0) )*(iferror(sum((filter(TO!$A:$A,month(TO!$B:$B)=month(AM$10),year(TO!"&amp;"$B:$B)=year(AM$10)))),0) )*$E19"),393.9294)</f>
        <v>393.9294</v>
      </c>
      <c r="AM19" s="79"/>
      <c r="AN19" s="68">
        <f t="shared" si="12"/>
        <v>0</v>
      </c>
      <c r="AO19" s="75">
        <f>IFERROR(__xludf.DUMMYFUNCTION("(iferror(sum((filter(TO!$D:$D,month(TO!$B:$B)=month(AP$10),year(TO!$B:$B)=year(AP$10)))),0) )*(iferror(sum((filter(TO!$C:$C,month(TO!$B:$B)=month(AP$10),year(TO!$B:$B)=year(AP$10)))),0) )*(iferror(sum((filter(TO!$A:$A,month(TO!$B:$B)=month(AP$10),year(TO!"&amp;"$B:$B)=year(AP$10)))),0) )*$E19"),436.896)</f>
        <v>436.896</v>
      </c>
      <c r="AP19" s="79"/>
      <c r="AQ19" s="68">
        <f t="shared" si="13"/>
        <v>0</v>
      </c>
      <c r="AR19" s="75">
        <f>IFERROR(__xludf.DUMMYFUNCTION("(iferror(sum((filter(TO!$D:$D,month(TO!$B:$B)=month(AS$10),year(TO!$B:$B)=year(AS$10)))),0) )*(iferror(sum((filter(TO!$C:$C,month(TO!$B:$B)=month(AS$10),year(TO!$B:$B)=year(AS$10)))),0) )*(iferror(sum((filter(TO!$A:$A,month(TO!$B:$B)=month(AS$10),year(TO!"&amp;"$B:$B)=year(AS$10)))),0) )*$E19"),636.41295)</f>
        <v>636.41295</v>
      </c>
      <c r="AS19" s="79"/>
      <c r="AT19" s="68">
        <f t="shared" si="14"/>
        <v>0</v>
      </c>
      <c r="AU19" s="75">
        <f>IFERROR(__xludf.DUMMYFUNCTION("(iferror(sum((filter(TO!$D:$D,month(TO!$B:$B)=month(AV$10),year(TO!$B:$B)=year(AV$10)))),0) )*(iferror(sum((filter(TO!$C:$C,month(TO!$B:$B)=month(AV$10),year(TO!$B:$B)=year(AV$10)))),0) )*(iferror(sum((filter(TO!$A:$A,month(TO!$B:$B)=month(AV$10),year(TO!"&amp;"$B:$B)=year(AV$10)))),0) )*$E19"),761.2178999999999)</f>
        <v>761.2179</v>
      </c>
      <c r="AV19" s="79"/>
      <c r="AW19" s="68">
        <f t="shared" si="15"/>
        <v>0</v>
      </c>
      <c r="AX19" s="75">
        <f>IFERROR(__xludf.DUMMYFUNCTION("(iferror(sum((filter(TO!$D:$D,month(TO!$B:$B)=month(AY$10),year(TO!$B:$B)=year(AY$10)))),0) )*(iferror(sum((filter(TO!$C:$C,month(TO!$B:$B)=month(AY$10),year(TO!$B:$B)=year(AY$10)))),0) )*(iferror(sum((filter(TO!$A:$A,month(TO!$B:$B)=month(AY$10),year(TO!"&amp;"$B:$B)=year(AY$10)))),0) )*$E19"),1309.6260000000002)</f>
        <v>1309.626</v>
      </c>
      <c r="AY19" s="79"/>
      <c r="AZ19" s="68">
        <f t="shared" si="16"/>
        <v>0</v>
      </c>
    </row>
    <row r="20">
      <c r="A20" s="48" t="s">
        <v>57</v>
      </c>
      <c r="B20" s="4">
        <v>2206.0</v>
      </c>
      <c r="C20" s="4" t="s">
        <v>98</v>
      </c>
      <c r="D20" s="64"/>
      <c r="E20" s="83">
        <v>0.1</v>
      </c>
      <c r="F20" s="65">
        <v>63420.0</v>
      </c>
      <c r="G20" s="65">
        <f>(($H$1*$E$20) -2086-1572)</f>
        <v>6342</v>
      </c>
      <c r="H20" s="66">
        <f t="shared" si="2"/>
        <v>1861.56</v>
      </c>
      <c r="I20" s="68">
        <f t="shared" si="17"/>
        <v>0.2935288553</v>
      </c>
      <c r="J20" s="75"/>
      <c r="K20" s="79">
        <f>IFERROR(__xludf.DUMMYFUNCTION("(IFERROR(SUM((filter('ILC2206'!$D:$D,MONTH('ILC2206'!$B:$B)=MONTH(K$10),YEAR('ILC2206'!$B:$B)=YEAR(K$10),'ILC2206'!$I:$I=""Fernando""))),0) + IFERROR(SUM((filter('ILC2206'!$D:$D,MONTH('ILC2206'!$B:$B)=MONTH(K$10),YEAR('ILC2206'!$B:$B)=YEAR(K$10),'ILC2206'"&amp;"!$I:$I=""Kremer""))),0) + IFERROR(SUM((filter('ILC2206'!$D:$D,MONTH('ILC2206'!$B:$B)=MONTH(K$10),YEAR('ILC2206'!$B:$B)=YEAR(K$10),'ILC2206'!$I:$I=""Fer""))),0))*$E20"),0.0)</f>
        <v>0</v>
      </c>
      <c r="L20" s="68">
        <f t="shared" si="18"/>
        <v>0</v>
      </c>
      <c r="M20" s="75"/>
      <c r="N20" s="79"/>
      <c r="O20" s="79">
        <v>0.0</v>
      </c>
      <c r="P20" s="68">
        <f t="shared" si="19"/>
        <v>0</v>
      </c>
      <c r="Q20" s="75"/>
      <c r="R20" s="79"/>
      <c r="S20" s="79">
        <v>0.0</v>
      </c>
      <c r="T20" s="68">
        <f t="shared" si="20"/>
        <v>0</v>
      </c>
      <c r="U20" s="75">
        <f>IFERROR(__xludf.DUMMYFUNCTION("(iferror(sum((filter(TO!$D:$D,month(TO!$B:$B)=month(W$10),year(TO!$B:$B)=year(W$10)))),0) )*(iferror(sum((filter(TO!$C:$C,month(TO!$B:$B)=month(W$10),year(TO!$B:$B)=year(W$10)))),0) )*(iferror(sum((filter(TO!$A:$A,month(TO!$B:$B)=month(W$10),year(TO!$B:$B"&amp;")=year(W$10)))),0) )*$E20"),761.6712400000001)</f>
        <v>761.67124</v>
      </c>
      <c r="V20" s="93">
        <f>W20/0.1</f>
        <v>10431.3</v>
      </c>
      <c r="W20" s="93">
        <v>1043.13</v>
      </c>
      <c r="X20" s="68">
        <f t="shared" si="21"/>
        <v>1.369527882</v>
      </c>
      <c r="Y20" s="75">
        <f>IFERROR(__xludf.DUMMYFUNCTION("(iferror(sum((filter(TO!$D:$D,month(TO!$B:$B)=month(AA$10),year(TO!$B:$B)=year(AA$10)))),0) )*(iferror(sum((filter(TO!$C:$C,month(TO!$B:$B)=month(AA$10),year(TO!$B:$B)=year(AA$10)))),0) )*(iferror(sum((filter(TO!$A:$A,month(TO!$B:$B)=month(AA$10),year(TO!"&amp;"$B:$B)=year(AA$10)))),0) )*$E20"),565.3032000000001)</f>
        <v>565.3032</v>
      </c>
      <c r="Z20" s="93">
        <f t="shared" si="24"/>
        <v>8184.3</v>
      </c>
      <c r="AA20" s="93">
        <v>818.43</v>
      </c>
      <c r="AB20" s="68">
        <f t="shared" si="22"/>
        <v>1.447771744</v>
      </c>
      <c r="AC20" s="75">
        <f>IFERROR(__xludf.DUMMYFUNCTION("(iferror(sum((filter(TO!$D:$D,month(TO!$B:$B)=month(AD$10),year(TO!$B:$B)=year(AD$10)))),0) )*(iferror(sum((filter(TO!$C:$C,month(TO!$B:$B)=month(AD$10),year(TO!$B:$B)=year(AD$10)))),0) )*(iferror(sum((filter(TO!$A:$A,month(TO!$B:$B)=month(AD$10),year(TO!"&amp;"$B:$B)=year(AD$10)))),0) )*$E20"),655.8775400000001)</f>
        <v>655.87754</v>
      </c>
      <c r="AD20" s="79"/>
      <c r="AE20" s="68">
        <f t="shared" si="23"/>
        <v>0</v>
      </c>
      <c r="AF20" s="75">
        <f>IFERROR(__xludf.DUMMYFUNCTION("(iferror(sum((filter(TO!$D:$D,month(TO!$B:$B)=month(AG$10),year(TO!$B:$B)=year(AG$10)))),0) )*(iferror(sum((filter(TO!$C:$C,month(TO!$B:$B)=month(AG$10),year(TO!$B:$B)=year(AG$10)))),0) )*(iferror(sum((filter(TO!$A:$A,month(TO!$B:$B)=month(AG$10),year(TO!"&amp;"$B:$B)=year(AG$10)))),0) )*$E20"),311.202)</f>
        <v>311.202</v>
      </c>
      <c r="AG20" s="79"/>
      <c r="AH20" s="68">
        <f t="shared" si="10"/>
        <v>0</v>
      </c>
      <c r="AI20" s="75">
        <f>IFERROR(__xludf.DUMMYFUNCTION("(iferror(sum((filter(TO!$D:$D,month(TO!$B:$B)=month(AJ$10),year(TO!$B:$B)=year(AJ$10)))),0) )*(iferror(sum((filter(TO!$C:$C,month(TO!$B:$B)=month(AJ$10),year(TO!$B:$B)=year(AJ$10)))),0) )*(iferror(sum((filter(TO!$A:$A,month(TO!$B:$B)=month(AJ$10),year(TO!"&amp;"$B:$B)=year(AJ$10)))),0) )*$E20"),512.23315)</f>
        <v>512.23315</v>
      </c>
      <c r="AJ20" s="79"/>
      <c r="AK20" s="68">
        <f t="shared" si="11"/>
        <v>0</v>
      </c>
      <c r="AL20" s="75">
        <f>IFERROR(__xludf.DUMMYFUNCTION("(iferror(sum((filter(TO!$D:$D,month(TO!$B:$B)=month(AM$10),year(TO!$B:$B)=year(AM$10)))),0) )*(iferror(sum((filter(TO!$C:$C,month(TO!$B:$B)=month(AM$10),year(TO!$B:$B)=year(AM$10)))),0) )*(iferror(sum((filter(TO!$A:$A,month(TO!$B:$B)=month(AM$10),year(TO!"&amp;"$B:$B)=year(AM$10)))),0) )*$E20"),393.9294)</f>
        <v>393.9294</v>
      </c>
      <c r="AM20" s="79"/>
      <c r="AN20" s="68">
        <f t="shared" si="12"/>
        <v>0</v>
      </c>
      <c r="AO20" s="75">
        <f>IFERROR(__xludf.DUMMYFUNCTION("(iferror(sum((filter(TO!$D:$D,month(TO!$B:$B)=month(AP$10),year(TO!$B:$B)=year(AP$10)))),0) )*(iferror(sum((filter(TO!$C:$C,month(TO!$B:$B)=month(AP$10),year(TO!$B:$B)=year(AP$10)))),0) )*(iferror(sum((filter(TO!$A:$A,month(TO!$B:$B)=month(AP$10),year(TO!"&amp;"$B:$B)=year(AP$10)))),0) )*$E20"),436.896)</f>
        <v>436.896</v>
      </c>
      <c r="AP20" s="79"/>
      <c r="AQ20" s="68">
        <f t="shared" si="13"/>
        <v>0</v>
      </c>
      <c r="AR20" s="75">
        <f>IFERROR(__xludf.DUMMYFUNCTION("(iferror(sum((filter(TO!$D:$D,month(TO!$B:$B)=month(AS$10),year(TO!$B:$B)=year(AS$10)))),0) )*(iferror(sum((filter(TO!$C:$C,month(TO!$B:$B)=month(AS$10),year(TO!$B:$B)=year(AS$10)))),0) )*(iferror(sum((filter(TO!$A:$A,month(TO!$B:$B)=month(AS$10),year(TO!"&amp;"$B:$B)=year(AS$10)))),0) )*$E20"),636.41295)</f>
        <v>636.41295</v>
      </c>
      <c r="AS20" s="79"/>
      <c r="AT20" s="68">
        <f t="shared" si="14"/>
        <v>0</v>
      </c>
      <c r="AU20" s="75">
        <f>IFERROR(__xludf.DUMMYFUNCTION("(iferror(sum((filter(TO!$D:$D,month(TO!$B:$B)=month(AV$10),year(TO!$B:$B)=year(AV$10)))),0) )*(iferror(sum((filter(TO!$C:$C,month(TO!$B:$B)=month(AV$10),year(TO!$B:$B)=year(AV$10)))),0) )*(iferror(sum((filter(TO!$A:$A,month(TO!$B:$B)=month(AV$10),year(TO!"&amp;"$B:$B)=year(AV$10)))),0) )*$E20"),761.2178999999999)</f>
        <v>761.2179</v>
      </c>
      <c r="AV20" s="79"/>
      <c r="AW20" s="68">
        <f t="shared" si="15"/>
        <v>0</v>
      </c>
      <c r="AX20" s="75">
        <f>IFERROR(__xludf.DUMMYFUNCTION("(iferror(sum((filter(TO!$D:$D,month(TO!$B:$B)=month(AY$10),year(TO!$B:$B)=year(AY$10)))),0) )*(iferror(sum((filter(TO!$C:$C,month(TO!$B:$B)=month(AY$10),year(TO!$B:$B)=year(AY$10)))),0) )*(iferror(sum((filter(TO!$A:$A,month(TO!$B:$B)=month(AY$10),year(TO!"&amp;"$B:$B)=year(AY$10)))),0) )*$E20"),1309.6260000000002)</f>
        <v>1309.626</v>
      </c>
      <c r="AY20" s="79"/>
      <c r="AZ20" s="68">
        <f t="shared" si="16"/>
        <v>0</v>
      </c>
    </row>
    <row r="21" hidden="1">
      <c r="A21" s="48" t="s">
        <v>58</v>
      </c>
      <c r="B21" s="4">
        <v>2303.0</v>
      </c>
      <c r="C21" s="4" t="s">
        <v>100</v>
      </c>
      <c r="D21" s="64"/>
      <c r="E21" s="83">
        <v>0.1</v>
      </c>
      <c r="F21" s="75"/>
      <c r="G21" s="75"/>
      <c r="H21" s="66">
        <f t="shared" si="2"/>
        <v>160</v>
      </c>
      <c r="I21" s="68">
        <f t="shared" si="17"/>
        <v>0</v>
      </c>
      <c r="J21" s="75">
        <f>IFERROR(__xludf.DUMMYFUNCTION("(iferror(sum((filter(TO!$D:$D,month(TO!$B:$B)=month(K$10),year(TO!$B:$B)=year(K$10)))),0) )*(iferror(sum((filter(TO!$C:$C,month(TO!$B:$B)=month(K$10),year(TO!$B:$B)=year(K$10)))),0) )*(iferror(sum((filter(TO!$A:$A,month(TO!$B:$B)=month(K$10),year(TO!$B:$B"&amp;")=year(K$10)))),0) )*$E21"),1309.6260000000002)</f>
        <v>1309.626</v>
      </c>
      <c r="K21" s="79">
        <f>IFERROR(__xludf.DUMMYFUNCTION("(IFERROR(SUM((filter('ILC2303'!$D:$D,MONTH('ILC2303'!$B:$B)=MONTH(K$10),YEAR('ILC2303'!$B:$B)=YEAR(K$10),'ILC2303'!$I:$I=""Fernando""))),0) + IFERROR(SUM((filter('ILC2303'!$D:$D,MONTH('ILC2303'!$B:$B)=MONTH(K$10),YEAR('ILC2303'!$B:$B)=YEAR(K$10),'ILC2303'"&amp;"!$I:$I=""Kremer""))),0) + IFERROR(SUM((filter('ILC2303'!$D:$D,MONTH('ILC2303'!$B:$B)=MONTH(K$10),YEAR('ILC2303'!$B:$B)=YEAR(K$10),'ILC2303'!$I:$I=""Fer""))),0))*$E21"),640.0)</f>
        <v>640</v>
      </c>
      <c r="L21" s="68">
        <f t="shared" si="18"/>
        <v>0.4886891372</v>
      </c>
      <c r="M21" s="75"/>
      <c r="N21" s="79"/>
      <c r="O21" s="79">
        <v>160.0</v>
      </c>
      <c r="P21" s="68">
        <f t="shared" si="19"/>
        <v>0</v>
      </c>
      <c r="Q21" s="75"/>
      <c r="R21" s="79"/>
      <c r="S21" s="79">
        <v>0.0</v>
      </c>
      <c r="T21" s="68">
        <f t="shared" si="20"/>
        <v>0</v>
      </c>
      <c r="U21" s="75"/>
      <c r="V21" s="79"/>
      <c r="W21" s="79">
        <v>0.0</v>
      </c>
      <c r="X21" s="68">
        <f t="shared" si="21"/>
        <v>0</v>
      </c>
      <c r="Y21" s="75"/>
      <c r="Z21" s="79"/>
      <c r="AA21" s="79">
        <f>IFERROR(__xludf.DUMMYFUNCTION("(IFERROR(SUM((filter('ILC2303'!$D:$D,MONTH('ILC2303'!$B:$B)=MONTH(AA$10),YEAR('ILC2303'!$B:$B)=YEAR(AA$10),'ILC2303'!$I:$I=""Fernando""))),0) + IFERROR(SUM((filter('ILC2303'!$D:$D,MONTH('ILC2303'!$B:$B)=MONTH(AA$10),YEAR('ILC2303'!$B:$B)=YEAR(AA$10),'ILC2"&amp;"303'!$I:$I=""Kremer""))),0) + IFERROR(SUM((filter('ILC2303'!$D:$D,MONTH('ILC2303'!$B:$B)=MONTH(AA$10),YEAR('ILC2303'!$B:$B)=YEAR(AA$10),'ILC2303'!$I:$I=""Fer""))),0))*$E21"),0.0)</f>
        <v>0</v>
      </c>
      <c r="AB21" s="68">
        <f t="shared" si="22"/>
        <v>0</v>
      </c>
      <c r="AC21" s="75"/>
      <c r="AD21" s="79"/>
      <c r="AE21" s="68">
        <f t="shared" si="23"/>
        <v>0</v>
      </c>
      <c r="AF21" s="75"/>
      <c r="AG21" s="79"/>
      <c r="AH21" s="68">
        <f t="shared" si="10"/>
        <v>0</v>
      </c>
      <c r="AI21" s="75"/>
      <c r="AJ21" s="79"/>
      <c r="AK21" s="68">
        <f t="shared" si="11"/>
        <v>0</v>
      </c>
      <c r="AL21" s="75"/>
      <c r="AM21" s="79"/>
      <c r="AN21" s="68">
        <f t="shared" si="12"/>
        <v>0</v>
      </c>
      <c r="AO21" s="75"/>
      <c r="AP21" s="79"/>
      <c r="AQ21" s="68">
        <f t="shared" si="13"/>
        <v>0</v>
      </c>
      <c r="AR21" s="75"/>
      <c r="AS21" s="79"/>
      <c r="AT21" s="68">
        <f t="shared" si="14"/>
        <v>0</v>
      </c>
      <c r="AU21" s="75"/>
      <c r="AV21" s="79"/>
      <c r="AW21" s="68">
        <f t="shared" si="15"/>
        <v>0</v>
      </c>
      <c r="AX21" s="75"/>
      <c r="AY21" s="79"/>
      <c r="AZ21" s="68">
        <f t="shared" si="16"/>
        <v>0</v>
      </c>
    </row>
    <row r="22">
      <c r="A22" s="48" t="s">
        <v>62</v>
      </c>
      <c r="B22" s="4">
        <v>2307.0</v>
      </c>
      <c r="C22" s="4" t="s">
        <v>93</v>
      </c>
      <c r="D22" s="64"/>
      <c r="E22" s="64">
        <v>0.1</v>
      </c>
      <c r="F22" s="65">
        <v>100000.0</v>
      </c>
      <c r="G22" s="75">
        <f t="shared" ref="G22:G25" si="25">$H$1*E22</f>
        <v>10000</v>
      </c>
      <c r="H22" s="66">
        <f t="shared" si="2"/>
        <v>0</v>
      </c>
      <c r="I22" s="68">
        <f t="shared" si="17"/>
        <v>0</v>
      </c>
      <c r="J22" s="75">
        <f>IFERROR(__xludf.DUMMYFUNCTION("(iferror(sum((filter(TO!$D:$D,month(TO!$B:$B)=month(K$10),year(TO!$B:$B)=year(K$10)))),0) )*(iferror(sum((filter(TO!$C:$C,month(TO!$B:$B)=month(K$10),year(TO!$B:$B)=year(K$10)))),0) )*(iferror(sum((filter(TO!$A:$A,month(TO!$B:$B)=month(K$10),year(TO!$B:$B"&amp;")=year(K$10)))),0) )*$E22"),1309.6260000000002)</f>
        <v>1309.626</v>
      </c>
      <c r="K22" s="79">
        <f>IFERROR(__xludf.DUMMYFUNCTION("(IFERROR(SUM((filter('ILC2307'!$D:$D,MONTH('ILC2307'!$B:$B)=MONTH(K$10),YEAR('ILC2307'!$B:$B)=YEAR(K$10),'ILC2307'!$I:$I=""Fernando""))),0) + IFERROR(SUM((filter('ILC2307'!$D:$D,MONTH('ILC2307'!$B:$B)=MONTH(K$10),YEAR('ILC2307'!$B:$B)=YEAR(K$10),'ILC2307'"&amp;"!$I:$I=""Kremer""))),0) + IFERROR(SUM((filter('ILC2307'!$D:$D,MONTH('ILC2307'!$B:$B)=MONTH(K$10),YEAR('ILC2307'!$B:$B)=YEAR(K$10),'ILC2307'!$I:$I=""Fer""))),0))*$E22"),1334.1657142857148)</f>
        <v>1334.165714</v>
      </c>
      <c r="L22" s="68">
        <f t="shared" si="18"/>
        <v>1.018737956</v>
      </c>
      <c r="M22" s="75"/>
      <c r="N22" s="79"/>
      <c r="O22" s="79">
        <v>0.0</v>
      </c>
      <c r="P22" s="68">
        <f t="shared" si="19"/>
        <v>0</v>
      </c>
      <c r="Q22" s="75"/>
      <c r="R22" s="79"/>
      <c r="S22" s="79">
        <v>0.0</v>
      </c>
      <c r="T22" s="68">
        <f t="shared" si="20"/>
        <v>0</v>
      </c>
      <c r="U22" s="75">
        <f>IFERROR(__xludf.DUMMYFUNCTION("(iferror(sum((filter(TO!$D:$D,month(TO!$B:$B)=month(W$10),year(TO!$B:$B)=year(W$10)))),0) )*(iferror(sum((filter(TO!$C:$C,month(TO!$B:$B)=month(W$10),year(TO!$B:$B)=year(W$10)))),0) )*(iferror(sum((filter(TO!$A:$A,month(TO!$B:$B)=month(W$10),year(TO!$B:$B"&amp;")=year(W$10)))),0) )*$E22"),761.6712400000001)</f>
        <v>761.67124</v>
      </c>
      <c r="V22" s="79"/>
      <c r="W22" s="93">
        <v>0.0</v>
      </c>
      <c r="X22" s="68">
        <f t="shared" si="21"/>
        <v>0</v>
      </c>
      <c r="Y22" s="75">
        <f>IFERROR(__xludf.DUMMYFUNCTION("(iferror(sum((filter(TO!$D:$D,month(TO!$B:$B)=month(AA$10),year(TO!$B:$B)=year(AA$10)))),0) )*(iferror(sum((filter(TO!$C:$C,month(TO!$B:$B)=month(AA$10),year(TO!$B:$B)=year(AA$10)))),0) )*(iferror(sum((filter(TO!$A:$A,month(TO!$B:$B)=month(AA$10),year(TO!"&amp;"$B:$B)=year(AA$10)))),0) )*$E22"),565.3032000000001)</f>
        <v>565.3032</v>
      </c>
      <c r="Z22" s="93"/>
      <c r="AA22" s="93">
        <v>0.0</v>
      </c>
      <c r="AB22" s="68">
        <f t="shared" si="22"/>
        <v>0</v>
      </c>
      <c r="AC22" s="75">
        <f>IFERROR(__xludf.DUMMYFUNCTION("(iferror(sum((filter(TO!$D:$D,month(TO!$B:$B)=month(AD$10),year(TO!$B:$B)=year(AD$10)))),0) )*(iferror(sum((filter(TO!$C:$C,month(TO!$B:$B)=month(AD$10),year(TO!$B:$B)=year(AD$10)))),0) )*(iferror(sum((filter(TO!$A:$A,month(TO!$B:$B)=month(AD$10),year(TO!"&amp;"$B:$B)=year(AD$10)))),0) )*$E22"),655.8775400000001)</f>
        <v>655.87754</v>
      </c>
      <c r="AD22" s="79"/>
      <c r="AE22" s="68">
        <f t="shared" si="23"/>
        <v>0</v>
      </c>
      <c r="AF22" s="75">
        <f>IFERROR(__xludf.DUMMYFUNCTION("(iferror(sum((filter(TO!$D:$D,month(TO!$B:$B)=month(AG$10),year(TO!$B:$B)=year(AG$10)))),0) )*(iferror(sum((filter(TO!$C:$C,month(TO!$B:$B)=month(AG$10),year(TO!$B:$B)=year(AG$10)))),0) )*(iferror(sum((filter(TO!$A:$A,month(TO!$B:$B)=month(AG$10),year(TO!"&amp;"$B:$B)=year(AG$10)))),0) )*$E22"),311.202)</f>
        <v>311.202</v>
      </c>
      <c r="AG22" s="79"/>
      <c r="AH22" s="68">
        <f t="shared" si="10"/>
        <v>0</v>
      </c>
      <c r="AI22" s="75">
        <f>IFERROR(__xludf.DUMMYFUNCTION("(iferror(sum((filter(TO!$D:$D,month(TO!$B:$B)=month(AJ$10),year(TO!$B:$B)=year(AJ$10)))),0) )*(iferror(sum((filter(TO!$C:$C,month(TO!$B:$B)=month(AJ$10),year(TO!$B:$B)=year(AJ$10)))),0) )*(iferror(sum((filter(TO!$A:$A,month(TO!$B:$B)=month(AJ$10),year(TO!"&amp;"$B:$B)=year(AJ$10)))),0) )*$E22"),512.23315)</f>
        <v>512.23315</v>
      </c>
      <c r="AJ22" s="79"/>
      <c r="AK22" s="68">
        <f t="shared" si="11"/>
        <v>0</v>
      </c>
      <c r="AL22" s="75">
        <f>IFERROR(__xludf.DUMMYFUNCTION("(iferror(sum((filter(TO!$D:$D,month(TO!$B:$B)=month(AM$10),year(TO!$B:$B)=year(AM$10)))),0) )*(iferror(sum((filter(TO!$C:$C,month(TO!$B:$B)=month(AM$10),year(TO!$B:$B)=year(AM$10)))),0) )*(iferror(sum((filter(TO!$A:$A,month(TO!$B:$B)=month(AM$10),year(TO!"&amp;"$B:$B)=year(AM$10)))),0) )*$E22"),393.9294)</f>
        <v>393.9294</v>
      </c>
      <c r="AM22" s="79"/>
      <c r="AN22" s="68">
        <f t="shared" si="12"/>
        <v>0</v>
      </c>
      <c r="AO22" s="75">
        <f>IFERROR(__xludf.DUMMYFUNCTION("(iferror(sum((filter(TO!$D:$D,month(TO!$B:$B)=month(AP$10),year(TO!$B:$B)=year(AP$10)))),0) )*(iferror(sum((filter(TO!$C:$C,month(TO!$B:$B)=month(AP$10),year(TO!$B:$B)=year(AP$10)))),0) )*(iferror(sum((filter(TO!$A:$A,month(TO!$B:$B)=month(AP$10),year(TO!"&amp;"$B:$B)=year(AP$10)))),0) )*$E22"),436.896)</f>
        <v>436.896</v>
      </c>
      <c r="AP22" s="79"/>
      <c r="AQ22" s="68">
        <f t="shared" si="13"/>
        <v>0</v>
      </c>
      <c r="AR22" s="75">
        <f>IFERROR(__xludf.DUMMYFUNCTION("(iferror(sum((filter(TO!$D:$D,month(TO!$B:$B)=month(AS$10),year(TO!$B:$B)=year(AS$10)))),0) )*(iferror(sum((filter(TO!$C:$C,month(TO!$B:$B)=month(AS$10),year(TO!$B:$B)=year(AS$10)))),0) )*(iferror(sum((filter(TO!$A:$A,month(TO!$B:$B)=month(AS$10),year(TO!"&amp;"$B:$B)=year(AS$10)))),0) )*$E22"),636.41295)</f>
        <v>636.41295</v>
      </c>
      <c r="AS22" s="79"/>
      <c r="AT22" s="68">
        <f t="shared" si="14"/>
        <v>0</v>
      </c>
      <c r="AU22" s="75">
        <f>IFERROR(__xludf.DUMMYFUNCTION("(iferror(sum((filter(TO!$D:$D,month(TO!$B:$B)=month(AV$10),year(TO!$B:$B)=year(AV$10)))),0) )*(iferror(sum((filter(TO!$C:$C,month(TO!$B:$B)=month(AV$10),year(TO!$B:$B)=year(AV$10)))),0) )*(iferror(sum((filter(TO!$A:$A,month(TO!$B:$B)=month(AV$10),year(TO!"&amp;"$B:$B)=year(AV$10)))),0) )*$E22"),761.2178999999999)</f>
        <v>761.2179</v>
      </c>
      <c r="AV22" s="79"/>
      <c r="AW22" s="68">
        <f t="shared" si="15"/>
        <v>0</v>
      </c>
      <c r="AX22" s="75">
        <f>IFERROR(__xludf.DUMMYFUNCTION("(iferror(sum((filter(TO!$D:$D,month(TO!$B:$B)=month(AY$10),year(TO!$B:$B)=year(AY$10)))),0) )*(iferror(sum((filter(TO!$C:$C,month(TO!$B:$B)=month(AY$10),year(TO!$B:$B)=year(AY$10)))),0) )*(iferror(sum((filter(TO!$A:$A,month(TO!$B:$B)=month(AY$10),year(TO!"&amp;"$B:$B)=year(AY$10)))),0) )*$E22"),1309.6260000000002)</f>
        <v>1309.626</v>
      </c>
      <c r="AY22" s="79"/>
      <c r="AZ22" s="68">
        <f t="shared" si="16"/>
        <v>0</v>
      </c>
    </row>
    <row r="23">
      <c r="A23" s="48" t="s">
        <v>64</v>
      </c>
      <c r="B23" s="4">
        <v>2313.0</v>
      </c>
      <c r="C23" s="4" t="s">
        <v>93</v>
      </c>
      <c r="D23" s="64"/>
      <c r="E23" s="64">
        <v>0.1</v>
      </c>
      <c r="F23" s="65">
        <v>100000.0</v>
      </c>
      <c r="G23" s="75">
        <f t="shared" si="25"/>
        <v>10000</v>
      </c>
      <c r="H23" s="66">
        <f t="shared" si="2"/>
        <v>0</v>
      </c>
      <c r="I23" s="68">
        <f t="shared" si="17"/>
        <v>0</v>
      </c>
      <c r="J23" s="75">
        <f>IFERROR(__xludf.DUMMYFUNCTION("(iferror(sum((filter(TO!$D:$D,month(TO!$B:$B)=month(K$10),year(TO!$B:$B)=year(K$10)))),0) )*(iferror(sum((filter(TO!$C:$C,month(TO!$B:$B)=month(K$10),year(TO!$B:$B)=year(K$10)))),0) )*(iferror(sum((filter(TO!$A:$A,month(TO!$B:$B)=month(K$10),year(TO!$B:$B"&amp;")=year(K$10)))),0) )*$E23"),1309.6260000000002)</f>
        <v>1309.626</v>
      </c>
      <c r="K23" s="79">
        <f>IFERROR(__xludf.DUMMYFUNCTION("(IFERROR(SUM((filter('ILC2313'!$D:$D,MONTH('ILC2313'!$B:$B)=MONTH(K$10),YEAR('ILC2313'!$B:$B)=YEAR(K$10),'ILC2313'!$I:$I=""Fernando""))),0) + IFERROR(SUM((filter('ILC2313'!$D:$D,MONTH('ILC2313'!$B:$B)=MONTH(K$10),YEAR('ILC2313'!$B:$B)=YEAR(K$10),'ILC2313'"&amp;"!$I:$I=""Kremer""))),0) + IFERROR(SUM((filter('ILC2313'!$D:$D,MONTH('ILC2313'!$B:$B)=MONTH(K$10),YEAR('ILC2313'!$B:$B)=YEAR(K$10),'ILC2313'!$I:$I=""Fer""))),0))*$E23"),1688.1782857142855)</f>
        <v>1688.178286</v>
      </c>
      <c r="L23" s="68">
        <f t="shared" si="18"/>
        <v>1.289053734</v>
      </c>
      <c r="M23" s="75"/>
      <c r="N23" s="79"/>
      <c r="O23" s="79">
        <v>0.0</v>
      </c>
      <c r="P23" s="68">
        <f t="shared" si="19"/>
        <v>0</v>
      </c>
      <c r="Q23" s="75"/>
      <c r="R23" s="79"/>
      <c r="S23" s="79">
        <v>0.0</v>
      </c>
      <c r="T23" s="68">
        <f t="shared" si="20"/>
        <v>0</v>
      </c>
      <c r="U23" s="75">
        <f>IFERROR(__xludf.DUMMYFUNCTION("(iferror(sum((filter(TO!$D:$D,month(TO!$B:$B)=month(W$10),year(TO!$B:$B)=year(W$10)))),0) )*(iferror(sum((filter(TO!$C:$C,month(TO!$B:$B)=month(W$10),year(TO!$B:$B)=year(W$10)))),0) )*(iferror(sum((filter(TO!$A:$A,month(TO!$B:$B)=month(W$10),year(TO!$B:$B"&amp;")=year(W$10)))),0) )*$E23"),761.6712400000001)</f>
        <v>761.67124</v>
      </c>
      <c r="V23" s="79"/>
      <c r="W23" s="93">
        <v>0.0</v>
      </c>
      <c r="X23" s="68">
        <f t="shared" si="21"/>
        <v>0</v>
      </c>
      <c r="Y23" s="75">
        <f>IFERROR(__xludf.DUMMYFUNCTION("(iferror(sum((filter(TO!$D:$D,month(TO!$B:$B)=month(AA$10),year(TO!$B:$B)=year(AA$10)))),0) )*(iferror(sum((filter(TO!$C:$C,month(TO!$B:$B)=month(AA$10),year(TO!$B:$B)=year(AA$10)))),0) )*(iferror(sum((filter(TO!$A:$A,month(TO!$B:$B)=month(AA$10),year(TO!"&amp;"$B:$B)=year(AA$10)))),0) )*$E23"),565.3032000000001)</f>
        <v>565.3032</v>
      </c>
      <c r="Z23" s="93"/>
      <c r="AA23" s="93">
        <v>0.0</v>
      </c>
      <c r="AB23" s="68">
        <f t="shared" si="22"/>
        <v>0</v>
      </c>
      <c r="AC23" s="75">
        <f>IFERROR(__xludf.DUMMYFUNCTION("(iferror(sum((filter(TO!$D:$D,month(TO!$B:$B)=month(AD$10),year(TO!$B:$B)=year(AD$10)))),0) )*(iferror(sum((filter(TO!$C:$C,month(TO!$B:$B)=month(AD$10),year(TO!$B:$B)=year(AD$10)))),0) )*(iferror(sum((filter(TO!$A:$A,month(TO!$B:$B)=month(AD$10),year(TO!"&amp;"$B:$B)=year(AD$10)))),0) )*$E23"),655.8775400000001)</f>
        <v>655.87754</v>
      </c>
      <c r="AD23" s="79"/>
      <c r="AE23" s="68">
        <f t="shared" si="23"/>
        <v>0</v>
      </c>
      <c r="AF23" s="75">
        <f>IFERROR(__xludf.DUMMYFUNCTION("(iferror(sum((filter(TO!$D:$D,month(TO!$B:$B)=month(AG$10),year(TO!$B:$B)=year(AG$10)))),0) )*(iferror(sum((filter(TO!$C:$C,month(TO!$B:$B)=month(AG$10),year(TO!$B:$B)=year(AG$10)))),0) )*(iferror(sum((filter(TO!$A:$A,month(TO!$B:$B)=month(AG$10),year(TO!"&amp;"$B:$B)=year(AG$10)))),0) )*$E23"),311.202)</f>
        <v>311.202</v>
      </c>
      <c r="AG23" s="79"/>
      <c r="AH23" s="68">
        <f t="shared" si="10"/>
        <v>0</v>
      </c>
      <c r="AI23" s="75">
        <f>IFERROR(__xludf.DUMMYFUNCTION("(iferror(sum((filter(TO!$D:$D,month(TO!$B:$B)=month(AJ$10),year(TO!$B:$B)=year(AJ$10)))),0) )*(iferror(sum((filter(TO!$C:$C,month(TO!$B:$B)=month(AJ$10),year(TO!$B:$B)=year(AJ$10)))),0) )*(iferror(sum((filter(TO!$A:$A,month(TO!$B:$B)=month(AJ$10),year(TO!"&amp;"$B:$B)=year(AJ$10)))),0) )*$E23"),512.23315)</f>
        <v>512.23315</v>
      </c>
      <c r="AJ23" s="79"/>
      <c r="AK23" s="68">
        <f t="shared" si="11"/>
        <v>0</v>
      </c>
      <c r="AL23" s="75">
        <f>IFERROR(__xludf.DUMMYFUNCTION("(iferror(sum((filter(TO!$D:$D,month(TO!$B:$B)=month(AM$10),year(TO!$B:$B)=year(AM$10)))),0) )*(iferror(sum((filter(TO!$C:$C,month(TO!$B:$B)=month(AM$10),year(TO!$B:$B)=year(AM$10)))),0) )*(iferror(sum((filter(TO!$A:$A,month(TO!$B:$B)=month(AM$10),year(TO!"&amp;"$B:$B)=year(AM$10)))),0) )*$E23"),393.9294)</f>
        <v>393.9294</v>
      </c>
      <c r="AM23" s="79"/>
      <c r="AN23" s="68">
        <f t="shared" si="12"/>
        <v>0</v>
      </c>
      <c r="AO23" s="75">
        <f>IFERROR(__xludf.DUMMYFUNCTION("(iferror(sum((filter(TO!$D:$D,month(TO!$B:$B)=month(AP$10),year(TO!$B:$B)=year(AP$10)))),0) )*(iferror(sum((filter(TO!$C:$C,month(TO!$B:$B)=month(AP$10),year(TO!$B:$B)=year(AP$10)))),0) )*(iferror(sum((filter(TO!$A:$A,month(TO!$B:$B)=month(AP$10),year(TO!"&amp;"$B:$B)=year(AP$10)))),0) )*$E23"),436.896)</f>
        <v>436.896</v>
      </c>
      <c r="AP23" s="79"/>
      <c r="AQ23" s="68">
        <f t="shared" si="13"/>
        <v>0</v>
      </c>
      <c r="AR23" s="75">
        <f>IFERROR(__xludf.DUMMYFUNCTION("(iferror(sum((filter(TO!$D:$D,month(TO!$B:$B)=month(AS$10),year(TO!$B:$B)=year(AS$10)))),0) )*(iferror(sum((filter(TO!$C:$C,month(TO!$B:$B)=month(AS$10),year(TO!$B:$B)=year(AS$10)))),0) )*(iferror(sum((filter(TO!$A:$A,month(TO!$B:$B)=month(AS$10),year(TO!"&amp;"$B:$B)=year(AS$10)))),0) )*$E23"),636.41295)</f>
        <v>636.41295</v>
      </c>
      <c r="AS23" s="79"/>
      <c r="AT23" s="68">
        <f t="shared" si="14"/>
        <v>0</v>
      </c>
      <c r="AU23" s="75">
        <f>IFERROR(__xludf.DUMMYFUNCTION("(iferror(sum((filter(TO!$D:$D,month(TO!$B:$B)=month(AV$10),year(TO!$B:$B)=year(AV$10)))),0) )*(iferror(sum((filter(TO!$C:$C,month(TO!$B:$B)=month(AV$10),year(TO!$B:$B)=year(AV$10)))),0) )*(iferror(sum((filter(TO!$A:$A,month(TO!$B:$B)=month(AV$10),year(TO!"&amp;"$B:$B)=year(AV$10)))),0) )*$E23"),761.2178999999999)</f>
        <v>761.2179</v>
      </c>
      <c r="AV23" s="79"/>
      <c r="AW23" s="68">
        <f t="shared" si="15"/>
        <v>0</v>
      </c>
      <c r="AX23" s="75">
        <f>IFERROR(__xludf.DUMMYFUNCTION("(iferror(sum((filter(TO!$D:$D,month(TO!$B:$B)=month(AY$10),year(TO!$B:$B)=year(AY$10)))),0) )*(iferror(sum((filter(TO!$C:$C,month(TO!$B:$B)=month(AY$10),year(TO!$B:$B)=year(AY$10)))),0) )*(iferror(sum((filter(TO!$A:$A,month(TO!$B:$B)=month(AY$10),year(TO!"&amp;"$B:$B)=year(AY$10)))),0) )*$E23"),1309.6260000000002)</f>
        <v>1309.626</v>
      </c>
      <c r="AY23" s="79"/>
      <c r="AZ23" s="68">
        <f t="shared" si="16"/>
        <v>0</v>
      </c>
    </row>
    <row r="24">
      <c r="A24" s="48" t="s">
        <v>65</v>
      </c>
      <c r="B24" s="4">
        <v>2412.0</v>
      </c>
      <c r="C24" s="4" t="s">
        <v>106</v>
      </c>
      <c r="E24" s="83">
        <v>0.1</v>
      </c>
      <c r="F24" s="65">
        <v>100000.0</v>
      </c>
      <c r="G24" s="75">
        <f t="shared" si="25"/>
        <v>10000</v>
      </c>
      <c r="H24" s="66">
        <f t="shared" si="2"/>
        <v>4617</v>
      </c>
      <c r="I24" s="68">
        <f t="shared" si="17"/>
        <v>0.4617</v>
      </c>
      <c r="J24" s="75">
        <f>IFERROR(__xludf.DUMMYFUNCTION("(iferror(sum((filter(TO!$D:$D,month(TO!$B:$B)=month(K$10),year(TO!$B:$B)=year(K$10)))),0) )*(iferror(sum((filter(TO!$C:$C,month(TO!$B:$B)=month(K$10),year(TO!$B:$B)=year(K$10)))),0) )*(iferror(sum((filter(TO!$A:$A,month(TO!$B:$B)=month(K$10),year(TO!$B:$B"&amp;")=year(K$10)))),0) )*$E24"),1309.6260000000002)</f>
        <v>1309.626</v>
      </c>
      <c r="K24" s="79">
        <f>IFERROR(__xludf.DUMMYFUNCTION("(IFERROR(SUM((filter('ILC2412'!$D:$D,MONTH('ILC2412'!$B:$B)=MONTH(K$10),YEAR('ILC2412'!$B:$B)=YEAR(K$10),'ILC2412'!$I:$I=""Fernando""))),0) + IFERROR(SUM((filter('ILC2412'!$D:$D,MONTH('ILC2412'!$B:$B)=MONTH(K$10),YEAR('ILC2412'!$B:$B)=YEAR(K$10),'ILC2412'"&amp;"!$I:$I=""Kremer""))),0) + IFERROR(SUM((filter('ILC2412'!$D:$D,MONTH('ILC2412'!$B:$B)=MONTH(K$10),YEAR('ILC2412'!$B:$B)=YEAR(K$10),'ILC2412'!$I:$I=""Fer""))),0))*$E24"),956.5200000000001)</f>
        <v>956.52</v>
      </c>
      <c r="L24" s="68">
        <f t="shared" si="18"/>
        <v>0.7303764586</v>
      </c>
      <c r="M24" s="75">
        <f>IFERROR(__xludf.DUMMYFUNCTION("(iferror(sum((filter(TO!$D:$D,month(TO!$B:$B)=month(O$10),year(TO!$B:$B)=year(O$10)))),0) )*(iferror(sum((filter(TO!$C:$C,month(TO!$B:$B)=month(O$10),year(TO!$B:$B)=year(O$10)))),0) )*(iferror(sum((filter(TO!$A:$A,month(TO!$B:$B)=month(O$10),year(TO!$B:$B"&amp;")=year(O$10)))),0) )*$E24"),2086.1388)</f>
        <v>2086.1388</v>
      </c>
      <c r="N24" s="79">
        <f>O24/0.1</f>
        <v>12782.8</v>
      </c>
      <c r="O24" s="79">
        <v>1278.28</v>
      </c>
      <c r="P24" s="68">
        <f t="shared" si="19"/>
        <v>0.6127492571</v>
      </c>
      <c r="Q24" s="75">
        <f>IFERROR(__xludf.DUMMYFUNCTION("(iferror(sum((filter(TO!$D:$D,month(TO!$B:$B)=month(S$10),year(TO!$B:$B)=year(S$10)))),0) )*(iferror(sum((filter(TO!$C:$C,month(TO!$B:$B)=month(S$10),year(TO!$B:$B)=year(S$10)))),0) )*(iferror(sum((filter(TO!$A:$A,month(TO!$B:$B)=month(S$10),year(TO!$B:$B"&amp;")=year(S$10)))),0) )*$E24"),1572.47552)</f>
        <v>1572.47552</v>
      </c>
      <c r="R24" s="79">
        <f>S24/0.1</f>
        <v>14366.2</v>
      </c>
      <c r="S24" s="79">
        <v>1436.6200000000001</v>
      </c>
      <c r="T24" s="68">
        <f t="shared" si="20"/>
        <v>0.9136040477</v>
      </c>
      <c r="U24" s="75">
        <f>IFERROR(__xludf.DUMMYFUNCTION("(iferror(sum((filter(TO!$D:$D,month(TO!$B:$B)=month(W$10),year(TO!$B:$B)=year(W$10)))),0) )*(iferror(sum((filter(TO!$C:$C,month(TO!$B:$B)=month(W$10),year(TO!$B:$B)=year(W$10)))),0) )*(iferror(sum((filter(TO!$A:$A,month(TO!$B:$B)=month(W$10),year(TO!$B:$B"&amp;")=year(W$10)))),0) )*$E24"),761.6712400000001)</f>
        <v>761.67124</v>
      </c>
      <c r="V24" s="79">
        <f>W24/0.1</f>
        <v>13248.1</v>
      </c>
      <c r="W24" s="79">
        <v>1324.8100000000002</v>
      </c>
      <c r="X24" s="68">
        <f t="shared" si="21"/>
        <v>1.73934623</v>
      </c>
      <c r="Y24" s="75">
        <f>IFERROR(__xludf.DUMMYFUNCTION("(iferror(sum((filter(TO!$D:$D,month(TO!$B:$B)=month(AA$10),year(TO!$B:$B)=year(AA$10)))),0) )*(iferror(sum((filter(TO!$C:$C,month(TO!$B:$B)=month(AA$10),year(TO!$B:$B)=year(AA$10)))),0) )*(iferror(sum((filter(TO!$A:$A,month(TO!$B:$B)=month(AA$10),year(TO!"&amp;"$B:$B)=year(AA$10)))),0) )*$E24"),565.3032000000001)</f>
        <v>565.3032</v>
      </c>
      <c r="Z24" s="93">
        <f>AA24/0.1</f>
        <v>5772.9</v>
      </c>
      <c r="AA24" s="79">
        <v>577.29</v>
      </c>
      <c r="AB24" s="68">
        <f t="shared" si="22"/>
        <v>1.021204196</v>
      </c>
      <c r="AC24" s="75">
        <f>IFERROR(__xludf.DUMMYFUNCTION("(iferror(sum((filter(TO!$D:$D,month(TO!$B:$B)=month(AD$10),year(TO!$B:$B)=year(AD$10)))),0) )*(iferror(sum((filter(TO!$C:$C,month(TO!$B:$B)=month(AD$10),year(TO!$B:$B)=year(AD$10)))),0) )*(iferror(sum((filter(TO!$A:$A,month(TO!$B:$B)=month(AD$10),year(TO!"&amp;"$B:$B)=year(AD$10)))),0) )*$E24"),655.8775400000001)</f>
        <v>655.87754</v>
      </c>
      <c r="AD24" s="79"/>
      <c r="AE24" s="68">
        <f t="shared" si="23"/>
        <v>0</v>
      </c>
      <c r="AF24" s="75">
        <f>IFERROR(__xludf.DUMMYFUNCTION("(iferror(sum((filter(TO!$D:$D,month(TO!$B:$B)=month(AG$10),year(TO!$B:$B)=year(AG$10)))),0) )*(iferror(sum((filter(TO!$C:$C,month(TO!$B:$B)=month(AG$10),year(TO!$B:$B)=year(AG$10)))),0) )*(iferror(sum((filter(TO!$A:$A,month(TO!$B:$B)=month(AG$10),year(TO!"&amp;"$B:$B)=year(AG$10)))),0) )*$E24"),311.202)</f>
        <v>311.202</v>
      </c>
      <c r="AG24" s="79"/>
      <c r="AH24" s="68">
        <f t="shared" si="10"/>
        <v>0</v>
      </c>
      <c r="AI24" s="75">
        <f>IFERROR(__xludf.DUMMYFUNCTION("(iferror(sum((filter(TO!$D:$D,month(TO!$B:$B)=month(AJ$10),year(TO!$B:$B)=year(AJ$10)))),0) )*(iferror(sum((filter(TO!$C:$C,month(TO!$B:$B)=month(AJ$10),year(TO!$B:$B)=year(AJ$10)))),0) )*(iferror(sum((filter(TO!$A:$A,month(TO!$B:$B)=month(AJ$10),year(TO!"&amp;"$B:$B)=year(AJ$10)))),0) )*$E24"),512.23315)</f>
        <v>512.23315</v>
      </c>
      <c r="AJ24" s="79"/>
      <c r="AK24" s="68">
        <f t="shared" si="11"/>
        <v>0</v>
      </c>
      <c r="AL24" s="75">
        <f>IFERROR(__xludf.DUMMYFUNCTION("(iferror(sum((filter(TO!$D:$D,month(TO!$B:$B)=month(AM$10),year(TO!$B:$B)=year(AM$10)))),0) )*(iferror(sum((filter(TO!$C:$C,month(TO!$B:$B)=month(AM$10),year(TO!$B:$B)=year(AM$10)))),0) )*(iferror(sum((filter(TO!$A:$A,month(TO!$B:$B)=month(AM$10),year(TO!"&amp;"$B:$B)=year(AM$10)))),0) )*$E24"),393.9294)</f>
        <v>393.9294</v>
      </c>
      <c r="AM24" s="79"/>
      <c r="AN24" s="68">
        <f t="shared" si="12"/>
        <v>0</v>
      </c>
      <c r="AO24" s="75">
        <f>IFERROR(__xludf.DUMMYFUNCTION("(iferror(sum((filter(TO!$D:$D,month(TO!$B:$B)=month(AP$10),year(TO!$B:$B)=year(AP$10)))),0) )*(iferror(sum((filter(TO!$C:$C,month(TO!$B:$B)=month(AP$10),year(TO!$B:$B)=year(AP$10)))),0) )*(iferror(sum((filter(TO!$A:$A,month(TO!$B:$B)=month(AP$10),year(TO!"&amp;"$B:$B)=year(AP$10)))),0) )*$E24"),436.896)</f>
        <v>436.896</v>
      </c>
      <c r="AP24" s="79"/>
      <c r="AQ24" s="68">
        <f t="shared" si="13"/>
        <v>0</v>
      </c>
      <c r="AR24" s="75">
        <f>IFERROR(__xludf.DUMMYFUNCTION("(iferror(sum((filter(TO!$D:$D,month(TO!$B:$B)=month(AS$10),year(TO!$B:$B)=year(AS$10)))),0) )*(iferror(sum((filter(TO!$C:$C,month(TO!$B:$B)=month(AS$10),year(TO!$B:$B)=year(AS$10)))),0) )*(iferror(sum((filter(TO!$A:$A,month(TO!$B:$B)=month(AS$10),year(TO!"&amp;"$B:$B)=year(AS$10)))),0) )*$E24"),636.41295)</f>
        <v>636.41295</v>
      </c>
      <c r="AS24" s="79"/>
      <c r="AT24" s="68">
        <f t="shared" si="14"/>
        <v>0</v>
      </c>
      <c r="AU24" s="75">
        <f>IFERROR(__xludf.DUMMYFUNCTION("(iferror(sum((filter(TO!$D:$D,month(TO!$B:$B)=month(AV$10),year(TO!$B:$B)=year(AV$10)))),0) )*(iferror(sum((filter(TO!$C:$C,month(TO!$B:$B)=month(AV$10),year(TO!$B:$B)=year(AV$10)))),0) )*(iferror(sum((filter(TO!$A:$A,month(TO!$B:$B)=month(AV$10),year(TO!"&amp;"$B:$B)=year(AV$10)))),0) )*$E24"),761.2178999999999)</f>
        <v>761.2179</v>
      </c>
      <c r="AV24" s="79"/>
      <c r="AW24" s="68">
        <f t="shared" si="15"/>
        <v>0</v>
      </c>
      <c r="AX24" s="75">
        <f>IFERROR(__xludf.DUMMYFUNCTION("(iferror(sum((filter(TO!$D:$D,month(TO!$B:$B)=month(AY$10),year(TO!$B:$B)=year(AY$10)))),0) )*(iferror(sum((filter(TO!$C:$C,month(TO!$B:$B)=month(AY$10),year(TO!$B:$B)=year(AY$10)))),0) )*(iferror(sum((filter(TO!$A:$A,month(TO!$B:$B)=month(AY$10),year(TO!"&amp;"$B:$B)=year(AY$10)))),0) )*$E24"),1309.6260000000002)</f>
        <v>1309.626</v>
      </c>
      <c r="AY24" s="79"/>
      <c r="AZ24" s="68">
        <f t="shared" si="16"/>
        <v>0</v>
      </c>
    </row>
    <row r="25">
      <c r="A25" s="48" t="s">
        <v>68</v>
      </c>
      <c r="B25" s="4">
        <v>2413.0</v>
      </c>
      <c r="C25" s="4" t="s">
        <v>93</v>
      </c>
      <c r="D25" s="64"/>
      <c r="E25" s="64">
        <v>0.1</v>
      </c>
      <c r="F25" s="65">
        <v>100000.0</v>
      </c>
      <c r="G25" s="75">
        <f t="shared" si="25"/>
        <v>10000</v>
      </c>
      <c r="H25" s="66">
        <f t="shared" si="2"/>
        <v>0</v>
      </c>
      <c r="I25" s="68">
        <f t="shared" si="17"/>
        <v>0</v>
      </c>
      <c r="J25" s="75">
        <f>IFERROR(__xludf.DUMMYFUNCTION("(iferror(sum((filter(TO!$D:$D,month(TO!$B:$B)=month(K$10),year(TO!$B:$B)=year(K$10)))),0) )*(iferror(sum((filter(TO!$C:$C,month(TO!$B:$B)=month(K$10),year(TO!$B:$B)=year(K$10)))),0) )*(iferror(sum((filter(TO!$A:$A,month(TO!$B:$B)=month(K$10),year(TO!$B:$B"&amp;")=year(K$10)))),0) )*$E25"),1309.6260000000002)</f>
        <v>1309.626</v>
      </c>
      <c r="K25" s="79">
        <f>IFERROR(__xludf.DUMMYFUNCTION("(IFERROR(SUM((filter('ILC2413'!$D:$D,MONTH('ILC2413'!$B:$B)=MONTH(K$10),YEAR('ILC2413'!$B:$B)=YEAR(K$10),'ILC2413'!$I:$I=""Fernando""))),0) + IFERROR(SUM((filter('ILC2413'!$D:$D,MONTH('ILC2413'!$B:$B)=MONTH(K$10),YEAR('ILC2413'!$B:$B)=YEAR(K$10),'ILC2413'"&amp;"!$I:$I=""Kremer""))),0) + IFERROR(SUM((filter('ILC2413'!$D:$D,MONTH('ILC2413'!$B:$B)=MONTH(K$10),YEAR('ILC2413'!$B:$B)=YEAR(K$10),'ILC2413'!$I:$I=""Fer""))),0))*$E25"),1571.3749999999998)</f>
        <v>1571.375</v>
      </c>
      <c r="L25" s="68">
        <f t="shared" si="18"/>
        <v>1.199865458</v>
      </c>
      <c r="M25" s="75"/>
      <c r="N25" s="79"/>
      <c r="O25" s="79">
        <v>0.0</v>
      </c>
      <c r="P25" s="68">
        <f t="shared" si="19"/>
        <v>0</v>
      </c>
      <c r="Q25" s="75"/>
      <c r="R25" s="79"/>
      <c r="S25" s="79">
        <v>0.0</v>
      </c>
      <c r="T25" s="68">
        <f t="shared" si="20"/>
        <v>0</v>
      </c>
      <c r="U25" s="75">
        <f>IFERROR(__xludf.DUMMYFUNCTION("(iferror(sum((filter(TO!$D:$D,month(TO!$B:$B)=month(W$10),year(TO!$B:$B)=year(W$10)))),0) )*(iferror(sum((filter(TO!$C:$C,month(TO!$B:$B)=month(W$10),year(TO!$B:$B)=year(W$10)))),0) )*(iferror(sum((filter(TO!$A:$A,month(TO!$B:$B)=month(W$10),year(TO!$B:$B"&amp;")=year(W$10)))),0) )*$E25"),761.6712400000001)</f>
        <v>761.67124</v>
      </c>
      <c r="V25" s="79"/>
      <c r="W25" s="93">
        <v>0.0</v>
      </c>
      <c r="X25" s="68">
        <f t="shared" si="21"/>
        <v>0</v>
      </c>
      <c r="Y25" s="75">
        <f>IFERROR(__xludf.DUMMYFUNCTION("(iferror(sum((filter(TO!$D:$D,month(TO!$B:$B)=month(AA$10),year(TO!$B:$B)=year(AA$10)))),0) )*(iferror(sum((filter(TO!$C:$C,month(TO!$B:$B)=month(AA$10),year(TO!$B:$B)=year(AA$10)))),0) )*(iferror(sum((filter(TO!$A:$A,month(TO!$B:$B)=month(AA$10),year(TO!"&amp;"$B:$B)=year(AA$10)))),0) )*$E25"),565.3032000000001)</f>
        <v>565.3032</v>
      </c>
      <c r="Z25" s="93"/>
      <c r="AA25" s="93">
        <v>0.0</v>
      </c>
      <c r="AB25" s="68">
        <f t="shared" si="22"/>
        <v>0</v>
      </c>
      <c r="AC25" s="75">
        <f>IFERROR(__xludf.DUMMYFUNCTION("(iferror(sum((filter(TO!$D:$D,month(TO!$B:$B)=month(AD$10),year(TO!$B:$B)=year(AD$10)))),0) )*(iferror(sum((filter(TO!$C:$C,month(TO!$B:$B)=month(AD$10),year(TO!$B:$B)=year(AD$10)))),0) )*(iferror(sum((filter(TO!$A:$A,month(TO!$B:$B)=month(AD$10),year(TO!"&amp;"$B:$B)=year(AD$10)))),0) )*$E25"),655.8775400000001)</f>
        <v>655.87754</v>
      </c>
      <c r="AD25" s="79"/>
      <c r="AE25" s="68">
        <f t="shared" si="23"/>
        <v>0</v>
      </c>
      <c r="AF25" s="75">
        <f>IFERROR(__xludf.DUMMYFUNCTION("(iferror(sum((filter(TO!$D:$D,month(TO!$B:$B)=month(AG$10),year(TO!$B:$B)=year(AG$10)))),0) )*(iferror(sum((filter(TO!$C:$C,month(TO!$B:$B)=month(AG$10),year(TO!$B:$B)=year(AG$10)))),0) )*(iferror(sum((filter(TO!$A:$A,month(TO!$B:$B)=month(AG$10),year(TO!"&amp;"$B:$B)=year(AG$10)))),0) )*$E25"),311.202)</f>
        <v>311.202</v>
      </c>
      <c r="AG25" s="79"/>
      <c r="AH25" s="68">
        <f t="shared" si="10"/>
        <v>0</v>
      </c>
      <c r="AI25" s="75">
        <f>IFERROR(__xludf.DUMMYFUNCTION("(iferror(sum((filter(TO!$D:$D,month(TO!$B:$B)=month(AJ$10),year(TO!$B:$B)=year(AJ$10)))),0) )*(iferror(sum((filter(TO!$C:$C,month(TO!$B:$B)=month(AJ$10),year(TO!$B:$B)=year(AJ$10)))),0) )*(iferror(sum((filter(TO!$A:$A,month(TO!$B:$B)=month(AJ$10),year(TO!"&amp;"$B:$B)=year(AJ$10)))),0) )*$E25"),512.23315)</f>
        <v>512.23315</v>
      </c>
      <c r="AJ25" s="79"/>
      <c r="AK25" s="68">
        <f t="shared" si="11"/>
        <v>0</v>
      </c>
      <c r="AL25" s="75">
        <f>IFERROR(__xludf.DUMMYFUNCTION("(iferror(sum((filter(TO!$D:$D,month(TO!$B:$B)=month(AM$10),year(TO!$B:$B)=year(AM$10)))),0) )*(iferror(sum((filter(TO!$C:$C,month(TO!$B:$B)=month(AM$10),year(TO!$B:$B)=year(AM$10)))),0) )*(iferror(sum((filter(TO!$A:$A,month(TO!$B:$B)=month(AM$10),year(TO!"&amp;"$B:$B)=year(AM$10)))),0) )*$E25"),393.9294)</f>
        <v>393.9294</v>
      </c>
      <c r="AM25" s="79"/>
      <c r="AN25" s="68">
        <f t="shared" si="12"/>
        <v>0</v>
      </c>
      <c r="AO25" s="75">
        <f>IFERROR(__xludf.DUMMYFUNCTION("(iferror(sum((filter(TO!$D:$D,month(TO!$B:$B)=month(AP$10),year(TO!$B:$B)=year(AP$10)))),0) )*(iferror(sum((filter(TO!$C:$C,month(TO!$B:$B)=month(AP$10),year(TO!$B:$B)=year(AP$10)))),0) )*(iferror(sum((filter(TO!$A:$A,month(TO!$B:$B)=month(AP$10),year(TO!"&amp;"$B:$B)=year(AP$10)))),0) )*$E25"),436.896)</f>
        <v>436.896</v>
      </c>
      <c r="AP25" s="79"/>
      <c r="AQ25" s="68">
        <f t="shared" si="13"/>
        <v>0</v>
      </c>
      <c r="AR25" s="75">
        <f>IFERROR(__xludf.DUMMYFUNCTION("(iferror(sum((filter(TO!$D:$D,month(TO!$B:$B)=month(AS$10),year(TO!$B:$B)=year(AS$10)))),0) )*(iferror(sum((filter(TO!$C:$C,month(TO!$B:$B)=month(AS$10),year(TO!$B:$B)=year(AS$10)))),0) )*(iferror(sum((filter(TO!$A:$A,month(TO!$B:$B)=month(AS$10),year(TO!"&amp;"$B:$B)=year(AS$10)))),0) )*$E25"),636.41295)</f>
        <v>636.41295</v>
      </c>
      <c r="AS25" s="79"/>
      <c r="AT25" s="68">
        <f t="shared" si="14"/>
        <v>0</v>
      </c>
      <c r="AU25" s="75">
        <f>IFERROR(__xludf.DUMMYFUNCTION("(iferror(sum((filter(TO!$D:$D,month(TO!$B:$B)=month(AV$10),year(TO!$B:$B)=year(AV$10)))),0) )*(iferror(sum((filter(TO!$C:$C,month(TO!$B:$B)=month(AV$10),year(TO!$B:$B)=year(AV$10)))),0) )*(iferror(sum((filter(TO!$A:$A,month(TO!$B:$B)=month(AV$10),year(TO!"&amp;"$B:$B)=year(AV$10)))),0) )*$E25"),761.2178999999999)</f>
        <v>761.2179</v>
      </c>
      <c r="AV25" s="79"/>
      <c r="AW25" s="68">
        <f t="shared" si="15"/>
        <v>0</v>
      </c>
      <c r="AX25" s="75">
        <f>IFERROR(__xludf.DUMMYFUNCTION("(iferror(sum((filter(TO!$D:$D,month(TO!$B:$B)=month(AY$10),year(TO!$B:$B)=year(AY$10)))),0) )*(iferror(sum((filter(TO!$C:$C,month(TO!$B:$B)=month(AY$10),year(TO!$B:$B)=year(AY$10)))),0) )*(iferror(sum((filter(TO!$A:$A,month(TO!$B:$B)=month(AY$10),year(TO!"&amp;"$B:$B)=year(AY$10)))),0) )*$E25"),1309.6260000000002)</f>
        <v>1309.626</v>
      </c>
      <c r="AY25" s="79"/>
      <c r="AZ25" s="68">
        <f t="shared" si="16"/>
        <v>0</v>
      </c>
    </row>
    <row r="26">
      <c r="A26" s="48" t="s">
        <v>70</v>
      </c>
      <c r="B26" s="4">
        <v>3104.0</v>
      </c>
      <c r="C26" s="4" t="s">
        <v>109</v>
      </c>
      <c r="D26" s="64"/>
      <c r="E26" s="83">
        <v>0.1</v>
      </c>
      <c r="F26" s="75">
        <f>100000-15720</f>
        <v>84280</v>
      </c>
      <c r="G26" s="75">
        <f>($H$1*E26)- 1572</f>
        <v>8428</v>
      </c>
      <c r="H26" s="66">
        <f t="shared" si="2"/>
        <v>3044.71</v>
      </c>
      <c r="I26" s="68">
        <f t="shared" si="17"/>
        <v>0.361261272</v>
      </c>
      <c r="J26" s="75">
        <f>IFERROR(__xludf.DUMMYFUNCTION("(iferror(sum((filter(TO!$D:$D,month(TO!$B:$B)=month(K$10),year(TO!$B:$B)=year(K$10)))),0) )*(iferror(sum((filter(TO!$C:$C,month(TO!$B:$B)=month(K$10),year(TO!$B:$B)=year(K$10)))),0) )*(iferror(sum((filter(TO!$A:$A,month(TO!$B:$B)=month(K$10),year(TO!$B:$B"&amp;")=year(K$10)))),0) )*$E26"),1309.6260000000002)</f>
        <v>1309.626</v>
      </c>
      <c r="K26" s="79">
        <f>IFERROR(__xludf.DUMMYFUNCTION("(IFERROR(SUM((filter('ILC3104'!$D:$D,MONTH('ILC3104'!$B:$B)=MONTH(K$10),YEAR('ILC3104'!$B:$B)=YEAR(K$10),'ILC3104'!$I:$I=""Fernando""))),0) + IFERROR(SUM((filter('ILC3104'!$D:$D,MONTH('ILC3104'!$B:$B)=MONTH(K$10),YEAR('ILC3104'!$B:$B)=YEAR(K$10),'ILC3104'"&amp;"!$I:$I=""Kremer""))),0) + IFERROR(SUM((filter('ILC3104'!$D:$D,MONTH('ILC3104'!$B:$B)=MONTH(K$10),YEAR('ILC3104'!$B:$B)=YEAR(K$10),'ILC3104'!$I:$I=""Fer""))),0))*$E26"),162.76)</f>
        <v>162.76</v>
      </c>
      <c r="L26" s="68">
        <f t="shared" si="18"/>
        <v>0.1242797562</v>
      </c>
      <c r="M26" s="75">
        <f>IFERROR(__xludf.DUMMYFUNCTION("(iferror(sum((filter(TO!$D:$D,month(TO!$B:$B)=month(O$10),year(TO!$B:$B)=year(O$10)))),0) )*(iferror(sum((filter(TO!$C:$C,month(TO!$B:$B)=month(O$10),year(TO!$B:$B)=year(O$10)))),0) )*(iferror(sum((filter(TO!$A:$A,month(TO!$B:$B)=month(O$10),year(TO!$B:$B"&amp;")=year(O$10)))),0) )*$E26"),2086.1388)</f>
        <v>2086.1388</v>
      </c>
      <c r="N26" s="79">
        <f>O26/0.1</f>
        <v>13416.7</v>
      </c>
      <c r="O26" s="79">
        <v>1341.67</v>
      </c>
      <c r="P26" s="68">
        <f t="shared" si="19"/>
        <v>0.6431355382</v>
      </c>
      <c r="Q26" s="75"/>
      <c r="R26" s="79"/>
      <c r="S26" s="79">
        <v>0.0</v>
      </c>
      <c r="T26" s="68">
        <f t="shared" si="20"/>
        <v>0</v>
      </c>
      <c r="U26" s="75">
        <f>IFERROR(__xludf.DUMMYFUNCTION("(iferror(sum((filter(TO!$D:$D,month(TO!$B:$B)=month(W$10),year(TO!$B:$B)=year(W$10)))),0) )*(iferror(sum((filter(TO!$C:$C,month(TO!$B:$B)=month(W$10),year(TO!$B:$B)=year(W$10)))),0) )*(iferror(sum((filter(TO!$A:$A,month(TO!$B:$B)=month(W$10),year(TO!$B:$B"&amp;")=year(W$10)))),0) )*$E26"),761.6712400000001)</f>
        <v>761.67124</v>
      </c>
      <c r="V26" s="79">
        <f>W26/0.1</f>
        <v>11209.8</v>
      </c>
      <c r="W26" s="79">
        <v>1120.9800000000002</v>
      </c>
      <c r="X26" s="68">
        <f t="shared" si="21"/>
        <v>1.471737334</v>
      </c>
      <c r="Y26" s="75">
        <f>IFERROR(__xludf.DUMMYFUNCTION("(iferror(sum((filter(TO!$D:$D,month(TO!$B:$B)=month(AA$10),year(TO!$B:$B)=year(AA$10)))),0) )*(iferror(sum((filter(TO!$C:$C,month(TO!$B:$B)=month(AA$10),year(TO!$B:$B)=year(AA$10)))),0) )*(iferror(sum((filter(TO!$A:$A,month(TO!$B:$B)=month(AA$10),year(TO!"&amp;"$B:$B)=year(AA$10)))),0) )*$E26"),565.3032000000001)</f>
        <v>565.3032</v>
      </c>
      <c r="Z26" s="93">
        <f>AA26/0.1</f>
        <v>5820.6</v>
      </c>
      <c r="AA26" s="79">
        <v>582.06</v>
      </c>
      <c r="AB26" s="68">
        <f t="shared" si="22"/>
        <v>1.029642146</v>
      </c>
      <c r="AC26" s="75">
        <f>IFERROR(__xludf.DUMMYFUNCTION("(iferror(sum((filter(TO!$D:$D,month(TO!$B:$B)=month(AD$10),year(TO!$B:$B)=year(AD$10)))),0) )*(iferror(sum((filter(TO!$C:$C,month(TO!$B:$B)=month(AD$10),year(TO!$B:$B)=year(AD$10)))),0) )*(iferror(sum((filter(TO!$A:$A,month(TO!$B:$B)=month(AD$10),year(TO!"&amp;"$B:$B)=year(AD$10)))),0) )*$E26"),655.8775400000001)</f>
        <v>655.87754</v>
      </c>
      <c r="AD26" s="79"/>
      <c r="AE26" s="68">
        <f t="shared" si="23"/>
        <v>0</v>
      </c>
      <c r="AF26" s="75">
        <f>IFERROR(__xludf.DUMMYFUNCTION("(iferror(sum((filter(TO!$D:$D,month(TO!$B:$B)=month(AG$10),year(TO!$B:$B)=year(AG$10)))),0) )*(iferror(sum((filter(TO!$C:$C,month(TO!$B:$B)=month(AG$10),year(TO!$B:$B)=year(AG$10)))),0) )*(iferror(sum((filter(TO!$A:$A,month(TO!$B:$B)=month(AG$10),year(TO!"&amp;"$B:$B)=year(AG$10)))),0) )*$E26"),311.202)</f>
        <v>311.202</v>
      </c>
      <c r="AG26" s="79"/>
      <c r="AH26" s="68">
        <f t="shared" si="10"/>
        <v>0</v>
      </c>
      <c r="AI26" s="75">
        <f>IFERROR(__xludf.DUMMYFUNCTION("(iferror(sum((filter(TO!$D:$D,month(TO!$B:$B)=month(AJ$10),year(TO!$B:$B)=year(AJ$10)))),0) )*(iferror(sum((filter(TO!$C:$C,month(TO!$B:$B)=month(AJ$10),year(TO!$B:$B)=year(AJ$10)))),0) )*(iferror(sum((filter(TO!$A:$A,month(TO!$B:$B)=month(AJ$10),year(TO!"&amp;"$B:$B)=year(AJ$10)))),0) )*$E26"),512.23315)</f>
        <v>512.23315</v>
      </c>
      <c r="AJ26" s="79"/>
      <c r="AK26" s="68">
        <f t="shared" si="11"/>
        <v>0</v>
      </c>
      <c r="AL26" s="75">
        <f>IFERROR(__xludf.DUMMYFUNCTION("(iferror(sum((filter(TO!$D:$D,month(TO!$B:$B)=month(AM$10),year(TO!$B:$B)=year(AM$10)))),0) )*(iferror(sum((filter(TO!$C:$C,month(TO!$B:$B)=month(AM$10),year(TO!$B:$B)=year(AM$10)))),0) )*(iferror(sum((filter(TO!$A:$A,month(TO!$B:$B)=month(AM$10),year(TO!"&amp;"$B:$B)=year(AM$10)))),0) )*$E26"),393.9294)</f>
        <v>393.9294</v>
      </c>
      <c r="AM26" s="79"/>
      <c r="AN26" s="68">
        <f t="shared" si="12"/>
        <v>0</v>
      </c>
      <c r="AO26" s="75">
        <f>IFERROR(__xludf.DUMMYFUNCTION("(iferror(sum((filter(TO!$D:$D,month(TO!$B:$B)=month(AP$10),year(TO!$B:$B)=year(AP$10)))),0) )*(iferror(sum((filter(TO!$C:$C,month(TO!$B:$B)=month(AP$10),year(TO!$B:$B)=year(AP$10)))),0) )*(iferror(sum((filter(TO!$A:$A,month(TO!$B:$B)=month(AP$10),year(TO!"&amp;"$B:$B)=year(AP$10)))),0) )*$E26"),436.896)</f>
        <v>436.896</v>
      </c>
      <c r="AP26" s="79"/>
      <c r="AQ26" s="68">
        <f t="shared" si="13"/>
        <v>0</v>
      </c>
      <c r="AR26" s="75">
        <f>IFERROR(__xludf.DUMMYFUNCTION("(iferror(sum((filter(TO!$D:$D,month(TO!$B:$B)=month(AS$10),year(TO!$B:$B)=year(AS$10)))),0) )*(iferror(sum((filter(TO!$C:$C,month(TO!$B:$B)=month(AS$10),year(TO!$B:$B)=year(AS$10)))),0) )*(iferror(sum((filter(TO!$A:$A,month(TO!$B:$B)=month(AS$10),year(TO!"&amp;"$B:$B)=year(AS$10)))),0) )*$E26"),636.41295)</f>
        <v>636.41295</v>
      </c>
      <c r="AS26" s="79"/>
      <c r="AT26" s="68">
        <f t="shared" si="14"/>
        <v>0</v>
      </c>
      <c r="AU26" s="75">
        <f>IFERROR(__xludf.DUMMYFUNCTION("(iferror(sum((filter(TO!$D:$D,month(TO!$B:$B)=month(AV$10),year(TO!$B:$B)=year(AV$10)))),0) )*(iferror(sum((filter(TO!$C:$C,month(TO!$B:$B)=month(AV$10),year(TO!$B:$B)=year(AV$10)))),0) )*(iferror(sum((filter(TO!$A:$A,month(TO!$B:$B)=month(AV$10),year(TO!"&amp;"$B:$B)=year(AV$10)))),0) )*$E26"),761.2178999999999)</f>
        <v>761.2179</v>
      </c>
      <c r="AV26" s="79"/>
      <c r="AW26" s="68">
        <f t="shared" si="15"/>
        <v>0</v>
      </c>
      <c r="AX26" s="75">
        <f>IFERROR(__xludf.DUMMYFUNCTION("(iferror(sum((filter(TO!$D:$D,month(TO!$B:$B)=month(AY$10),year(TO!$B:$B)=year(AY$10)))),0) )*(iferror(sum((filter(TO!$C:$C,month(TO!$B:$B)=month(AY$10),year(TO!$B:$B)=year(AY$10)))),0) )*(iferror(sum((filter(TO!$A:$A,month(TO!$B:$B)=month(AY$10),year(TO!"&amp;"$B:$B)=year(AY$10)))),0) )*$E26"),1309.6260000000002)</f>
        <v>1309.626</v>
      </c>
      <c r="AY26" s="79"/>
      <c r="AZ26" s="68">
        <f t="shared" si="16"/>
        <v>0</v>
      </c>
    </row>
    <row r="27">
      <c r="A27" s="48" t="s">
        <v>72</v>
      </c>
      <c r="B27" s="4">
        <v>3310.0</v>
      </c>
      <c r="C27" s="4" t="s">
        <v>144</v>
      </c>
      <c r="D27" s="4" t="s">
        <v>145</v>
      </c>
      <c r="E27" s="83">
        <v>0.1</v>
      </c>
      <c r="F27" s="65">
        <v>50150.0</v>
      </c>
      <c r="G27" s="75">
        <f>(($H$1*$E$27) -2086-1572-762-565)</f>
        <v>5015</v>
      </c>
      <c r="H27" s="66">
        <f t="shared" si="2"/>
        <v>0</v>
      </c>
      <c r="I27" s="68">
        <f t="shared" si="17"/>
        <v>0</v>
      </c>
      <c r="J27" s="75"/>
      <c r="K27" s="79">
        <f>IFERROR(__xludf.DUMMYFUNCTION("(IFERROR(SUM((filter('ILC3310'!$D:$D,MONTH('ILC3310'!$B:$B)=MONTH(K$10),YEAR('ILC3310'!$B:$B)=YEAR(K$10),'ILC3310'!$I:$I=""Fernando""))),0) + IFERROR(SUM((filter('ILC3310'!$D:$D,MONTH('ILC3310'!$B:$B)=MONTH(K$10),YEAR('ILC3310'!$B:$B)=YEAR(K$10),'ILC3310'"&amp;"!$I:$I=""Kremer""))),0) + IFERROR(SUM((filter('ILC3310'!$D:$D,MONTH('ILC3310'!$B:$B)=MONTH(K$10),YEAR('ILC3310'!$B:$B)=YEAR(K$10),'ILC3310'!$I:$I=""Fer""))),0))*$E27"),0.0)</f>
        <v>0</v>
      </c>
      <c r="L27" s="68">
        <f t="shared" si="18"/>
        <v>0</v>
      </c>
      <c r="M27" s="75"/>
      <c r="N27" s="79"/>
      <c r="O27" s="79">
        <v>0.0</v>
      </c>
      <c r="P27" s="68">
        <f t="shared" si="19"/>
        <v>0</v>
      </c>
      <c r="Q27" s="75"/>
      <c r="R27" s="79"/>
      <c r="S27" s="79">
        <v>0.0</v>
      </c>
      <c r="T27" s="68">
        <f t="shared" si="20"/>
        <v>0</v>
      </c>
      <c r="U27" s="75"/>
      <c r="V27" s="79"/>
      <c r="W27" s="79">
        <v>0.0</v>
      </c>
      <c r="X27" s="68">
        <f t="shared" si="21"/>
        <v>0</v>
      </c>
      <c r="Y27" s="75">
        <v>0.0</v>
      </c>
      <c r="Z27" s="79"/>
      <c r="AA27" s="79">
        <f>IFERROR(__xludf.DUMMYFUNCTION("(IFERROR(SUM((filter('ILC3310'!$D:$D,MONTH('ILC3310'!$B:$B)=MONTH(AA$10),YEAR('ILC3310'!$B:$B)=YEAR(AA$10),'ILC3310'!$I:$I=""Fernando""))),0) + IFERROR(SUM((filter('ILC3310'!$D:$D,MONTH('ILC3310'!$B:$B)=MONTH(AA$10),YEAR('ILC3310'!$B:$B)=YEAR(AA$10),'ILC3"&amp;"310'!$I:$I=""Kremer""))),0) + IFERROR(SUM((filter('ILC3310'!$D:$D,MONTH('ILC3310'!$B:$B)=MONTH(AA$10),YEAR('ILC3310'!$B:$B)=YEAR(AA$10),'ILC3310'!$I:$I=""Fer""))),0))*$E27"),0.0)</f>
        <v>0</v>
      </c>
      <c r="AB27" s="68">
        <f t="shared" si="22"/>
        <v>0</v>
      </c>
      <c r="AC27" s="75">
        <f>IFERROR(__xludf.DUMMYFUNCTION("(iferror(sum((filter(TO!$D:$D,month(TO!$B:$B)=month(AD$10),year(TO!$B:$B)=year(AD$10)))),0) )*(iferror(sum((filter(TO!$C:$C,month(TO!$B:$B)=month(AD$10),year(TO!$B:$B)=year(AD$10)))),0) )*(iferror(sum((filter(TO!$A:$A,month(TO!$B:$B)=month(AD$10),year(TO!"&amp;"$B:$B)=year(AD$10)))),0) )*$E27"),655.8775400000001)</f>
        <v>655.87754</v>
      </c>
      <c r="AD27" s="79"/>
      <c r="AE27" s="68">
        <f t="shared" si="23"/>
        <v>0</v>
      </c>
      <c r="AF27" s="75">
        <f>IFERROR(__xludf.DUMMYFUNCTION("(iferror(sum((filter(TO!$D:$D,month(TO!$B:$B)=month(AG$10),year(TO!$B:$B)=year(AG$10)))),0) )*(iferror(sum((filter(TO!$C:$C,month(TO!$B:$B)=month(AG$10),year(TO!$B:$B)=year(AG$10)))),0) )*(iferror(sum((filter(TO!$A:$A,month(TO!$B:$B)=month(AG$10),year(TO!"&amp;"$B:$B)=year(AG$10)))),0) )*$E27"),311.202)</f>
        <v>311.202</v>
      </c>
      <c r="AG27" s="79"/>
      <c r="AH27" s="68">
        <f t="shared" si="10"/>
        <v>0</v>
      </c>
      <c r="AI27" s="75">
        <f>IFERROR(__xludf.DUMMYFUNCTION("(iferror(sum((filter(TO!$D:$D,month(TO!$B:$B)=month(AJ$10),year(TO!$B:$B)=year(AJ$10)))),0) )*(iferror(sum((filter(TO!$C:$C,month(TO!$B:$B)=month(AJ$10),year(TO!$B:$B)=year(AJ$10)))),0) )*(iferror(sum((filter(TO!$A:$A,month(TO!$B:$B)=month(AJ$10),year(TO!"&amp;"$B:$B)=year(AJ$10)))),0) )*$E27"),512.23315)</f>
        <v>512.23315</v>
      </c>
      <c r="AJ27" s="79"/>
      <c r="AK27" s="68">
        <f t="shared" si="11"/>
        <v>0</v>
      </c>
      <c r="AL27" s="75">
        <f>IFERROR(__xludf.DUMMYFUNCTION("(iferror(sum((filter(TO!$D:$D,month(TO!$B:$B)=month(AM$10),year(TO!$B:$B)=year(AM$10)))),0) )*(iferror(sum((filter(TO!$C:$C,month(TO!$B:$B)=month(AM$10),year(TO!$B:$B)=year(AM$10)))),0) )*(iferror(sum((filter(TO!$A:$A,month(TO!$B:$B)=month(AM$10),year(TO!"&amp;"$B:$B)=year(AM$10)))),0) )*$E27"),393.9294)</f>
        <v>393.9294</v>
      </c>
      <c r="AM27" s="79"/>
      <c r="AN27" s="68">
        <f t="shared" si="12"/>
        <v>0</v>
      </c>
      <c r="AO27" s="75">
        <f>IFERROR(__xludf.DUMMYFUNCTION("(iferror(sum((filter(TO!$D:$D,month(TO!$B:$B)=month(AP$10),year(TO!$B:$B)=year(AP$10)))),0) )*(iferror(sum((filter(TO!$C:$C,month(TO!$B:$B)=month(AP$10),year(TO!$B:$B)=year(AP$10)))),0) )*(iferror(sum((filter(TO!$A:$A,month(TO!$B:$B)=month(AP$10),year(TO!"&amp;"$B:$B)=year(AP$10)))),0) )*$E27"),436.896)</f>
        <v>436.896</v>
      </c>
      <c r="AP27" s="79"/>
      <c r="AQ27" s="68">
        <f t="shared" si="13"/>
        <v>0</v>
      </c>
      <c r="AR27" s="75">
        <f>IFERROR(__xludf.DUMMYFUNCTION("(iferror(sum((filter(TO!$D:$D,month(TO!$B:$B)=month(AS$10),year(TO!$B:$B)=year(AS$10)))),0) )*(iferror(sum((filter(TO!$C:$C,month(TO!$B:$B)=month(AS$10),year(TO!$B:$B)=year(AS$10)))),0) )*(iferror(sum((filter(TO!$A:$A,month(TO!$B:$B)=month(AS$10),year(TO!"&amp;"$B:$B)=year(AS$10)))),0) )*$E27"),636.41295)</f>
        <v>636.41295</v>
      </c>
      <c r="AS27" s="79"/>
      <c r="AT27" s="68">
        <f t="shared" si="14"/>
        <v>0</v>
      </c>
      <c r="AU27" s="75">
        <f>IFERROR(__xludf.DUMMYFUNCTION("(iferror(sum((filter(TO!$D:$D,month(TO!$B:$B)=month(AV$10),year(TO!$B:$B)=year(AV$10)))),0) )*(iferror(sum((filter(TO!$C:$C,month(TO!$B:$B)=month(AV$10),year(TO!$B:$B)=year(AV$10)))),0) )*(iferror(sum((filter(TO!$A:$A,month(TO!$B:$B)=month(AV$10),year(TO!"&amp;"$B:$B)=year(AV$10)))),0) )*$E27"),761.2178999999999)</f>
        <v>761.2179</v>
      </c>
      <c r="AV27" s="79"/>
      <c r="AW27" s="68">
        <f t="shared" si="15"/>
        <v>0</v>
      </c>
      <c r="AX27" s="75">
        <f>IFERROR(__xludf.DUMMYFUNCTION("(iferror(sum((filter(TO!$D:$D,month(TO!$B:$B)=month(AY$10),year(TO!$B:$B)=year(AY$10)))),0) )*(iferror(sum((filter(TO!$C:$C,month(TO!$B:$B)=month(AY$10),year(TO!$B:$B)=year(AY$10)))),0) )*(iferror(sum((filter(TO!$A:$A,month(TO!$B:$B)=month(AY$10),year(TO!"&amp;"$B:$B)=year(AY$10)))),0) )*$E27"),1309.6260000000002)</f>
        <v>1309.626</v>
      </c>
      <c r="AY27" s="79"/>
      <c r="AZ27" s="68">
        <f t="shared" si="16"/>
        <v>0</v>
      </c>
    </row>
    <row r="28">
      <c r="A28" s="48" t="s">
        <v>74</v>
      </c>
      <c r="B28" s="4">
        <v>3312.0</v>
      </c>
      <c r="C28" s="4" t="s">
        <v>115</v>
      </c>
      <c r="D28" s="64"/>
      <c r="E28" s="83">
        <v>0.1</v>
      </c>
      <c r="F28" s="65">
        <v>63420.0</v>
      </c>
      <c r="G28" s="75">
        <f>(($H$1*E28) -2086-1572)</f>
        <v>6342</v>
      </c>
      <c r="H28" s="66">
        <f t="shared" si="2"/>
        <v>1431.915</v>
      </c>
      <c r="I28" s="68">
        <f t="shared" si="17"/>
        <v>0.2257828761</v>
      </c>
      <c r="J28" s="75"/>
      <c r="K28" s="79">
        <f>IFERROR(__xludf.DUMMYFUNCTION("(IFERROR(SUM((filter('ILC3312'!$D:$D,MONTH('ILC3312'!$B:$B)=MONTH(K$10),YEAR('ILC3312'!$B:$B)=YEAR(K$10),'ILC3312'!$I:$I=""Fernando""))),0) + IFERROR(SUM((filter('ILC3312'!$D:$D,MONTH('ILC3312'!$B:$B)=MONTH(K$10),YEAR('ILC3312'!$B:$B)=YEAR(K$10),'ILC3312'"&amp;"!$I:$I=""Kremer""))),0) + IFERROR(SUM((filter('ILC3312'!$D:$D,MONTH('ILC3312'!$B:$B)=MONTH(K$10),YEAR('ILC3312'!$B:$B)=YEAR(K$10),'ILC3312'!$I:$I=""Fer""))),0))*$E28"),0.0)</f>
        <v>0</v>
      </c>
      <c r="L28" s="68">
        <f t="shared" si="18"/>
        <v>0</v>
      </c>
      <c r="M28" s="75"/>
      <c r="N28" s="79"/>
      <c r="O28" s="79">
        <v>0.0</v>
      </c>
      <c r="P28" s="68">
        <f t="shared" si="19"/>
        <v>0</v>
      </c>
      <c r="Q28" s="75"/>
      <c r="R28" s="79"/>
      <c r="S28" s="79">
        <v>0.0</v>
      </c>
      <c r="T28" s="68">
        <f t="shared" si="20"/>
        <v>0</v>
      </c>
      <c r="U28" s="75">
        <f>IFERROR(__xludf.DUMMYFUNCTION("(iferror(sum((filter(TO!$D:$D,month(TO!$B:$B)=month(W$10),year(TO!$B:$B)=year(W$10)))),0) )*(iferror(sum((filter(TO!$C:$C,month(TO!$B:$B)=month(W$10),year(TO!$B:$B)=year(W$10)))),0) )*(iferror(sum((filter(TO!$A:$A,month(TO!$B:$B)=month(W$10),year(TO!$B:$B"&amp;")=year(W$10)))),0) )*$E28"),761.6712400000001)</f>
        <v>761.67124</v>
      </c>
      <c r="V28" s="79">
        <f>W28/0.1</f>
        <v>11598.75</v>
      </c>
      <c r="W28" s="79">
        <v>1159.8750000000005</v>
      </c>
      <c r="X28" s="68">
        <f t="shared" si="21"/>
        <v>1.522802673</v>
      </c>
      <c r="Y28" s="75">
        <f>IFERROR(__xludf.DUMMYFUNCTION("(iferror(sum((filter(TO!$D:$D,month(TO!$B:$B)=month(AA$10),year(TO!$B:$B)=year(AA$10)))),0) )*(iferror(sum((filter(TO!$C:$C,month(TO!$B:$B)=month(AA$10),year(TO!$B:$B)=year(AA$10)))),0) )*(iferror(sum((filter(TO!$A:$A,month(TO!$B:$B)=month(AA$10),year(TO!"&amp;"$B:$B)=year(AA$10)))),0) )*$E28"),565.3032000000001)</f>
        <v>565.3032</v>
      </c>
      <c r="Z28" s="93">
        <f>AA28/0.1</f>
        <v>2720.4</v>
      </c>
      <c r="AA28" s="79">
        <v>272.04</v>
      </c>
      <c r="AB28" s="68">
        <f t="shared" si="22"/>
        <v>0.4812284806</v>
      </c>
      <c r="AC28" s="75">
        <f>IFERROR(__xludf.DUMMYFUNCTION("(iferror(sum((filter(TO!$D:$D,month(TO!$B:$B)=month(AD$10),year(TO!$B:$B)=year(AD$10)))),0) )*(iferror(sum((filter(TO!$C:$C,month(TO!$B:$B)=month(AD$10),year(TO!$B:$B)=year(AD$10)))),0) )*(iferror(sum((filter(TO!$A:$A,month(TO!$B:$B)=month(AD$10),year(TO!"&amp;"$B:$B)=year(AD$10)))),0) )*$E28"),655.8775400000001)</f>
        <v>655.87754</v>
      </c>
      <c r="AD28" s="79"/>
      <c r="AE28" s="68">
        <f t="shared" si="23"/>
        <v>0</v>
      </c>
      <c r="AF28" s="75">
        <f>IFERROR(__xludf.DUMMYFUNCTION("(iferror(sum((filter(TO!$D:$D,month(TO!$B:$B)=month(AG$10),year(TO!$B:$B)=year(AG$10)))),0) )*(iferror(sum((filter(TO!$C:$C,month(TO!$B:$B)=month(AG$10),year(TO!$B:$B)=year(AG$10)))),0) )*(iferror(sum((filter(TO!$A:$A,month(TO!$B:$B)=month(AG$10),year(TO!"&amp;"$B:$B)=year(AG$10)))),0) )*$E28"),311.202)</f>
        <v>311.202</v>
      </c>
      <c r="AG28" s="79"/>
      <c r="AH28" s="68">
        <f t="shared" si="10"/>
        <v>0</v>
      </c>
      <c r="AI28" s="75">
        <f>IFERROR(__xludf.DUMMYFUNCTION("(iferror(sum((filter(TO!$D:$D,month(TO!$B:$B)=month(AJ$10),year(TO!$B:$B)=year(AJ$10)))),0) )*(iferror(sum((filter(TO!$C:$C,month(TO!$B:$B)=month(AJ$10),year(TO!$B:$B)=year(AJ$10)))),0) )*(iferror(sum((filter(TO!$A:$A,month(TO!$B:$B)=month(AJ$10),year(TO!"&amp;"$B:$B)=year(AJ$10)))),0) )*$E28"),512.23315)</f>
        <v>512.23315</v>
      </c>
      <c r="AJ28" s="79"/>
      <c r="AK28" s="68">
        <f t="shared" si="11"/>
        <v>0</v>
      </c>
      <c r="AL28" s="75">
        <f>IFERROR(__xludf.DUMMYFUNCTION("(iferror(sum((filter(TO!$D:$D,month(TO!$B:$B)=month(AM$10),year(TO!$B:$B)=year(AM$10)))),0) )*(iferror(sum((filter(TO!$C:$C,month(TO!$B:$B)=month(AM$10),year(TO!$B:$B)=year(AM$10)))),0) )*(iferror(sum((filter(TO!$A:$A,month(TO!$B:$B)=month(AM$10),year(TO!"&amp;"$B:$B)=year(AM$10)))),0) )*$E28"),393.9294)</f>
        <v>393.9294</v>
      </c>
      <c r="AM28" s="79"/>
      <c r="AN28" s="68">
        <f t="shared" si="12"/>
        <v>0</v>
      </c>
      <c r="AO28" s="75">
        <f>IFERROR(__xludf.DUMMYFUNCTION("(iferror(sum((filter(TO!$D:$D,month(TO!$B:$B)=month(AP$10),year(TO!$B:$B)=year(AP$10)))),0) )*(iferror(sum((filter(TO!$C:$C,month(TO!$B:$B)=month(AP$10),year(TO!$B:$B)=year(AP$10)))),0) )*(iferror(sum((filter(TO!$A:$A,month(TO!$B:$B)=month(AP$10),year(TO!"&amp;"$B:$B)=year(AP$10)))),0) )*$E28"),436.896)</f>
        <v>436.896</v>
      </c>
      <c r="AP28" s="79"/>
      <c r="AQ28" s="68">
        <f t="shared" si="13"/>
        <v>0</v>
      </c>
      <c r="AR28" s="75">
        <f>IFERROR(__xludf.DUMMYFUNCTION("(iferror(sum((filter(TO!$D:$D,month(TO!$B:$B)=month(AS$10),year(TO!$B:$B)=year(AS$10)))),0) )*(iferror(sum((filter(TO!$C:$C,month(TO!$B:$B)=month(AS$10),year(TO!$B:$B)=year(AS$10)))),0) )*(iferror(sum((filter(TO!$A:$A,month(TO!$B:$B)=month(AS$10),year(TO!"&amp;"$B:$B)=year(AS$10)))),0) )*$E28"),636.41295)</f>
        <v>636.41295</v>
      </c>
      <c r="AS28" s="79"/>
      <c r="AT28" s="68">
        <f t="shared" si="14"/>
        <v>0</v>
      </c>
      <c r="AU28" s="75">
        <f>IFERROR(__xludf.DUMMYFUNCTION("(iferror(sum((filter(TO!$D:$D,month(TO!$B:$B)=month(AV$10),year(TO!$B:$B)=year(AV$10)))),0) )*(iferror(sum((filter(TO!$C:$C,month(TO!$B:$B)=month(AV$10),year(TO!$B:$B)=year(AV$10)))),0) )*(iferror(sum((filter(TO!$A:$A,month(TO!$B:$B)=month(AV$10),year(TO!"&amp;"$B:$B)=year(AV$10)))),0) )*$E28"),761.2178999999999)</f>
        <v>761.2179</v>
      </c>
      <c r="AV28" s="79"/>
      <c r="AW28" s="68">
        <f t="shared" si="15"/>
        <v>0</v>
      </c>
      <c r="AX28" s="75">
        <f>IFERROR(__xludf.DUMMYFUNCTION("(iferror(sum((filter(TO!$D:$D,month(TO!$B:$B)=month(AY$10),year(TO!$B:$B)=year(AY$10)))),0) )*(iferror(sum((filter(TO!$C:$C,month(TO!$B:$B)=month(AY$10),year(TO!$B:$B)=year(AY$10)))),0) )*(iferror(sum((filter(TO!$A:$A,month(TO!$B:$B)=month(AY$10),year(TO!"&amp;"$B:$B)=year(AY$10)))),0) )*$E28"),1309.6260000000002)</f>
        <v>1309.626</v>
      </c>
      <c r="AY28" s="79"/>
      <c r="AZ28" s="68">
        <f t="shared" si="16"/>
        <v>0</v>
      </c>
    </row>
    <row r="29">
      <c r="A29" s="48" t="s">
        <v>75</v>
      </c>
      <c r="B29" s="4">
        <v>3413.0</v>
      </c>
      <c r="C29" s="4" t="s">
        <v>112</v>
      </c>
      <c r="D29" s="64"/>
      <c r="E29" s="83">
        <v>0.1</v>
      </c>
      <c r="F29" s="65">
        <v>50150.0</v>
      </c>
      <c r="G29" s="75">
        <f t="shared" ref="G29:G30" si="26">(($H$1*$E$29) -2086-1572-762-565)</f>
        <v>5015</v>
      </c>
      <c r="H29" s="66">
        <f t="shared" si="2"/>
        <v>0</v>
      </c>
      <c r="I29" s="68">
        <f t="shared" si="17"/>
        <v>0</v>
      </c>
      <c r="J29" s="75"/>
      <c r="K29" s="79">
        <f>IFERROR(__xludf.DUMMYFUNCTION("(IFERROR(SUM((filter('ILC3413'!$D:$D,MONTH('ILC3413'!$B:$B)=MONTH(K$10),YEAR('ILC3413'!$B:$B)=YEAR(K$10),'ILC3413'!$I:$I=""Fernando""))),0) + IFERROR(SUM((filter('ILC3413'!$D:$D,MONTH('ILC3413'!$B:$B)=MONTH(K$10),YEAR('ILC3413'!$B:$B)=YEAR(K$10),'ILC3413'"&amp;"!$I:$I=""Kremer""))),0) + IFERROR(SUM((filter('ILC3413'!$D:$D,MONTH('ILC3413'!$B:$B)=MONTH(K$10),YEAR('ILC3413'!$B:$B)=YEAR(K$10),'ILC3413'!$I:$I=""Fer""))),0))*$E29"),0.0)</f>
        <v>0</v>
      </c>
      <c r="L29" s="68">
        <f t="shared" si="18"/>
        <v>0</v>
      </c>
      <c r="M29" s="75"/>
      <c r="N29" s="79"/>
      <c r="O29" s="79">
        <v>0.0</v>
      </c>
      <c r="P29" s="68">
        <f t="shared" si="19"/>
        <v>0</v>
      </c>
      <c r="Q29" s="75"/>
      <c r="R29" s="79"/>
      <c r="S29" s="79">
        <v>0.0</v>
      </c>
      <c r="T29" s="68">
        <f t="shared" si="20"/>
        <v>0</v>
      </c>
      <c r="U29" s="75"/>
      <c r="V29" s="79"/>
      <c r="W29" s="79">
        <v>0.0</v>
      </c>
      <c r="X29" s="68">
        <f t="shared" si="21"/>
        <v>0</v>
      </c>
      <c r="Y29" s="75">
        <v>0.0</v>
      </c>
      <c r="Z29" s="79"/>
      <c r="AA29" s="93">
        <v>0.0</v>
      </c>
      <c r="AB29" s="68">
        <f t="shared" si="22"/>
        <v>0</v>
      </c>
      <c r="AC29" s="75">
        <f>IFERROR(__xludf.DUMMYFUNCTION("(iferror(sum((filter(TO!$D:$D,month(TO!$B:$B)=month(AD$10),year(TO!$B:$B)=year(AD$10)))),0) )*(iferror(sum((filter(TO!$C:$C,month(TO!$B:$B)=month(AD$10),year(TO!$B:$B)=year(AD$10)))),0) )*(iferror(sum((filter(TO!$A:$A,month(TO!$B:$B)=month(AD$10),year(TO!"&amp;"$B:$B)=year(AD$10)))),0) )*$E29"),655.8775400000001)</f>
        <v>655.87754</v>
      </c>
      <c r="AD29" s="79"/>
      <c r="AE29" s="68">
        <f t="shared" si="23"/>
        <v>0</v>
      </c>
      <c r="AF29" s="75">
        <f>IFERROR(__xludf.DUMMYFUNCTION("(iferror(sum((filter(TO!$D:$D,month(TO!$B:$B)=month(AG$10),year(TO!$B:$B)=year(AG$10)))),0) )*(iferror(sum((filter(TO!$C:$C,month(TO!$B:$B)=month(AG$10),year(TO!$B:$B)=year(AG$10)))),0) )*(iferror(sum((filter(TO!$A:$A,month(TO!$B:$B)=month(AG$10),year(TO!"&amp;"$B:$B)=year(AG$10)))),0) )*$E29"),311.202)</f>
        <v>311.202</v>
      </c>
      <c r="AG29" s="79"/>
      <c r="AH29" s="68">
        <f t="shared" si="10"/>
        <v>0</v>
      </c>
      <c r="AI29" s="75">
        <f>IFERROR(__xludf.DUMMYFUNCTION("(iferror(sum((filter(TO!$D:$D,month(TO!$B:$B)=month(AJ$10),year(TO!$B:$B)=year(AJ$10)))),0) )*(iferror(sum((filter(TO!$C:$C,month(TO!$B:$B)=month(AJ$10),year(TO!$B:$B)=year(AJ$10)))),0) )*(iferror(sum((filter(TO!$A:$A,month(TO!$B:$B)=month(AJ$10),year(TO!"&amp;"$B:$B)=year(AJ$10)))),0) )*$E29"),512.23315)</f>
        <v>512.23315</v>
      </c>
      <c r="AJ29" s="79"/>
      <c r="AK29" s="68">
        <f t="shared" si="11"/>
        <v>0</v>
      </c>
      <c r="AL29" s="75">
        <f>IFERROR(__xludf.DUMMYFUNCTION("(iferror(sum((filter(TO!$D:$D,month(TO!$B:$B)=month(AM$10),year(TO!$B:$B)=year(AM$10)))),0) )*(iferror(sum((filter(TO!$C:$C,month(TO!$B:$B)=month(AM$10),year(TO!$B:$B)=year(AM$10)))),0) )*(iferror(sum((filter(TO!$A:$A,month(TO!$B:$B)=month(AM$10),year(TO!"&amp;"$B:$B)=year(AM$10)))),0) )*$E29"),393.9294)</f>
        <v>393.9294</v>
      </c>
      <c r="AM29" s="79"/>
      <c r="AN29" s="68">
        <f t="shared" si="12"/>
        <v>0</v>
      </c>
      <c r="AO29" s="75">
        <f>IFERROR(__xludf.DUMMYFUNCTION("(iferror(sum((filter(TO!$D:$D,month(TO!$B:$B)=month(AP$10),year(TO!$B:$B)=year(AP$10)))),0) )*(iferror(sum((filter(TO!$C:$C,month(TO!$B:$B)=month(AP$10),year(TO!$B:$B)=year(AP$10)))),0) )*(iferror(sum((filter(TO!$A:$A,month(TO!$B:$B)=month(AP$10),year(TO!"&amp;"$B:$B)=year(AP$10)))),0) )*$E29"),436.896)</f>
        <v>436.896</v>
      </c>
      <c r="AP29" s="79"/>
      <c r="AQ29" s="68">
        <f t="shared" si="13"/>
        <v>0</v>
      </c>
      <c r="AR29" s="75">
        <f>IFERROR(__xludf.DUMMYFUNCTION("(iferror(sum((filter(TO!$D:$D,month(TO!$B:$B)=month(AS$10),year(TO!$B:$B)=year(AS$10)))),0) )*(iferror(sum((filter(TO!$C:$C,month(TO!$B:$B)=month(AS$10),year(TO!$B:$B)=year(AS$10)))),0) )*(iferror(sum((filter(TO!$A:$A,month(TO!$B:$B)=month(AS$10),year(TO!"&amp;"$B:$B)=year(AS$10)))),0) )*$E29"),636.41295)</f>
        <v>636.41295</v>
      </c>
      <c r="AS29" s="79"/>
      <c r="AT29" s="68">
        <f t="shared" si="14"/>
        <v>0</v>
      </c>
      <c r="AU29" s="75">
        <f>IFERROR(__xludf.DUMMYFUNCTION("(iferror(sum((filter(TO!$D:$D,month(TO!$B:$B)=month(AV$10),year(TO!$B:$B)=year(AV$10)))),0) )*(iferror(sum((filter(TO!$C:$C,month(TO!$B:$B)=month(AV$10),year(TO!$B:$B)=year(AV$10)))),0) )*(iferror(sum((filter(TO!$A:$A,month(TO!$B:$B)=month(AV$10),year(TO!"&amp;"$B:$B)=year(AV$10)))),0) )*$E29"),761.2178999999999)</f>
        <v>761.2179</v>
      </c>
      <c r="AV29" s="79"/>
      <c r="AW29" s="68">
        <f t="shared" si="15"/>
        <v>0</v>
      </c>
      <c r="AX29" s="75">
        <f>IFERROR(__xludf.DUMMYFUNCTION("(iferror(sum((filter(TO!$D:$D,month(TO!$B:$B)=month(AY$10),year(TO!$B:$B)=year(AY$10)))),0) )*(iferror(sum((filter(TO!$C:$C,month(TO!$B:$B)=month(AY$10),year(TO!$B:$B)=year(AY$10)))),0) )*(iferror(sum((filter(TO!$A:$A,month(TO!$B:$B)=month(AY$10),year(TO!"&amp;"$B:$B)=year(AY$10)))),0) )*$E29"),1309.6260000000002)</f>
        <v>1309.626</v>
      </c>
      <c r="AY29" s="79"/>
      <c r="AZ29" s="68">
        <f t="shared" si="16"/>
        <v>0</v>
      </c>
    </row>
    <row r="30">
      <c r="A30" s="48" t="s">
        <v>78</v>
      </c>
      <c r="B30" s="4">
        <v>3415.0</v>
      </c>
      <c r="C30" s="4" t="s">
        <v>112</v>
      </c>
      <c r="D30" s="64"/>
      <c r="E30" s="83">
        <v>0.1</v>
      </c>
      <c r="F30" s="65">
        <v>50150.0</v>
      </c>
      <c r="G30" s="75">
        <f t="shared" si="26"/>
        <v>5015</v>
      </c>
      <c r="H30" s="66">
        <f t="shared" si="2"/>
        <v>0</v>
      </c>
      <c r="I30" s="68">
        <f t="shared" si="17"/>
        <v>0</v>
      </c>
      <c r="J30" s="75"/>
      <c r="K30" s="79">
        <f>IFERROR(__xludf.DUMMYFUNCTION("(IFERROR(SUM((filter('ILC3415'!$D:$D,MONTH('ILC3415'!$B:$B)=MONTH(K$10),YEAR('ILC3415'!$B:$B)=YEAR(K$10),'ILC3415'!$I:$I=""Fernando""))),0) + IFERROR(SUM((filter('ILC3415'!$D:$D,MONTH('ILC3415'!$B:$B)=MONTH(K$10),YEAR('ILC3415'!$B:$B)=YEAR(K$10),'ILC3415'"&amp;"!$I:$I=""Kremer""))),0)+IFERROR(SUM((filter('ILC3415'!$D:$D,MONTH('ILC3415'!$B:$B)=MONTH(K$10),YEAR('ILC3415'!$B:$B)=YEAR(K$10),'ILC3415'!$I:$I=""Fer""))),0))*$E30"),0.0)</f>
        <v>0</v>
      </c>
      <c r="L30" s="68">
        <f t="shared" si="18"/>
        <v>0</v>
      </c>
      <c r="M30" s="75"/>
      <c r="N30" s="79"/>
      <c r="O30" s="79">
        <v>0.0</v>
      </c>
      <c r="P30" s="68">
        <f t="shared" si="19"/>
        <v>0</v>
      </c>
      <c r="Q30" s="75"/>
      <c r="R30" s="79"/>
      <c r="S30" s="79">
        <v>0.0</v>
      </c>
      <c r="T30" s="68">
        <f t="shared" si="20"/>
        <v>0</v>
      </c>
      <c r="U30" s="75"/>
      <c r="V30" s="79"/>
      <c r="W30" s="79">
        <v>0.0</v>
      </c>
      <c r="X30" s="68">
        <f t="shared" si="21"/>
        <v>0</v>
      </c>
      <c r="Y30" s="75">
        <v>0.0</v>
      </c>
      <c r="Z30" s="79"/>
      <c r="AA30" s="93">
        <v>0.0</v>
      </c>
      <c r="AB30" s="68">
        <f t="shared" si="22"/>
        <v>0</v>
      </c>
      <c r="AC30" s="75">
        <f>IFERROR(__xludf.DUMMYFUNCTION("(iferror(sum((filter(TO!$D:$D,month(TO!$B:$B)=month(AD$10),year(TO!$B:$B)=year(AD$10)))),0) )*(iferror(sum((filter(TO!$C:$C,month(TO!$B:$B)=month(AD$10),year(TO!$B:$B)=year(AD$10)))),0) )*(iferror(sum((filter(TO!$A:$A,month(TO!$B:$B)=month(AD$10),year(TO!"&amp;"$B:$B)=year(AD$10)))),0) )*$E30"),655.8775400000001)</f>
        <v>655.87754</v>
      </c>
      <c r="AD30" s="79"/>
      <c r="AE30" s="68">
        <f t="shared" si="23"/>
        <v>0</v>
      </c>
      <c r="AF30" s="75">
        <f>IFERROR(__xludf.DUMMYFUNCTION("(iferror(sum((filter(TO!$D:$D,month(TO!$B:$B)=month(AG$10),year(TO!$B:$B)=year(AG$10)))),0) )*(iferror(sum((filter(TO!$C:$C,month(TO!$B:$B)=month(AG$10),year(TO!$B:$B)=year(AG$10)))),0) )*(iferror(sum((filter(TO!$A:$A,month(TO!$B:$B)=month(AG$10),year(TO!"&amp;"$B:$B)=year(AG$10)))),0) )*$E30"),311.202)</f>
        <v>311.202</v>
      </c>
      <c r="AG30" s="79"/>
      <c r="AH30" s="68">
        <f t="shared" si="10"/>
        <v>0</v>
      </c>
      <c r="AI30" s="75">
        <f>IFERROR(__xludf.DUMMYFUNCTION("(iferror(sum((filter(TO!$D:$D,month(TO!$B:$B)=month(AJ$10),year(TO!$B:$B)=year(AJ$10)))),0) )*(iferror(sum((filter(TO!$C:$C,month(TO!$B:$B)=month(AJ$10),year(TO!$B:$B)=year(AJ$10)))),0) )*(iferror(sum((filter(TO!$A:$A,month(TO!$B:$B)=month(AJ$10),year(TO!"&amp;"$B:$B)=year(AJ$10)))),0) )*$E30"),512.23315)</f>
        <v>512.23315</v>
      </c>
      <c r="AJ30" s="79"/>
      <c r="AK30" s="68">
        <f t="shared" si="11"/>
        <v>0</v>
      </c>
      <c r="AL30" s="75">
        <f>IFERROR(__xludf.DUMMYFUNCTION("(iferror(sum((filter(TO!$D:$D,month(TO!$B:$B)=month(AM$10),year(TO!$B:$B)=year(AM$10)))),0) )*(iferror(sum((filter(TO!$C:$C,month(TO!$B:$B)=month(AM$10),year(TO!$B:$B)=year(AM$10)))),0) )*(iferror(sum((filter(TO!$A:$A,month(TO!$B:$B)=month(AM$10),year(TO!"&amp;"$B:$B)=year(AM$10)))),0) )*$E30"),393.9294)</f>
        <v>393.9294</v>
      </c>
      <c r="AM30" s="79"/>
      <c r="AN30" s="68">
        <f t="shared" si="12"/>
        <v>0</v>
      </c>
      <c r="AO30" s="75">
        <f>IFERROR(__xludf.DUMMYFUNCTION("(iferror(sum((filter(TO!$D:$D,month(TO!$B:$B)=month(AP$10),year(TO!$B:$B)=year(AP$10)))),0) )*(iferror(sum((filter(TO!$C:$C,month(TO!$B:$B)=month(AP$10),year(TO!$B:$B)=year(AP$10)))),0) )*(iferror(sum((filter(TO!$A:$A,month(TO!$B:$B)=month(AP$10),year(TO!"&amp;"$B:$B)=year(AP$10)))),0) )*$E30"),436.896)</f>
        <v>436.896</v>
      </c>
      <c r="AP30" s="79"/>
      <c r="AQ30" s="68">
        <f t="shared" si="13"/>
        <v>0</v>
      </c>
      <c r="AR30" s="75">
        <f>IFERROR(__xludf.DUMMYFUNCTION("(iferror(sum((filter(TO!$D:$D,month(TO!$B:$B)=month(AS$10),year(TO!$B:$B)=year(AS$10)))),0) )*(iferror(sum((filter(TO!$C:$C,month(TO!$B:$B)=month(AS$10),year(TO!$B:$B)=year(AS$10)))),0) )*(iferror(sum((filter(TO!$A:$A,month(TO!$B:$B)=month(AS$10),year(TO!"&amp;"$B:$B)=year(AS$10)))),0) )*$E30"),636.41295)</f>
        <v>636.41295</v>
      </c>
      <c r="AS30" s="79"/>
      <c r="AT30" s="68">
        <f t="shared" si="14"/>
        <v>0</v>
      </c>
      <c r="AU30" s="75">
        <f>IFERROR(__xludf.DUMMYFUNCTION("(iferror(sum((filter(TO!$D:$D,month(TO!$B:$B)=month(AV$10),year(TO!$B:$B)=year(AV$10)))),0) )*(iferror(sum((filter(TO!$C:$C,month(TO!$B:$B)=month(AV$10),year(TO!$B:$B)=year(AV$10)))),0) )*(iferror(sum((filter(TO!$A:$A,month(TO!$B:$B)=month(AV$10),year(TO!"&amp;"$B:$B)=year(AV$10)))),0) )*$E30"),761.2178999999999)</f>
        <v>761.2179</v>
      </c>
      <c r="AV30" s="79"/>
      <c r="AW30" s="68">
        <f t="shared" si="15"/>
        <v>0</v>
      </c>
      <c r="AX30" s="75">
        <f>IFERROR(__xludf.DUMMYFUNCTION("(iferror(sum((filter(TO!$D:$D,month(TO!$B:$B)=month(AY$10),year(TO!$B:$B)=year(AY$10)))),0) )*(iferror(sum((filter(TO!$C:$C,month(TO!$B:$B)=month(AY$10),year(TO!$B:$B)=year(AY$10)))),0) )*(iferror(sum((filter(TO!$A:$A,month(TO!$B:$B)=month(AY$10),year(TO!"&amp;"$B:$B)=year(AY$10)))),0) )*$E30"),1309.6260000000002)</f>
        <v>1309.626</v>
      </c>
      <c r="AY30" s="79"/>
      <c r="AZ30" s="68">
        <f t="shared" si="16"/>
        <v>0</v>
      </c>
    </row>
    <row r="31">
      <c r="A31" s="48" t="s">
        <v>79</v>
      </c>
      <c r="B31" s="4">
        <v>4406.0</v>
      </c>
      <c r="C31" s="51" t="s">
        <v>95</v>
      </c>
      <c r="D31" s="64"/>
      <c r="E31" s="64">
        <v>0.1</v>
      </c>
      <c r="F31" s="65">
        <v>63420.0</v>
      </c>
      <c r="G31" s="75">
        <f>($H$1*E31)-(2086+1572)</f>
        <v>6342</v>
      </c>
      <c r="H31" s="66">
        <f t="shared" si="2"/>
        <v>621.545</v>
      </c>
      <c r="I31" s="68">
        <f t="shared" si="17"/>
        <v>0.09800457269</v>
      </c>
      <c r="J31" s="75"/>
      <c r="K31" s="79">
        <f>IFERROR(__xludf.DUMMYFUNCTION("(IFERROR(SUM((filter('ILC4406'!$D:$D,MONTH('ILC4406'!$B:$B)=MONTH(K$10),YEAR('ILC4406'!$B:$B)=YEAR(K$10),'ILC4406'!$I:$I=""Fernando""))),0) + IFERROR(SUM((filter('ILC4406'!$D:$D,MONTH('ILC4406'!$B:$B)=MONTH(K$10),YEAR('ILC4406'!$B:$B)=YEAR(K$10),'ILC4406'"&amp;"!$I:$I=""Kremer""))),0) + IFERROR(SUM((filter('ILC4406'!$D:$D,MONTH('ILC4406'!$B:$B)=MONTH(K$10),YEAR('ILC4406'!$B:$B)=YEAR(K$10),'ILC4406'!$I:$I=""Fer""))),0))*$E31"),0.0)</f>
        <v>0</v>
      </c>
      <c r="L31" s="68">
        <f t="shared" si="18"/>
        <v>0</v>
      </c>
      <c r="M31" s="75"/>
      <c r="N31" s="79"/>
      <c r="O31" s="79">
        <v>0.0</v>
      </c>
      <c r="P31" s="68">
        <f t="shared" si="19"/>
        <v>0</v>
      </c>
      <c r="Q31" s="75"/>
      <c r="R31" s="79"/>
      <c r="S31" s="79">
        <v>0.0</v>
      </c>
      <c r="T31" s="68">
        <f t="shared" si="20"/>
        <v>0</v>
      </c>
      <c r="U31" s="65">
        <v>762.0</v>
      </c>
      <c r="V31" s="79">
        <f>W31/0.05</f>
        <v>3525.1</v>
      </c>
      <c r="W31" s="79">
        <v>176.255</v>
      </c>
      <c r="X31" s="68">
        <f t="shared" si="21"/>
        <v>0.2313057743</v>
      </c>
      <c r="Y31" s="65">
        <f>IFERROR(__xludf.DUMMYFUNCTION("(iferror(sum((filter(TO!$D:$D,month(TO!$B:$B)=month(AA$10),year(TO!$B:$B)=year(AA$10)))),0) )*(iferror(sum((filter(TO!$C:$C,month(TO!$B:$B)=month(AA$10),year(TO!$B:$B)=year(AA$10)))),0) )*(iferror(sum((filter(TO!$A:$A,month(TO!$B:$B)=month(AA$10),year(TO!"&amp;"$B:$B)=year(AA$10)))),0) )*$E31"),565.3032000000001)</f>
        <v>565.3032</v>
      </c>
      <c r="Z31" s="93">
        <f t="shared" ref="Z31:Z32" si="27">AA31/0.1</f>
        <v>4452.9</v>
      </c>
      <c r="AA31" s="79">
        <v>445.29</v>
      </c>
      <c r="AB31" s="68">
        <f t="shared" si="22"/>
        <v>0.7877011841</v>
      </c>
      <c r="AC31" s="65">
        <v>656.0</v>
      </c>
      <c r="AD31" s="79"/>
      <c r="AE31" s="68">
        <f t="shared" si="23"/>
        <v>0</v>
      </c>
      <c r="AF31" s="65">
        <v>311.0</v>
      </c>
      <c r="AG31" s="79"/>
      <c r="AH31" s="68">
        <f t="shared" si="10"/>
        <v>0</v>
      </c>
      <c r="AI31" s="65">
        <v>311.0</v>
      </c>
      <c r="AJ31" s="79"/>
      <c r="AK31" s="68">
        <f t="shared" si="11"/>
        <v>0</v>
      </c>
      <c r="AL31" s="65">
        <v>311.0</v>
      </c>
      <c r="AM31" s="79"/>
      <c r="AN31" s="68">
        <f t="shared" si="12"/>
        <v>0</v>
      </c>
      <c r="AO31" s="65">
        <v>311.0</v>
      </c>
      <c r="AP31" s="79"/>
      <c r="AQ31" s="68">
        <f t="shared" si="13"/>
        <v>0</v>
      </c>
      <c r="AR31" s="75">
        <f>IFERROR(__xludf.DUMMYFUNCTION("(iferror(sum((filter(TO!$D:$D,month(TO!$B:$B)=month(AS$10),year(TO!$B:$B)=year(AS$10)))),0) )*(iferror(sum((filter(TO!$C:$C,month(TO!$B:$B)=month(AS$10),year(TO!$B:$B)=year(AS$10)))),0) )*(iferror(sum((filter(TO!$A:$A,month(TO!$B:$B)=month(AS$10),year(TO!"&amp;"$B:$B)=year(AS$10)))),0) )*$E31"),636.41295)</f>
        <v>636.41295</v>
      </c>
      <c r="AS31" s="79"/>
      <c r="AT31" s="68">
        <f t="shared" si="14"/>
        <v>0</v>
      </c>
      <c r="AU31" s="75">
        <f>IFERROR(__xludf.DUMMYFUNCTION("(iferror(sum((filter(TO!$D:$D,month(TO!$B:$B)=month(AV$10),year(TO!$B:$B)=year(AV$10)))),0) )*(iferror(sum((filter(TO!$C:$C,month(TO!$B:$B)=month(AV$10),year(TO!$B:$B)=year(AV$10)))),0) )*(iferror(sum((filter(TO!$A:$A,month(TO!$B:$B)=month(AV$10),year(TO!"&amp;"$B:$B)=year(AV$10)))),0) )*$E31"),761.2178999999999)</f>
        <v>761.2179</v>
      </c>
      <c r="AV31" s="79"/>
      <c r="AW31" s="68">
        <f t="shared" si="15"/>
        <v>0</v>
      </c>
      <c r="AX31" s="75">
        <f>IFERROR(__xludf.DUMMYFUNCTION("(iferror(sum((filter(TO!$D:$D,month(TO!$B:$B)=month(AY$10),year(TO!$B:$B)=year(AY$10)))),0) )*(iferror(sum((filter(TO!$C:$C,month(TO!$B:$B)=month(AY$10),year(TO!$B:$B)=year(AY$10)))),0) )*(iferror(sum((filter(TO!$A:$A,month(TO!$B:$B)=month(AY$10),year(TO!"&amp;"$B:$B)=year(AY$10)))),0) )*$E31"),1309.6260000000002)</f>
        <v>1309.626</v>
      </c>
      <c r="AY31" s="79"/>
      <c r="AZ31" s="68">
        <f t="shared" si="16"/>
        <v>0</v>
      </c>
    </row>
    <row r="32">
      <c r="A32" s="48" t="s">
        <v>80</v>
      </c>
      <c r="B32" s="4">
        <v>4410.0</v>
      </c>
      <c r="C32" s="4" t="s">
        <v>125</v>
      </c>
      <c r="D32" s="64"/>
      <c r="E32" s="64">
        <v>0.1</v>
      </c>
      <c r="F32" s="65">
        <v>63420.0</v>
      </c>
      <c r="G32" s="75">
        <f>(($H$1*E32) -2086-1572)</f>
        <v>6342</v>
      </c>
      <c r="H32" s="66">
        <f t="shared" si="2"/>
        <v>1750.441</v>
      </c>
      <c r="I32" s="68">
        <f t="shared" si="17"/>
        <v>0.2760077263</v>
      </c>
      <c r="J32" s="75"/>
      <c r="K32" s="79">
        <f>IFERROR(__xludf.DUMMYFUNCTION("(IFERROR(SUM((filter('ILC4410'!$D:$D,MONTH('ILC4410'!$B:$B)=MONTH(K$10),YEAR('ILC4410'!$B:$B)=YEAR(K$10),'ILC4410'!$I:$I=""Fernando""))),0) + IFERROR(SUM((filter('ILC4410'!$D:$D,MONTH('ILC4410'!$B:$B)=MONTH(K$10),YEAR('ILC4410'!$B:$B)=YEAR(K$10),'ILC4410'"&amp;"!$I:$I=""Kremer""))),0) + IFERROR(SUM((filter('ILC4410'!$D:$D,MONTH('ILC4410'!$B:$B)=MONTH(K$10),YEAR('ILC4410'!$B:$B)=YEAR(K$10),'ILC4410'!$I:$I=""Fer""))),0))*$E32"),0.0)</f>
        <v>0</v>
      </c>
      <c r="L32" s="68">
        <f t="shared" si="18"/>
        <v>0</v>
      </c>
      <c r="M32" s="75"/>
      <c r="N32" s="79"/>
      <c r="O32" s="79">
        <v>0.0</v>
      </c>
      <c r="P32" s="68">
        <f t="shared" si="19"/>
        <v>0</v>
      </c>
      <c r="Q32" s="75"/>
      <c r="R32" s="79"/>
      <c r="S32" s="79">
        <v>0.0</v>
      </c>
      <c r="T32" s="68">
        <f t="shared" si="20"/>
        <v>0</v>
      </c>
      <c r="U32" s="75">
        <f>IFERROR(__xludf.DUMMYFUNCTION("(iferror(sum((filter(TO!$D:$D,month(TO!$B:$B)=month(W$10),year(TO!$B:$B)=year(W$10)))),0) )*(iferror(sum((filter(TO!$C:$C,month(TO!$B:$B)=month(W$10),year(TO!$B:$B)=year(W$10)))),0) )*(iferror(sum((filter(TO!$A:$A,month(TO!$B:$B)=month(W$10),year(TO!$B:$B"&amp;")=year(W$10)))),0) )*$E32"),761.6712400000001)</f>
        <v>761.67124</v>
      </c>
      <c r="V32" s="79">
        <f>W32/0.1</f>
        <v>10199.51</v>
      </c>
      <c r="W32" s="79">
        <v>1019.951</v>
      </c>
      <c r="X32" s="68">
        <f t="shared" si="21"/>
        <v>1.339096117</v>
      </c>
      <c r="Y32" s="75">
        <f>IFERROR(__xludf.DUMMYFUNCTION("(iferror(sum((filter(TO!$D:$D,month(TO!$B:$B)=month(AA$10),year(TO!$B:$B)=year(AA$10)))),0) )*(iferror(sum((filter(TO!$C:$C,month(TO!$B:$B)=month(AA$10),year(TO!$B:$B)=year(AA$10)))),0) )*(iferror(sum((filter(TO!$A:$A,month(TO!$B:$B)=month(AA$10),year(TO!"&amp;"$B:$B)=year(AA$10)))),0) )*$E32"),565.3032000000001)</f>
        <v>565.3032</v>
      </c>
      <c r="Z32" s="93">
        <f t="shared" si="27"/>
        <v>7304.9</v>
      </c>
      <c r="AA32" s="79">
        <v>730.49</v>
      </c>
      <c r="AB32" s="68">
        <f t="shared" si="22"/>
        <v>1.292209207</v>
      </c>
      <c r="AC32" s="75">
        <f>IFERROR(__xludf.DUMMYFUNCTION("(iferror(sum((filter(TO!$D:$D,month(TO!$B:$B)=month(AD$10),year(TO!$B:$B)=year(AD$10)))),0) )*(iferror(sum((filter(TO!$C:$C,month(TO!$B:$B)=month(AD$10),year(TO!$B:$B)=year(AD$10)))),0) )*(iferror(sum((filter(TO!$A:$A,month(TO!$B:$B)=month(AD$10),year(TO!"&amp;"$B:$B)=year(AD$10)))),0) )*$E32"),655.8775400000001)</f>
        <v>655.87754</v>
      </c>
      <c r="AD32" s="79"/>
      <c r="AE32" s="68">
        <f t="shared" si="23"/>
        <v>0</v>
      </c>
      <c r="AF32" s="75">
        <f>IFERROR(__xludf.DUMMYFUNCTION("(iferror(sum((filter(TO!$D:$D,month(TO!$B:$B)=month(AG$10),year(TO!$B:$B)=year(AG$10)))),0) )*(iferror(sum((filter(TO!$C:$C,month(TO!$B:$B)=month(AG$10),year(TO!$B:$B)=year(AG$10)))),0) )*(iferror(sum((filter(TO!$A:$A,month(TO!$B:$B)=month(AG$10),year(TO!"&amp;"$B:$B)=year(AG$10)))),0) )*$E32"),311.202)</f>
        <v>311.202</v>
      </c>
      <c r="AG32" s="79"/>
      <c r="AH32" s="68">
        <f t="shared" si="10"/>
        <v>0</v>
      </c>
      <c r="AI32" s="75">
        <f>IFERROR(__xludf.DUMMYFUNCTION("(iferror(sum((filter(TO!$D:$D,month(TO!$B:$B)=month(AJ$10),year(TO!$B:$B)=year(AJ$10)))),0) )*(iferror(sum((filter(TO!$C:$C,month(TO!$B:$B)=month(AJ$10),year(TO!$B:$B)=year(AJ$10)))),0) )*(iferror(sum((filter(TO!$A:$A,month(TO!$B:$B)=month(AJ$10),year(TO!"&amp;"$B:$B)=year(AJ$10)))),0) )*$E32"),512.23315)</f>
        <v>512.23315</v>
      </c>
      <c r="AJ32" s="79"/>
      <c r="AK32" s="68">
        <f t="shared" si="11"/>
        <v>0</v>
      </c>
      <c r="AL32" s="75">
        <f>IFERROR(__xludf.DUMMYFUNCTION("(iferror(sum((filter(TO!$D:$D,month(TO!$B:$B)=month(AM$10),year(TO!$B:$B)=year(AM$10)))),0) )*(iferror(sum((filter(TO!$C:$C,month(TO!$B:$B)=month(AM$10),year(TO!$B:$B)=year(AM$10)))),0) )*(iferror(sum((filter(TO!$A:$A,month(TO!$B:$B)=month(AM$10),year(TO!"&amp;"$B:$B)=year(AM$10)))),0) )*$E32"),393.9294)</f>
        <v>393.9294</v>
      </c>
      <c r="AM32" s="79"/>
      <c r="AN32" s="68">
        <f t="shared" si="12"/>
        <v>0</v>
      </c>
      <c r="AO32" s="75">
        <f>IFERROR(__xludf.DUMMYFUNCTION("(iferror(sum((filter(TO!$D:$D,month(TO!$B:$B)=month(AP$10),year(TO!$B:$B)=year(AP$10)))),0) )*(iferror(sum((filter(TO!$C:$C,month(TO!$B:$B)=month(AP$10),year(TO!$B:$B)=year(AP$10)))),0) )*(iferror(sum((filter(TO!$A:$A,month(TO!$B:$B)=month(AP$10),year(TO!"&amp;"$B:$B)=year(AP$10)))),0) )*$E32"),436.896)</f>
        <v>436.896</v>
      </c>
      <c r="AP32" s="79"/>
      <c r="AQ32" s="68">
        <f t="shared" si="13"/>
        <v>0</v>
      </c>
      <c r="AR32" s="75">
        <f>IFERROR(__xludf.DUMMYFUNCTION("(iferror(sum((filter(TO!$D:$D,month(TO!$B:$B)=month(AS$10),year(TO!$B:$B)=year(AS$10)))),0) )*(iferror(sum((filter(TO!$C:$C,month(TO!$B:$B)=month(AS$10),year(TO!$B:$B)=year(AS$10)))),0) )*(iferror(sum((filter(TO!$A:$A,month(TO!$B:$B)=month(AS$10),year(TO!"&amp;"$B:$B)=year(AS$10)))),0) )*$E32"),636.41295)</f>
        <v>636.41295</v>
      </c>
      <c r="AS32" s="79"/>
      <c r="AT32" s="68">
        <f t="shared" si="14"/>
        <v>0</v>
      </c>
      <c r="AU32" s="75">
        <f>IFERROR(__xludf.DUMMYFUNCTION("(iferror(sum((filter(TO!$D:$D,month(TO!$B:$B)=month(AV$10),year(TO!$B:$B)=year(AV$10)))),0) )*(iferror(sum((filter(TO!$C:$C,month(TO!$B:$B)=month(AV$10),year(TO!$B:$B)=year(AV$10)))),0) )*(iferror(sum((filter(TO!$A:$A,month(TO!$B:$B)=month(AV$10),year(TO!"&amp;"$B:$B)=year(AV$10)))),0) )*$E32"),761.2178999999999)</f>
        <v>761.2179</v>
      </c>
      <c r="AV32" s="79"/>
      <c r="AW32" s="68">
        <f t="shared" si="15"/>
        <v>0</v>
      </c>
      <c r="AX32" s="75">
        <f>IFERROR(__xludf.DUMMYFUNCTION("(iferror(sum((filter(TO!$D:$D,month(TO!$B:$B)=month(AY$10),year(TO!$B:$B)=year(AY$10)))),0) )*(iferror(sum((filter(TO!$C:$C,month(TO!$B:$B)=month(AY$10),year(TO!$B:$B)=year(AY$10)))),0) )*(iferror(sum((filter(TO!$A:$A,month(TO!$B:$B)=month(AY$10),year(TO!"&amp;"$B:$B)=year(AY$10)))),0) )*$E32"),1309.6260000000002)</f>
        <v>1309.626</v>
      </c>
      <c r="AY32" s="79"/>
      <c r="AZ32" s="68">
        <f t="shared" si="16"/>
        <v>0</v>
      </c>
    </row>
    <row r="33">
      <c r="A33" s="48" t="s">
        <v>81</v>
      </c>
      <c r="B33" s="4">
        <v>455.0</v>
      </c>
      <c r="C33" s="4" t="s">
        <v>93</v>
      </c>
      <c r="D33" s="64"/>
      <c r="E33" s="83">
        <v>0.1</v>
      </c>
      <c r="F33" s="65">
        <v>80000.0</v>
      </c>
      <c r="G33" s="75">
        <f t="shared" ref="G33:G35" si="28">$H$2*E33</f>
        <v>8000</v>
      </c>
      <c r="H33" s="66">
        <f t="shared" si="2"/>
        <v>0</v>
      </c>
      <c r="I33" s="68">
        <f t="shared" si="17"/>
        <v>0</v>
      </c>
      <c r="J33" s="75">
        <f>IFERROR(__xludf.DUMMYFUNCTION("(iferror(sum((filter(TO!$D:$D,month(TO!$B:$B)=month(K$10),year(TO!$B:$B)=year(K$10)))),0) )*(iferror(sum((filter(TO!$C:$C,month(TO!$B:$B)=month(K$10),year(TO!$B:$B)=year(K$10)))),0) )*(iferror(sum((filter(TO!$A:$A,month(TO!$B:$B)=month(K$10),year(TO!$B:$B"&amp;")=year(K$10)))),0) )*$E33"),1309.6260000000002)</f>
        <v>1309.626</v>
      </c>
      <c r="K33" s="79">
        <f>IFERROR(__xludf.DUMMYFUNCTION("(IFERROR(SUM((filter('JBV455'!$D:$D,MONTH('JBV455'!$B:$B)=MONTH(K$10),YEAR('JBV455'!$B:$B)=YEAR(K$10),'JBV455'!$I:$I=""Fernando""))),0) + IFERROR(SUM((filter('JBV455'!$D:$D,MONTH('JBV455'!$B:$B)=MONTH(K$10),YEAR('JBV455'!$B:$B)=YEAR(K$10),'JBV455'!$I:$I="&amp;"""Kremer""))),0) + IFERROR(SUM((filter('JBV455'!$D:$D,MONTH('JBV455'!$B:$B)=MONTH(K$10),YEAR('JBV455'!$B:$B)=YEAR(K$10),'JBV455'!$I:$I=""Fer""))),0))*$E33"),1243.06)</f>
        <v>1243.06</v>
      </c>
      <c r="L33" s="68">
        <f t="shared" si="18"/>
        <v>0.9491717483</v>
      </c>
      <c r="M33" s="75"/>
      <c r="N33" s="79"/>
      <c r="O33" s="79">
        <v>0.0</v>
      </c>
      <c r="P33" s="68">
        <f t="shared" si="19"/>
        <v>0</v>
      </c>
      <c r="Q33" s="75"/>
      <c r="R33" s="79"/>
      <c r="S33" s="79">
        <v>0.0</v>
      </c>
      <c r="T33" s="68">
        <f t="shared" si="20"/>
        <v>0</v>
      </c>
      <c r="U33" s="75">
        <f>IFERROR(__xludf.DUMMYFUNCTION("(iferror(sum((filter(TO!$D:$D,month(TO!$B:$B)=month(W$10),year(TO!$B:$B)=year(W$10)))),0) )*(iferror(sum((filter(TO!$C:$C,month(TO!$B:$B)=month(W$10),year(TO!$B:$B)=year(W$10)))),0) )*(iferror(sum((filter(TO!$A:$A,month(TO!$B:$B)=month(W$10),year(TO!$B:$B"&amp;")=year(W$10)))),0) )*$E33"),761.6712400000001)</f>
        <v>761.67124</v>
      </c>
      <c r="V33" s="79"/>
      <c r="W33" s="93">
        <v>0.0</v>
      </c>
      <c r="X33" s="68">
        <f t="shared" si="21"/>
        <v>0</v>
      </c>
      <c r="Y33" s="75">
        <f>IFERROR(__xludf.DUMMYFUNCTION("(iferror(sum((filter(TO!$D:$D,month(TO!$B:$B)=month(AA$10),year(TO!$B:$B)=year(AA$10)))),0) )*(iferror(sum((filter(TO!$C:$C,month(TO!$B:$B)=month(AA$10),year(TO!$B:$B)=year(AA$10)))),0) )*(iferror(sum((filter(TO!$A:$A,month(TO!$B:$B)=month(AA$10),year(TO!"&amp;"$B:$B)=year(AA$10)))),0) )*$E33"),565.3032000000001)</f>
        <v>565.3032</v>
      </c>
      <c r="Z33" s="93"/>
      <c r="AA33" s="93">
        <v>0.0</v>
      </c>
      <c r="AB33" s="68">
        <f t="shared" si="22"/>
        <v>0</v>
      </c>
      <c r="AC33" s="75">
        <f>IFERROR(__xludf.DUMMYFUNCTION("(iferror(sum((filter(TO!$D:$D,month(TO!$B:$B)=month(AD$10),year(TO!$B:$B)=year(AD$10)))),0) )*(iferror(sum((filter(TO!$C:$C,month(TO!$B:$B)=month(AD$10),year(TO!$B:$B)=year(AD$10)))),0) )*(iferror(sum((filter(TO!$A:$A,month(TO!$B:$B)=month(AD$10),year(TO!"&amp;"$B:$B)=year(AD$10)))),0) )*$E33"),655.8775400000001)</f>
        <v>655.87754</v>
      </c>
      <c r="AD33" s="79"/>
      <c r="AE33" s="68">
        <f t="shared" si="23"/>
        <v>0</v>
      </c>
      <c r="AF33" s="75">
        <f>IFERROR(__xludf.DUMMYFUNCTION("(iferror(sum((filter(TO!$D:$D,month(TO!$B:$B)=month(AG$10),year(TO!$B:$B)=year(AG$10)))),0) )*(iferror(sum((filter(TO!$C:$C,month(TO!$B:$B)=month(AG$10),year(TO!$B:$B)=year(AG$10)))),0) )*(iferror(sum((filter(TO!$A:$A,month(TO!$B:$B)=month(AG$10),year(TO!"&amp;"$B:$B)=year(AG$10)))),0) )*$E33"),311.202)</f>
        <v>311.202</v>
      </c>
      <c r="AG33" s="79"/>
      <c r="AH33" s="68">
        <f t="shared" si="10"/>
        <v>0</v>
      </c>
      <c r="AI33" s="75">
        <f>IFERROR(__xludf.DUMMYFUNCTION("(iferror(sum((filter(TO!$D:$D,month(TO!$B:$B)=month(AJ$10),year(TO!$B:$B)=year(AJ$10)))),0) )*(iferror(sum((filter(TO!$C:$C,month(TO!$B:$B)=month(AJ$10),year(TO!$B:$B)=year(AJ$10)))),0) )*(iferror(sum((filter(TO!$A:$A,month(TO!$B:$B)=month(AJ$10),year(TO!"&amp;"$B:$B)=year(AJ$10)))),0) )*$E33"),512.23315)</f>
        <v>512.23315</v>
      </c>
      <c r="AJ33" s="79"/>
      <c r="AK33" s="68">
        <f t="shared" si="11"/>
        <v>0</v>
      </c>
      <c r="AL33" s="75">
        <f>IFERROR(__xludf.DUMMYFUNCTION("(iferror(sum((filter(TO!$D:$D,month(TO!$B:$B)=month(AM$10),year(TO!$B:$B)=year(AM$10)))),0) )*(iferror(sum((filter(TO!$C:$C,month(TO!$B:$B)=month(AM$10),year(TO!$B:$B)=year(AM$10)))),0) )*(iferror(sum((filter(TO!$A:$A,month(TO!$B:$B)=month(AM$10),year(TO!"&amp;"$B:$B)=year(AM$10)))),0) )*$E33"),393.9294)</f>
        <v>393.9294</v>
      </c>
      <c r="AM33" s="79"/>
      <c r="AN33" s="68">
        <f t="shared" si="12"/>
        <v>0</v>
      </c>
      <c r="AO33" s="75">
        <f>IFERROR(__xludf.DUMMYFUNCTION("(iferror(sum((filter(TO!$D:$D,month(TO!$B:$B)=month(AP$10),year(TO!$B:$B)=year(AP$10)))),0) )*(iferror(sum((filter(TO!$C:$C,month(TO!$B:$B)=month(AP$10),year(TO!$B:$B)=year(AP$10)))),0) )*(iferror(sum((filter(TO!$A:$A,month(TO!$B:$B)=month(AP$10),year(TO!"&amp;"$B:$B)=year(AP$10)))),0) )*$E33"),436.896)</f>
        <v>436.896</v>
      </c>
      <c r="AP33" s="79"/>
      <c r="AQ33" s="68">
        <f t="shared" si="13"/>
        <v>0</v>
      </c>
      <c r="AR33" s="75">
        <f>IFERROR(__xludf.DUMMYFUNCTION("(iferror(sum((filter(TO!$D:$D,month(TO!$B:$B)=month(AS$10),year(TO!$B:$B)=year(AS$10)))),0) )*(iferror(sum((filter(TO!$C:$C,month(TO!$B:$B)=month(AS$10),year(TO!$B:$B)=year(AS$10)))),0) )*(iferror(sum((filter(TO!$A:$A,month(TO!$B:$B)=month(AS$10),year(TO!"&amp;"$B:$B)=year(AS$10)))),0) )*$E33"),636.41295)</f>
        <v>636.41295</v>
      </c>
      <c r="AS33" s="79"/>
      <c r="AT33" s="68">
        <f t="shared" si="14"/>
        <v>0</v>
      </c>
      <c r="AU33" s="75">
        <f>IFERROR(__xludf.DUMMYFUNCTION("(iferror(sum((filter(TO!$D:$D,month(TO!$B:$B)=month(AV$10),year(TO!$B:$B)=year(AV$10)))),0) )*(iferror(sum((filter(TO!$C:$C,month(TO!$B:$B)=month(AV$10),year(TO!$B:$B)=year(AV$10)))),0) )*(iferror(sum((filter(TO!$A:$A,month(TO!$B:$B)=month(AV$10),year(TO!"&amp;"$B:$B)=year(AV$10)))),0) )*$E33"),761.2178999999999)</f>
        <v>761.2179</v>
      </c>
      <c r="AV33" s="79"/>
      <c r="AW33" s="68">
        <f t="shared" si="15"/>
        <v>0</v>
      </c>
      <c r="AX33" s="75">
        <f>IFERROR(__xludf.DUMMYFUNCTION("(iferror(sum((filter(TO!$D:$D,month(TO!$B:$B)=month(AY$10),year(TO!$B:$B)=year(AY$10)))),0) )*(iferror(sum((filter(TO!$C:$C,month(TO!$B:$B)=month(AY$10),year(TO!$B:$B)=year(AY$10)))),0) )*(iferror(sum((filter(TO!$A:$A,month(TO!$B:$B)=month(AY$10),year(TO!"&amp;"$B:$B)=year(AY$10)))),0) )*$E33"),1309.6260000000002)</f>
        <v>1309.626</v>
      </c>
      <c r="AY33" s="79"/>
      <c r="AZ33" s="68">
        <f t="shared" si="16"/>
        <v>0</v>
      </c>
    </row>
    <row r="34">
      <c r="A34" s="48" t="s">
        <v>82</v>
      </c>
      <c r="B34" s="4">
        <v>462.0</v>
      </c>
      <c r="C34" s="4" t="s">
        <v>93</v>
      </c>
      <c r="D34" s="64"/>
      <c r="E34" s="64">
        <v>0.1</v>
      </c>
      <c r="F34" s="65">
        <v>80000.0</v>
      </c>
      <c r="G34" s="75">
        <f t="shared" si="28"/>
        <v>8000</v>
      </c>
      <c r="H34" s="66">
        <f t="shared" si="2"/>
        <v>0</v>
      </c>
      <c r="I34" s="68">
        <f t="shared" si="17"/>
        <v>0</v>
      </c>
      <c r="J34" s="75">
        <f>IFERROR(__xludf.DUMMYFUNCTION("(iferror(sum((filter(TO!$D:$D,month(TO!$B:$B)=month(K$10),year(TO!$B:$B)=year(K$10)))),0) )*(iferror(sum((filter(TO!$C:$C,month(TO!$B:$B)=month(K$10),year(TO!$B:$B)=year(K$10)))),0) )*(iferror(sum((filter(TO!$A:$A,month(TO!$B:$B)=month(K$10),year(TO!$B:$B"&amp;")=year(K$10)))),0) )*$E34"),1309.6260000000002)</f>
        <v>1309.626</v>
      </c>
      <c r="K34" s="79">
        <f>IFERROR(__xludf.DUMMYFUNCTION("(IFERROR(SUM((filter('JBV462'!$D:$D,MONTH('JBV462'!$B:$B)=MONTH(K$10),YEAR('JBV462'!$B:$B)=YEAR(K$10),'JBV462'!$I:$I=""Fernando""))),0) + IFERROR(SUM((filter('JBV462'!$D:$D,MONTH('JBV462'!$B:$B)=MONTH(K$10),YEAR('JBV462'!$B:$B)=YEAR(K$10),'JBV462'!$I:$I="&amp;"""Kremer""))),0)+IFERROR(SUM((filter('JBV462'!$D:$D,MONTH('JBV462'!$B:$B)=MONTH(K$10),YEAR('JBV462'!$B:$B)=YEAR(K$10),'JBV462'!$I:$I=""Fer""))),0))*$E34"),818.75)</f>
        <v>818.75</v>
      </c>
      <c r="L34" s="68">
        <f t="shared" si="18"/>
        <v>0.6251784861</v>
      </c>
      <c r="M34" s="75"/>
      <c r="N34" s="79"/>
      <c r="O34" s="79">
        <v>0.0</v>
      </c>
      <c r="P34" s="68">
        <f t="shared" si="19"/>
        <v>0</v>
      </c>
      <c r="Q34" s="75"/>
      <c r="R34" s="79"/>
      <c r="S34" s="79">
        <v>0.0</v>
      </c>
      <c r="T34" s="68">
        <f t="shared" si="20"/>
        <v>0</v>
      </c>
      <c r="U34" s="75">
        <f>IFERROR(__xludf.DUMMYFUNCTION("(iferror(sum((filter(TO!$D:$D,month(TO!$B:$B)=month(W$10),year(TO!$B:$B)=year(W$10)))),0) )*(iferror(sum((filter(TO!$C:$C,month(TO!$B:$B)=month(W$10),year(TO!$B:$B)=year(W$10)))),0) )*(iferror(sum((filter(TO!$A:$A,month(TO!$B:$B)=month(W$10),year(TO!$B:$B"&amp;")=year(W$10)))),0) )*$E34"),761.6712400000001)</f>
        <v>761.67124</v>
      </c>
      <c r="V34" s="79"/>
      <c r="W34" s="93">
        <v>0.0</v>
      </c>
      <c r="X34" s="68">
        <f t="shared" si="21"/>
        <v>0</v>
      </c>
      <c r="Y34" s="75">
        <f>IFERROR(__xludf.DUMMYFUNCTION("(iferror(sum((filter(TO!$D:$D,month(TO!$B:$B)=month(AA$10),year(TO!$B:$B)=year(AA$10)))),0) )*(iferror(sum((filter(TO!$C:$C,month(TO!$B:$B)=month(AA$10),year(TO!$B:$B)=year(AA$10)))),0) )*(iferror(sum((filter(TO!$A:$A,month(TO!$B:$B)=month(AA$10),year(TO!"&amp;"$B:$B)=year(AA$10)))),0) )*$E34"),565.3032000000001)</f>
        <v>565.3032</v>
      </c>
      <c r="Z34" s="93"/>
      <c r="AA34" s="93">
        <v>0.0</v>
      </c>
      <c r="AB34" s="68">
        <f t="shared" si="22"/>
        <v>0</v>
      </c>
      <c r="AC34" s="75">
        <f>IFERROR(__xludf.DUMMYFUNCTION("(iferror(sum((filter(TO!$D:$D,month(TO!$B:$B)=month(AD$10),year(TO!$B:$B)=year(AD$10)))),0) )*(iferror(sum((filter(TO!$C:$C,month(TO!$B:$B)=month(AD$10),year(TO!$B:$B)=year(AD$10)))),0) )*(iferror(sum((filter(TO!$A:$A,month(TO!$B:$B)=month(AD$10),year(TO!"&amp;"$B:$B)=year(AD$10)))),0) )*$E34"),655.8775400000001)</f>
        <v>655.87754</v>
      </c>
      <c r="AD34" s="79"/>
      <c r="AE34" s="68">
        <f t="shared" si="23"/>
        <v>0</v>
      </c>
      <c r="AF34" s="75">
        <f>IFERROR(__xludf.DUMMYFUNCTION("(iferror(sum((filter(TO!$D:$D,month(TO!$B:$B)=month(AG$10),year(TO!$B:$B)=year(AG$10)))),0) )*(iferror(sum((filter(TO!$C:$C,month(TO!$B:$B)=month(AG$10),year(TO!$B:$B)=year(AG$10)))),0) )*(iferror(sum((filter(TO!$A:$A,month(TO!$B:$B)=month(AG$10),year(TO!"&amp;"$B:$B)=year(AG$10)))),0) )*$E34"),311.202)</f>
        <v>311.202</v>
      </c>
      <c r="AG34" s="79"/>
      <c r="AH34" s="68">
        <f t="shared" si="10"/>
        <v>0</v>
      </c>
      <c r="AI34" s="75">
        <f>IFERROR(__xludf.DUMMYFUNCTION("(iferror(sum((filter(TO!$D:$D,month(TO!$B:$B)=month(AJ$10),year(TO!$B:$B)=year(AJ$10)))),0) )*(iferror(sum((filter(TO!$C:$C,month(TO!$B:$B)=month(AJ$10),year(TO!$B:$B)=year(AJ$10)))),0) )*(iferror(sum((filter(TO!$A:$A,month(TO!$B:$B)=month(AJ$10),year(TO!"&amp;"$B:$B)=year(AJ$10)))),0) )*$E34"),512.23315)</f>
        <v>512.23315</v>
      </c>
      <c r="AJ34" s="79"/>
      <c r="AK34" s="68">
        <f t="shared" si="11"/>
        <v>0</v>
      </c>
      <c r="AL34" s="75">
        <f>IFERROR(__xludf.DUMMYFUNCTION("(iferror(sum((filter(TO!$D:$D,month(TO!$B:$B)=month(AM$10),year(TO!$B:$B)=year(AM$10)))),0) )*(iferror(sum((filter(TO!$C:$C,month(TO!$B:$B)=month(AM$10),year(TO!$B:$B)=year(AM$10)))),0) )*(iferror(sum((filter(TO!$A:$A,month(TO!$B:$B)=month(AM$10),year(TO!"&amp;"$B:$B)=year(AM$10)))),0) )*$E34"),393.9294)</f>
        <v>393.9294</v>
      </c>
      <c r="AM34" s="79"/>
      <c r="AN34" s="68">
        <f t="shared" si="12"/>
        <v>0</v>
      </c>
      <c r="AO34" s="75">
        <f>IFERROR(__xludf.DUMMYFUNCTION("(iferror(sum((filter(TO!$D:$D,month(TO!$B:$B)=month(AP$10),year(TO!$B:$B)=year(AP$10)))),0) )*(iferror(sum((filter(TO!$C:$C,month(TO!$B:$B)=month(AP$10),year(TO!$B:$B)=year(AP$10)))),0) )*(iferror(sum((filter(TO!$A:$A,month(TO!$B:$B)=month(AP$10),year(TO!"&amp;"$B:$B)=year(AP$10)))),0) )*$E34"),436.896)</f>
        <v>436.896</v>
      </c>
      <c r="AP34" s="79"/>
      <c r="AQ34" s="68">
        <f t="shared" si="13"/>
        <v>0</v>
      </c>
      <c r="AR34" s="75">
        <f>IFERROR(__xludf.DUMMYFUNCTION("(iferror(sum((filter(TO!$D:$D,month(TO!$B:$B)=month(AS$10),year(TO!$B:$B)=year(AS$10)))),0) )*(iferror(sum((filter(TO!$C:$C,month(TO!$B:$B)=month(AS$10),year(TO!$B:$B)=year(AS$10)))),0) )*(iferror(sum((filter(TO!$A:$A,month(TO!$B:$B)=month(AS$10),year(TO!"&amp;"$B:$B)=year(AS$10)))),0) )*$E34"),636.41295)</f>
        <v>636.41295</v>
      </c>
      <c r="AS34" s="79"/>
      <c r="AT34" s="68">
        <f t="shared" si="14"/>
        <v>0</v>
      </c>
      <c r="AU34" s="75">
        <f>IFERROR(__xludf.DUMMYFUNCTION("(iferror(sum((filter(TO!$D:$D,month(TO!$B:$B)=month(AV$10),year(TO!$B:$B)=year(AV$10)))),0) )*(iferror(sum((filter(TO!$C:$C,month(TO!$B:$B)=month(AV$10),year(TO!$B:$B)=year(AV$10)))),0) )*(iferror(sum((filter(TO!$A:$A,month(TO!$B:$B)=month(AV$10),year(TO!"&amp;"$B:$B)=year(AV$10)))),0) )*$E34"),761.2178999999999)</f>
        <v>761.2179</v>
      </c>
      <c r="AV34" s="79"/>
      <c r="AW34" s="68">
        <f t="shared" si="15"/>
        <v>0</v>
      </c>
      <c r="AX34" s="75">
        <f>IFERROR(__xludf.DUMMYFUNCTION("(iferror(sum((filter(TO!$D:$D,month(TO!$B:$B)=month(AY$10),year(TO!$B:$B)=year(AY$10)))),0) )*(iferror(sum((filter(TO!$C:$C,month(TO!$B:$B)=month(AY$10),year(TO!$B:$B)=year(AY$10)))),0) )*(iferror(sum((filter(TO!$A:$A,month(TO!$B:$B)=month(AY$10),year(TO!"&amp;"$B:$B)=year(AY$10)))),0) )*$E34"),1309.6260000000002)</f>
        <v>1309.626</v>
      </c>
      <c r="AY34" s="79"/>
      <c r="AZ34" s="68">
        <f t="shared" si="16"/>
        <v>0</v>
      </c>
    </row>
    <row r="35">
      <c r="A35" s="48" t="s">
        <v>85</v>
      </c>
      <c r="B35" s="4">
        <v>464.0</v>
      </c>
      <c r="C35" s="4" t="s">
        <v>93</v>
      </c>
      <c r="D35" s="64"/>
      <c r="E35" s="64">
        <v>0.1</v>
      </c>
      <c r="F35" s="65">
        <v>80000.0</v>
      </c>
      <c r="G35" s="75">
        <f t="shared" si="28"/>
        <v>8000</v>
      </c>
      <c r="H35" s="66">
        <f t="shared" si="2"/>
        <v>0</v>
      </c>
      <c r="I35" s="68">
        <f t="shared" si="17"/>
        <v>0</v>
      </c>
      <c r="J35" s="75">
        <f>IFERROR(__xludf.DUMMYFUNCTION("(iferror(sum((filter(TO!$D:$D,month(TO!$B:$B)=month(K$10),year(TO!$B:$B)=year(K$10)))),0) )*(iferror(sum((filter(TO!$C:$C,month(TO!$B:$B)=month(K$10),year(TO!$B:$B)=year(K$10)))),0) )*(iferror(sum((filter(TO!$A:$A,month(TO!$B:$B)=month(K$10),year(TO!$B:$B"&amp;")=year(K$10)))),0) )*$E35"),1309.6260000000002)</f>
        <v>1309.626</v>
      </c>
      <c r="K35" s="79">
        <f>IFERROR(__xludf.DUMMYFUNCTION("(IFERROR(SUM((filter('JBV464'!$D:$D,MONTH('JBV464'!$B:$B)=MONTH(K$10),YEAR('JBV464'!$B:$B)=YEAR(K$10),'JBV464'!$I:$I=""Fernando""))),0) + IFERROR(SUM((filter('JBV464'!$D:$D,MONTH('JBV464'!$B:$B)=MONTH(K$10),YEAR('JBV464'!$B:$B)=YEAR(K$10),'JBV464'!$I:$I="&amp;"""Kremer""))),0) + IFERROR(SUM((filter('JBV464'!$D:$D,MONTH('JBV464'!$B:$B)=MONTH(K$10),YEAR('JBV464'!$B:$B)=YEAR(K$10),'JBV464'!$I:$I=""Fer""))),0))*$E35"),668.96875)</f>
        <v>668.96875</v>
      </c>
      <c r="L35" s="68">
        <f t="shared" si="18"/>
        <v>0.510809002</v>
      </c>
      <c r="M35" s="75"/>
      <c r="N35" s="79"/>
      <c r="O35" s="79">
        <v>0.0</v>
      </c>
      <c r="P35" s="68">
        <f t="shared" si="19"/>
        <v>0</v>
      </c>
      <c r="Q35" s="75"/>
      <c r="R35" s="79"/>
      <c r="S35" s="79">
        <v>0.0</v>
      </c>
      <c r="T35" s="68">
        <f t="shared" si="20"/>
        <v>0</v>
      </c>
      <c r="U35" s="75">
        <f>IFERROR(__xludf.DUMMYFUNCTION("(iferror(sum((filter(TO!$D:$D,month(TO!$B:$B)=month(W$10),year(TO!$B:$B)=year(W$10)))),0) )*(iferror(sum((filter(TO!$C:$C,month(TO!$B:$B)=month(W$10),year(TO!$B:$B)=year(W$10)))),0) )*(iferror(sum((filter(TO!$A:$A,month(TO!$B:$B)=month(W$10),year(TO!$B:$B"&amp;")=year(W$10)))),0) )*$E35"),761.6712400000001)</f>
        <v>761.67124</v>
      </c>
      <c r="V35" s="79"/>
      <c r="W35" s="93">
        <v>0.0</v>
      </c>
      <c r="X35" s="68">
        <f t="shared" si="21"/>
        <v>0</v>
      </c>
      <c r="Y35" s="75">
        <f>IFERROR(__xludf.DUMMYFUNCTION("(iferror(sum((filter(TO!$D:$D,month(TO!$B:$B)=month(AA$10),year(TO!$B:$B)=year(AA$10)))),0) )*(iferror(sum((filter(TO!$C:$C,month(TO!$B:$B)=month(AA$10),year(TO!$B:$B)=year(AA$10)))),0) )*(iferror(sum((filter(TO!$A:$A,month(TO!$B:$B)=month(AA$10),year(TO!"&amp;"$B:$B)=year(AA$10)))),0) )*$E35"),565.3032000000001)</f>
        <v>565.3032</v>
      </c>
      <c r="Z35" s="93"/>
      <c r="AA35" s="93">
        <v>0.0</v>
      </c>
      <c r="AB35" s="68">
        <f t="shared" si="22"/>
        <v>0</v>
      </c>
      <c r="AC35" s="75">
        <f>IFERROR(__xludf.DUMMYFUNCTION("(iferror(sum((filter(TO!$D:$D,month(TO!$B:$B)=month(AD$10),year(TO!$B:$B)=year(AD$10)))),0) )*(iferror(sum((filter(TO!$C:$C,month(TO!$B:$B)=month(AD$10),year(TO!$B:$B)=year(AD$10)))),0) )*(iferror(sum((filter(TO!$A:$A,month(TO!$B:$B)=month(AD$10),year(TO!"&amp;"$B:$B)=year(AD$10)))),0) )*$E35"),655.8775400000001)</f>
        <v>655.87754</v>
      </c>
      <c r="AD35" s="79"/>
      <c r="AE35" s="68">
        <f t="shared" si="23"/>
        <v>0</v>
      </c>
      <c r="AF35" s="75">
        <f>IFERROR(__xludf.DUMMYFUNCTION("(iferror(sum((filter(TO!$D:$D,month(TO!$B:$B)=month(AG$10),year(TO!$B:$B)=year(AG$10)))),0) )*(iferror(sum((filter(TO!$C:$C,month(TO!$B:$B)=month(AG$10),year(TO!$B:$B)=year(AG$10)))),0) )*(iferror(sum((filter(TO!$A:$A,month(TO!$B:$B)=month(AG$10),year(TO!"&amp;"$B:$B)=year(AG$10)))),0) )*$E35"),311.202)</f>
        <v>311.202</v>
      </c>
      <c r="AG35" s="79"/>
      <c r="AH35" s="68">
        <f t="shared" si="10"/>
        <v>0</v>
      </c>
      <c r="AI35" s="75">
        <f>IFERROR(__xludf.DUMMYFUNCTION("(iferror(sum((filter(TO!$D:$D,month(TO!$B:$B)=month(AJ$10),year(TO!$B:$B)=year(AJ$10)))),0) )*(iferror(sum((filter(TO!$C:$C,month(TO!$B:$B)=month(AJ$10),year(TO!$B:$B)=year(AJ$10)))),0) )*(iferror(sum((filter(TO!$A:$A,month(TO!$B:$B)=month(AJ$10),year(TO!"&amp;"$B:$B)=year(AJ$10)))),0) )*$E35"),512.23315)</f>
        <v>512.23315</v>
      </c>
      <c r="AJ35" s="79"/>
      <c r="AK35" s="68">
        <f t="shared" si="11"/>
        <v>0</v>
      </c>
      <c r="AL35" s="75">
        <f>IFERROR(__xludf.DUMMYFUNCTION("(iferror(sum((filter(TO!$D:$D,month(TO!$B:$B)=month(AM$10),year(TO!$B:$B)=year(AM$10)))),0) )*(iferror(sum((filter(TO!$C:$C,month(TO!$B:$B)=month(AM$10),year(TO!$B:$B)=year(AM$10)))),0) )*(iferror(sum((filter(TO!$A:$A,month(TO!$B:$B)=month(AM$10),year(TO!"&amp;"$B:$B)=year(AM$10)))),0) )*$E35"),393.9294)</f>
        <v>393.9294</v>
      </c>
      <c r="AM35" s="79"/>
      <c r="AN35" s="68">
        <f t="shared" si="12"/>
        <v>0</v>
      </c>
      <c r="AO35" s="75">
        <f>IFERROR(__xludf.DUMMYFUNCTION("(iferror(sum((filter(TO!$D:$D,month(TO!$B:$B)=month(AP$10),year(TO!$B:$B)=year(AP$10)))),0) )*(iferror(sum((filter(TO!$C:$C,month(TO!$B:$B)=month(AP$10),year(TO!$B:$B)=year(AP$10)))),0) )*(iferror(sum((filter(TO!$A:$A,month(TO!$B:$B)=month(AP$10),year(TO!"&amp;"$B:$B)=year(AP$10)))),0) )*$E35"),436.896)</f>
        <v>436.896</v>
      </c>
      <c r="AP35" s="79"/>
      <c r="AQ35" s="68">
        <f t="shared" si="13"/>
        <v>0</v>
      </c>
      <c r="AR35" s="75">
        <f>IFERROR(__xludf.DUMMYFUNCTION("(iferror(sum((filter(TO!$D:$D,month(TO!$B:$B)=month(AS$10),year(TO!$B:$B)=year(AS$10)))),0) )*(iferror(sum((filter(TO!$C:$C,month(TO!$B:$B)=month(AS$10),year(TO!$B:$B)=year(AS$10)))),0) )*(iferror(sum((filter(TO!$A:$A,month(TO!$B:$B)=month(AS$10),year(TO!"&amp;"$B:$B)=year(AS$10)))),0) )*$E35"),636.41295)</f>
        <v>636.41295</v>
      </c>
      <c r="AS35" s="79"/>
      <c r="AT35" s="68">
        <f t="shared" si="14"/>
        <v>0</v>
      </c>
      <c r="AU35" s="75">
        <f>IFERROR(__xludf.DUMMYFUNCTION("(iferror(sum((filter(TO!$D:$D,month(TO!$B:$B)=month(AV$10),year(TO!$B:$B)=year(AV$10)))),0) )*(iferror(sum((filter(TO!$C:$C,month(TO!$B:$B)=month(AV$10),year(TO!$B:$B)=year(AV$10)))),0) )*(iferror(sum((filter(TO!$A:$A,month(TO!$B:$B)=month(AV$10),year(TO!"&amp;"$B:$B)=year(AV$10)))),0) )*$E35"),761.2178999999999)</f>
        <v>761.2179</v>
      </c>
      <c r="AV35" s="79"/>
      <c r="AW35" s="68">
        <f t="shared" si="15"/>
        <v>0</v>
      </c>
      <c r="AX35" s="75">
        <f>IFERROR(__xludf.DUMMYFUNCTION("(iferror(sum((filter(TO!$D:$D,month(TO!$B:$B)=month(AY$10),year(TO!$B:$B)=year(AY$10)))),0) )*(iferror(sum((filter(TO!$C:$C,month(TO!$B:$B)=month(AY$10),year(TO!$B:$B)=year(AY$10)))),0) )*(iferror(sum((filter(TO!$A:$A,month(TO!$B:$B)=month(AY$10),year(TO!"&amp;"$B:$B)=year(AY$10)))),0) )*$E35"),1309.6260000000002)</f>
        <v>1309.626</v>
      </c>
      <c r="AY35" s="79"/>
      <c r="AZ35" s="68">
        <f t="shared" si="16"/>
        <v>0</v>
      </c>
    </row>
    <row r="36">
      <c r="A36" s="48" t="s">
        <v>86</v>
      </c>
      <c r="B36" s="34">
        <v>208.0</v>
      </c>
      <c r="C36" s="4" t="s">
        <v>98</v>
      </c>
      <c r="D36" s="64"/>
      <c r="E36" s="83">
        <v>0.2</v>
      </c>
      <c r="F36" s="65">
        <v>45000.0</v>
      </c>
      <c r="G36" s="65">
        <v>9000.0</v>
      </c>
      <c r="H36" s="66">
        <f t="shared" si="2"/>
        <v>1257.26</v>
      </c>
      <c r="I36" s="68">
        <f t="shared" si="17"/>
        <v>0.1396955556</v>
      </c>
      <c r="J36" s="75"/>
      <c r="K36" s="79">
        <f>IFERROR(__xludf.DUMMYFUNCTION("(IFERROR(SUM((filter('VDI208'!$D:$D,MONTH('VDI208'!$B:$B)=MONTH(K$10),YEAR('VDI208'!$B:$B)=YEAR(K$10),'VDI208'!$I:$I=""Fernando""))),0) + IFERROR(SUM((filter('VDI208'!$D:$D,MONTH('VDI208'!$B:$B)=MONTH(K$10),YEAR('VDI208'!$B:$B)=YEAR(K$10),'VDI208'!$I:$I="&amp;"""Kremer""))),0)+IFERROR(SUM((filter('VDI208'!$D:$D,MONTH('VDI208'!$B:$B)=MONTH(K$10),YEAR('VDI208'!$B:$B)=YEAR(K$10),'VDI208'!$I:$I=""Fer""))),0))*$E36"),0.0)</f>
        <v>0</v>
      </c>
      <c r="L36" s="68">
        <f t="shared" si="18"/>
        <v>0</v>
      </c>
      <c r="M36" s="75"/>
      <c r="N36" s="79"/>
      <c r="O36" s="79">
        <v>0.0</v>
      </c>
      <c r="P36" s="68">
        <f t="shared" si="19"/>
        <v>0</v>
      </c>
      <c r="Q36" s="75"/>
      <c r="R36" s="79"/>
      <c r="S36" s="79">
        <v>0.0</v>
      </c>
      <c r="T36" s="68">
        <f t="shared" si="20"/>
        <v>0</v>
      </c>
      <c r="U36" s="75">
        <f>IFERROR(__xludf.DUMMYFUNCTION("(iferror(sum((filter(TO!$D:$D,month(TO!$B:$B)=month(W$10),year(TO!$B:$B)=year(W$10)))),0) )*(iferror(sum((filter(TO!$C:$C,month(TO!$B:$B)=month(W$10),year(TO!$B:$B)=year(W$10)))),0) )*(iferror(sum((filter(TO!$A:$A,month(TO!$B:$B)=month(W$10),year(TO!$B:$B"&amp;")=year(W$10)))),0) )*$E36"),1523.3424800000003)</f>
        <v>1523.34248</v>
      </c>
      <c r="V36" s="79">
        <f>W36/0.2</f>
        <v>4891.8</v>
      </c>
      <c r="W36" s="79">
        <v>978.3599999999999</v>
      </c>
      <c r="X36" s="68">
        <f t="shared" si="21"/>
        <v>0.6422455967</v>
      </c>
      <c r="Y36" s="75">
        <f>IFERROR(__xludf.DUMMYFUNCTION("(iferror(sum((filter(TO!$D:$D,month(TO!$B:$B)=month(AA$10),year(TO!$B:$B)=year(AA$10)))),0) )*(iferror(sum((filter(TO!$C:$C,month(TO!$B:$B)=month(AA$10),year(TO!$B:$B)=year(AA$10)))),0) )*(iferror(sum((filter(TO!$A:$A,month(TO!$B:$B)=month(AA$10),year(TO!"&amp;"$B:$B)=year(AA$10)))),0) )*$E36"),1130.6064000000001)</f>
        <v>1130.6064</v>
      </c>
      <c r="Z36" s="93">
        <f>AA36/0.2</f>
        <v>1394.5</v>
      </c>
      <c r="AA36" s="79">
        <v>278.9</v>
      </c>
      <c r="AB36" s="68">
        <f t="shared" si="22"/>
        <v>0.2466817807</v>
      </c>
      <c r="AC36" s="75">
        <f>IFERROR(__xludf.DUMMYFUNCTION("(iferror(sum((filter(TO!$D:$D,month(TO!$B:$B)=month(AD$10),year(TO!$B:$B)=year(AD$10)))),0) )*(iferror(sum((filter(TO!$C:$C,month(TO!$B:$B)=month(AD$10),year(TO!$B:$B)=year(AD$10)))),0) )*(iferror(sum((filter(TO!$A:$A,month(TO!$B:$B)=month(AD$10),year(TO!"&amp;"$B:$B)=year(AD$10)))),0) )*$E36"),1311.7550800000001)</f>
        <v>1311.75508</v>
      </c>
      <c r="AD36" s="79"/>
      <c r="AE36" s="68">
        <f t="shared" si="23"/>
        <v>0</v>
      </c>
      <c r="AF36" s="75">
        <f>IFERROR(__xludf.DUMMYFUNCTION("(iferror(sum((filter(TO!$D:$D,month(TO!$B:$B)=month(AG$10),year(TO!$B:$B)=year(AG$10)))),0) )*(iferror(sum((filter(TO!$C:$C,month(TO!$B:$B)=month(AG$10),year(TO!$B:$B)=year(AG$10)))),0) )*(iferror(sum((filter(TO!$A:$A,month(TO!$B:$B)=month(AG$10),year(TO!"&amp;"$B:$B)=year(AG$10)))),0) )*$E36"),622.404)</f>
        <v>622.404</v>
      </c>
      <c r="AG36" s="79"/>
      <c r="AH36" s="68">
        <f t="shared" si="10"/>
        <v>0</v>
      </c>
      <c r="AI36" s="75">
        <f>IFERROR(__xludf.DUMMYFUNCTION("(iferror(sum((filter(TO!$D:$D,month(TO!$B:$B)=month(AJ$10),year(TO!$B:$B)=year(AJ$10)))),0) )*(iferror(sum((filter(TO!$C:$C,month(TO!$B:$B)=month(AJ$10),year(TO!$B:$B)=year(AJ$10)))),0) )*(iferror(sum((filter(TO!$A:$A,month(TO!$B:$B)=month(AJ$10),year(TO!"&amp;"$B:$B)=year(AJ$10)))),0) )*$E36"),1024.4663)</f>
        <v>1024.4663</v>
      </c>
      <c r="AJ36" s="79"/>
      <c r="AK36" s="68">
        <f t="shared" si="11"/>
        <v>0</v>
      </c>
      <c r="AL36" s="75">
        <f>IFERROR(__xludf.DUMMYFUNCTION("(iferror(sum((filter(TO!$D:$D,month(TO!$B:$B)=month(AM$10),year(TO!$B:$B)=year(AM$10)))),0) )*(iferror(sum((filter(TO!$C:$C,month(TO!$B:$B)=month(AM$10),year(TO!$B:$B)=year(AM$10)))),0) )*(iferror(sum((filter(TO!$A:$A,month(TO!$B:$B)=month(AM$10),year(TO!"&amp;"$B:$B)=year(AM$10)))),0) )*$E36"),787.8588)</f>
        <v>787.8588</v>
      </c>
      <c r="AM36" s="79"/>
      <c r="AN36" s="68">
        <f t="shared" si="12"/>
        <v>0</v>
      </c>
      <c r="AO36" s="75">
        <f>IFERROR(__xludf.DUMMYFUNCTION("(iferror(sum((filter(TO!$D:$D,month(TO!$B:$B)=month(AP$10),year(TO!$B:$B)=year(AP$10)))),0) )*(iferror(sum((filter(TO!$C:$C,month(TO!$B:$B)=month(AP$10),year(TO!$B:$B)=year(AP$10)))),0) )*(iferror(sum((filter(TO!$A:$A,month(TO!$B:$B)=month(AP$10),year(TO!"&amp;"$B:$B)=year(AP$10)))),0) )*$E36"),873.792)</f>
        <v>873.792</v>
      </c>
      <c r="AP36" s="79"/>
      <c r="AQ36" s="68">
        <f t="shared" si="13"/>
        <v>0</v>
      </c>
      <c r="AR36" s="75">
        <f>IFERROR(__xludf.DUMMYFUNCTION("(iferror(sum((filter(TO!$D:$D,month(TO!$B:$B)=month(AS$10),year(TO!$B:$B)=year(AS$10)))),0) )*(iferror(sum((filter(TO!$C:$C,month(TO!$B:$B)=month(AS$10),year(TO!$B:$B)=year(AS$10)))),0) )*(iferror(sum((filter(TO!$A:$A,month(TO!$B:$B)=month(AS$10),year(TO!"&amp;"$B:$B)=year(AS$10)))),0) )*$E36"),1272.8259)</f>
        <v>1272.8259</v>
      </c>
      <c r="AS36" s="79"/>
      <c r="AT36" s="68">
        <f t="shared" si="14"/>
        <v>0</v>
      </c>
      <c r="AU36" s="75">
        <f>IFERROR(__xludf.DUMMYFUNCTION("(iferror(sum((filter(TO!$D:$D,month(TO!$B:$B)=month(AV$10),year(TO!$B:$B)=year(AV$10)))),0) )*(iferror(sum((filter(TO!$C:$C,month(TO!$B:$B)=month(AV$10),year(TO!$B:$B)=year(AV$10)))),0) )*(iferror(sum((filter(TO!$A:$A,month(TO!$B:$B)=month(AV$10),year(TO!"&amp;"$B:$B)=year(AV$10)))),0) )*$E36"),1522.4357999999997)</f>
        <v>1522.4358</v>
      </c>
      <c r="AV36" s="79"/>
      <c r="AW36" s="68">
        <f t="shared" si="15"/>
        <v>0</v>
      </c>
      <c r="AX36" s="75">
        <f>IFERROR(__xludf.DUMMYFUNCTION("(iferror(sum((filter(TO!$D:$D,month(TO!$B:$B)=month(AY$10),year(TO!$B:$B)=year(AY$10)))),0) )*(iferror(sum((filter(TO!$C:$C,month(TO!$B:$B)=month(AY$10),year(TO!$B:$B)=year(AY$10)))),0) )*(iferror(sum((filter(TO!$A:$A,month(TO!$B:$B)=month(AY$10),year(TO!"&amp;"$B:$B)=year(AY$10)))),0) )*$E36"),2619.2520000000004)</f>
        <v>2619.252</v>
      </c>
      <c r="AY36" s="79"/>
      <c r="AZ36" s="68">
        <f t="shared" si="16"/>
        <v>0</v>
      </c>
    </row>
    <row r="37">
      <c r="A37" s="48" t="s">
        <v>87</v>
      </c>
      <c r="B37" s="34">
        <v>2206.0</v>
      </c>
      <c r="C37" s="4" t="s">
        <v>95</v>
      </c>
      <c r="D37" s="64"/>
      <c r="E37" s="83">
        <v>0.05</v>
      </c>
      <c r="F37" s="65">
        <v>0.0</v>
      </c>
      <c r="G37" s="75">
        <f>($H$1*E37)-(786+762+2086)/2</f>
        <v>3183</v>
      </c>
      <c r="H37" s="66">
        <f t="shared" si="2"/>
        <v>0</v>
      </c>
      <c r="I37" s="68">
        <f t="shared" si="17"/>
        <v>0</v>
      </c>
      <c r="J37" s="75"/>
      <c r="K37" s="79">
        <f>IFERROR(__xludf.DUMMYFUNCTION("(IFERROR(SUM((filter('STO2206'!$D:$D,MONTH('STO2206'!$B:$B)=MONTH(K$10),YEAR('STO2206'!$B:$B)=YEAR(K$10),'STO2206'!$I:$I=""Fernando""))),0) + IFERROR(SUM((filter('STO2206'!$D:$D,MONTH('STO2206'!$B:$B)=MONTH(K$10),YEAR('STO2206'!$B:$B)=YEAR(K$10),'STO2206'"&amp;"!$I:$I=""Kremer""))),0) + IFERROR(SUM((filter('STO2206'!$D:$D,MONTH('STO2206'!$B:$B)=MONTH(K$10),YEAR('STO2206'!$B:$B)=YEAR(K$10),'STO2206'!$I:$I=""Fer""))),0))*$E37"),0.0)</f>
        <v>0</v>
      </c>
      <c r="L37" s="68">
        <f t="shared" si="18"/>
        <v>0</v>
      </c>
      <c r="M37" s="75"/>
      <c r="N37" s="79"/>
      <c r="O37" s="79">
        <v>0.0</v>
      </c>
      <c r="P37" s="68">
        <f t="shared" si="19"/>
        <v>0</v>
      </c>
      <c r="Q37" s="75"/>
      <c r="R37" s="79"/>
      <c r="S37" s="79">
        <v>0.0</v>
      </c>
      <c r="T37" s="68">
        <f t="shared" si="20"/>
        <v>0</v>
      </c>
      <c r="U37" s="65">
        <v>762.0</v>
      </c>
      <c r="V37" s="79"/>
      <c r="W37" s="79">
        <v>0.0</v>
      </c>
      <c r="X37" s="68">
        <f t="shared" si="21"/>
        <v>0</v>
      </c>
      <c r="Y37" s="65">
        <f>IFERROR(__xludf.DUMMYFUNCTION("(iferror(sum((filter(TO!$D:$D,month(TO!$B:$B)=month(AA$10),year(TO!$B:$B)=year(AA$10)))),0) )*(iferror(sum((filter(TO!$C:$C,month(TO!$B:$B)=month(AA$10),year(TO!$B:$B)=year(AA$10)))),0) )*(iferror(sum((filter(TO!$A:$A,month(TO!$B:$B)=month(AA$10),year(TO!"&amp;"$B:$B)=year(AA$10)))),0) )*$E37"),282.65160000000003)</f>
        <v>282.6516</v>
      </c>
      <c r="Z37" s="79"/>
      <c r="AA37" s="79">
        <f>IFERROR(__xludf.DUMMYFUNCTION("(IFERROR(SUM((filter('STO2206'!$D:$D,MONTH('STO2206'!$B:$B)=MONTH(AA$10),YEAR('STO2206'!$B:$B)=YEAR(AA$10),'STO2206'!$I:$I=""Fernando""))),0) + IFERROR(SUM((filter('STO2206'!$D:$D,MONTH('STO2206'!$B:$B)=MONTH(AA$10),YEAR('STO2206'!$B:$B)=YEAR(AA$10),'STO2"&amp;"206'!$I:$I=""Kremer""))),0) + IFERROR(SUM((filter('STO2206'!$D:$D,MONTH('STO2206'!$B:$B)=MONTH(AA$10),YEAR('STO2206'!$B:$B)=YEAR(AA$10),'STO2206'!$I:$I=""Fer""))),0))*$E37"),0.0)</f>
        <v>0</v>
      </c>
      <c r="AB37" s="68">
        <f t="shared" si="22"/>
        <v>0</v>
      </c>
      <c r="AC37" s="75">
        <f>IFERROR(__xludf.DUMMYFUNCTION("(iferror(sum((filter(TO!$D:$D,month(TO!$B:$B)=month(AD$10),year(TO!$B:$B)=year(AD$10)))),0) )*(iferror(sum((filter(TO!$C:$C,month(TO!$B:$B)=month(AD$10),year(TO!$B:$B)=year(AD$10)))),0) )*(iferror(sum((filter(TO!$A:$A,month(TO!$B:$B)=month(AD$10),year(TO!"&amp;"$B:$B)=year(AD$10)))),0) )*$E37"),327.93877000000003)</f>
        <v>327.93877</v>
      </c>
      <c r="AD37" s="79"/>
      <c r="AE37" s="68">
        <f t="shared" si="23"/>
        <v>0</v>
      </c>
      <c r="AF37" s="75">
        <f>IFERROR(__xludf.DUMMYFUNCTION("(iferror(sum((filter(TO!$D:$D,month(TO!$B:$B)=month(AG$10),year(TO!$B:$B)=year(AG$10)))),0) )*(iferror(sum((filter(TO!$C:$C,month(TO!$B:$B)=month(AG$10),year(TO!$B:$B)=year(AG$10)))),0) )*(iferror(sum((filter(TO!$A:$A,month(TO!$B:$B)=month(AG$10),year(TO!"&amp;"$B:$B)=year(AG$10)))),0) )*$E37"),155.601)</f>
        <v>155.601</v>
      </c>
      <c r="AG37" s="79"/>
      <c r="AH37" s="68">
        <f t="shared" si="10"/>
        <v>0</v>
      </c>
      <c r="AI37" s="65">
        <v>311.0</v>
      </c>
      <c r="AJ37" s="79"/>
      <c r="AK37" s="68">
        <f t="shared" si="11"/>
        <v>0</v>
      </c>
      <c r="AL37" s="65">
        <v>311.0</v>
      </c>
      <c r="AM37" s="79"/>
      <c r="AN37" s="68">
        <f t="shared" si="12"/>
        <v>0</v>
      </c>
      <c r="AO37" s="65">
        <v>311.0</v>
      </c>
      <c r="AP37" s="79"/>
      <c r="AQ37" s="68">
        <f t="shared" si="13"/>
        <v>0</v>
      </c>
      <c r="AR37" s="65">
        <v>311.0</v>
      </c>
      <c r="AS37" s="79"/>
      <c r="AT37" s="68">
        <f t="shared" si="14"/>
        <v>0</v>
      </c>
      <c r="AU37" s="65">
        <v>311.0</v>
      </c>
      <c r="AV37" s="79"/>
      <c r="AW37" s="68">
        <f t="shared" si="15"/>
        <v>0</v>
      </c>
      <c r="AX37" s="65">
        <v>311.0</v>
      </c>
      <c r="AY37" s="79"/>
      <c r="AZ37" s="68">
        <f t="shared" si="16"/>
        <v>0</v>
      </c>
    </row>
    <row r="38">
      <c r="B38" s="4"/>
      <c r="C38" s="4"/>
      <c r="D38" s="96"/>
      <c r="E38" s="96"/>
      <c r="F38" s="75"/>
      <c r="G38" s="75"/>
      <c r="H38" s="66"/>
      <c r="I38" s="97"/>
      <c r="J38" s="75"/>
      <c r="K38" s="71"/>
      <c r="L38" s="98"/>
      <c r="M38" s="75"/>
      <c r="N38" s="71"/>
      <c r="O38" s="71"/>
      <c r="P38" s="98"/>
      <c r="Q38" s="75"/>
      <c r="R38" s="71"/>
      <c r="S38" s="71"/>
      <c r="T38" s="98"/>
      <c r="U38" s="75"/>
      <c r="V38" s="71"/>
      <c r="W38" s="71"/>
      <c r="X38" s="98"/>
      <c r="Y38" s="75"/>
      <c r="Z38" s="71"/>
      <c r="AA38" s="71"/>
      <c r="AB38" s="98"/>
      <c r="AC38" s="75"/>
      <c r="AD38" s="71"/>
      <c r="AE38" s="98"/>
      <c r="AF38" s="75"/>
      <c r="AG38" s="71"/>
      <c r="AH38" s="97"/>
      <c r="AI38" s="75"/>
      <c r="AJ38" s="71"/>
      <c r="AK38" s="97"/>
      <c r="AL38" s="75"/>
      <c r="AM38" s="71"/>
      <c r="AN38" s="97"/>
      <c r="AO38" s="75"/>
      <c r="AP38" s="71"/>
      <c r="AQ38" s="97"/>
      <c r="AR38" s="75"/>
      <c r="AS38" s="71"/>
      <c r="AT38" s="97"/>
      <c r="AU38" s="75"/>
      <c r="AV38" s="71"/>
      <c r="AW38" s="97"/>
      <c r="AX38" s="75"/>
      <c r="AY38" s="71"/>
      <c r="AZ38" s="97"/>
    </row>
    <row r="39">
      <c r="B39" s="4"/>
      <c r="C39" s="4"/>
      <c r="D39" s="96"/>
      <c r="E39" s="96"/>
      <c r="F39" s="75"/>
      <c r="G39" s="75"/>
      <c r="H39" s="66"/>
      <c r="I39" s="97"/>
      <c r="J39" s="75"/>
      <c r="K39" s="71"/>
      <c r="L39" s="98"/>
      <c r="M39" s="75"/>
      <c r="N39" s="71"/>
      <c r="O39" s="71"/>
      <c r="P39" s="98"/>
      <c r="Q39" s="75"/>
      <c r="R39" s="71"/>
      <c r="S39" s="71"/>
      <c r="T39" s="98"/>
      <c r="U39" s="75"/>
      <c r="V39" s="71"/>
      <c r="W39" s="71"/>
      <c r="X39" s="98"/>
      <c r="Y39" s="75"/>
      <c r="Z39" s="71"/>
      <c r="AA39" s="71"/>
      <c r="AB39" s="98"/>
      <c r="AC39" s="75"/>
      <c r="AD39" s="71"/>
      <c r="AE39" s="98"/>
      <c r="AF39" s="75"/>
      <c r="AG39" s="71"/>
      <c r="AH39" s="97"/>
      <c r="AI39" s="75"/>
      <c r="AJ39" s="71"/>
      <c r="AK39" s="97"/>
      <c r="AL39" s="75"/>
      <c r="AM39" s="71"/>
      <c r="AN39" s="97"/>
      <c r="AO39" s="75"/>
      <c r="AP39" s="71"/>
      <c r="AQ39" s="97"/>
      <c r="AR39" s="75"/>
      <c r="AS39" s="71"/>
      <c r="AT39" s="97"/>
      <c r="AU39" s="75"/>
      <c r="AV39" s="71"/>
      <c r="AW39" s="97"/>
      <c r="AX39" s="75"/>
      <c r="AY39" s="71"/>
      <c r="AZ39" s="97"/>
    </row>
    <row r="40">
      <c r="B40" s="4"/>
      <c r="C40" s="4"/>
      <c r="D40" s="96"/>
      <c r="E40" s="96"/>
      <c r="F40" s="75"/>
      <c r="G40" s="75"/>
      <c r="H40" s="66"/>
      <c r="I40" s="97"/>
      <c r="J40" s="75"/>
      <c r="K40" s="71"/>
      <c r="L40" s="98"/>
      <c r="M40" s="75"/>
      <c r="N40" s="71"/>
      <c r="O40" s="71"/>
      <c r="P40" s="98"/>
      <c r="Q40" s="75"/>
      <c r="R40" s="71"/>
      <c r="S40" s="71"/>
      <c r="T40" s="98"/>
      <c r="U40" s="75"/>
      <c r="V40" s="71"/>
      <c r="W40" s="71"/>
      <c r="X40" s="98"/>
      <c r="Y40" s="75"/>
      <c r="Z40" s="71"/>
      <c r="AA40" s="71"/>
      <c r="AB40" s="98"/>
      <c r="AC40" s="75"/>
      <c r="AD40" s="71"/>
      <c r="AE40" s="98"/>
      <c r="AF40" s="75"/>
      <c r="AG40" s="71"/>
      <c r="AH40" s="97"/>
      <c r="AI40" s="75"/>
      <c r="AJ40" s="71"/>
      <c r="AK40" s="97"/>
      <c r="AL40" s="75"/>
      <c r="AM40" s="71"/>
      <c r="AN40" s="97"/>
      <c r="AO40" s="75"/>
      <c r="AP40" s="71"/>
      <c r="AQ40" s="97"/>
      <c r="AR40" s="75"/>
      <c r="AS40" s="71"/>
      <c r="AT40" s="97"/>
      <c r="AU40" s="75"/>
      <c r="AV40" s="71"/>
      <c r="AW40" s="97"/>
      <c r="AX40" s="75"/>
      <c r="AY40" s="71"/>
      <c r="AZ40" s="97"/>
    </row>
    <row r="41">
      <c r="B41" s="4"/>
      <c r="C41" s="4"/>
      <c r="D41" s="96"/>
      <c r="E41" s="96"/>
      <c r="F41" s="75"/>
      <c r="G41" s="75"/>
      <c r="H41" s="66"/>
      <c r="I41" s="97"/>
      <c r="J41" s="75"/>
      <c r="K41" s="71"/>
      <c r="L41" s="98"/>
      <c r="M41" s="75"/>
      <c r="N41" s="71"/>
      <c r="O41" s="71"/>
      <c r="P41" s="98"/>
      <c r="Q41" s="75"/>
      <c r="R41" s="71"/>
      <c r="S41" s="71"/>
      <c r="T41" s="98"/>
      <c r="U41" s="75"/>
      <c r="V41" s="71"/>
      <c r="W41" s="71"/>
      <c r="X41" s="98"/>
      <c r="Y41" s="75"/>
      <c r="Z41" s="71"/>
      <c r="AA41" s="71"/>
      <c r="AB41" s="98"/>
      <c r="AC41" s="75"/>
      <c r="AD41" s="71"/>
      <c r="AE41" s="98"/>
      <c r="AF41" s="75"/>
      <c r="AG41" s="71"/>
      <c r="AH41" s="97"/>
      <c r="AI41" s="75"/>
      <c r="AJ41" s="71"/>
      <c r="AK41" s="97"/>
      <c r="AL41" s="75"/>
      <c r="AM41" s="71"/>
      <c r="AN41" s="97"/>
      <c r="AO41" s="75"/>
      <c r="AP41" s="71"/>
      <c r="AQ41" s="97"/>
      <c r="AR41" s="75"/>
      <c r="AS41" s="71"/>
      <c r="AT41" s="97"/>
      <c r="AU41" s="75"/>
      <c r="AV41" s="71"/>
      <c r="AW41" s="97"/>
      <c r="AX41" s="75"/>
      <c r="AY41" s="71"/>
      <c r="AZ41" s="97"/>
    </row>
    <row r="42">
      <c r="B42" s="4"/>
      <c r="C42" s="4"/>
      <c r="D42" s="96"/>
      <c r="E42" s="96"/>
      <c r="F42" s="75"/>
      <c r="G42" s="75"/>
      <c r="H42" s="66"/>
      <c r="I42" s="97"/>
      <c r="J42" s="75"/>
      <c r="K42" s="71"/>
      <c r="L42" s="98"/>
      <c r="M42" s="75"/>
      <c r="N42" s="71"/>
      <c r="O42" s="71"/>
      <c r="P42" s="98"/>
      <c r="Q42" s="75"/>
      <c r="R42" s="71"/>
      <c r="S42" s="71"/>
      <c r="T42" s="98"/>
      <c r="U42" s="75"/>
      <c r="V42" s="71"/>
      <c r="W42" s="71"/>
      <c r="X42" s="98"/>
      <c r="Y42" s="75"/>
      <c r="Z42" s="71"/>
      <c r="AA42" s="71"/>
      <c r="AB42" s="98"/>
      <c r="AC42" s="75"/>
      <c r="AD42" s="71"/>
      <c r="AE42" s="98"/>
      <c r="AF42" s="75"/>
      <c r="AG42" s="71"/>
      <c r="AH42" s="97"/>
      <c r="AI42" s="75"/>
      <c r="AJ42" s="71"/>
      <c r="AK42" s="97"/>
      <c r="AL42" s="75"/>
      <c r="AM42" s="71"/>
      <c r="AN42" s="97"/>
      <c r="AO42" s="75"/>
      <c r="AP42" s="71"/>
      <c r="AQ42" s="97"/>
      <c r="AR42" s="75"/>
      <c r="AS42" s="71"/>
      <c r="AT42" s="97"/>
      <c r="AU42" s="75"/>
      <c r="AV42" s="71"/>
      <c r="AW42" s="97"/>
      <c r="AX42" s="75"/>
      <c r="AY42" s="71"/>
      <c r="AZ42" s="97"/>
    </row>
    <row r="43">
      <c r="B43" s="4"/>
      <c r="C43" s="4"/>
      <c r="D43" s="96"/>
      <c r="E43" s="99" t="s">
        <v>146</v>
      </c>
      <c r="F43" s="100">
        <f t="shared" ref="F43:G43" si="29">SUM(F$12:F$42)</f>
        <v>1618350</v>
      </c>
      <c r="G43" s="100">
        <f t="shared" si="29"/>
        <v>159482.4</v>
      </c>
      <c r="H43" s="66">
        <f>sum(O43,S43,W43,AA43,AD43,AG43,AJ43,AM43,AP43,AS43,AV43,AY43)</f>
        <v>17754.715</v>
      </c>
      <c r="I43" s="101"/>
      <c r="J43" s="100">
        <f t="shared" ref="J43:K43" si="30">SUM(J$12:J$42)</f>
        <v>13096.26</v>
      </c>
      <c r="K43" s="102">
        <f t="shared" si="30"/>
        <v>10594.62694</v>
      </c>
      <c r="L43" s="103">
        <f>K43/J43</f>
        <v>0.8089811091</v>
      </c>
      <c r="M43" s="100">
        <f>SUM(M$12:M$42)</f>
        <v>4172.2776</v>
      </c>
      <c r="N43" s="102"/>
      <c r="O43" s="102">
        <f>sum(O12:O37)</f>
        <v>2779.95</v>
      </c>
      <c r="P43" s="103">
        <f>O43/M43</f>
        <v>0.6662907569</v>
      </c>
      <c r="Q43" s="100">
        <f>SUM(Q$12:Q$42)</f>
        <v>1572.47552</v>
      </c>
      <c r="R43" s="102"/>
      <c r="S43" s="102">
        <f>sum(S12:S37)</f>
        <v>1436.62</v>
      </c>
      <c r="T43" s="103">
        <f>S43/Q43</f>
        <v>0.9136040477</v>
      </c>
      <c r="U43" s="100">
        <f>SUM(U$12:U$42)</f>
        <v>13960.73984</v>
      </c>
      <c r="V43" s="102"/>
      <c r="W43" s="102">
        <f>SUM(W$12:W$42)</f>
        <v>8681.055</v>
      </c>
      <c r="X43" s="103">
        <f>W43/U43</f>
        <v>0.6218191227</v>
      </c>
      <c r="Y43" s="100">
        <f>SUM(Y$12:Y$42)</f>
        <v>9892.806</v>
      </c>
      <c r="Z43" s="102"/>
      <c r="AA43" s="102">
        <f>SUM(AA$12:AA$42)</f>
        <v>4857.09</v>
      </c>
      <c r="AB43" s="103">
        <f>AA43/Y43</f>
        <v>0.4909719244</v>
      </c>
      <c r="AC43" s="100">
        <f t="shared" ref="AC43:AD43" si="31">SUM(AC$12:AC$42)</f>
        <v>13445.61203</v>
      </c>
      <c r="AD43" s="102">
        <f t="shared" si="31"/>
        <v>0</v>
      </c>
      <c r="AE43" s="103">
        <f>AD43/AC43</f>
        <v>0</v>
      </c>
      <c r="AF43" s="100">
        <f t="shared" ref="AF43:AG43" si="32">SUM(AF$12:AF$42)</f>
        <v>6908.4824</v>
      </c>
      <c r="AG43" s="102">
        <f t="shared" si="32"/>
        <v>0</v>
      </c>
      <c r="AH43" s="101"/>
      <c r="AI43" s="100">
        <f t="shared" ref="AI43:AJ43" si="33">SUM(AI$12:AI$42)</f>
        <v>11225.22621</v>
      </c>
      <c r="AJ43" s="102">
        <f t="shared" si="33"/>
        <v>0</v>
      </c>
      <c r="AK43" s="101"/>
      <c r="AL43" s="100">
        <f t="shared" ref="AL43:AM43" si="34">SUM(AL$12:AL$42)</f>
        <v>8776.33858</v>
      </c>
      <c r="AM43" s="102">
        <f t="shared" si="34"/>
        <v>0</v>
      </c>
      <c r="AN43" s="101"/>
      <c r="AO43" s="100">
        <f t="shared" ref="AO43:AP43" si="35">SUM(AO$12:AO$42)</f>
        <v>9665.7472</v>
      </c>
      <c r="AP43" s="102">
        <f t="shared" si="35"/>
        <v>0</v>
      </c>
      <c r="AQ43" s="101"/>
      <c r="AR43" s="100">
        <f t="shared" ref="AR43:AS43" si="36">SUM(AR$12:AR$42)</f>
        <v>14121.16102</v>
      </c>
      <c r="AS43" s="102">
        <f t="shared" si="36"/>
        <v>0</v>
      </c>
      <c r="AT43" s="101"/>
      <c r="AU43" s="100">
        <f t="shared" ref="AU43:AV43" si="37">SUM(AU$12:AU$42)</f>
        <v>16829.42843</v>
      </c>
      <c r="AV43" s="102">
        <f t="shared" si="37"/>
        <v>0</v>
      </c>
      <c r="AW43" s="101"/>
      <c r="AX43" s="100">
        <f t="shared" ref="AX43:AY43" si="38">SUM(AX$12:AX$42)</f>
        <v>28729.8842</v>
      </c>
      <c r="AY43" s="102">
        <f t="shared" si="38"/>
        <v>0</v>
      </c>
      <c r="AZ43" s="101"/>
    </row>
    <row r="44">
      <c r="L44" s="12"/>
      <c r="P44" s="12"/>
      <c r="T44" s="12"/>
      <c r="X44" s="12"/>
      <c r="AB44" s="12"/>
      <c r="AE44" s="12"/>
      <c r="AH44" s="12"/>
    </row>
    <row r="45">
      <c r="F45" s="104"/>
      <c r="G45" s="104"/>
      <c r="L45" s="12"/>
      <c r="P45" s="85"/>
      <c r="Q45" s="82"/>
      <c r="T45" s="85"/>
      <c r="U45" s="82"/>
      <c r="X45" s="85"/>
      <c r="Y45" s="82"/>
      <c r="AE45" s="85"/>
      <c r="AF45" s="82"/>
      <c r="AG45" s="82">
        <f>(AD43)*$G$45</f>
        <v>0</v>
      </c>
      <c r="AH45" s="12"/>
    </row>
    <row r="46">
      <c r="B46" s="4" t="s">
        <v>147</v>
      </c>
      <c r="C46" s="4" t="s">
        <v>148</v>
      </c>
      <c r="D46" s="4" t="s">
        <v>149</v>
      </c>
      <c r="L46" s="12"/>
      <c r="P46" s="12"/>
      <c r="T46" s="12"/>
      <c r="X46" s="12"/>
      <c r="AB46" s="12"/>
      <c r="AE46" s="12"/>
      <c r="AG46" s="4" t="s">
        <v>150</v>
      </c>
      <c r="AH46" s="12"/>
    </row>
    <row r="47">
      <c r="A47" s="4">
        <v>1110.0</v>
      </c>
      <c r="B47" s="64">
        <v>0.05</v>
      </c>
      <c r="C47" s="64">
        <v>0.05</v>
      </c>
      <c r="D47" s="64">
        <v>1.0</v>
      </c>
      <c r="L47" s="12"/>
      <c r="P47" s="12"/>
      <c r="T47" s="12"/>
      <c r="X47" s="12"/>
      <c r="AB47" s="12"/>
      <c r="AE47" s="12"/>
      <c r="AH47" s="12"/>
    </row>
    <row r="48">
      <c r="A48" s="4">
        <v>1111.0</v>
      </c>
      <c r="B48" s="64">
        <v>0.07</v>
      </c>
      <c r="C48" s="64">
        <v>0.07</v>
      </c>
      <c r="D48" s="64">
        <v>1.0</v>
      </c>
      <c r="I48" s="12"/>
      <c r="L48" s="12"/>
      <c r="P48" s="12"/>
      <c r="T48" s="12"/>
      <c r="X48" s="12"/>
      <c r="AB48" s="12"/>
      <c r="AE48" s="12"/>
      <c r="AH48" s="12"/>
    </row>
    <row r="49">
      <c r="A49" s="4">
        <v>1112.0</v>
      </c>
      <c r="B49" s="64">
        <v>0.05</v>
      </c>
      <c r="C49" s="64">
        <v>0.05</v>
      </c>
      <c r="D49" s="64">
        <v>1.0</v>
      </c>
      <c r="I49" s="12"/>
      <c r="L49" s="12"/>
      <c r="P49" s="12"/>
      <c r="T49" s="12"/>
      <c r="X49" s="12"/>
      <c r="AB49" s="12"/>
      <c r="AE49" s="12"/>
      <c r="AH49" s="12"/>
    </row>
    <row r="50">
      <c r="A50" s="4">
        <v>1211.0</v>
      </c>
      <c r="B50" s="83">
        <v>0.1</v>
      </c>
      <c r="C50" s="83">
        <v>0.1</v>
      </c>
      <c r="D50" s="64">
        <v>1.0</v>
      </c>
      <c r="I50" s="12"/>
      <c r="L50" s="12"/>
      <c r="P50" s="12"/>
      <c r="T50" s="12"/>
      <c r="X50" s="12"/>
      <c r="AB50" s="12"/>
      <c r="AE50" s="12"/>
      <c r="AH50" s="12"/>
    </row>
    <row r="51">
      <c r="A51" s="4">
        <v>1213.0</v>
      </c>
      <c r="B51" s="83">
        <v>0.05</v>
      </c>
      <c r="C51" s="83">
        <v>0.05</v>
      </c>
      <c r="D51" s="64">
        <v>1.0</v>
      </c>
      <c r="I51" s="12"/>
      <c r="L51" s="12"/>
      <c r="P51" s="12"/>
      <c r="T51" s="12"/>
      <c r="X51" s="12"/>
      <c r="AB51" s="12"/>
      <c r="AE51" s="12"/>
      <c r="AH51" s="12"/>
    </row>
    <row r="52">
      <c r="A52" s="4">
        <v>1314.0</v>
      </c>
      <c r="B52" s="83">
        <v>0.05</v>
      </c>
      <c r="C52" s="83">
        <v>0.05</v>
      </c>
      <c r="D52" s="64">
        <v>1.0</v>
      </c>
      <c r="I52" s="12"/>
      <c r="L52" s="12"/>
      <c r="P52" s="12"/>
      <c r="T52" s="12"/>
      <c r="X52" s="12"/>
      <c r="AB52" s="12"/>
      <c r="AE52" s="12"/>
      <c r="AH52" s="12"/>
    </row>
    <row r="53">
      <c r="A53" s="4">
        <v>1404.0</v>
      </c>
      <c r="B53" s="64">
        <v>0.0</v>
      </c>
      <c r="C53" s="64">
        <v>0.1</v>
      </c>
      <c r="D53" s="64">
        <v>1.0</v>
      </c>
      <c r="F53" s="105"/>
      <c r="G53" s="105"/>
      <c r="I53" s="12"/>
      <c r="K53" s="4"/>
      <c r="L53" s="12"/>
      <c r="P53" s="12"/>
      <c r="T53" s="12"/>
      <c r="X53" s="12"/>
      <c r="AB53" s="12"/>
      <c r="AE53" s="12"/>
      <c r="AH53" s="12"/>
    </row>
    <row r="54">
      <c r="A54" s="4">
        <v>2203.0</v>
      </c>
      <c r="B54" s="83">
        <v>0.05</v>
      </c>
      <c r="C54" s="83">
        <v>0.05</v>
      </c>
      <c r="D54" s="64">
        <v>1.0</v>
      </c>
      <c r="I54" s="12"/>
      <c r="L54" s="12"/>
      <c r="P54" s="12"/>
      <c r="T54" s="12"/>
      <c r="X54" s="12"/>
      <c r="AB54" s="12"/>
      <c r="AE54" s="12"/>
      <c r="AH54" s="12"/>
    </row>
    <row r="55">
      <c r="A55" s="4">
        <v>2206.0</v>
      </c>
      <c r="B55" s="83">
        <v>0.1</v>
      </c>
      <c r="C55" s="83">
        <v>0.1</v>
      </c>
      <c r="D55" s="64">
        <v>1.0</v>
      </c>
      <c r="H55" s="64"/>
      <c r="J55" s="64"/>
      <c r="M55" s="64"/>
      <c r="P55" s="12"/>
      <c r="T55" s="12"/>
      <c r="X55" s="12"/>
      <c r="AB55" s="12"/>
      <c r="AE55" s="12"/>
      <c r="AH55" s="12"/>
    </row>
    <row r="56">
      <c r="A56" s="4">
        <v>2303.0</v>
      </c>
      <c r="B56" s="83">
        <v>0.1</v>
      </c>
      <c r="C56" s="83">
        <v>0.1</v>
      </c>
      <c r="D56" s="64">
        <v>1.0</v>
      </c>
      <c r="H56" s="64"/>
      <c r="J56" s="64"/>
      <c r="M56" s="64"/>
      <c r="P56" s="12"/>
      <c r="T56" s="12"/>
      <c r="X56" s="12"/>
      <c r="AB56" s="12"/>
      <c r="AE56" s="12"/>
      <c r="AH56" s="12"/>
    </row>
    <row r="57">
      <c r="A57" s="4">
        <v>2307.0</v>
      </c>
      <c r="B57" s="64">
        <v>0.0</v>
      </c>
      <c r="C57" s="64">
        <v>0.1</v>
      </c>
      <c r="D57" s="64">
        <v>1.0</v>
      </c>
      <c r="H57" s="64"/>
      <c r="J57" s="64"/>
      <c r="M57" s="64"/>
      <c r="P57" s="12"/>
      <c r="T57" s="12"/>
      <c r="X57" s="12"/>
      <c r="AB57" s="12"/>
      <c r="AE57" s="12"/>
      <c r="AH57" s="12"/>
    </row>
    <row r="58">
      <c r="A58" s="4">
        <v>2313.0</v>
      </c>
      <c r="B58" s="64">
        <v>0.0</v>
      </c>
      <c r="C58" s="64">
        <v>0.1</v>
      </c>
      <c r="D58" s="64">
        <v>1.0</v>
      </c>
      <c r="H58" s="83"/>
      <c r="I58" s="12"/>
      <c r="J58" s="83"/>
      <c r="L58" s="12"/>
      <c r="M58" s="64"/>
      <c r="P58" s="12"/>
      <c r="T58" s="12"/>
      <c r="X58" s="12"/>
      <c r="AB58" s="12"/>
      <c r="AE58" s="12"/>
      <c r="AH58" s="12"/>
    </row>
    <row r="59">
      <c r="A59" s="4">
        <v>2412.0</v>
      </c>
      <c r="B59" s="83">
        <v>0.1</v>
      </c>
      <c r="C59" s="83">
        <v>0.1</v>
      </c>
      <c r="D59" s="64">
        <v>1.0</v>
      </c>
      <c r="H59" s="83"/>
      <c r="I59" s="12"/>
      <c r="J59" s="83"/>
      <c r="L59" s="12"/>
      <c r="M59" s="64"/>
      <c r="P59" s="12"/>
      <c r="T59" s="12"/>
      <c r="X59" s="12"/>
      <c r="AB59" s="12"/>
      <c r="AE59" s="12"/>
      <c r="AH59" s="12"/>
    </row>
    <row r="60">
      <c r="A60" s="4">
        <v>2413.0</v>
      </c>
      <c r="B60" s="64">
        <v>0.0</v>
      </c>
      <c r="C60" s="64">
        <v>0.1</v>
      </c>
      <c r="D60" s="64">
        <v>1.0</v>
      </c>
      <c r="H60" s="83"/>
      <c r="I60" s="12"/>
      <c r="J60" s="83"/>
      <c r="L60" s="12"/>
      <c r="M60" s="64"/>
      <c r="P60" s="12"/>
      <c r="T60" s="12"/>
      <c r="X60" s="12"/>
      <c r="AB60" s="12"/>
      <c r="AE60" s="12"/>
      <c r="AH60" s="12"/>
    </row>
    <row r="61">
      <c r="A61" s="4">
        <v>3104.0</v>
      </c>
      <c r="B61" s="83">
        <v>0.1</v>
      </c>
      <c r="C61" s="83">
        <v>0.1</v>
      </c>
      <c r="D61" s="64">
        <v>1.0</v>
      </c>
      <c r="H61" s="64"/>
      <c r="I61" s="12"/>
      <c r="J61" s="64"/>
      <c r="L61" s="12"/>
      <c r="M61" s="64"/>
      <c r="P61" s="12"/>
      <c r="T61" s="12"/>
      <c r="X61" s="12"/>
      <c r="AB61" s="12"/>
      <c r="AE61" s="12"/>
      <c r="AH61" s="12"/>
    </row>
    <row r="62">
      <c r="A62" s="4">
        <v>3310.0</v>
      </c>
      <c r="B62" s="83">
        <v>0.1</v>
      </c>
      <c r="C62" s="83">
        <v>0.1</v>
      </c>
      <c r="D62" s="64">
        <v>1.0</v>
      </c>
      <c r="H62" s="83"/>
      <c r="I62" s="12"/>
      <c r="J62" s="83"/>
      <c r="L62" s="12"/>
      <c r="M62" s="64"/>
      <c r="P62" s="12"/>
      <c r="T62" s="12"/>
      <c r="X62" s="12"/>
      <c r="AB62" s="12"/>
      <c r="AE62" s="12"/>
      <c r="AH62" s="12"/>
    </row>
    <row r="63">
      <c r="A63" s="4">
        <v>3312.0</v>
      </c>
      <c r="B63" s="83">
        <v>0.1</v>
      </c>
      <c r="C63" s="83">
        <v>0.1</v>
      </c>
      <c r="D63" s="64">
        <v>1.0</v>
      </c>
      <c r="H63" s="83"/>
      <c r="I63" s="12"/>
      <c r="J63" s="83"/>
      <c r="L63" s="12"/>
      <c r="M63" s="64"/>
      <c r="P63" s="12"/>
      <c r="T63" s="12"/>
      <c r="X63" s="12"/>
      <c r="AB63" s="12"/>
      <c r="AE63" s="12"/>
      <c r="AH63" s="12"/>
    </row>
    <row r="64">
      <c r="A64" s="4">
        <v>3315.0</v>
      </c>
      <c r="B64" s="83">
        <v>0.08</v>
      </c>
      <c r="C64" s="83">
        <v>0.08</v>
      </c>
      <c r="D64" s="64">
        <v>1.0</v>
      </c>
      <c r="H64" s="83"/>
      <c r="I64" s="12"/>
      <c r="J64" s="83"/>
      <c r="L64" s="12"/>
      <c r="M64" s="64"/>
      <c r="P64" s="12"/>
      <c r="T64" s="12"/>
      <c r="X64" s="12"/>
      <c r="AB64" s="12"/>
      <c r="AE64" s="12"/>
      <c r="AH64" s="12"/>
    </row>
    <row r="65">
      <c r="A65" s="4">
        <v>3413.0</v>
      </c>
      <c r="B65" s="83">
        <v>0.1</v>
      </c>
      <c r="C65" s="83">
        <v>0.1</v>
      </c>
      <c r="D65" s="64">
        <v>1.0</v>
      </c>
      <c r="H65" s="64"/>
      <c r="I65" s="12"/>
      <c r="J65" s="64"/>
      <c r="L65" s="12"/>
      <c r="M65" s="64"/>
      <c r="P65" s="12"/>
      <c r="T65" s="12"/>
      <c r="X65" s="12"/>
      <c r="AB65" s="12"/>
      <c r="AE65" s="12"/>
      <c r="AH65" s="12"/>
    </row>
    <row r="66">
      <c r="A66" s="4">
        <v>3415.0</v>
      </c>
      <c r="B66" s="83">
        <v>0.1</v>
      </c>
      <c r="C66" s="83">
        <v>0.1</v>
      </c>
      <c r="D66" s="64">
        <v>1.0</v>
      </c>
      <c r="H66" s="64"/>
      <c r="I66" s="12"/>
      <c r="J66" s="64"/>
      <c r="L66" s="12"/>
      <c r="M66" s="64"/>
      <c r="P66" s="12"/>
      <c r="T66" s="12"/>
      <c r="X66" s="12"/>
      <c r="AB66" s="12"/>
      <c r="AE66" s="12"/>
      <c r="AH66" s="12"/>
    </row>
    <row r="67">
      <c r="A67" s="4">
        <v>4403.0</v>
      </c>
      <c r="B67" s="83">
        <v>0.1</v>
      </c>
      <c r="C67" s="83">
        <v>0.1</v>
      </c>
      <c r="D67" s="64">
        <v>1.0</v>
      </c>
      <c r="H67" s="83"/>
      <c r="I67" s="12"/>
      <c r="J67" s="83"/>
      <c r="L67" s="12"/>
      <c r="M67" s="64"/>
      <c r="P67" s="12"/>
      <c r="T67" s="12"/>
      <c r="X67" s="12"/>
      <c r="AB67" s="12"/>
      <c r="AE67" s="12"/>
      <c r="AH67" s="12"/>
    </row>
    <row r="68">
      <c r="A68" s="4">
        <v>4406.0</v>
      </c>
      <c r="B68" s="64">
        <v>0.1</v>
      </c>
      <c r="C68" s="64">
        <v>0.1</v>
      </c>
      <c r="D68" s="64">
        <v>1.0</v>
      </c>
      <c r="H68" s="64"/>
      <c r="I68" s="12"/>
      <c r="J68" s="64"/>
      <c r="L68" s="12"/>
      <c r="M68" s="64"/>
      <c r="P68" s="12"/>
      <c r="T68" s="12"/>
      <c r="X68" s="12"/>
      <c r="AB68" s="12"/>
      <c r="AE68" s="12"/>
      <c r="AH68" s="12"/>
    </row>
    <row r="69">
      <c r="A69" s="4">
        <v>4410.0</v>
      </c>
      <c r="B69" s="64">
        <v>0.1</v>
      </c>
      <c r="C69" s="64">
        <v>0.1</v>
      </c>
      <c r="D69" s="64">
        <v>1.0</v>
      </c>
      <c r="H69" s="83"/>
      <c r="I69" s="12"/>
      <c r="J69" s="83"/>
      <c r="L69" s="12"/>
      <c r="M69" s="64"/>
      <c r="P69" s="12"/>
      <c r="T69" s="12"/>
      <c r="X69" s="12"/>
      <c r="AB69" s="12"/>
      <c r="AE69" s="12"/>
      <c r="AH69" s="12"/>
    </row>
    <row r="70">
      <c r="A70" s="4">
        <v>455.0</v>
      </c>
      <c r="B70" s="64">
        <v>0.0</v>
      </c>
      <c r="C70" s="83">
        <v>0.1</v>
      </c>
      <c r="D70" s="64">
        <v>1.0</v>
      </c>
      <c r="H70" s="83"/>
      <c r="I70" s="12"/>
      <c r="J70" s="83"/>
      <c r="L70" s="12"/>
      <c r="M70" s="64"/>
      <c r="P70" s="12"/>
      <c r="T70" s="12"/>
      <c r="X70" s="12"/>
      <c r="AB70" s="12"/>
      <c r="AE70" s="12"/>
      <c r="AH70" s="12"/>
    </row>
    <row r="71">
      <c r="A71" s="4">
        <v>462.0</v>
      </c>
      <c r="B71" s="83">
        <v>0.0</v>
      </c>
      <c r="C71" s="64">
        <v>0.1</v>
      </c>
      <c r="D71" s="64">
        <v>1.0</v>
      </c>
      <c r="H71" s="83"/>
      <c r="I71" s="12"/>
      <c r="J71" s="83"/>
      <c r="L71" s="12"/>
      <c r="M71" s="64"/>
      <c r="P71" s="12"/>
      <c r="T71" s="12"/>
      <c r="X71" s="12"/>
      <c r="AB71" s="12"/>
      <c r="AE71" s="12"/>
      <c r="AH71" s="12"/>
    </row>
    <row r="72">
      <c r="A72" s="4">
        <v>464.0</v>
      </c>
      <c r="B72" s="83">
        <v>0.0</v>
      </c>
      <c r="C72" s="64">
        <v>0.1</v>
      </c>
      <c r="D72" s="64">
        <v>1.0</v>
      </c>
      <c r="H72" s="83"/>
      <c r="I72" s="12"/>
      <c r="J72" s="83"/>
      <c r="L72" s="12"/>
      <c r="M72" s="64"/>
      <c r="P72" s="12"/>
      <c r="T72" s="12"/>
      <c r="X72" s="12"/>
      <c r="AB72" s="12"/>
      <c r="AE72" s="12"/>
      <c r="AH72" s="12"/>
    </row>
    <row r="73">
      <c r="A73" s="34">
        <v>208.0</v>
      </c>
      <c r="B73" s="83">
        <v>0.2</v>
      </c>
      <c r="C73" s="83">
        <v>0.2</v>
      </c>
      <c r="D73" s="64">
        <v>1.0</v>
      </c>
      <c r="H73" s="83"/>
      <c r="I73" s="12"/>
      <c r="J73" s="83"/>
      <c r="L73" s="12"/>
      <c r="M73" s="64"/>
      <c r="P73" s="12"/>
      <c r="T73" s="12"/>
      <c r="X73" s="12"/>
      <c r="AB73" s="12"/>
      <c r="AE73" s="12"/>
      <c r="AH73" s="12"/>
    </row>
    <row r="74">
      <c r="A74" s="34">
        <v>2206.0</v>
      </c>
      <c r="B74" s="83">
        <v>0.05</v>
      </c>
      <c r="C74" s="83">
        <v>0.05</v>
      </c>
      <c r="D74" s="64">
        <v>1.0</v>
      </c>
      <c r="H74" s="83"/>
      <c r="I74" s="12"/>
      <c r="J74" s="83"/>
      <c r="L74" s="12"/>
      <c r="M74" s="64"/>
      <c r="P74" s="12"/>
      <c r="T74" s="12"/>
      <c r="X74" s="12"/>
      <c r="AB74" s="12"/>
      <c r="AE74" s="12"/>
      <c r="AH74" s="12"/>
    </row>
    <row r="75">
      <c r="H75" s="83"/>
      <c r="I75" s="12"/>
      <c r="J75" s="83"/>
      <c r="L75" s="12"/>
      <c r="M75" s="64"/>
      <c r="P75" s="12"/>
      <c r="T75" s="12"/>
      <c r="X75" s="12"/>
      <c r="AB75" s="12"/>
      <c r="AE75" s="12"/>
      <c r="AH75" s="12"/>
    </row>
    <row r="76">
      <c r="H76" s="64"/>
      <c r="I76" s="12"/>
      <c r="J76" s="64"/>
      <c r="L76" s="12"/>
      <c r="M76" s="64"/>
      <c r="P76" s="12"/>
      <c r="T76" s="12"/>
      <c r="X76" s="12"/>
      <c r="AB76" s="12"/>
      <c r="AE76" s="12"/>
      <c r="AH76" s="12"/>
    </row>
    <row r="77">
      <c r="H77" s="64"/>
      <c r="I77" s="28"/>
      <c r="J77" s="64"/>
      <c r="L77" s="12"/>
      <c r="M77" s="64"/>
      <c r="P77" s="12"/>
      <c r="T77" s="12"/>
      <c r="X77" s="12"/>
      <c r="AB77" s="12"/>
      <c r="AE77" s="12"/>
      <c r="AH77" s="12"/>
    </row>
    <row r="78">
      <c r="H78" s="64"/>
      <c r="I78" s="12"/>
      <c r="J78" s="83"/>
      <c r="L78" s="12"/>
      <c r="M78" s="64"/>
      <c r="P78" s="12"/>
      <c r="T78" s="12"/>
      <c r="X78" s="12"/>
      <c r="AB78" s="12"/>
      <c r="AE78" s="12"/>
      <c r="AH78" s="12"/>
    </row>
    <row r="79">
      <c r="H79" s="83"/>
      <c r="I79" s="12"/>
      <c r="J79" s="64"/>
      <c r="L79" s="12"/>
      <c r="M79" s="64"/>
      <c r="P79" s="12"/>
      <c r="T79" s="12"/>
      <c r="X79" s="12"/>
      <c r="AB79" s="12"/>
      <c r="AE79" s="12"/>
      <c r="AH79" s="12"/>
    </row>
    <row r="80">
      <c r="H80" s="83"/>
      <c r="I80" s="12"/>
      <c r="J80" s="64"/>
      <c r="L80" s="12"/>
      <c r="M80" s="64"/>
      <c r="P80" s="12"/>
      <c r="T80" s="12"/>
      <c r="X80" s="12"/>
      <c r="AB80" s="12"/>
      <c r="AE80" s="12"/>
      <c r="AH80" s="12"/>
    </row>
    <row r="81">
      <c r="F81" s="34"/>
      <c r="G81" s="34"/>
      <c r="H81" s="83"/>
      <c r="I81" s="12"/>
      <c r="J81" s="83"/>
      <c r="L81" s="12"/>
      <c r="M81" s="64"/>
      <c r="P81" s="12"/>
      <c r="T81" s="12"/>
      <c r="X81" s="12"/>
      <c r="AB81" s="12"/>
      <c r="AE81" s="12"/>
      <c r="AH81" s="12"/>
    </row>
    <row r="82">
      <c r="F82" s="34"/>
      <c r="G82" s="34"/>
      <c r="H82" s="83"/>
      <c r="I82" s="12"/>
      <c r="J82" s="83"/>
      <c r="L82" s="12"/>
      <c r="M82" s="64"/>
      <c r="P82" s="12"/>
      <c r="T82" s="12"/>
      <c r="X82" s="12"/>
      <c r="AB82" s="12"/>
      <c r="AE82" s="12"/>
      <c r="AH82" s="12"/>
    </row>
    <row r="83">
      <c r="F83" s="64"/>
      <c r="G83" s="64"/>
      <c r="P83" s="12"/>
      <c r="T83" s="12"/>
      <c r="X83" s="12"/>
      <c r="AB83" s="12"/>
      <c r="AE83" s="12"/>
      <c r="AH83" s="12"/>
    </row>
    <row r="84">
      <c r="F84" s="64"/>
      <c r="G84" s="64"/>
      <c r="P84" s="12"/>
      <c r="T84" s="12"/>
      <c r="X84" s="12"/>
      <c r="AB84" s="12"/>
      <c r="AE84" s="12"/>
      <c r="AH84" s="12"/>
    </row>
    <row r="85">
      <c r="F85" s="64"/>
      <c r="G85" s="64"/>
      <c r="I85" s="12"/>
      <c r="L85" s="12"/>
      <c r="P85" s="12"/>
      <c r="T85" s="12"/>
      <c r="X85" s="12"/>
      <c r="AB85" s="12"/>
      <c r="AE85" s="12"/>
      <c r="AH85" s="12"/>
    </row>
    <row r="86">
      <c r="F86" s="64"/>
      <c r="G86" s="64"/>
      <c r="I86" s="12"/>
      <c r="L86" s="12"/>
      <c r="P86" s="12"/>
      <c r="T86" s="12"/>
      <c r="X86" s="12"/>
      <c r="AB86" s="12"/>
      <c r="AE86" s="12"/>
      <c r="AH86" s="12"/>
    </row>
    <row r="87">
      <c r="F87" s="64"/>
      <c r="G87" s="64"/>
      <c r="I87" s="12"/>
      <c r="L87" s="12"/>
      <c r="P87" s="12"/>
      <c r="T87" s="12"/>
      <c r="X87" s="12"/>
      <c r="AB87" s="12"/>
      <c r="AE87" s="12"/>
      <c r="AH87" s="12"/>
    </row>
    <row r="88">
      <c r="F88" s="64"/>
      <c r="G88" s="64"/>
      <c r="I88" s="12"/>
      <c r="L88" s="12"/>
      <c r="P88" s="12"/>
      <c r="T88" s="12"/>
      <c r="X88" s="12"/>
      <c r="AB88" s="12"/>
      <c r="AE88" s="12"/>
      <c r="AH88" s="12"/>
    </row>
    <row r="89">
      <c r="F89" s="64"/>
      <c r="G89" s="64"/>
      <c r="I89" s="12"/>
      <c r="L89" s="12"/>
      <c r="P89" s="12"/>
      <c r="T89" s="12"/>
      <c r="X89" s="12"/>
      <c r="AB89" s="12"/>
      <c r="AE89" s="12"/>
      <c r="AH89" s="12"/>
    </row>
    <row r="90">
      <c r="F90" s="64"/>
      <c r="G90" s="64"/>
      <c r="I90" s="12"/>
      <c r="L90" s="12"/>
      <c r="P90" s="12"/>
      <c r="T90" s="12"/>
      <c r="X90" s="12"/>
      <c r="AB90" s="12"/>
      <c r="AE90" s="12"/>
      <c r="AH90" s="12"/>
    </row>
    <row r="91">
      <c r="F91" s="64"/>
      <c r="G91" s="64"/>
      <c r="I91" s="12"/>
      <c r="L91" s="12"/>
      <c r="P91" s="12"/>
      <c r="T91" s="12"/>
      <c r="X91" s="12"/>
      <c r="AB91" s="12"/>
      <c r="AE91" s="12"/>
      <c r="AH91" s="12"/>
    </row>
    <row r="92">
      <c r="F92" s="64"/>
      <c r="G92" s="64"/>
      <c r="I92" s="12"/>
      <c r="L92" s="12"/>
      <c r="P92" s="12"/>
      <c r="T92" s="12"/>
      <c r="X92" s="12"/>
      <c r="AB92" s="12"/>
      <c r="AE92" s="12"/>
      <c r="AH92" s="12"/>
    </row>
    <row r="93">
      <c r="F93" s="64"/>
      <c r="G93" s="64"/>
      <c r="I93" s="12"/>
      <c r="L93" s="12"/>
      <c r="P93" s="12"/>
      <c r="T93" s="12"/>
      <c r="X93" s="12"/>
      <c r="AB93" s="12"/>
      <c r="AE93" s="12"/>
      <c r="AH93" s="12"/>
    </row>
    <row r="94">
      <c r="F94" s="64"/>
      <c r="G94" s="64"/>
      <c r="I94" s="12"/>
      <c r="L94" s="12"/>
      <c r="P94" s="12"/>
      <c r="T94" s="12"/>
      <c r="X94" s="12"/>
      <c r="AB94" s="12"/>
      <c r="AE94" s="12"/>
      <c r="AH94" s="12"/>
    </row>
    <row r="95">
      <c r="I95" s="12"/>
      <c r="L95" s="12"/>
      <c r="P95" s="12"/>
      <c r="T95" s="12"/>
      <c r="X95" s="12"/>
      <c r="AB95" s="12"/>
      <c r="AE95" s="12"/>
      <c r="AH95" s="12"/>
    </row>
    <row r="96">
      <c r="I96" s="12"/>
      <c r="L96" s="12"/>
      <c r="P96" s="12"/>
      <c r="T96" s="12"/>
      <c r="X96" s="12"/>
      <c r="AB96" s="12"/>
      <c r="AE96" s="12"/>
      <c r="AH96" s="12"/>
    </row>
    <row r="97">
      <c r="I97" s="12"/>
      <c r="L97" s="12"/>
      <c r="P97" s="12"/>
      <c r="T97" s="12"/>
      <c r="X97" s="12"/>
      <c r="AB97" s="12"/>
      <c r="AE97" s="12"/>
      <c r="AH97" s="12"/>
    </row>
    <row r="98">
      <c r="I98" s="12"/>
      <c r="L98" s="12"/>
      <c r="P98" s="12"/>
      <c r="T98" s="12"/>
      <c r="X98" s="12"/>
      <c r="AB98" s="12"/>
      <c r="AE98" s="12"/>
      <c r="AH98" s="12"/>
    </row>
    <row r="99">
      <c r="I99" s="12"/>
      <c r="L99" s="12"/>
      <c r="P99" s="12"/>
      <c r="T99" s="12"/>
      <c r="X99" s="12"/>
      <c r="AB99" s="12"/>
      <c r="AE99" s="12"/>
      <c r="AH99" s="12"/>
    </row>
    <row r="100">
      <c r="I100" s="12"/>
      <c r="L100" s="12"/>
      <c r="P100" s="12"/>
      <c r="T100" s="12"/>
      <c r="X100" s="12"/>
      <c r="AB100" s="12"/>
      <c r="AE100" s="12"/>
      <c r="AH100" s="12"/>
    </row>
    <row r="101">
      <c r="I101" s="12"/>
      <c r="L101" s="12"/>
      <c r="P101" s="12"/>
      <c r="T101" s="12"/>
      <c r="X101" s="12"/>
      <c r="AB101" s="12"/>
      <c r="AE101" s="12"/>
      <c r="AH101" s="12"/>
    </row>
    <row r="102">
      <c r="I102" s="12"/>
      <c r="L102" s="12"/>
      <c r="P102" s="12"/>
      <c r="T102" s="12"/>
      <c r="X102" s="12"/>
      <c r="AB102" s="12"/>
      <c r="AE102" s="12"/>
      <c r="AH102" s="12"/>
    </row>
    <row r="103">
      <c r="I103" s="12"/>
      <c r="L103" s="12"/>
      <c r="P103" s="12"/>
      <c r="T103" s="12"/>
      <c r="X103" s="12"/>
      <c r="AB103" s="12"/>
      <c r="AE103" s="12"/>
      <c r="AH103" s="12"/>
    </row>
    <row r="104">
      <c r="I104" s="12"/>
      <c r="L104" s="12"/>
      <c r="P104" s="12"/>
      <c r="T104" s="12"/>
      <c r="X104" s="12"/>
      <c r="AB104" s="12"/>
      <c r="AE104" s="12"/>
      <c r="AH104" s="12"/>
    </row>
    <row r="105">
      <c r="I105" s="12"/>
      <c r="L105" s="12"/>
      <c r="P105" s="12"/>
      <c r="T105" s="12"/>
      <c r="X105" s="12"/>
      <c r="AB105" s="12"/>
      <c r="AE105" s="12"/>
      <c r="AH105" s="12"/>
    </row>
    <row r="106">
      <c r="I106" s="12"/>
      <c r="L106" s="12"/>
      <c r="P106" s="12"/>
      <c r="T106" s="12"/>
      <c r="X106" s="12"/>
      <c r="AB106" s="12"/>
      <c r="AE106" s="12"/>
      <c r="AH106" s="12"/>
    </row>
    <row r="107">
      <c r="I107" s="12"/>
      <c r="L107" s="12"/>
      <c r="P107" s="12"/>
      <c r="T107" s="12"/>
      <c r="X107" s="12"/>
      <c r="AB107" s="12"/>
      <c r="AE107" s="12"/>
      <c r="AH107" s="12"/>
    </row>
    <row r="108">
      <c r="I108" s="12"/>
      <c r="L108" s="12"/>
      <c r="P108" s="12"/>
      <c r="T108" s="12"/>
      <c r="X108" s="12"/>
      <c r="AB108" s="12"/>
      <c r="AE108" s="12"/>
      <c r="AH108" s="12"/>
    </row>
    <row r="109">
      <c r="I109" s="12"/>
      <c r="L109" s="12"/>
      <c r="P109" s="12"/>
      <c r="T109" s="12"/>
      <c r="X109" s="12"/>
      <c r="AB109" s="12"/>
      <c r="AE109" s="12"/>
      <c r="AH109" s="12"/>
    </row>
    <row r="110">
      <c r="I110" s="12"/>
      <c r="L110" s="12"/>
      <c r="P110" s="12"/>
      <c r="T110" s="12"/>
      <c r="X110" s="12"/>
      <c r="AB110" s="12"/>
      <c r="AE110" s="12"/>
      <c r="AH110" s="12"/>
    </row>
    <row r="111">
      <c r="I111" s="12"/>
      <c r="L111" s="12"/>
      <c r="P111" s="12"/>
      <c r="T111" s="12"/>
      <c r="X111" s="12"/>
      <c r="AB111" s="12"/>
      <c r="AE111" s="12"/>
      <c r="AH111" s="12"/>
    </row>
    <row r="112">
      <c r="I112" s="12"/>
      <c r="L112" s="12"/>
      <c r="P112" s="12"/>
      <c r="T112" s="12"/>
      <c r="X112" s="12"/>
      <c r="AB112" s="12"/>
      <c r="AE112" s="12"/>
      <c r="AH112" s="12"/>
    </row>
    <row r="113">
      <c r="I113" s="12"/>
      <c r="L113" s="12"/>
      <c r="P113" s="12"/>
      <c r="T113" s="12"/>
      <c r="X113" s="12"/>
      <c r="AB113" s="12"/>
      <c r="AE113" s="12"/>
      <c r="AH113" s="12"/>
    </row>
    <row r="114">
      <c r="I114" s="12"/>
      <c r="L114" s="12"/>
      <c r="P114" s="12"/>
      <c r="T114" s="12"/>
      <c r="X114" s="12"/>
      <c r="AB114" s="12"/>
      <c r="AE114" s="12"/>
      <c r="AH114" s="12"/>
    </row>
    <row r="115">
      <c r="I115" s="12"/>
      <c r="L115" s="12"/>
      <c r="P115" s="12"/>
      <c r="T115" s="12"/>
      <c r="X115" s="12"/>
      <c r="AB115" s="12"/>
      <c r="AE115" s="12"/>
      <c r="AH115" s="12"/>
    </row>
    <row r="116">
      <c r="I116" s="12"/>
      <c r="L116" s="12"/>
      <c r="P116" s="12"/>
      <c r="T116" s="12"/>
      <c r="X116" s="12"/>
      <c r="AB116" s="12"/>
      <c r="AE116" s="12"/>
      <c r="AH116" s="12"/>
    </row>
    <row r="117">
      <c r="I117" s="12"/>
      <c r="L117" s="12"/>
      <c r="P117" s="12"/>
      <c r="T117" s="12"/>
      <c r="X117" s="12"/>
      <c r="AB117" s="12"/>
      <c r="AE117" s="12"/>
      <c r="AH117" s="12"/>
    </row>
    <row r="118">
      <c r="I118" s="12"/>
      <c r="L118" s="12"/>
      <c r="P118" s="12"/>
      <c r="T118" s="12"/>
      <c r="X118" s="12"/>
      <c r="AB118" s="12"/>
      <c r="AE118" s="12"/>
      <c r="AH118" s="12"/>
    </row>
    <row r="119">
      <c r="I119" s="12"/>
      <c r="L119" s="12"/>
      <c r="P119" s="12"/>
      <c r="T119" s="12"/>
      <c r="X119" s="12"/>
      <c r="AB119" s="12"/>
      <c r="AE119" s="12"/>
      <c r="AH119" s="12"/>
    </row>
    <row r="120">
      <c r="I120" s="12"/>
      <c r="L120" s="12"/>
      <c r="P120" s="12"/>
      <c r="T120" s="12"/>
      <c r="X120" s="12"/>
      <c r="AB120" s="12"/>
      <c r="AE120" s="12"/>
      <c r="AH120" s="12"/>
    </row>
    <row r="121">
      <c r="I121" s="12"/>
      <c r="L121" s="12"/>
      <c r="P121" s="12"/>
      <c r="T121" s="12"/>
      <c r="X121" s="12"/>
      <c r="AB121" s="12"/>
      <c r="AE121" s="12"/>
      <c r="AH121" s="12"/>
    </row>
    <row r="122">
      <c r="I122" s="12"/>
      <c r="L122" s="12"/>
      <c r="P122" s="12"/>
      <c r="T122" s="12"/>
      <c r="X122" s="12"/>
      <c r="AB122" s="12"/>
      <c r="AE122" s="12"/>
      <c r="AH122" s="12"/>
    </row>
    <row r="123">
      <c r="I123" s="12"/>
      <c r="L123" s="12"/>
      <c r="P123" s="12"/>
      <c r="T123" s="12"/>
      <c r="X123" s="12"/>
      <c r="AB123" s="12"/>
      <c r="AE123" s="12"/>
      <c r="AH123" s="12"/>
    </row>
    <row r="124">
      <c r="I124" s="12"/>
      <c r="L124" s="12"/>
      <c r="P124" s="12"/>
      <c r="T124" s="12"/>
      <c r="X124" s="12"/>
      <c r="AB124" s="12"/>
      <c r="AE124" s="12"/>
      <c r="AH124" s="12"/>
    </row>
    <row r="125">
      <c r="I125" s="12"/>
      <c r="L125" s="12"/>
      <c r="P125" s="12"/>
      <c r="T125" s="12"/>
      <c r="X125" s="12"/>
      <c r="AB125" s="12"/>
      <c r="AE125" s="12"/>
      <c r="AH125" s="12"/>
    </row>
    <row r="126">
      <c r="I126" s="12"/>
      <c r="L126" s="12"/>
      <c r="P126" s="12"/>
      <c r="T126" s="12"/>
      <c r="X126" s="12"/>
      <c r="AB126" s="12"/>
      <c r="AE126" s="12"/>
      <c r="AH126" s="12"/>
    </row>
    <row r="127">
      <c r="I127" s="12"/>
      <c r="L127" s="12"/>
      <c r="P127" s="12"/>
      <c r="T127" s="12"/>
      <c r="X127" s="12"/>
      <c r="AB127" s="12"/>
      <c r="AE127" s="12"/>
      <c r="AH127" s="12"/>
    </row>
    <row r="128">
      <c r="I128" s="12"/>
      <c r="L128" s="12"/>
      <c r="P128" s="12"/>
      <c r="T128" s="12"/>
      <c r="X128" s="12"/>
      <c r="AB128" s="12"/>
      <c r="AE128" s="12"/>
      <c r="AH128" s="12"/>
    </row>
    <row r="129">
      <c r="I129" s="12"/>
      <c r="L129" s="12"/>
      <c r="P129" s="12"/>
      <c r="T129" s="12"/>
      <c r="X129" s="12"/>
      <c r="AB129" s="12"/>
      <c r="AE129" s="12"/>
      <c r="AH129" s="12"/>
    </row>
    <row r="130">
      <c r="I130" s="12"/>
      <c r="L130" s="12"/>
      <c r="P130" s="12"/>
      <c r="T130" s="12"/>
      <c r="X130" s="12"/>
      <c r="AB130" s="12"/>
      <c r="AE130" s="12"/>
      <c r="AH130" s="12"/>
    </row>
    <row r="131">
      <c r="I131" s="12"/>
      <c r="L131" s="12"/>
      <c r="P131" s="12"/>
      <c r="T131" s="12"/>
      <c r="X131" s="12"/>
      <c r="AB131" s="12"/>
      <c r="AE131" s="12"/>
      <c r="AH131" s="12"/>
    </row>
    <row r="132">
      <c r="I132" s="12"/>
      <c r="L132" s="12"/>
      <c r="P132" s="12"/>
      <c r="T132" s="12"/>
      <c r="X132" s="12"/>
      <c r="AB132" s="12"/>
      <c r="AE132" s="12"/>
      <c r="AH132" s="12"/>
    </row>
    <row r="133">
      <c r="I133" s="12"/>
      <c r="L133" s="12"/>
      <c r="P133" s="12"/>
      <c r="T133" s="12"/>
      <c r="X133" s="12"/>
      <c r="AB133" s="12"/>
      <c r="AE133" s="12"/>
      <c r="AH133" s="12"/>
    </row>
    <row r="134">
      <c r="I134" s="12"/>
      <c r="L134" s="12"/>
      <c r="P134" s="12"/>
      <c r="T134" s="12"/>
      <c r="X134" s="12"/>
      <c r="AB134" s="12"/>
      <c r="AE134" s="12"/>
      <c r="AH134" s="12"/>
    </row>
    <row r="135">
      <c r="I135" s="12"/>
      <c r="L135" s="12"/>
      <c r="P135" s="12"/>
      <c r="T135" s="12"/>
      <c r="X135" s="12"/>
      <c r="AB135" s="12"/>
      <c r="AE135" s="12"/>
      <c r="AH135" s="12"/>
    </row>
    <row r="136">
      <c r="I136" s="12"/>
      <c r="L136" s="12"/>
      <c r="P136" s="12"/>
      <c r="T136" s="12"/>
      <c r="X136" s="12"/>
      <c r="AB136" s="12"/>
      <c r="AE136" s="12"/>
      <c r="AH136" s="12"/>
    </row>
    <row r="137">
      <c r="I137" s="12"/>
      <c r="L137" s="12"/>
      <c r="P137" s="12"/>
      <c r="T137" s="12"/>
      <c r="X137" s="12"/>
      <c r="AB137" s="12"/>
      <c r="AE137" s="12"/>
      <c r="AH137" s="12"/>
    </row>
    <row r="138">
      <c r="I138" s="12"/>
      <c r="L138" s="12"/>
      <c r="P138" s="12"/>
      <c r="T138" s="12"/>
      <c r="X138" s="12"/>
      <c r="AB138" s="12"/>
      <c r="AE138" s="12"/>
      <c r="AH138" s="12"/>
    </row>
    <row r="139">
      <c r="I139" s="12"/>
      <c r="L139" s="12"/>
      <c r="P139" s="12"/>
      <c r="T139" s="12"/>
      <c r="X139" s="12"/>
      <c r="AB139" s="12"/>
      <c r="AE139" s="12"/>
      <c r="AH139" s="12"/>
    </row>
    <row r="140">
      <c r="I140" s="12"/>
      <c r="L140" s="12"/>
      <c r="P140" s="12"/>
      <c r="T140" s="12"/>
      <c r="X140" s="12"/>
      <c r="AB140" s="12"/>
      <c r="AE140" s="12"/>
      <c r="AH140" s="12"/>
    </row>
    <row r="141">
      <c r="I141" s="12"/>
      <c r="L141" s="12"/>
      <c r="P141" s="12"/>
      <c r="T141" s="12"/>
      <c r="X141" s="12"/>
      <c r="AB141" s="12"/>
      <c r="AE141" s="12"/>
      <c r="AH141" s="12"/>
    </row>
    <row r="142">
      <c r="I142" s="12"/>
      <c r="L142" s="12"/>
      <c r="P142" s="12"/>
      <c r="T142" s="12"/>
      <c r="X142" s="12"/>
      <c r="AB142" s="12"/>
      <c r="AE142" s="12"/>
      <c r="AH142" s="12"/>
    </row>
    <row r="143">
      <c r="I143" s="12"/>
      <c r="L143" s="12"/>
      <c r="P143" s="12"/>
      <c r="T143" s="12"/>
      <c r="X143" s="12"/>
      <c r="AB143" s="12"/>
      <c r="AE143" s="12"/>
      <c r="AH143" s="12"/>
    </row>
    <row r="144">
      <c r="I144" s="12"/>
      <c r="L144" s="12"/>
      <c r="P144" s="12"/>
      <c r="T144" s="12"/>
      <c r="X144" s="12"/>
      <c r="AB144" s="12"/>
      <c r="AE144" s="12"/>
      <c r="AH144" s="12"/>
    </row>
    <row r="145">
      <c r="I145" s="12"/>
      <c r="L145" s="12"/>
      <c r="P145" s="12"/>
      <c r="T145" s="12"/>
      <c r="X145" s="12"/>
      <c r="AB145" s="12"/>
      <c r="AE145" s="12"/>
      <c r="AH145" s="12"/>
    </row>
    <row r="146">
      <c r="I146" s="12"/>
      <c r="L146" s="12"/>
      <c r="P146" s="12"/>
      <c r="T146" s="12"/>
      <c r="X146" s="12"/>
      <c r="AB146" s="12"/>
      <c r="AE146" s="12"/>
      <c r="AH146" s="12"/>
    </row>
    <row r="147">
      <c r="I147" s="12"/>
      <c r="L147" s="12"/>
      <c r="P147" s="12"/>
      <c r="T147" s="12"/>
      <c r="X147" s="12"/>
      <c r="AB147" s="12"/>
      <c r="AE147" s="12"/>
      <c r="AH147" s="12"/>
    </row>
    <row r="148">
      <c r="I148" s="12"/>
      <c r="L148" s="12"/>
      <c r="P148" s="12"/>
      <c r="T148" s="12"/>
      <c r="X148" s="12"/>
      <c r="AB148" s="12"/>
      <c r="AE148" s="12"/>
      <c r="AH148" s="12"/>
    </row>
    <row r="149">
      <c r="I149" s="12"/>
      <c r="L149" s="12"/>
      <c r="P149" s="12"/>
      <c r="T149" s="12"/>
      <c r="X149" s="12"/>
      <c r="AB149" s="12"/>
      <c r="AE149" s="12"/>
      <c r="AH149" s="12"/>
    </row>
    <row r="150">
      <c r="I150" s="12"/>
      <c r="L150" s="12"/>
      <c r="P150" s="12"/>
      <c r="T150" s="12"/>
      <c r="X150" s="12"/>
      <c r="AB150" s="12"/>
      <c r="AE150" s="12"/>
      <c r="AH150" s="12"/>
    </row>
    <row r="151">
      <c r="I151" s="12"/>
      <c r="L151" s="12"/>
      <c r="P151" s="12"/>
      <c r="T151" s="12"/>
      <c r="X151" s="12"/>
      <c r="AB151" s="12"/>
      <c r="AE151" s="12"/>
      <c r="AH151" s="12"/>
    </row>
    <row r="152">
      <c r="I152" s="12"/>
      <c r="L152" s="12"/>
      <c r="P152" s="12"/>
      <c r="T152" s="12"/>
      <c r="X152" s="12"/>
      <c r="AB152" s="12"/>
      <c r="AE152" s="12"/>
      <c r="AH152" s="12"/>
    </row>
    <row r="153">
      <c r="I153" s="12"/>
      <c r="L153" s="12"/>
      <c r="P153" s="12"/>
      <c r="T153" s="12"/>
      <c r="X153" s="12"/>
      <c r="AB153" s="12"/>
      <c r="AE153" s="12"/>
      <c r="AH153" s="12"/>
    </row>
    <row r="154">
      <c r="I154" s="12"/>
      <c r="L154" s="12"/>
      <c r="P154" s="12"/>
      <c r="T154" s="12"/>
      <c r="X154" s="12"/>
      <c r="AB154" s="12"/>
      <c r="AE154" s="12"/>
      <c r="AH154" s="12"/>
    </row>
    <row r="155">
      <c r="I155" s="12"/>
      <c r="L155" s="12"/>
      <c r="P155" s="12"/>
      <c r="T155" s="12"/>
      <c r="X155" s="12"/>
      <c r="AB155" s="12"/>
      <c r="AE155" s="12"/>
      <c r="AH155" s="12"/>
    </row>
    <row r="156">
      <c r="I156" s="12"/>
      <c r="L156" s="12"/>
      <c r="P156" s="12"/>
      <c r="T156" s="12"/>
      <c r="X156" s="12"/>
      <c r="AB156" s="12"/>
      <c r="AE156" s="12"/>
      <c r="AH156" s="12"/>
    </row>
    <row r="157">
      <c r="I157" s="12"/>
      <c r="L157" s="12"/>
      <c r="P157" s="12"/>
      <c r="T157" s="12"/>
      <c r="X157" s="12"/>
      <c r="AB157" s="12"/>
      <c r="AE157" s="12"/>
      <c r="AH157" s="12"/>
    </row>
    <row r="158">
      <c r="I158" s="12"/>
      <c r="L158" s="12"/>
      <c r="P158" s="12"/>
      <c r="T158" s="12"/>
      <c r="X158" s="12"/>
      <c r="AB158" s="12"/>
      <c r="AE158" s="12"/>
      <c r="AH158" s="12"/>
    </row>
    <row r="159">
      <c r="I159" s="12"/>
      <c r="L159" s="12"/>
      <c r="P159" s="12"/>
      <c r="T159" s="12"/>
      <c r="X159" s="12"/>
      <c r="AB159" s="12"/>
      <c r="AE159" s="12"/>
      <c r="AH159" s="12"/>
    </row>
    <row r="160">
      <c r="I160" s="12"/>
      <c r="L160" s="12"/>
      <c r="P160" s="12"/>
      <c r="T160" s="12"/>
      <c r="X160" s="12"/>
      <c r="AB160" s="12"/>
      <c r="AE160" s="12"/>
      <c r="AH160" s="12"/>
    </row>
    <row r="161">
      <c r="I161" s="12"/>
      <c r="L161" s="12"/>
      <c r="P161" s="12"/>
      <c r="T161" s="12"/>
      <c r="X161" s="12"/>
      <c r="AB161" s="12"/>
      <c r="AE161" s="12"/>
      <c r="AH161" s="12"/>
    </row>
    <row r="162">
      <c r="I162" s="12"/>
      <c r="L162" s="12"/>
      <c r="P162" s="12"/>
      <c r="T162" s="12"/>
      <c r="X162" s="12"/>
      <c r="AB162" s="12"/>
      <c r="AE162" s="12"/>
      <c r="AH162" s="12"/>
    </row>
    <row r="163">
      <c r="I163" s="12"/>
      <c r="L163" s="12"/>
      <c r="P163" s="12"/>
      <c r="T163" s="12"/>
      <c r="X163" s="12"/>
      <c r="AB163" s="12"/>
      <c r="AE163" s="12"/>
      <c r="AH163" s="12"/>
    </row>
    <row r="164">
      <c r="I164" s="12"/>
      <c r="L164" s="12"/>
      <c r="P164" s="12"/>
      <c r="T164" s="12"/>
      <c r="X164" s="12"/>
      <c r="AB164" s="12"/>
      <c r="AE164" s="12"/>
      <c r="AH164" s="12"/>
    </row>
    <row r="165">
      <c r="I165" s="12"/>
      <c r="L165" s="12"/>
      <c r="P165" s="12"/>
      <c r="T165" s="12"/>
      <c r="X165" s="12"/>
      <c r="AB165" s="12"/>
      <c r="AE165" s="12"/>
      <c r="AH165" s="12"/>
    </row>
    <row r="166">
      <c r="I166" s="12"/>
      <c r="L166" s="12"/>
      <c r="P166" s="12"/>
      <c r="T166" s="12"/>
      <c r="X166" s="12"/>
      <c r="AB166" s="12"/>
      <c r="AE166" s="12"/>
      <c r="AH166" s="12"/>
    </row>
    <row r="167">
      <c r="I167" s="12"/>
      <c r="L167" s="12"/>
      <c r="P167" s="12"/>
      <c r="T167" s="12"/>
      <c r="X167" s="12"/>
      <c r="AB167" s="12"/>
      <c r="AE167" s="12"/>
      <c r="AH167" s="12"/>
    </row>
    <row r="168">
      <c r="I168" s="12"/>
      <c r="L168" s="12"/>
      <c r="P168" s="12"/>
      <c r="T168" s="12"/>
      <c r="X168" s="12"/>
      <c r="AB168" s="12"/>
      <c r="AE168" s="12"/>
      <c r="AH168" s="12"/>
    </row>
    <row r="169">
      <c r="I169" s="12"/>
      <c r="L169" s="12"/>
      <c r="P169" s="12"/>
      <c r="T169" s="12"/>
      <c r="X169" s="12"/>
      <c r="AB169" s="12"/>
      <c r="AE169" s="12"/>
      <c r="AH169" s="12"/>
    </row>
    <row r="170">
      <c r="I170" s="12"/>
      <c r="L170" s="12"/>
      <c r="P170" s="12"/>
      <c r="T170" s="12"/>
      <c r="X170" s="12"/>
      <c r="AB170" s="12"/>
      <c r="AE170" s="12"/>
      <c r="AH170" s="12"/>
    </row>
    <row r="171">
      <c r="I171" s="12"/>
      <c r="L171" s="12"/>
      <c r="P171" s="12"/>
      <c r="T171" s="12"/>
      <c r="X171" s="12"/>
      <c r="AB171" s="12"/>
      <c r="AE171" s="12"/>
      <c r="AH171" s="12"/>
    </row>
    <row r="172">
      <c r="I172" s="12"/>
      <c r="L172" s="12"/>
      <c r="P172" s="12"/>
      <c r="T172" s="12"/>
      <c r="X172" s="12"/>
      <c r="AB172" s="12"/>
      <c r="AE172" s="12"/>
      <c r="AH172" s="12"/>
    </row>
    <row r="173">
      <c r="I173" s="12"/>
      <c r="L173" s="12"/>
      <c r="P173" s="12"/>
      <c r="T173" s="12"/>
      <c r="X173" s="12"/>
      <c r="AB173" s="12"/>
      <c r="AE173" s="12"/>
      <c r="AH173" s="12"/>
    </row>
    <row r="174">
      <c r="I174" s="12"/>
      <c r="L174" s="12"/>
      <c r="P174" s="12"/>
      <c r="T174" s="12"/>
      <c r="X174" s="12"/>
      <c r="AB174" s="12"/>
      <c r="AE174" s="12"/>
      <c r="AH174" s="12"/>
    </row>
    <row r="175">
      <c r="I175" s="12"/>
      <c r="L175" s="12"/>
      <c r="P175" s="12"/>
      <c r="T175" s="12"/>
      <c r="X175" s="12"/>
      <c r="AB175" s="12"/>
      <c r="AE175" s="12"/>
      <c r="AH175" s="12"/>
    </row>
    <row r="176">
      <c r="I176" s="12"/>
      <c r="L176" s="12"/>
      <c r="P176" s="12"/>
      <c r="T176" s="12"/>
      <c r="X176" s="12"/>
      <c r="AB176" s="12"/>
      <c r="AE176" s="12"/>
      <c r="AH176" s="12"/>
    </row>
    <row r="177">
      <c r="I177" s="12"/>
      <c r="L177" s="12"/>
      <c r="P177" s="12"/>
      <c r="T177" s="12"/>
      <c r="X177" s="12"/>
      <c r="AB177" s="12"/>
      <c r="AE177" s="12"/>
      <c r="AH177" s="12"/>
    </row>
    <row r="178">
      <c r="I178" s="12"/>
      <c r="L178" s="12"/>
      <c r="P178" s="12"/>
      <c r="T178" s="12"/>
      <c r="X178" s="12"/>
      <c r="AB178" s="12"/>
      <c r="AE178" s="12"/>
      <c r="AH178" s="12"/>
    </row>
    <row r="179">
      <c r="I179" s="12"/>
      <c r="L179" s="12"/>
      <c r="P179" s="12"/>
      <c r="T179" s="12"/>
      <c r="X179" s="12"/>
      <c r="AB179" s="12"/>
      <c r="AE179" s="12"/>
      <c r="AH179" s="12"/>
    </row>
    <row r="180">
      <c r="I180" s="12"/>
      <c r="L180" s="12"/>
      <c r="P180" s="12"/>
      <c r="T180" s="12"/>
      <c r="X180" s="12"/>
      <c r="AB180" s="12"/>
      <c r="AE180" s="12"/>
      <c r="AH180" s="12"/>
    </row>
    <row r="181">
      <c r="I181" s="12"/>
      <c r="L181" s="12"/>
      <c r="P181" s="12"/>
      <c r="T181" s="12"/>
      <c r="X181" s="12"/>
      <c r="AB181" s="12"/>
      <c r="AE181" s="12"/>
      <c r="AH181" s="12"/>
    </row>
    <row r="182">
      <c r="I182" s="12"/>
      <c r="L182" s="12"/>
      <c r="P182" s="12"/>
      <c r="T182" s="12"/>
      <c r="X182" s="12"/>
      <c r="AB182" s="12"/>
      <c r="AE182" s="12"/>
      <c r="AH182" s="12"/>
    </row>
    <row r="183">
      <c r="I183" s="12"/>
      <c r="L183" s="12"/>
      <c r="P183" s="12"/>
      <c r="T183" s="12"/>
      <c r="X183" s="12"/>
      <c r="AB183" s="12"/>
      <c r="AE183" s="12"/>
      <c r="AH183" s="12"/>
    </row>
    <row r="184">
      <c r="I184" s="12"/>
      <c r="L184" s="12"/>
      <c r="P184" s="12"/>
      <c r="T184" s="12"/>
      <c r="X184" s="12"/>
      <c r="AB184" s="12"/>
      <c r="AE184" s="12"/>
      <c r="AH184" s="12"/>
    </row>
    <row r="185">
      <c r="I185" s="12"/>
      <c r="L185" s="12"/>
      <c r="P185" s="12"/>
      <c r="T185" s="12"/>
      <c r="X185" s="12"/>
      <c r="AB185" s="12"/>
      <c r="AE185" s="12"/>
      <c r="AH185" s="12"/>
    </row>
    <row r="186">
      <c r="I186" s="12"/>
      <c r="L186" s="12"/>
      <c r="P186" s="12"/>
      <c r="T186" s="12"/>
      <c r="X186" s="12"/>
      <c r="AB186" s="12"/>
      <c r="AE186" s="12"/>
      <c r="AH186" s="12"/>
    </row>
    <row r="187">
      <c r="I187" s="12"/>
      <c r="L187" s="12"/>
      <c r="P187" s="12"/>
      <c r="T187" s="12"/>
      <c r="X187" s="12"/>
      <c r="AB187" s="12"/>
      <c r="AE187" s="12"/>
      <c r="AH187" s="12"/>
    </row>
    <row r="188">
      <c r="I188" s="12"/>
      <c r="L188" s="12"/>
      <c r="P188" s="12"/>
      <c r="T188" s="12"/>
      <c r="X188" s="12"/>
      <c r="AB188" s="12"/>
      <c r="AE188" s="12"/>
      <c r="AH188" s="12"/>
    </row>
    <row r="189">
      <c r="I189" s="12"/>
      <c r="L189" s="12"/>
      <c r="P189" s="12"/>
      <c r="T189" s="12"/>
      <c r="X189" s="12"/>
      <c r="AB189" s="12"/>
      <c r="AE189" s="12"/>
      <c r="AH189" s="12"/>
    </row>
    <row r="190">
      <c r="I190" s="12"/>
      <c r="L190" s="12"/>
      <c r="P190" s="12"/>
      <c r="T190" s="12"/>
      <c r="X190" s="12"/>
      <c r="AB190" s="12"/>
      <c r="AE190" s="12"/>
      <c r="AH190" s="12"/>
    </row>
    <row r="191">
      <c r="I191" s="12"/>
      <c r="L191" s="12"/>
      <c r="P191" s="12"/>
      <c r="T191" s="12"/>
      <c r="X191" s="12"/>
      <c r="AB191" s="12"/>
      <c r="AE191" s="12"/>
      <c r="AH191" s="12"/>
    </row>
    <row r="192">
      <c r="I192" s="12"/>
      <c r="L192" s="12"/>
      <c r="P192" s="12"/>
      <c r="T192" s="12"/>
      <c r="X192" s="12"/>
      <c r="AB192" s="12"/>
      <c r="AE192" s="12"/>
      <c r="AH192" s="12"/>
    </row>
    <row r="193">
      <c r="I193" s="12"/>
      <c r="L193" s="12"/>
      <c r="P193" s="12"/>
      <c r="T193" s="12"/>
      <c r="X193" s="12"/>
      <c r="AB193" s="12"/>
      <c r="AE193" s="12"/>
      <c r="AH193" s="12"/>
    </row>
    <row r="194">
      <c r="I194" s="12"/>
      <c r="L194" s="12"/>
      <c r="P194" s="12"/>
      <c r="T194" s="12"/>
      <c r="X194" s="12"/>
      <c r="AB194" s="12"/>
      <c r="AE194" s="12"/>
      <c r="AH194" s="12"/>
    </row>
    <row r="195">
      <c r="I195" s="12"/>
      <c r="L195" s="12"/>
      <c r="P195" s="12"/>
      <c r="T195" s="12"/>
      <c r="X195" s="12"/>
      <c r="AB195" s="12"/>
      <c r="AE195" s="12"/>
      <c r="AH195" s="12"/>
    </row>
    <row r="196">
      <c r="I196" s="12"/>
      <c r="L196" s="12"/>
      <c r="P196" s="12"/>
      <c r="T196" s="12"/>
      <c r="X196" s="12"/>
      <c r="AB196" s="12"/>
      <c r="AE196" s="12"/>
      <c r="AH196" s="12"/>
    </row>
    <row r="197">
      <c r="I197" s="12"/>
      <c r="L197" s="12"/>
      <c r="P197" s="12"/>
      <c r="T197" s="12"/>
      <c r="X197" s="12"/>
      <c r="AB197" s="12"/>
      <c r="AE197" s="12"/>
      <c r="AH197" s="12"/>
    </row>
    <row r="198">
      <c r="I198" s="12"/>
      <c r="L198" s="12"/>
      <c r="P198" s="12"/>
      <c r="T198" s="12"/>
      <c r="X198" s="12"/>
      <c r="AB198" s="12"/>
      <c r="AE198" s="12"/>
      <c r="AH198" s="12"/>
    </row>
    <row r="199">
      <c r="I199" s="12"/>
      <c r="L199" s="12"/>
      <c r="P199" s="12"/>
      <c r="T199" s="12"/>
      <c r="X199" s="12"/>
      <c r="AB199" s="12"/>
      <c r="AE199" s="12"/>
      <c r="AH199" s="12"/>
    </row>
    <row r="200">
      <c r="I200" s="12"/>
      <c r="L200" s="12"/>
      <c r="P200" s="12"/>
      <c r="T200" s="12"/>
      <c r="X200" s="12"/>
      <c r="AB200" s="12"/>
      <c r="AE200" s="12"/>
      <c r="AH200" s="12"/>
    </row>
    <row r="201">
      <c r="I201" s="12"/>
      <c r="L201" s="12"/>
      <c r="P201" s="12"/>
      <c r="T201" s="12"/>
      <c r="X201" s="12"/>
      <c r="AB201" s="12"/>
      <c r="AE201" s="12"/>
      <c r="AH201" s="12"/>
    </row>
    <row r="202">
      <c r="I202" s="12"/>
      <c r="L202" s="12"/>
      <c r="P202" s="12"/>
      <c r="T202" s="12"/>
      <c r="X202" s="12"/>
      <c r="AB202" s="12"/>
      <c r="AE202" s="12"/>
      <c r="AH202" s="12"/>
    </row>
    <row r="203">
      <c r="I203" s="12"/>
      <c r="L203" s="12"/>
      <c r="P203" s="12"/>
      <c r="T203" s="12"/>
      <c r="X203" s="12"/>
      <c r="AB203" s="12"/>
      <c r="AE203" s="12"/>
      <c r="AH203" s="12"/>
    </row>
    <row r="204">
      <c r="I204" s="12"/>
      <c r="L204" s="12"/>
      <c r="P204" s="12"/>
      <c r="T204" s="12"/>
      <c r="X204" s="12"/>
      <c r="AB204" s="12"/>
      <c r="AE204" s="12"/>
      <c r="AH204" s="12"/>
    </row>
    <row r="205">
      <c r="I205" s="12"/>
      <c r="L205" s="12"/>
      <c r="P205" s="12"/>
      <c r="T205" s="12"/>
      <c r="X205" s="12"/>
      <c r="AB205" s="12"/>
      <c r="AE205" s="12"/>
      <c r="AH205" s="12"/>
    </row>
    <row r="206">
      <c r="I206" s="12"/>
      <c r="L206" s="12"/>
      <c r="P206" s="12"/>
      <c r="T206" s="12"/>
      <c r="X206" s="12"/>
      <c r="AB206" s="12"/>
      <c r="AE206" s="12"/>
      <c r="AH206" s="12"/>
    </row>
    <row r="207">
      <c r="I207" s="12"/>
      <c r="L207" s="12"/>
      <c r="P207" s="12"/>
      <c r="T207" s="12"/>
      <c r="X207" s="12"/>
      <c r="AB207" s="12"/>
      <c r="AE207" s="12"/>
      <c r="AH207" s="12"/>
    </row>
    <row r="208">
      <c r="I208" s="12"/>
      <c r="L208" s="12"/>
      <c r="P208" s="12"/>
      <c r="T208" s="12"/>
      <c r="X208" s="12"/>
      <c r="AB208" s="12"/>
      <c r="AE208" s="12"/>
      <c r="AH208" s="12"/>
    </row>
    <row r="209">
      <c r="I209" s="12"/>
      <c r="L209" s="12"/>
      <c r="P209" s="12"/>
      <c r="T209" s="12"/>
      <c r="X209" s="12"/>
      <c r="AB209" s="12"/>
      <c r="AE209" s="12"/>
      <c r="AH209" s="12"/>
    </row>
    <row r="210">
      <c r="I210" s="12"/>
      <c r="L210" s="12"/>
      <c r="P210" s="12"/>
      <c r="T210" s="12"/>
      <c r="X210" s="12"/>
      <c r="AB210" s="12"/>
      <c r="AE210" s="12"/>
      <c r="AH210" s="12"/>
    </row>
    <row r="211">
      <c r="I211" s="12"/>
      <c r="L211" s="12"/>
      <c r="P211" s="12"/>
      <c r="T211" s="12"/>
      <c r="X211" s="12"/>
      <c r="AB211" s="12"/>
      <c r="AE211" s="12"/>
      <c r="AH211" s="12"/>
    </row>
    <row r="212">
      <c r="I212" s="12"/>
      <c r="L212" s="12"/>
      <c r="P212" s="12"/>
      <c r="T212" s="12"/>
      <c r="X212" s="12"/>
      <c r="AB212" s="12"/>
      <c r="AE212" s="12"/>
      <c r="AH212" s="12"/>
    </row>
    <row r="213">
      <c r="I213" s="12"/>
      <c r="L213" s="12"/>
      <c r="P213" s="12"/>
      <c r="T213" s="12"/>
      <c r="X213" s="12"/>
      <c r="AB213" s="12"/>
      <c r="AE213" s="12"/>
      <c r="AH213" s="12"/>
    </row>
    <row r="214">
      <c r="I214" s="12"/>
      <c r="L214" s="12"/>
      <c r="P214" s="12"/>
      <c r="T214" s="12"/>
      <c r="X214" s="12"/>
      <c r="AB214" s="12"/>
      <c r="AE214" s="12"/>
      <c r="AH214" s="12"/>
    </row>
    <row r="215">
      <c r="I215" s="12"/>
      <c r="L215" s="12"/>
      <c r="P215" s="12"/>
      <c r="T215" s="12"/>
      <c r="X215" s="12"/>
      <c r="AB215" s="12"/>
      <c r="AE215" s="12"/>
      <c r="AH215" s="12"/>
    </row>
    <row r="216">
      <c r="I216" s="12"/>
      <c r="L216" s="12"/>
      <c r="P216" s="12"/>
      <c r="T216" s="12"/>
      <c r="X216" s="12"/>
      <c r="AB216" s="12"/>
      <c r="AE216" s="12"/>
      <c r="AH216" s="12"/>
    </row>
    <row r="217">
      <c r="I217" s="12"/>
      <c r="L217" s="12"/>
      <c r="P217" s="12"/>
      <c r="T217" s="12"/>
      <c r="X217" s="12"/>
      <c r="AB217" s="12"/>
      <c r="AE217" s="12"/>
      <c r="AH217" s="12"/>
    </row>
    <row r="218">
      <c r="I218" s="12"/>
      <c r="L218" s="12"/>
      <c r="P218" s="12"/>
      <c r="T218" s="12"/>
      <c r="X218" s="12"/>
      <c r="AB218" s="12"/>
      <c r="AE218" s="12"/>
      <c r="AH218" s="12"/>
    </row>
    <row r="219">
      <c r="I219" s="12"/>
      <c r="L219" s="12"/>
      <c r="P219" s="12"/>
      <c r="T219" s="12"/>
      <c r="X219" s="12"/>
      <c r="AB219" s="12"/>
      <c r="AE219" s="12"/>
      <c r="AH219" s="12"/>
    </row>
    <row r="220">
      <c r="I220" s="12"/>
      <c r="L220" s="12"/>
      <c r="P220" s="12"/>
      <c r="T220" s="12"/>
      <c r="X220" s="12"/>
      <c r="AB220" s="12"/>
      <c r="AE220" s="12"/>
      <c r="AH220" s="12"/>
    </row>
    <row r="221">
      <c r="I221" s="12"/>
      <c r="L221" s="12"/>
      <c r="P221" s="12"/>
      <c r="T221" s="12"/>
      <c r="X221" s="12"/>
      <c r="AB221" s="12"/>
      <c r="AE221" s="12"/>
      <c r="AH221" s="12"/>
    </row>
    <row r="222">
      <c r="I222" s="12"/>
      <c r="L222" s="12"/>
      <c r="P222" s="12"/>
      <c r="T222" s="12"/>
      <c r="X222" s="12"/>
      <c r="AB222" s="12"/>
      <c r="AE222" s="12"/>
      <c r="AH222" s="12"/>
    </row>
    <row r="223">
      <c r="I223" s="12"/>
      <c r="L223" s="12"/>
      <c r="P223" s="12"/>
      <c r="T223" s="12"/>
      <c r="X223" s="12"/>
      <c r="AB223" s="12"/>
      <c r="AE223" s="12"/>
      <c r="AH223" s="12"/>
    </row>
    <row r="224">
      <c r="I224" s="12"/>
      <c r="L224" s="12"/>
      <c r="P224" s="12"/>
      <c r="T224" s="12"/>
      <c r="X224" s="12"/>
      <c r="AB224" s="12"/>
      <c r="AE224" s="12"/>
      <c r="AH224" s="12"/>
    </row>
    <row r="225">
      <c r="I225" s="12"/>
      <c r="L225" s="12"/>
      <c r="P225" s="12"/>
      <c r="T225" s="12"/>
      <c r="X225" s="12"/>
      <c r="AB225" s="12"/>
      <c r="AE225" s="12"/>
      <c r="AH225" s="12"/>
    </row>
    <row r="226">
      <c r="I226" s="12"/>
      <c r="L226" s="12"/>
      <c r="P226" s="12"/>
      <c r="T226" s="12"/>
      <c r="X226" s="12"/>
      <c r="AB226" s="12"/>
      <c r="AE226" s="12"/>
      <c r="AH226" s="12"/>
    </row>
    <row r="227">
      <c r="I227" s="12"/>
      <c r="L227" s="12"/>
      <c r="P227" s="12"/>
      <c r="T227" s="12"/>
      <c r="X227" s="12"/>
      <c r="AB227" s="12"/>
      <c r="AE227" s="12"/>
      <c r="AH227" s="12"/>
    </row>
    <row r="228">
      <c r="I228" s="12"/>
      <c r="L228" s="12"/>
      <c r="P228" s="12"/>
      <c r="T228" s="12"/>
      <c r="X228" s="12"/>
      <c r="AB228" s="12"/>
      <c r="AE228" s="12"/>
      <c r="AH228" s="12"/>
    </row>
    <row r="229">
      <c r="I229" s="12"/>
      <c r="L229" s="12"/>
      <c r="P229" s="12"/>
      <c r="T229" s="12"/>
      <c r="X229" s="12"/>
      <c r="AB229" s="12"/>
      <c r="AE229" s="12"/>
      <c r="AH229" s="12"/>
    </row>
    <row r="230">
      <c r="I230" s="12"/>
      <c r="L230" s="12"/>
      <c r="P230" s="12"/>
      <c r="T230" s="12"/>
      <c r="X230" s="12"/>
      <c r="AB230" s="12"/>
      <c r="AE230" s="12"/>
      <c r="AH230" s="12"/>
    </row>
    <row r="231">
      <c r="I231" s="12"/>
      <c r="L231" s="12"/>
      <c r="P231" s="12"/>
      <c r="T231" s="12"/>
      <c r="X231" s="12"/>
      <c r="AB231" s="12"/>
      <c r="AE231" s="12"/>
      <c r="AH231" s="12"/>
    </row>
    <row r="232">
      <c r="I232" s="12"/>
      <c r="L232" s="12"/>
      <c r="P232" s="12"/>
      <c r="T232" s="12"/>
      <c r="X232" s="12"/>
      <c r="AB232" s="12"/>
      <c r="AE232" s="12"/>
      <c r="AH232" s="12"/>
    </row>
    <row r="233">
      <c r="I233" s="12"/>
      <c r="L233" s="12"/>
      <c r="P233" s="12"/>
      <c r="T233" s="12"/>
      <c r="X233" s="12"/>
      <c r="AB233" s="12"/>
      <c r="AE233" s="12"/>
      <c r="AH233" s="12"/>
    </row>
    <row r="234">
      <c r="I234" s="12"/>
      <c r="L234" s="12"/>
      <c r="P234" s="12"/>
      <c r="T234" s="12"/>
      <c r="X234" s="12"/>
      <c r="AB234" s="12"/>
      <c r="AE234" s="12"/>
      <c r="AH234" s="12"/>
    </row>
    <row r="235">
      <c r="I235" s="12"/>
      <c r="L235" s="12"/>
      <c r="P235" s="12"/>
      <c r="T235" s="12"/>
      <c r="X235" s="12"/>
      <c r="AB235" s="12"/>
      <c r="AE235" s="12"/>
      <c r="AH235" s="12"/>
    </row>
    <row r="236">
      <c r="I236" s="12"/>
      <c r="L236" s="12"/>
      <c r="P236" s="12"/>
      <c r="T236" s="12"/>
      <c r="X236" s="12"/>
      <c r="AB236" s="12"/>
      <c r="AE236" s="12"/>
      <c r="AH236" s="12"/>
    </row>
    <row r="237">
      <c r="I237" s="12"/>
      <c r="L237" s="12"/>
      <c r="P237" s="12"/>
      <c r="T237" s="12"/>
      <c r="X237" s="12"/>
      <c r="AB237" s="12"/>
      <c r="AE237" s="12"/>
      <c r="AH237" s="12"/>
    </row>
    <row r="238">
      <c r="I238" s="12"/>
      <c r="L238" s="12"/>
      <c r="P238" s="12"/>
      <c r="T238" s="12"/>
      <c r="X238" s="12"/>
      <c r="AB238" s="12"/>
      <c r="AE238" s="12"/>
      <c r="AH238" s="12"/>
    </row>
    <row r="239">
      <c r="I239" s="12"/>
      <c r="L239" s="12"/>
      <c r="P239" s="12"/>
      <c r="T239" s="12"/>
      <c r="X239" s="12"/>
      <c r="AB239" s="12"/>
      <c r="AE239" s="12"/>
      <c r="AH239" s="12"/>
    </row>
    <row r="240">
      <c r="I240" s="12"/>
      <c r="L240" s="12"/>
      <c r="P240" s="12"/>
      <c r="T240" s="12"/>
      <c r="X240" s="12"/>
      <c r="AB240" s="12"/>
      <c r="AE240" s="12"/>
      <c r="AH240" s="12"/>
    </row>
    <row r="241">
      <c r="I241" s="12"/>
      <c r="L241" s="12"/>
      <c r="P241" s="12"/>
      <c r="T241" s="12"/>
      <c r="X241" s="12"/>
      <c r="AB241" s="12"/>
      <c r="AE241" s="12"/>
      <c r="AH241" s="12"/>
    </row>
    <row r="242">
      <c r="I242" s="12"/>
      <c r="L242" s="12"/>
      <c r="P242" s="12"/>
      <c r="T242" s="12"/>
      <c r="X242" s="12"/>
      <c r="AB242" s="12"/>
      <c r="AE242" s="12"/>
      <c r="AH242" s="12"/>
    </row>
    <row r="243">
      <c r="I243" s="12"/>
      <c r="L243" s="12"/>
      <c r="P243" s="12"/>
      <c r="T243" s="12"/>
      <c r="X243" s="12"/>
      <c r="AB243" s="12"/>
      <c r="AE243" s="12"/>
      <c r="AH243" s="12"/>
    </row>
    <row r="244">
      <c r="I244" s="12"/>
      <c r="L244" s="12"/>
      <c r="P244" s="12"/>
      <c r="T244" s="12"/>
      <c r="X244" s="12"/>
      <c r="AB244" s="12"/>
      <c r="AE244" s="12"/>
      <c r="AH244" s="12"/>
    </row>
    <row r="245">
      <c r="I245" s="12"/>
      <c r="L245" s="12"/>
      <c r="P245" s="12"/>
      <c r="T245" s="12"/>
      <c r="X245" s="12"/>
      <c r="AB245" s="12"/>
      <c r="AE245" s="12"/>
      <c r="AH245" s="12"/>
    </row>
    <row r="246">
      <c r="I246" s="12"/>
      <c r="L246" s="12"/>
      <c r="P246" s="12"/>
      <c r="T246" s="12"/>
      <c r="X246" s="12"/>
      <c r="AB246" s="12"/>
      <c r="AE246" s="12"/>
      <c r="AH246" s="12"/>
    </row>
    <row r="247">
      <c r="I247" s="12"/>
      <c r="L247" s="12"/>
      <c r="P247" s="12"/>
      <c r="T247" s="12"/>
      <c r="X247" s="12"/>
      <c r="AB247" s="12"/>
      <c r="AE247" s="12"/>
      <c r="AH247" s="12"/>
    </row>
    <row r="248">
      <c r="I248" s="12"/>
      <c r="L248" s="12"/>
      <c r="P248" s="12"/>
      <c r="T248" s="12"/>
      <c r="X248" s="12"/>
      <c r="AB248" s="12"/>
      <c r="AE248" s="12"/>
      <c r="AH248" s="12"/>
    </row>
    <row r="249">
      <c r="I249" s="12"/>
      <c r="L249" s="12"/>
      <c r="P249" s="12"/>
      <c r="T249" s="12"/>
      <c r="X249" s="12"/>
      <c r="AB249" s="12"/>
      <c r="AE249" s="12"/>
      <c r="AH249" s="12"/>
    </row>
    <row r="250">
      <c r="I250" s="12"/>
      <c r="L250" s="12"/>
      <c r="P250" s="12"/>
      <c r="T250" s="12"/>
      <c r="X250" s="12"/>
      <c r="AB250" s="12"/>
      <c r="AE250" s="12"/>
      <c r="AH250" s="12"/>
    </row>
    <row r="251">
      <c r="I251" s="12"/>
      <c r="L251" s="12"/>
      <c r="P251" s="12"/>
      <c r="T251" s="12"/>
      <c r="X251" s="12"/>
      <c r="AB251" s="12"/>
      <c r="AE251" s="12"/>
      <c r="AH251" s="12"/>
    </row>
    <row r="252">
      <c r="I252" s="12"/>
      <c r="L252" s="12"/>
      <c r="P252" s="12"/>
      <c r="T252" s="12"/>
      <c r="X252" s="12"/>
      <c r="AB252" s="12"/>
      <c r="AE252" s="12"/>
      <c r="AH252" s="12"/>
    </row>
    <row r="253">
      <c r="I253" s="12"/>
      <c r="L253" s="12"/>
      <c r="P253" s="12"/>
      <c r="T253" s="12"/>
      <c r="X253" s="12"/>
      <c r="AB253" s="12"/>
      <c r="AE253" s="12"/>
      <c r="AH253" s="12"/>
    </row>
    <row r="254">
      <c r="I254" s="12"/>
      <c r="L254" s="12"/>
      <c r="P254" s="12"/>
      <c r="T254" s="12"/>
      <c r="X254" s="12"/>
      <c r="AB254" s="12"/>
      <c r="AE254" s="12"/>
      <c r="AH254" s="12"/>
    </row>
    <row r="255">
      <c r="I255" s="12"/>
      <c r="L255" s="12"/>
      <c r="P255" s="12"/>
      <c r="T255" s="12"/>
      <c r="X255" s="12"/>
      <c r="AB255" s="12"/>
      <c r="AE255" s="12"/>
      <c r="AH255" s="12"/>
    </row>
    <row r="256">
      <c r="I256" s="12"/>
      <c r="L256" s="12"/>
      <c r="P256" s="12"/>
      <c r="T256" s="12"/>
      <c r="X256" s="12"/>
      <c r="AB256" s="12"/>
      <c r="AE256" s="12"/>
      <c r="AH256" s="12"/>
    </row>
    <row r="257">
      <c r="I257" s="12"/>
      <c r="L257" s="12"/>
      <c r="P257" s="12"/>
      <c r="T257" s="12"/>
      <c r="X257" s="12"/>
      <c r="AB257" s="12"/>
      <c r="AE257" s="12"/>
      <c r="AH257" s="12"/>
    </row>
    <row r="258">
      <c r="I258" s="12"/>
      <c r="L258" s="12"/>
      <c r="P258" s="12"/>
      <c r="T258" s="12"/>
      <c r="X258" s="12"/>
      <c r="AB258" s="12"/>
      <c r="AE258" s="12"/>
      <c r="AH258" s="12"/>
    </row>
    <row r="259">
      <c r="I259" s="12"/>
      <c r="L259" s="12"/>
      <c r="P259" s="12"/>
      <c r="T259" s="12"/>
      <c r="X259" s="12"/>
      <c r="AB259" s="12"/>
      <c r="AE259" s="12"/>
      <c r="AH259" s="12"/>
    </row>
    <row r="260">
      <c r="I260" s="12"/>
      <c r="L260" s="12"/>
      <c r="P260" s="12"/>
      <c r="T260" s="12"/>
      <c r="X260" s="12"/>
      <c r="AB260" s="12"/>
      <c r="AE260" s="12"/>
      <c r="AH260" s="12"/>
    </row>
    <row r="261">
      <c r="I261" s="12"/>
      <c r="L261" s="12"/>
      <c r="P261" s="12"/>
      <c r="T261" s="12"/>
      <c r="X261" s="12"/>
      <c r="AB261" s="12"/>
      <c r="AE261" s="12"/>
      <c r="AH261" s="12"/>
    </row>
    <row r="262">
      <c r="I262" s="12"/>
      <c r="L262" s="12"/>
      <c r="P262" s="12"/>
      <c r="T262" s="12"/>
      <c r="X262" s="12"/>
      <c r="AB262" s="12"/>
      <c r="AE262" s="12"/>
      <c r="AH262" s="12"/>
    </row>
    <row r="263">
      <c r="I263" s="12"/>
      <c r="L263" s="12"/>
      <c r="P263" s="12"/>
      <c r="T263" s="12"/>
      <c r="X263" s="12"/>
      <c r="AB263" s="12"/>
      <c r="AE263" s="12"/>
      <c r="AH263" s="12"/>
    </row>
    <row r="264">
      <c r="I264" s="12"/>
      <c r="L264" s="12"/>
      <c r="P264" s="12"/>
      <c r="T264" s="12"/>
      <c r="X264" s="12"/>
      <c r="AB264" s="12"/>
      <c r="AE264" s="12"/>
      <c r="AH264" s="12"/>
    </row>
    <row r="265">
      <c r="I265" s="12"/>
      <c r="L265" s="12"/>
      <c r="P265" s="12"/>
      <c r="T265" s="12"/>
      <c r="X265" s="12"/>
      <c r="AB265" s="12"/>
      <c r="AE265" s="12"/>
      <c r="AH265" s="12"/>
    </row>
    <row r="266">
      <c r="I266" s="12"/>
      <c r="L266" s="12"/>
      <c r="P266" s="12"/>
      <c r="T266" s="12"/>
      <c r="X266" s="12"/>
      <c r="AB266" s="12"/>
      <c r="AE266" s="12"/>
      <c r="AH266" s="12"/>
    </row>
    <row r="267">
      <c r="I267" s="12"/>
      <c r="L267" s="12"/>
      <c r="P267" s="12"/>
      <c r="T267" s="12"/>
      <c r="X267" s="12"/>
      <c r="AB267" s="12"/>
      <c r="AE267" s="12"/>
      <c r="AH267" s="12"/>
    </row>
    <row r="268">
      <c r="I268" s="12"/>
      <c r="L268" s="12"/>
      <c r="P268" s="12"/>
      <c r="T268" s="12"/>
      <c r="X268" s="12"/>
      <c r="AB268" s="12"/>
      <c r="AE268" s="12"/>
      <c r="AH268" s="12"/>
    </row>
    <row r="269">
      <c r="I269" s="12"/>
      <c r="L269" s="12"/>
      <c r="P269" s="12"/>
      <c r="T269" s="12"/>
      <c r="X269" s="12"/>
      <c r="AB269" s="12"/>
      <c r="AE269" s="12"/>
      <c r="AH269" s="12"/>
    </row>
    <row r="270">
      <c r="I270" s="12"/>
      <c r="L270" s="12"/>
      <c r="P270" s="12"/>
      <c r="T270" s="12"/>
      <c r="X270" s="12"/>
      <c r="AB270" s="12"/>
      <c r="AE270" s="12"/>
      <c r="AH270" s="12"/>
    </row>
    <row r="271">
      <c r="I271" s="12"/>
      <c r="L271" s="12"/>
      <c r="P271" s="12"/>
      <c r="T271" s="12"/>
      <c r="X271" s="12"/>
      <c r="AB271" s="12"/>
      <c r="AE271" s="12"/>
      <c r="AH271" s="12"/>
    </row>
    <row r="272">
      <c r="I272" s="12"/>
      <c r="L272" s="12"/>
      <c r="P272" s="12"/>
      <c r="T272" s="12"/>
      <c r="X272" s="12"/>
      <c r="AB272" s="12"/>
      <c r="AE272" s="12"/>
      <c r="AH272" s="12"/>
    </row>
    <row r="273">
      <c r="I273" s="12"/>
      <c r="L273" s="12"/>
      <c r="P273" s="12"/>
      <c r="T273" s="12"/>
      <c r="X273" s="12"/>
      <c r="AB273" s="12"/>
      <c r="AE273" s="12"/>
      <c r="AH273" s="12"/>
    </row>
    <row r="274">
      <c r="I274" s="12"/>
      <c r="L274" s="12"/>
      <c r="P274" s="12"/>
      <c r="T274" s="12"/>
      <c r="X274" s="12"/>
      <c r="AB274" s="12"/>
      <c r="AE274" s="12"/>
      <c r="AH274" s="12"/>
    </row>
    <row r="275">
      <c r="I275" s="12"/>
      <c r="L275" s="12"/>
      <c r="P275" s="12"/>
      <c r="T275" s="12"/>
      <c r="X275" s="12"/>
      <c r="AB275" s="12"/>
      <c r="AE275" s="12"/>
      <c r="AH275" s="12"/>
    </row>
    <row r="276">
      <c r="I276" s="12"/>
      <c r="L276" s="12"/>
      <c r="P276" s="12"/>
      <c r="T276" s="12"/>
      <c r="X276" s="12"/>
      <c r="AB276" s="12"/>
      <c r="AE276" s="12"/>
      <c r="AH276" s="12"/>
    </row>
    <row r="277">
      <c r="I277" s="12"/>
      <c r="L277" s="12"/>
      <c r="P277" s="12"/>
      <c r="T277" s="12"/>
      <c r="X277" s="12"/>
      <c r="AB277" s="12"/>
      <c r="AE277" s="12"/>
      <c r="AH277" s="12"/>
    </row>
    <row r="278">
      <c r="I278" s="12"/>
      <c r="L278" s="12"/>
      <c r="P278" s="12"/>
      <c r="T278" s="12"/>
      <c r="X278" s="12"/>
      <c r="AB278" s="12"/>
      <c r="AE278" s="12"/>
      <c r="AH278" s="12"/>
    </row>
    <row r="279">
      <c r="I279" s="12"/>
      <c r="L279" s="12"/>
      <c r="P279" s="12"/>
      <c r="T279" s="12"/>
      <c r="X279" s="12"/>
      <c r="AB279" s="12"/>
      <c r="AE279" s="12"/>
      <c r="AH279" s="12"/>
    </row>
    <row r="280">
      <c r="I280" s="12"/>
      <c r="L280" s="12"/>
      <c r="P280" s="12"/>
      <c r="T280" s="12"/>
      <c r="X280" s="12"/>
      <c r="AB280" s="12"/>
      <c r="AE280" s="12"/>
      <c r="AH280" s="12"/>
    </row>
    <row r="281">
      <c r="I281" s="12"/>
      <c r="L281" s="12"/>
      <c r="P281" s="12"/>
      <c r="T281" s="12"/>
      <c r="X281" s="12"/>
      <c r="AB281" s="12"/>
      <c r="AE281" s="12"/>
      <c r="AH281" s="12"/>
    </row>
    <row r="282">
      <c r="I282" s="12"/>
      <c r="L282" s="12"/>
      <c r="P282" s="12"/>
      <c r="T282" s="12"/>
      <c r="X282" s="12"/>
      <c r="AB282" s="12"/>
      <c r="AE282" s="12"/>
      <c r="AH282" s="12"/>
    </row>
    <row r="283">
      <c r="I283" s="12"/>
      <c r="L283" s="12"/>
      <c r="P283" s="12"/>
      <c r="T283" s="12"/>
      <c r="X283" s="12"/>
      <c r="AB283" s="12"/>
      <c r="AE283" s="12"/>
      <c r="AH283" s="12"/>
    </row>
    <row r="284">
      <c r="I284" s="12"/>
      <c r="L284" s="12"/>
      <c r="P284" s="12"/>
      <c r="T284" s="12"/>
      <c r="X284" s="12"/>
      <c r="AB284" s="12"/>
      <c r="AE284" s="12"/>
      <c r="AH284" s="12"/>
    </row>
    <row r="285">
      <c r="I285" s="12"/>
      <c r="L285" s="12"/>
      <c r="P285" s="12"/>
      <c r="T285" s="12"/>
      <c r="X285" s="12"/>
      <c r="AB285" s="12"/>
      <c r="AE285" s="12"/>
      <c r="AH285" s="12"/>
    </row>
    <row r="286">
      <c r="I286" s="12"/>
      <c r="L286" s="12"/>
      <c r="P286" s="12"/>
      <c r="T286" s="12"/>
      <c r="X286" s="12"/>
      <c r="AB286" s="12"/>
      <c r="AE286" s="12"/>
      <c r="AH286" s="12"/>
    </row>
    <row r="287">
      <c r="I287" s="12"/>
      <c r="L287" s="12"/>
      <c r="P287" s="12"/>
      <c r="T287" s="12"/>
      <c r="X287" s="12"/>
      <c r="AB287" s="12"/>
      <c r="AE287" s="12"/>
      <c r="AH287" s="12"/>
    </row>
    <row r="288">
      <c r="I288" s="12"/>
      <c r="L288" s="12"/>
      <c r="P288" s="12"/>
      <c r="T288" s="12"/>
      <c r="X288" s="12"/>
      <c r="AB288" s="12"/>
      <c r="AE288" s="12"/>
      <c r="AH288" s="12"/>
    </row>
    <row r="289">
      <c r="I289" s="12"/>
      <c r="L289" s="12"/>
      <c r="P289" s="12"/>
      <c r="T289" s="12"/>
      <c r="X289" s="12"/>
      <c r="AB289" s="12"/>
      <c r="AE289" s="12"/>
      <c r="AH289" s="12"/>
    </row>
    <row r="290">
      <c r="I290" s="12"/>
      <c r="L290" s="12"/>
      <c r="P290" s="12"/>
      <c r="T290" s="12"/>
      <c r="X290" s="12"/>
      <c r="AB290" s="12"/>
      <c r="AE290" s="12"/>
      <c r="AH290" s="12"/>
    </row>
    <row r="291">
      <c r="I291" s="12"/>
      <c r="L291" s="12"/>
      <c r="P291" s="12"/>
      <c r="T291" s="12"/>
      <c r="X291" s="12"/>
      <c r="AB291" s="12"/>
      <c r="AE291" s="12"/>
      <c r="AH291" s="12"/>
    </row>
    <row r="292">
      <c r="I292" s="12"/>
      <c r="L292" s="12"/>
      <c r="P292" s="12"/>
      <c r="T292" s="12"/>
      <c r="X292" s="12"/>
      <c r="AB292" s="12"/>
      <c r="AE292" s="12"/>
      <c r="AH292" s="12"/>
    </row>
    <row r="293">
      <c r="I293" s="12"/>
      <c r="L293" s="12"/>
      <c r="P293" s="12"/>
      <c r="T293" s="12"/>
      <c r="X293" s="12"/>
      <c r="AB293" s="12"/>
      <c r="AE293" s="12"/>
      <c r="AH293" s="12"/>
    </row>
    <row r="294">
      <c r="I294" s="12"/>
      <c r="L294" s="12"/>
      <c r="P294" s="12"/>
      <c r="T294" s="12"/>
      <c r="X294" s="12"/>
      <c r="AB294" s="12"/>
      <c r="AE294" s="12"/>
      <c r="AH294" s="12"/>
    </row>
    <row r="295">
      <c r="I295" s="12"/>
      <c r="L295" s="12"/>
      <c r="P295" s="12"/>
      <c r="T295" s="12"/>
      <c r="X295" s="12"/>
      <c r="AB295" s="12"/>
      <c r="AE295" s="12"/>
      <c r="AH295" s="12"/>
    </row>
    <row r="296">
      <c r="I296" s="12"/>
      <c r="L296" s="12"/>
      <c r="P296" s="12"/>
      <c r="T296" s="12"/>
      <c r="X296" s="12"/>
      <c r="AB296" s="12"/>
      <c r="AE296" s="12"/>
      <c r="AH296" s="12"/>
    </row>
    <row r="297">
      <c r="I297" s="12"/>
      <c r="L297" s="12"/>
      <c r="P297" s="12"/>
      <c r="T297" s="12"/>
      <c r="X297" s="12"/>
      <c r="AB297" s="12"/>
      <c r="AE297" s="12"/>
      <c r="AH297" s="12"/>
    </row>
    <row r="298">
      <c r="I298" s="12"/>
      <c r="L298" s="12"/>
      <c r="P298" s="12"/>
      <c r="T298" s="12"/>
      <c r="X298" s="12"/>
      <c r="AB298" s="12"/>
      <c r="AE298" s="12"/>
      <c r="AH298" s="12"/>
    </row>
    <row r="299">
      <c r="I299" s="12"/>
      <c r="L299" s="12"/>
      <c r="P299" s="12"/>
      <c r="T299" s="12"/>
      <c r="X299" s="12"/>
      <c r="AB299" s="12"/>
      <c r="AE299" s="12"/>
      <c r="AH299" s="12"/>
    </row>
    <row r="300">
      <c r="I300" s="12"/>
      <c r="L300" s="12"/>
      <c r="P300" s="12"/>
      <c r="T300" s="12"/>
      <c r="X300" s="12"/>
      <c r="AB300" s="12"/>
      <c r="AE300" s="12"/>
      <c r="AH300" s="12"/>
    </row>
    <row r="301">
      <c r="I301" s="12"/>
      <c r="L301" s="12"/>
      <c r="P301" s="12"/>
      <c r="T301" s="12"/>
      <c r="X301" s="12"/>
      <c r="AB301" s="12"/>
      <c r="AE301" s="12"/>
      <c r="AH301" s="12"/>
    </row>
    <row r="302">
      <c r="I302" s="12"/>
      <c r="L302" s="12"/>
      <c r="P302" s="12"/>
      <c r="T302" s="12"/>
      <c r="X302" s="12"/>
      <c r="AB302" s="12"/>
      <c r="AE302" s="12"/>
      <c r="AH302" s="12"/>
    </row>
    <row r="303">
      <c r="I303" s="12"/>
      <c r="L303" s="12"/>
      <c r="P303" s="12"/>
      <c r="T303" s="12"/>
      <c r="X303" s="12"/>
      <c r="AB303" s="12"/>
      <c r="AE303" s="12"/>
      <c r="AH303" s="12"/>
    </row>
    <row r="304">
      <c r="I304" s="12"/>
      <c r="L304" s="12"/>
      <c r="P304" s="12"/>
      <c r="T304" s="12"/>
      <c r="X304" s="12"/>
      <c r="AB304" s="12"/>
      <c r="AE304" s="12"/>
      <c r="AH304" s="12"/>
    </row>
    <row r="305">
      <c r="I305" s="12"/>
      <c r="L305" s="12"/>
      <c r="P305" s="12"/>
      <c r="T305" s="12"/>
      <c r="X305" s="12"/>
      <c r="AB305" s="12"/>
      <c r="AE305" s="12"/>
      <c r="AH305" s="12"/>
    </row>
    <row r="306">
      <c r="I306" s="12"/>
      <c r="L306" s="12"/>
      <c r="P306" s="12"/>
      <c r="T306" s="12"/>
      <c r="X306" s="12"/>
      <c r="AB306" s="12"/>
      <c r="AE306" s="12"/>
      <c r="AH306" s="12"/>
    </row>
    <row r="307">
      <c r="I307" s="12"/>
      <c r="L307" s="12"/>
      <c r="P307" s="12"/>
      <c r="T307" s="12"/>
      <c r="X307" s="12"/>
      <c r="AB307" s="12"/>
      <c r="AE307" s="12"/>
      <c r="AH307" s="12"/>
    </row>
    <row r="308">
      <c r="I308" s="12"/>
      <c r="L308" s="12"/>
      <c r="P308" s="12"/>
      <c r="T308" s="12"/>
      <c r="X308" s="12"/>
      <c r="AB308" s="12"/>
      <c r="AE308" s="12"/>
      <c r="AH308" s="12"/>
    </row>
    <row r="309">
      <c r="I309" s="12"/>
      <c r="L309" s="12"/>
      <c r="P309" s="12"/>
      <c r="T309" s="12"/>
      <c r="X309" s="12"/>
      <c r="AB309" s="12"/>
      <c r="AE309" s="12"/>
      <c r="AH309" s="12"/>
    </row>
    <row r="310">
      <c r="I310" s="12"/>
      <c r="L310" s="12"/>
      <c r="P310" s="12"/>
      <c r="T310" s="12"/>
      <c r="X310" s="12"/>
      <c r="AB310" s="12"/>
      <c r="AE310" s="12"/>
      <c r="AH310" s="12"/>
    </row>
    <row r="311">
      <c r="I311" s="12"/>
      <c r="L311" s="12"/>
      <c r="P311" s="12"/>
      <c r="T311" s="12"/>
      <c r="X311" s="12"/>
      <c r="AB311" s="12"/>
      <c r="AE311" s="12"/>
      <c r="AH311" s="12"/>
    </row>
    <row r="312">
      <c r="I312" s="12"/>
      <c r="L312" s="12"/>
      <c r="P312" s="12"/>
      <c r="T312" s="12"/>
      <c r="X312" s="12"/>
      <c r="AB312" s="12"/>
      <c r="AE312" s="12"/>
      <c r="AH312" s="12"/>
    </row>
    <row r="313">
      <c r="I313" s="12"/>
      <c r="L313" s="12"/>
      <c r="P313" s="12"/>
      <c r="T313" s="12"/>
      <c r="X313" s="12"/>
      <c r="AB313" s="12"/>
      <c r="AE313" s="12"/>
      <c r="AH313" s="12"/>
    </row>
    <row r="314">
      <c r="I314" s="12"/>
      <c r="L314" s="12"/>
      <c r="P314" s="12"/>
      <c r="T314" s="12"/>
      <c r="X314" s="12"/>
      <c r="AB314" s="12"/>
      <c r="AE314" s="12"/>
      <c r="AH314" s="12"/>
    </row>
    <row r="315">
      <c r="I315" s="12"/>
      <c r="L315" s="12"/>
      <c r="P315" s="12"/>
      <c r="T315" s="12"/>
      <c r="X315" s="12"/>
      <c r="AB315" s="12"/>
      <c r="AE315" s="12"/>
      <c r="AH315" s="12"/>
    </row>
    <row r="316">
      <c r="I316" s="12"/>
      <c r="L316" s="12"/>
      <c r="P316" s="12"/>
      <c r="T316" s="12"/>
      <c r="X316" s="12"/>
      <c r="AB316" s="12"/>
      <c r="AE316" s="12"/>
      <c r="AH316" s="12"/>
    </row>
    <row r="317">
      <c r="I317" s="12"/>
      <c r="L317" s="12"/>
      <c r="P317" s="12"/>
      <c r="T317" s="12"/>
      <c r="X317" s="12"/>
      <c r="AB317" s="12"/>
      <c r="AE317" s="12"/>
      <c r="AH317" s="12"/>
    </row>
    <row r="318">
      <c r="I318" s="12"/>
      <c r="L318" s="12"/>
      <c r="P318" s="12"/>
      <c r="T318" s="12"/>
      <c r="X318" s="12"/>
      <c r="AB318" s="12"/>
      <c r="AE318" s="12"/>
      <c r="AH318" s="12"/>
    </row>
    <row r="319">
      <c r="I319" s="12"/>
      <c r="L319" s="12"/>
      <c r="P319" s="12"/>
      <c r="T319" s="12"/>
      <c r="X319" s="12"/>
      <c r="AB319" s="12"/>
      <c r="AE319" s="12"/>
      <c r="AH319" s="12"/>
    </row>
    <row r="320">
      <c r="I320" s="12"/>
      <c r="L320" s="12"/>
      <c r="P320" s="12"/>
      <c r="T320" s="12"/>
      <c r="X320" s="12"/>
      <c r="AB320" s="12"/>
      <c r="AE320" s="12"/>
      <c r="AH320" s="12"/>
    </row>
    <row r="321">
      <c r="I321" s="12"/>
      <c r="L321" s="12"/>
      <c r="P321" s="12"/>
      <c r="T321" s="12"/>
      <c r="X321" s="12"/>
      <c r="AB321" s="12"/>
      <c r="AE321" s="12"/>
      <c r="AH321" s="12"/>
    </row>
    <row r="322">
      <c r="I322" s="12"/>
      <c r="L322" s="12"/>
      <c r="P322" s="12"/>
      <c r="T322" s="12"/>
      <c r="X322" s="12"/>
      <c r="AB322" s="12"/>
      <c r="AE322" s="12"/>
      <c r="AH322" s="12"/>
    </row>
    <row r="323">
      <c r="I323" s="12"/>
      <c r="L323" s="12"/>
      <c r="P323" s="12"/>
      <c r="T323" s="12"/>
      <c r="X323" s="12"/>
      <c r="AB323" s="12"/>
      <c r="AE323" s="12"/>
      <c r="AH323" s="12"/>
    </row>
    <row r="324">
      <c r="I324" s="12"/>
      <c r="L324" s="12"/>
      <c r="P324" s="12"/>
      <c r="T324" s="12"/>
      <c r="X324" s="12"/>
      <c r="AB324" s="12"/>
      <c r="AE324" s="12"/>
      <c r="AH324" s="12"/>
    </row>
    <row r="325">
      <c r="I325" s="12"/>
      <c r="L325" s="12"/>
      <c r="P325" s="12"/>
      <c r="T325" s="12"/>
      <c r="X325" s="12"/>
      <c r="AB325" s="12"/>
      <c r="AE325" s="12"/>
      <c r="AH325" s="12"/>
    </row>
    <row r="326">
      <c r="I326" s="12"/>
      <c r="L326" s="12"/>
      <c r="P326" s="12"/>
      <c r="T326" s="12"/>
      <c r="X326" s="12"/>
      <c r="AB326" s="12"/>
      <c r="AE326" s="12"/>
      <c r="AH326" s="12"/>
    </row>
    <row r="327">
      <c r="I327" s="12"/>
      <c r="L327" s="12"/>
      <c r="P327" s="12"/>
      <c r="T327" s="12"/>
      <c r="X327" s="12"/>
      <c r="AB327" s="12"/>
      <c r="AE327" s="12"/>
      <c r="AH327" s="12"/>
    </row>
    <row r="328">
      <c r="I328" s="12"/>
      <c r="L328" s="12"/>
      <c r="P328" s="12"/>
      <c r="T328" s="12"/>
      <c r="X328" s="12"/>
      <c r="AB328" s="12"/>
      <c r="AE328" s="12"/>
      <c r="AH328" s="12"/>
    </row>
    <row r="329">
      <c r="I329" s="12"/>
      <c r="L329" s="12"/>
      <c r="P329" s="12"/>
      <c r="T329" s="12"/>
      <c r="X329" s="12"/>
      <c r="AB329" s="12"/>
      <c r="AE329" s="12"/>
      <c r="AH329" s="12"/>
    </row>
    <row r="330">
      <c r="I330" s="12"/>
      <c r="L330" s="12"/>
      <c r="P330" s="12"/>
      <c r="T330" s="12"/>
      <c r="X330" s="12"/>
      <c r="AB330" s="12"/>
      <c r="AE330" s="12"/>
      <c r="AH330" s="12"/>
    </row>
    <row r="331">
      <c r="I331" s="12"/>
      <c r="L331" s="12"/>
      <c r="P331" s="12"/>
      <c r="T331" s="12"/>
      <c r="X331" s="12"/>
      <c r="AB331" s="12"/>
      <c r="AE331" s="12"/>
      <c r="AH331" s="12"/>
    </row>
    <row r="332">
      <c r="I332" s="12"/>
      <c r="L332" s="12"/>
      <c r="P332" s="12"/>
      <c r="T332" s="12"/>
      <c r="X332" s="12"/>
      <c r="AB332" s="12"/>
      <c r="AE332" s="12"/>
      <c r="AH332" s="12"/>
    </row>
    <row r="333">
      <c r="I333" s="12"/>
      <c r="L333" s="12"/>
      <c r="P333" s="12"/>
      <c r="T333" s="12"/>
      <c r="X333" s="12"/>
      <c r="AB333" s="12"/>
      <c r="AE333" s="12"/>
      <c r="AH333" s="12"/>
    </row>
    <row r="334">
      <c r="I334" s="12"/>
      <c r="L334" s="12"/>
      <c r="P334" s="12"/>
      <c r="T334" s="12"/>
      <c r="X334" s="12"/>
      <c r="AB334" s="12"/>
      <c r="AE334" s="12"/>
      <c r="AH334" s="12"/>
    </row>
    <row r="335">
      <c r="I335" s="12"/>
      <c r="L335" s="12"/>
      <c r="P335" s="12"/>
      <c r="T335" s="12"/>
      <c r="X335" s="12"/>
      <c r="AB335" s="12"/>
      <c r="AE335" s="12"/>
      <c r="AH335" s="12"/>
    </row>
    <row r="336">
      <c r="I336" s="12"/>
      <c r="L336" s="12"/>
      <c r="P336" s="12"/>
      <c r="T336" s="12"/>
      <c r="X336" s="12"/>
      <c r="AB336" s="12"/>
      <c r="AE336" s="12"/>
      <c r="AH336" s="12"/>
    </row>
    <row r="337">
      <c r="I337" s="12"/>
      <c r="L337" s="12"/>
      <c r="P337" s="12"/>
      <c r="T337" s="12"/>
      <c r="X337" s="12"/>
      <c r="AB337" s="12"/>
      <c r="AE337" s="12"/>
      <c r="AH337" s="12"/>
    </row>
    <row r="338">
      <c r="I338" s="12"/>
      <c r="L338" s="12"/>
      <c r="P338" s="12"/>
      <c r="T338" s="12"/>
      <c r="X338" s="12"/>
      <c r="AB338" s="12"/>
      <c r="AE338" s="12"/>
      <c r="AH338" s="12"/>
    </row>
    <row r="339">
      <c r="I339" s="12"/>
      <c r="L339" s="12"/>
      <c r="P339" s="12"/>
      <c r="T339" s="12"/>
      <c r="X339" s="12"/>
      <c r="AB339" s="12"/>
      <c r="AE339" s="12"/>
      <c r="AH339" s="12"/>
    </row>
    <row r="340">
      <c r="I340" s="12"/>
      <c r="L340" s="12"/>
      <c r="P340" s="12"/>
      <c r="T340" s="12"/>
      <c r="X340" s="12"/>
      <c r="AB340" s="12"/>
      <c r="AE340" s="12"/>
      <c r="AH340" s="12"/>
    </row>
    <row r="341">
      <c r="I341" s="12"/>
      <c r="L341" s="12"/>
      <c r="P341" s="12"/>
      <c r="T341" s="12"/>
      <c r="X341" s="12"/>
      <c r="AB341" s="12"/>
      <c r="AE341" s="12"/>
      <c r="AH341" s="12"/>
    </row>
    <row r="342">
      <c r="I342" s="12"/>
      <c r="L342" s="12"/>
      <c r="P342" s="12"/>
      <c r="T342" s="12"/>
      <c r="X342" s="12"/>
      <c r="AB342" s="12"/>
      <c r="AE342" s="12"/>
      <c r="AH342" s="12"/>
    </row>
    <row r="343">
      <c r="I343" s="12"/>
      <c r="L343" s="12"/>
      <c r="P343" s="12"/>
      <c r="T343" s="12"/>
      <c r="X343" s="12"/>
      <c r="AB343" s="12"/>
      <c r="AE343" s="12"/>
      <c r="AH343" s="12"/>
    </row>
    <row r="344">
      <c r="I344" s="12"/>
      <c r="L344" s="12"/>
      <c r="P344" s="12"/>
      <c r="T344" s="12"/>
      <c r="X344" s="12"/>
      <c r="AB344" s="12"/>
      <c r="AE344" s="12"/>
      <c r="AH344" s="12"/>
    </row>
    <row r="345">
      <c r="I345" s="12"/>
      <c r="L345" s="12"/>
      <c r="P345" s="12"/>
      <c r="T345" s="12"/>
      <c r="X345" s="12"/>
      <c r="AB345" s="12"/>
      <c r="AE345" s="12"/>
      <c r="AH345" s="12"/>
    </row>
    <row r="346">
      <c r="I346" s="12"/>
      <c r="L346" s="12"/>
      <c r="P346" s="12"/>
      <c r="T346" s="12"/>
      <c r="X346" s="12"/>
      <c r="AB346" s="12"/>
      <c r="AE346" s="12"/>
      <c r="AH346" s="12"/>
    </row>
    <row r="347">
      <c r="I347" s="12"/>
      <c r="L347" s="12"/>
      <c r="P347" s="12"/>
      <c r="T347" s="12"/>
      <c r="X347" s="12"/>
      <c r="AB347" s="12"/>
      <c r="AE347" s="12"/>
      <c r="AH347" s="12"/>
    </row>
    <row r="348">
      <c r="I348" s="12"/>
      <c r="L348" s="12"/>
      <c r="P348" s="12"/>
      <c r="T348" s="12"/>
      <c r="X348" s="12"/>
      <c r="AB348" s="12"/>
      <c r="AE348" s="12"/>
      <c r="AH348" s="12"/>
    </row>
    <row r="349">
      <c r="I349" s="12"/>
      <c r="L349" s="12"/>
      <c r="P349" s="12"/>
      <c r="T349" s="12"/>
      <c r="X349" s="12"/>
      <c r="AB349" s="12"/>
      <c r="AE349" s="12"/>
      <c r="AH349" s="12"/>
    </row>
    <row r="350">
      <c r="I350" s="12"/>
      <c r="L350" s="12"/>
      <c r="P350" s="12"/>
      <c r="T350" s="12"/>
      <c r="X350" s="12"/>
      <c r="AB350" s="12"/>
      <c r="AE350" s="12"/>
      <c r="AH350" s="12"/>
    </row>
    <row r="351">
      <c r="I351" s="12"/>
      <c r="L351" s="12"/>
      <c r="P351" s="12"/>
      <c r="T351" s="12"/>
      <c r="X351" s="12"/>
      <c r="AB351" s="12"/>
      <c r="AE351" s="12"/>
      <c r="AH351" s="12"/>
    </row>
    <row r="352">
      <c r="I352" s="12"/>
      <c r="L352" s="12"/>
      <c r="P352" s="12"/>
      <c r="T352" s="12"/>
      <c r="X352" s="12"/>
      <c r="AB352" s="12"/>
      <c r="AE352" s="12"/>
      <c r="AH352" s="12"/>
    </row>
    <row r="353">
      <c r="I353" s="12"/>
      <c r="L353" s="12"/>
      <c r="P353" s="12"/>
      <c r="T353" s="12"/>
      <c r="X353" s="12"/>
      <c r="AB353" s="12"/>
      <c r="AE353" s="12"/>
      <c r="AH353" s="12"/>
    </row>
    <row r="354">
      <c r="I354" s="12"/>
      <c r="L354" s="12"/>
      <c r="P354" s="12"/>
      <c r="T354" s="12"/>
      <c r="X354" s="12"/>
      <c r="AB354" s="12"/>
      <c r="AE354" s="12"/>
      <c r="AH354" s="12"/>
    </row>
    <row r="355">
      <c r="I355" s="12"/>
      <c r="L355" s="12"/>
      <c r="P355" s="12"/>
      <c r="T355" s="12"/>
      <c r="X355" s="12"/>
      <c r="AB355" s="12"/>
      <c r="AE355" s="12"/>
      <c r="AH355" s="12"/>
    </row>
    <row r="356">
      <c r="I356" s="12"/>
      <c r="L356" s="12"/>
      <c r="P356" s="12"/>
      <c r="T356" s="12"/>
      <c r="X356" s="12"/>
      <c r="AB356" s="12"/>
      <c r="AE356" s="12"/>
      <c r="AH356" s="12"/>
    </row>
    <row r="357">
      <c r="I357" s="12"/>
      <c r="L357" s="12"/>
      <c r="P357" s="12"/>
      <c r="T357" s="12"/>
      <c r="X357" s="12"/>
      <c r="AB357" s="12"/>
      <c r="AE357" s="12"/>
      <c r="AH357" s="12"/>
    </row>
    <row r="358">
      <c r="I358" s="12"/>
      <c r="L358" s="12"/>
      <c r="P358" s="12"/>
      <c r="T358" s="12"/>
      <c r="X358" s="12"/>
      <c r="AB358" s="12"/>
      <c r="AE358" s="12"/>
      <c r="AH358" s="12"/>
    </row>
    <row r="359">
      <c r="I359" s="12"/>
      <c r="L359" s="12"/>
      <c r="P359" s="12"/>
      <c r="T359" s="12"/>
      <c r="X359" s="12"/>
      <c r="AB359" s="12"/>
      <c r="AE359" s="12"/>
      <c r="AH359" s="12"/>
    </row>
    <row r="360">
      <c r="I360" s="12"/>
      <c r="L360" s="12"/>
      <c r="P360" s="12"/>
      <c r="T360" s="12"/>
      <c r="X360" s="12"/>
      <c r="AB360" s="12"/>
      <c r="AE360" s="12"/>
      <c r="AH360" s="12"/>
    </row>
    <row r="361">
      <c r="I361" s="12"/>
      <c r="L361" s="12"/>
      <c r="P361" s="12"/>
      <c r="T361" s="12"/>
      <c r="X361" s="12"/>
      <c r="AB361" s="12"/>
      <c r="AE361" s="12"/>
      <c r="AH361" s="12"/>
    </row>
    <row r="362">
      <c r="I362" s="12"/>
      <c r="L362" s="12"/>
      <c r="P362" s="12"/>
      <c r="T362" s="12"/>
      <c r="X362" s="12"/>
      <c r="AB362" s="12"/>
      <c r="AE362" s="12"/>
      <c r="AH362" s="12"/>
    </row>
    <row r="363">
      <c r="I363" s="12"/>
      <c r="L363" s="12"/>
      <c r="P363" s="12"/>
      <c r="T363" s="12"/>
      <c r="X363" s="12"/>
      <c r="AB363" s="12"/>
      <c r="AE363" s="12"/>
      <c r="AH363" s="12"/>
    </row>
    <row r="364">
      <c r="I364" s="12"/>
      <c r="L364" s="12"/>
      <c r="P364" s="12"/>
      <c r="T364" s="12"/>
      <c r="X364" s="12"/>
      <c r="AB364" s="12"/>
      <c r="AE364" s="12"/>
      <c r="AH364" s="12"/>
    </row>
    <row r="365">
      <c r="I365" s="12"/>
      <c r="L365" s="12"/>
      <c r="P365" s="12"/>
      <c r="T365" s="12"/>
      <c r="X365" s="12"/>
      <c r="AB365" s="12"/>
      <c r="AE365" s="12"/>
      <c r="AH365" s="12"/>
    </row>
    <row r="366">
      <c r="I366" s="12"/>
      <c r="L366" s="12"/>
      <c r="P366" s="12"/>
      <c r="T366" s="12"/>
      <c r="X366" s="12"/>
      <c r="AB366" s="12"/>
      <c r="AE366" s="12"/>
      <c r="AH366" s="12"/>
    </row>
    <row r="367">
      <c r="I367" s="12"/>
      <c r="L367" s="12"/>
      <c r="P367" s="12"/>
      <c r="T367" s="12"/>
      <c r="X367" s="12"/>
      <c r="AB367" s="12"/>
      <c r="AE367" s="12"/>
      <c r="AH367" s="12"/>
    </row>
    <row r="368">
      <c r="I368" s="12"/>
      <c r="L368" s="12"/>
      <c r="P368" s="12"/>
      <c r="T368" s="12"/>
      <c r="X368" s="12"/>
      <c r="AB368" s="12"/>
      <c r="AE368" s="12"/>
      <c r="AH368" s="12"/>
    </row>
    <row r="369">
      <c r="I369" s="12"/>
      <c r="L369" s="12"/>
      <c r="P369" s="12"/>
      <c r="T369" s="12"/>
      <c r="X369" s="12"/>
      <c r="AB369" s="12"/>
      <c r="AE369" s="12"/>
      <c r="AH369" s="12"/>
    </row>
    <row r="370">
      <c r="I370" s="12"/>
      <c r="L370" s="12"/>
      <c r="P370" s="12"/>
      <c r="T370" s="12"/>
      <c r="X370" s="12"/>
      <c r="AB370" s="12"/>
      <c r="AE370" s="12"/>
      <c r="AH370" s="12"/>
    </row>
    <row r="371">
      <c r="I371" s="12"/>
      <c r="L371" s="12"/>
      <c r="P371" s="12"/>
      <c r="T371" s="12"/>
      <c r="X371" s="12"/>
      <c r="AB371" s="12"/>
      <c r="AE371" s="12"/>
      <c r="AH371" s="12"/>
    </row>
    <row r="372">
      <c r="I372" s="12"/>
      <c r="L372" s="12"/>
      <c r="P372" s="12"/>
      <c r="T372" s="12"/>
      <c r="X372" s="12"/>
      <c r="AB372" s="12"/>
      <c r="AE372" s="12"/>
      <c r="AH372" s="12"/>
    </row>
    <row r="373">
      <c r="I373" s="12"/>
      <c r="L373" s="12"/>
      <c r="P373" s="12"/>
      <c r="T373" s="12"/>
      <c r="X373" s="12"/>
      <c r="AB373" s="12"/>
      <c r="AE373" s="12"/>
      <c r="AH373" s="12"/>
    </row>
    <row r="374">
      <c r="I374" s="12"/>
      <c r="L374" s="12"/>
      <c r="P374" s="12"/>
      <c r="T374" s="12"/>
      <c r="X374" s="12"/>
      <c r="AB374" s="12"/>
      <c r="AE374" s="12"/>
      <c r="AH374" s="12"/>
    </row>
    <row r="375">
      <c r="I375" s="12"/>
      <c r="L375" s="12"/>
      <c r="P375" s="12"/>
      <c r="T375" s="12"/>
      <c r="X375" s="12"/>
      <c r="AB375" s="12"/>
      <c r="AE375" s="12"/>
      <c r="AH375" s="12"/>
    </row>
    <row r="376">
      <c r="I376" s="12"/>
      <c r="L376" s="12"/>
      <c r="P376" s="12"/>
      <c r="T376" s="12"/>
      <c r="X376" s="12"/>
      <c r="AB376" s="12"/>
      <c r="AE376" s="12"/>
      <c r="AH376" s="12"/>
    </row>
    <row r="377">
      <c r="I377" s="12"/>
      <c r="L377" s="12"/>
      <c r="P377" s="12"/>
      <c r="T377" s="12"/>
      <c r="X377" s="12"/>
      <c r="AB377" s="12"/>
      <c r="AE377" s="12"/>
      <c r="AH377" s="12"/>
    </row>
    <row r="378">
      <c r="I378" s="12"/>
      <c r="L378" s="12"/>
      <c r="P378" s="12"/>
      <c r="T378" s="12"/>
      <c r="X378" s="12"/>
      <c r="AB378" s="12"/>
      <c r="AE378" s="12"/>
      <c r="AH378" s="12"/>
    </row>
    <row r="379">
      <c r="I379" s="12"/>
      <c r="L379" s="12"/>
      <c r="P379" s="12"/>
      <c r="T379" s="12"/>
      <c r="X379" s="12"/>
      <c r="AB379" s="12"/>
      <c r="AE379" s="12"/>
      <c r="AH379" s="12"/>
    </row>
    <row r="380">
      <c r="I380" s="12"/>
      <c r="L380" s="12"/>
      <c r="P380" s="12"/>
      <c r="T380" s="12"/>
      <c r="X380" s="12"/>
      <c r="AB380" s="12"/>
      <c r="AE380" s="12"/>
      <c r="AH380" s="12"/>
    </row>
    <row r="381">
      <c r="I381" s="12"/>
      <c r="L381" s="12"/>
      <c r="P381" s="12"/>
      <c r="T381" s="12"/>
      <c r="X381" s="12"/>
      <c r="AB381" s="12"/>
      <c r="AE381" s="12"/>
      <c r="AH381" s="12"/>
    </row>
    <row r="382">
      <c r="I382" s="12"/>
      <c r="L382" s="12"/>
      <c r="P382" s="12"/>
      <c r="T382" s="12"/>
      <c r="X382" s="12"/>
      <c r="AB382" s="12"/>
      <c r="AE382" s="12"/>
      <c r="AH382" s="12"/>
    </row>
    <row r="383">
      <c r="I383" s="12"/>
      <c r="L383" s="12"/>
      <c r="P383" s="12"/>
      <c r="T383" s="12"/>
      <c r="X383" s="12"/>
      <c r="AB383" s="12"/>
      <c r="AE383" s="12"/>
      <c r="AH383" s="12"/>
    </row>
    <row r="384">
      <c r="I384" s="12"/>
      <c r="L384" s="12"/>
      <c r="P384" s="12"/>
      <c r="T384" s="12"/>
      <c r="X384" s="12"/>
      <c r="AB384" s="12"/>
      <c r="AE384" s="12"/>
      <c r="AH384" s="12"/>
    </row>
    <row r="385">
      <c r="I385" s="12"/>
      <c r="L385" s="12"/>
      <c r="P385" s="12"/>
      <c r="T385" s="12"/>
      <c r="X385" s="12"/>
      <c r="AB385" s="12"/>
      <c r="AE385" s="12"/>
      <c r="AH385" s="12"/>
    </row>
    <row r="386">
      <c r="I386" s="12"/>
      <c r="L386" s="12"/>
      <c r="P386" s="12"/>
      <c r="T386" s="12"/>
      <c r="X386" s="12"/>
      <c r="AB386" s="12"/>
      <c r="AE386" s="12"/>
      <c r="AH386" s="12"/>
    </row>
    <row r="387">
      <c r="I387" s="12"/>
      <c r="L387" s="12"/>
      <c r="P387" s="12"/>
      <c r="T387" s="12"/>
      <c r="X387" s="12"/>
      <c r="AB387" s="12"/>
      <c r="AE387" s="12"/>
      <c r="AH387" s="12"/>
    </row>
    <row r="388">
      <c r="I388" s="12"/>
      <c r="L388" s="12"/>
      <c r="P388" s="12"/>
      <c r="T388" s="12"/>
      <c r="X388" s="12"/>
      <c r="AB388" s="12"/>
      <c r="AE388" s="12"/>
      <c r="AH388" s="12"/>
    </row>
    <row r="389">
      <c r="I389" s="12"/>
      <c r="L389" s="12"/>
      <c r="P389" s="12"/>
      <c r="T389" s="12"/>
      <c r="X389" s="12"/>
      <c r="AB389" s="12"/>
      <c r="AE389" s="12"/>
      <c r="AH389" s="12"/>
    </row>
    <row r="390">
      <c r="I390" s="12"/>
      <c r="L390" s="12"/>
      <c r="P390" s="12"/>
      <c r="T390" s="12"/>
      <c r="X390" s="12"/>
      <c r="AB390" s="12"/>
      <c r="AE390" s="12"/>
      <c r="AH390" s="12"/>
    </row>
    <row r="391">
      <c r="I391" s="12"/>
      <c r="L391" s="12"/>
      <c r="P391" s="12"/>
      <c r="T391" s="12"/>
      <c r="X391" s="12"/>
      <c r="AB391" s="12"/>
      <c r="AE391" s="12"/>
      <c r="AH391" s="12"/>
    </row>
    <row r="392">
      <c r="I392" s="12"/>
      <c r="L392" s="12"/>
      <c r="P392" s="12"/>
      <c r="T392" s="12"/>
      <c r="X392" s="12"/>
      <c r="AB392" s="12"/>
      <c r="AE392" s="12"/>
      <c r="AH392" s="12"/>
    </row>
    <row r="393">
      <c r="I393" s="12"/>
      <c r="L393" s="12"/>
      <c r="P393" s="12"/>
      <c r="T393" s="12"/>
      <c r="X393" s="12"/>
      <c r="AB393" s="12"/>
      <c r="AE393" s="12"/>
      <c r="AH393" s="12"/>
    </row>
    <row r="394">
      <c r="I394" s="12"/>
      <c r="L394" s="12"/>
      <c r="P394" s="12"/>
      <c r="T394" s="12"/>
      <c r="X394" s="12"/>
      <c r="AB394" s="12"/>
      <c r="AE394" s="12"/>
      <c r="AH394" s="12"/>
    </row>
    <row r="395">
      <c r="I395" s="12"/>
      <c r="L395" s="12"/>
      <c r="P395" s="12"/>
      <c r="T395" s="12"/>
      <c r="X395" s="12"/>
      <c r="AB395" s="12"/>
      <c r="AE395" s="12"/>
      <c r="AH395" s="12"/>
    </row>
    <row r="396">
      <c r="I396" s="12"/>
      <c r="L396" s="12"/>
      <c r="P396" s="12"/>
      <c r="T396" s="12"/>
      <c r="X396" s="12"/>
      <c r="AB396" s="12"/>
      <c r="AE396" s="12"/>
      <c r="AH396" s="12"/>
    </row>
    <row r="397">
      <c r="I397" s="12"/>
      <c r="L397" s="12"/>
      <c r="P397" s="12"/>
      <c r="T397" s="12"/>
      <c r="X397" s="12"/>
      <c r="AB397" s="12"/>
      <c r="AE397" s="12"/>
      <c r="AH397" s="12"/>
    </row>
    <row r="398">
      <c r="I398" s="12"/>
      <c r="L398" s="12"/>
      <c r="P398" s="12"/>
      <c r="T398" s="12"/>
      <c r="X398" s="12"/>
      <c r="AB398" s="12"/>
      <c r="AE398" s="12"/>
      <c r="AH398" s="12"/>
    </row>
    <row r="399">
      <c r="I399" s="12"/>
      <c r="L399" s="12"/>
      <c r="P399" s="12"/>
      <c r="T399" s="12"/>
      <c r="X399" s="12"/>
      <c r="AB399" s="12"/>
      <c r="AE399" s="12"/>
      <c r="AH399" s="12"/>
    </row>
    <row r="400">
      <c r="I400" s="12"/>
      <c r="L400" s="12"/>
      <c r="P400" s="12"/>
      <c r="T400" s="12"/>
      <c r="X400" s="12"/>
      <c r="AB400" s="12"/>
      <c r="AE400" s="12"/>
      <c r="AH400" s="12"/>
    </row>
    <row r="401">
      <c r="I401" s="12"/>
      <c r="L401" s="12"/>
      <c r="P401" s="12"/>
      <c r="T401" s="12"/>
      <c r="X401" s="12"/>
      <c r="AB401" s="12"/>
      <c r="AE401" s="12"/>
      <c r="AH401" s="12"/>
    </row>
    <row r="402">
      <c r="I402" s="12"/>
      <c r="L402" s="12"/>
      <c r="P402" s="12"/>
      <c r="T402" s="12"/>
      <c r="X402" s="12"/>
      <c r="AB402" s="12"/>
      <c r="AE402" s="12"/>
      <c r="AH402" s="12"/>
    </row>
    <row r="403">
      <c r="I403" s="12"/>
      <c r="L403" s="12"/>
      <c r="P403" s="12"/>
      <c r="T403" s="12"/>
      <c r="X403" s="12"/>
      <c r="AB403" s="12"/>
      <c r="AE403" s="12"/>
      <c r="AH403" s="12"/>
    </row>
    <row r="404">
      <c r="I404" s="12"/>
      <c r="L404" s="12"/>
      <c r="P404" s="12"/>
      <c r="T404" s="12"/>
      <c r="X404" s="12"/>
      <c r="AB404" s="12"/>
      <c r="AE404" s="12"/>
      <c r="AH404" s="12"/>
    </row>
    <row r="405">
      <c r="I405" s="12"/>
      <c r="L405" s="12"/>
      <c r="P405" s="12"/>
      <c r="T405" s="12"/>
      <c r="X405" s="12"/>
      <c r="AB405" s="12"/>
      <c r="AE405" s="12"/>
      <c r="AH405" s="12"/>
    </row>
    <row r="406">
      <c r="I406" s="12"/>
      <c r="L406" s="12"/>
      <c r="P406" s="12"/>
      <c r="T406" s="12"/>
      <c r="X406" s="12"/>
      <c r="AB406" s="12"/>
      <c r="AE406" s="12"/>
      <c r="AH406" s="12"/>
    </row>
    <row r="407">
      <c r="I407" s="12"/>
      <c r="L407" s="12"/>
      <c r="P407" s="12"/>
      <c r="T407" s="12"/>
      <c r="X407" s="12"/>
      <c r="AB407" s="12"/>
      <c r="AE407" s="12"/>
      <c r="AH407" s="12"/>
    </row>
    <row r="408">
      <c r="I408" s="12"/>
      <c r="L408" s="12"/>
      <c r="P408" s="12"/>
      <c r="T408" s="12"/>
      <c r="X408" s="12"/>
      <c r="AB408" s="12"/>
      <c r="AE408" s="12"/>
      <c r="AH408" s="12"/>
    </row>
    <row r="409">
      <c r="I409" s="12"/>
      <c r="L409" s="12"/>
      <c r="P409" s="12"/>
      <c r="T409" s="12"/>
      <c r="X409" s="12"/>
      <c r="AB409" s="12"/>
      <c r="AE409" s="12"/>
      <c r="AH409" s="12"/>
    </row>
    <row r="410">
      <c r="I410" s="12"/>
      <c r="L410" s="12"/>
      <c r="P410" s="12"/>
      <c r="T410" s="12"/>
      <c r="X410" s="12"/>
      <c r="AB410" s="12"/>
      <c r="AE410" s="12"/>
      <c r="AH410" s="12"/>
    </row>
    <row r="411">
      <c r="I411" s="12"/>
      <c r="L411" s="12"/>
      <c r="P411" s="12"/>
      <c r="T411" s="12"/>
      <c r="X411" s="12"/>
      <c r="AB411" s="12"/>
      <c r="AE411" s="12"/>
      <c r="AH411" s="12"/>
    </row>
    <row r="412">
      <c r="I412" s="12"/>
      <c r="L412" s="12"/>
      <c r="P412" s="12"/>
      <c r="T412" s="12"/>
      <c r="X412" s="12"/>
      <c r="AB412" s="12"/>
      <c r="AE412" s="12"/>
      <c r="AH412" s="12"/>
    </row>
    <row r="413">
      <c r="I413" s="12"/>
      <c r="L413" s="12"/>
      <c r="P413" s="12"/>
      <c r="T413" s="12"/>
      <c r="X413" s="12"/>
      <c r="AB413" s="12"/>
      <c r="AE413" s="12"/>
      <c r="AH413" s="12"/>
    </row>
    <row r="414">
      <c r="I414" s="12"/>
      <c r="L414" s="12"/>
      <c r="P414" s="12"/>
      <c r="T414" s="12"/>
      <c r="X414" s="12"/>
      <c r="AB414" s="12"/>
      <c r="AE414" s="12"/>
      <c r="AH414" s="12"/>
    </row>
    <row r="415">
      <c r="I415" s="12"/>
      <c r="L415" s="12"/>
      <c r="P415" s="12"/>
      <c r="T415" s="12"/>
      <c r="X415" s="12"/>
      <c r="AB415" s="12"/>
      <c r="AE415" s="12"/>
      <c r="AH415" s="12"/>
    </row>
    <row r="416">
      <c r="I416" s="12"/>
      <c r="L416" s="12"/>
      <c r="P416" s="12"/>
      <c r="T416" s="12"/>
      <c r="X416" s="12"/>
      <c r="AB416" s="12"/>
      <c r="AE416" s="12"/>
      <c r="AH416" s="12"/>
    </row>
    <row r="417">
      <c r="I417" s="12"/>
      <c r="L417" s="12"/>
      <c r="P417" s="12"/>
      <c r="T417" s="12"/>
      <c r="X417" s="12"/>
      <c r="AB417" s="12"/>
      <c r="AE417" s="12"/>
      <c r="AH417" s="12"/>
    </row>
    <row r="418">
      <c r="I418" s="12"/>
      <c r="L418" s="12"/>
      <c r="P418" s="12"/>
      <c r="T418" s="12"/>
      <c r="X418" s="12"/>
      <c r="AB418" s="12"/>
      <c r="AE418" s="12"/>
      <c r="AH418" s="12"/>
    </row>
    <row r="419">
      <c r="I419" s="12"/>
      <c r="L419" s="12"/>
      <c r="P419" s="12"/>
      <c r="T419" s="12"/>
      <c r="X419" s="12"/>
      <c r="AB419" s="12"/>
      <c r="AE419" s="12"/>
      <c r="AH419" s="12"/>
    </row>
    <row r="420">
      <c r="I420" s="12"/>
      <c r="L420" s="12"/>
      <c r="P420" s="12"/>
      <c r="T420" s="12"/>
      <c r="X420" s="12"/>
      <c r="AB420" s="12"/>
      <c r="AE420" s="12"/>
      <c r="AH420" s="12"/>
    </row>
    <row r="421">
      <c r="I421" s="12"/>
      <c r="L421" s="12"/>
      <c r="P421" s="12"/>
      <c r="T421" s="12"/>
      <c r="X421" s="12"/>
      <c r="AB421" s="12"/>
      <c r="AE421" s="12"/>
      <c r="AH421" s="12"/>
    </row>
    <row r="422">
      <c r="I422" s="12"/>
      <c r="L422" s="12"/>
      <c r="P422" s="12"/>
      <c r="T422" s="12"/>
      <c r="X422" s="12"/>
      <c r="AB422" s="12"/>
      <c r="AE422" s="12"/>
      <c r="AH422" s="12"/>
    </row>
    <row r="423">
      <c r="I423" s="12"/>
      <c r="L423" s="12"/>
      <c r="P423" s="12"/>
      <c r="T423" s="12"/>
      <c r="X423" s="12"/>
      <c r="AB423" s="12"/>
      <c r="AE423" s="12"/>
      <c r="AH423" s="12"/>
    </row>
    <row r="424">
      <c r="I424" s="12"/>
      <c r="L424" s="12"/>
      <c r="P424" s="12"/>
      <c r="T424" s="12"/>
      <c r="X424" s="12"/>
      <c r="AB424" s="12"/>
      <c r="AE424" s="12"/>
      <c r="AH424" s="12"/>
    </row>
    <row r="425">
      <c r="I425" s="12"/>
      <c r="L425" s="12"/>
      <c r="P425" s="12"/>
      <c r="T425" s="12"/>
      <c r="X425" s="12"/>
      <c r="AB425" s="12"/>
      <c r="AE425" s="12"/>
      <c r="AH425" s="12"/>
    </row>
    <row r="426">
      <c r="I426" s="12"/>
      <c r="L426" s="12"/>
      <c r="P426" s="12"/>
      <c r="T426" s="12"/>
      <c r="X426" s="12"/>
      <c r="AB426" s="12"/>
      <c r="AE426" s="12"/>
      <c r="AH426" s="12"/>
    </row>
    <row r="427">
      <c r="I427" s="12"/>
      <c r="L427" s="12"/>
      <c r="P427" s="12"/>
      <c r="T427" s="12"/>
      <c r="X427" s="12"/>
      <c r="AB427" s="12"/>
      <c r="AE427" s="12"/>
      <c r="AH427" s="12"/>
    </row>
    <row r="428">
      <c r="I428" s="12"/>
      <c r="L428" s="12"/>
      <c r="P428" s="12"/>
      <c r="T428" s="12"/>
      <c r="X428" s="12"/>
      <c r="AB428" s="12"/>
      <c r="AE428" s="12"/>
      <c r="AH428" s="12"/>
    </row>
    <row r="429">
      <c r="I429" s="12"/>
      <c r="L429" s="12"/>
      <c r="P429" s="12"/>
      <c r="T429" s="12"/>
      <c r="X429" s="12"/>
      <c r="AB429" s="12"/>
      <c r="AE429" s="12"/>
      <c r="AH429" s="12"/>
    </row>
    <row r="430">
      <c r="I430" s="12"/>
      <c r="L430" s="12"/>
      <c r="P430" s="12"/>
      <c r="T430" s="12"/>
      <c r="X430" s="12"/>
      <c r="AB430" s="12"/>
      <c r="AE430" s="12"/>
      <c r="AH430" s="12"/>
    </row>
    <row r="431">
      <c r="I431" s="12"/>
      <c r="L431" s="12"/>
      <c r="P431" s="12"/>
      <c r="T431" s="12"/>
      <c r="X431" s="12"/>
      <c r="AB431" s="12"/>
      <c r="AE431" s="12"/>
      <c r="AH431" s="12"/>
    </row>
    <row r="432">
      <c r="I432" s="12"/>
      <c r="L432" s="12"/>
      <c r="P432" s="12"/>
      <c r="T432" s="12"/>
      <c r="X432" s="12"/>
      <c r="AB432" s="12"/>
      <c r="AE432" s="12"/>
      <c r="AH432" s="12"/>
    </row>
    <row r="433">
      <c r="I433" s="12"/>
      <c r="L433" s="12"/>
      <c r="P433" s="12"/>
      <c r="T433" s="12"/>
      <c r="X433" s="12"/>
      <c r="AB433" s="12"/>
      <c r="AE433" s="12"/>
      <c r="AH433" s="12"/>
    </row>
    <row r="434">
      <c r="I434" s="12"/>
      <c r="L434" s="12"/>
      <c r="P434" s="12"/>
      <c r="T434" s="12"/>
      <c r="X434" s="12"/>
      <c r="AB434" s="12"/>
      <c r="AE434" s="12"/>
      <c r="AH434" s="12"/>
    </row>
    <row r="435">
      <c r="I435" s="12"/>
      <c r="L435" s="12"/>
      <c r="P435" s="12"/>
      <c r="T435" s="12"/>
      <c r="X435" s="12"/>
      <c r="AB435" s="12"/>
      <c r="AE435" s="12"/>
      <c r="AH435" s="12"/>
    </row>
    <row r="436">
      <c r="I436" s="12"/>
      <c r="L436" s="12"/>
      <c r="P436" s="12"/>
      <c r="T436" s="12"/>
      <c r="X436" s="12"/>
      <c r="AB436" s="12"/>
      <c r="AE436" s="12"/>
      <c r="AH436" s="12"/>
    </row>
    <row r="437">
      <c r="I437" s="12"/>
      <c r="L437" s="12"/>
      <c r="P437" s="12"/>
      <c r="T437" s="12"/>
      <c r="X437" s="12"/>
      <c r="AB437" s="12"/>
      <c r="AE437" s="12"/>
      <c r="AH437" s="12"/>
    </row>
    <row r="438">
      <c r="I438" s="12"/>
      <c r="L438" s="12"/>
      <c r="P438" s="12"/>
      <c r="T438" s="12"/>
      <c r="X438" s="12"/>
      <c r="AB438" s="12"/>
      <c r="AE438" s="12"/>
      <c r="AH438" s="12"/>
    </row>
    <row r="439">
      <c r="I439" s="12"/>
      <c r="L439" s="12"/>
      <c r="P439" s="12"/>
      <c r="T439" s="12"/>
      <c r="X439" s="12"/>
      <c r="AB439" s="12"/>
      <c r="AE439" s="12"/>
      <c r="AH439" s="12"/>
    </row>
    <row r="440">
      <c r="I440" s="12"/>
      <c r="L440" s="12"/>
      <c r="P440" s="12"/>
      <c r="T440" s="12"/>
      <c r="X440" s="12"/>
      <c r="AB440" s="12"/>
      <c r="AE440" s="12"/>
      <c r="AH440" s="12"/>
    </row>
    <row r="441">
      <c r="I441" s="12"/>
      <c r="L441" s="12"/>
      <c r="P441" s="12"/>
      <c r="T441" s="12"/>
      <c r="X441" s="12"/>
      <c r="AB441" s="12"/>
      <c r="AE441" s="12"/>
      <c r="AH441" s="12"/>
    </row>
    <row r="442">
      <c r="I442" s="12"/>
      <c r="L442" s="12"/>
      <c r="P442" s="12"/>
      <c r="T442" s="12"/>
      <c r="X442" s="12"/>
      <c r="AB442" s="12"/>
      <c r="AE442" s="12"/>
      <c r="AH442" s="12"/>
    </row>
    <row r="443">
      <c r="I443" s="12"/>
      <c r="L443" s="12"/>
      <c r="P443" s="12"/>
      <c r="T443" s="12"/>
      <c r="X443" s="12"/>
      <c r="AB443" s="12"/>
      <c r="AE443" s="12"/>
      <c r="AH443" s="12"/>
    </row>
    <row r="444">
      <c r="I444" s="12"/>
      <c r="L444" s="12"/>
      <c r="P444" s="12"/>
      <c r="T444" s="12"/>
      <c r="X444" s="12"/>
      <c r="AB444" s="12"/>
      <c r="AE444" s="12"/>
      <c r="AH444" s="12"/>
    </row>
    <row r="445">
      <c r="I445" s="12"/>
      <c r="L445" s="12"/>
      <c r="P445" s="12"/>
      <c r="T445" s="12"/>
      <c r="X445" s="12"/>
      <c r="AB445" s="12"/>
      <c r="AE445" s="12"/>
      <c r="AH445" s="12"/>
    </row>
    <row r="446">
      <c r="I446" s="12"/>
      <c r="L446" s="12"/>
      <c r="P446" s="12"/>
      <c r="T446" s="12"/>
      <c r="X446" s="12"/>
      <c r="AB446" s="12"/>
      <c r="AE446" s="12"/>
      <c r="AH446" s="12"/>
    </row>
    <row r="447">
      <c r="I447" s="12"/>
      <c r="L447" s="12"/>
      <c r="P447" s="12"/>
      <c r="T447" s="12"/>
      <c r="X447" s="12"/>
      <c r="AB447" s="12"/>
      <c r="AE447" s="12"/>
      <c r="AH447" s="12"/>
    </row>
    <row r="448">
      <c r="I448" s="12"/>
      <c r="L448" s="12"/>
      <c r="P448" s="12"/>
      <c r="T448" s="12"/>
      <c r="X448" s="12"/>
      <c r="AB448" s="12"/>
      <c r="AE448" s="12"/>
      <c r="AH448" s="12"/>
    </row>
    <row r="449">
      <c r="I449" s="12"/>
      <c r="L449" s="12"/>
      <c r="P449" s="12"/>
      <c r="T449" s="12"/>
      <c r="X449" s="12"/>
      <c r="AB449" s="12"/>
      <c r="AE449" s="12"/>
      <c r="AH449" s="12"/>
    </row>
    <row r="450">
      <c r="I450" s="12"/>
      <c r="L450" s="12"/>
      <c r="P450" s="12"/>
      <c r="T450" s="12"/>
      <c r="X450" s="12"/>
      <c r="AB450" s="12"/>
      <c r="AE450" s="12"/>
      <c r="AH450" s="12"/>
    </row>
    <row r="451">
      <c r="I451" s="12"/>
      <c r="L451" s="12"/>
      <c r="P451" s="12"/>
      <c r="T451" s="12"/>
      <c r="X451" s="12"/>
      <c r="AB451" s="12"/>
      <c r="AE451" s="12"/>
      <c r="AH451" s="12"/>
    </row>
    <row r="452">
      <c r="I452" s="12"/>
      <c r="L452" s="12"/>
      <c r="P452" s="12"/>
      <c r="T452" s="12"/>
      <c r="X452" s="12"/>
      <c r="AB452" s="12"/>
      <c r="AE452" s="12"/>
      <c r="AH452" s="12"/>
    </row>
    <row r="453">
      <c r="I453" s="12"/>
      <c r="L453" s="12"/>
      <c r="P453" s="12"/>
      <c r="T453" s="12"/>
      <c r="X453" s="12"/>
      <c r="AB453" s="12"/>
      <c r="AE453" s="12"/>
      <c r="AH453" s="12"/>
    </row>
    <row r="454">
      <c r="I454" s="12"/>
      <c r="L454" s="12"/>
      <c r="P454" s="12"/>
      <c r="T454" s="12"/>
      <c r="X454" s="12"/>
      <c r="AB454" s="12"/>
      <c r="AE454" s="12"/>
      <c r="AH454" s="12"/>
    </row>
    <row r="455">
      <c r="I455" s="12"/>
      <c r="L455" s="12"/>
      <c r="P455" s="12"/>
      <c r="T455" s="12"/>
      <c r="X455" s="12"/>
      <c r="AB455" s="12"/>
      <c r="AE455" s="12"/>
      <c r="AH455" s="12"/>
    </row>
    <row r="456">
      <c r="I456" s="12"/>
      <c r="L456" s="12"/>
      <c r="P456" s="12"/>
      <c r="T456" s="12"/>
      <c r="X456" s="12"/>
      <c r="AB456" s="12"/>
      <c r="AE456" s="12"/>
      <c r="AH456" s="12"/>
    </row>
    <row r="457">
      <c r="I457" s="12"/>
      <c r="L457" s="12"/>
      <c r="P457" s="12"/>
      <c r="T457" s="12"/>
      <c r="X457" s="12"/>
      <c r="AB457" s="12"/>
      <c r="AE457" s="12"/>
      <c r="AH457" s="12"/>
    </row>
    <row r="458">
      <c r="I458" s="12"/>
      <c r="L458" s="12"/>
      <c r="P458" s="12"/>
      <c r="T458" s="12"/>
      <c r="X458" s="12"/>
      <c r="AB458" s="12"/>
      <c r="AE458" s="12"/>
      <c r="AH458" s="12"/>
    </row>
    <row r="459">
      <c r="I459" s="12"/>
      <c r="L459" s="12"/>
      <c r="P459" s="12"/>
      <c r="T459" s="12"/>
      <c r="X459" s="12"/>
      <c r="AB459" s="12"/>
      <c r="AE459" s="12"/>
      <c r="AH459" s="12"/>
    </row>
    <row r="460">
      <c r="I460" s="12"/>
      <c r="L460" s="12"/>
      <c r="P460" s="12"/>
      <c r="T460" s="12"/>
      <c r="X460" s="12"/>
      <c r="AB460" s="12"/>
      <c r="AE460" s="12"/>
      <c r="AH460" s="12"/>
    </row>
    <row r="461">
      <c r="I461" s="12"/>
      <c r="L461" s="12"/>
      <c r="P461" s="12"/>
      <c r="T461" s="12"/>
      <c r="X461" s="12"/>
      <c r="AB461" s="12"/>
      <c r="AE461" s="12"/>
      <c r="AH461" s="12"/>
    </row>
    <row r="462">
      <c r="I462" s="12"/>
      <c r="L462" s="12"/>
      <c r="P462" s="12"/>
      <c r="T462" s="12"/>
      <c r="X462" s="12"/>
      <c r="AB462" s="12"/>
      <c r="AE462" s="12"/>
      <c r="AH462" s="12"/>
    </row>
    <row r="463">
      <c r="I463" s="12"/>
      <c r="L463" s="12"/>
      <c r="P463" s="12"/>
      <c r="T463" s="12"/>
      <c r="X463" s="12"/>
      <c r="AB463" s="12"/>
      <c r="AE463" s="12"/>
      <c r="AH463" s="12"/>
    </row>
    <row r="464">
      <c r="I464" s="12"/>
      <c r="L464" s="12"/>
      <c r="P464" s="12"/>
      <c r="T464" s="12"/>
      <c r="X464" s="12"/>
      <c r="AB464" s="12"/>
      <c r="AE464" s="12"/>
      <c r="AH464" s="12"/>
    </row>
    <row r="465">
      <c r="I465" s="12"/>
      <c r="L465" s="12"/>
      <c r="P465" s="12"/>
      <c r="T465" s="12"/>
      <c r="X465" s="12"/>
      <c r="AB465" s="12"/>
      <c r="AE465" s="12"/>
      <c r="AH465" s="12"/>
    </row>
    <row r="466">
      <c r="I466" s="12"/>
      <c r="L466" s="12"/>
      <c r="P466" s="12"/>
      <c r="T466" s="12"/>
      <c r="X466" s="12"/>
      <c r="AB466" s="12"/>
      <c r="AE466" s="12"/>
      <c r="AH466" s="12"/>
    </row>
    <row r="467">
      <c r="I467" s="12"/>
      <c r="L467" s="12"/>
      <c r="P467" s="12"/>
      <c r="T467" s="12"/>
      <c r="X467" s="12"/>
      <c r="AB467" s="12"/>
      <c r="AE467" s="12"/>
      <c r="AH467" s="12"/>
    </row>
    <row r="468">
      <c r="I468" s="12"/>
      <c r="L468" s="12"/>
      <c r="P468" s="12"/>
      <c r="T468" s="12"/>
      <c r="X468" s="12"/>
      <c r="AB468" s="12"/>
      <c r="AE468" s="12"/>
      <c r="AH468" s="12"/>
    </row>
    <row r="469">
      <c r="I469" s="12"/>
      <c r="L469" s="12"/>
      <c r="P469" s="12"/>
      <c r="T469" s="12"/>
      <c r="X469" s="12"/>
      <c r="AB469" s="12"/>
      <c r="AE469" s="12"/>
      <c r="AH469" s="12"/>
    </row>
    <row r="470">
      <c r="I470" s="12"/>
      <c r="L470" s="12"/>
      <c r="P470" s="12"/>
      <c r="T470" s="12"/>
      <c r="X470" s="12"/>
      <c r="AB470" s="12"/>
      <c r="AE470" s="12"/>
      <c r="AH470" s="12"/>
    </row>
    <row r="471">
      <c r="I471" s="12"/>
      <c r="L471" s="12"/>
      <c r="P471" s="12"/>
      <c r="T471" s="12"/>
      <c r="X471" s="12"/>
      <c r="AB471" s="12"/>
      <c r="AE471" s="12"/>
      <c r="AH471" s="12"/>
    </row>
    <row r="472">
      <c r="I472" s="12"/>
      <c r="L472" s="12"/>
      <c r="P472" s="12"/>
      <c r="T472" s="12"/>
      <c r="X472" s="12"/>
      <c r="AB472" s="12"/>
      <c r="AE472" s="12"/>
      <c r="AH472" s="12"/>
    </row>
    <row r="473">
      <c r="I473" s="12"/>
      <c r="L473" s="12"/>
      <c r="P473" s="12"/>
      <c r="T473" s="12"/>
      <c r="X473" s="12"/>
      <c r="AB473" s="12"/>
      <c r="AE473" s="12"/>
      <c r="AH473" s="12"/>
    </row>
    <row r="474">
      <c r="I474" s="12"/>
      <c r="L474" s="12"/>
      <c r="P474" s="12"/>
      <c r="T474" s="12"/>
      <c r="X474" s="12"/>
      <c r="AB474" s="12"/>
      <c r="AE474" s="12"/>
      <c r="AH474" s="12"/>
    </row>
    <row r="475">
      <c r="I475" s="12"/>
      <c r="L475" s="12"/>
      <c r="P475" s="12"/>
      <c r="T475" s="12"/>
      <c r="X475" s="12"/>
      <c r="AB475" s="12"/>
      <c r="AE475" s="12"/>
      <c r="AH475" s="12"/>
    </row>
    <row r="476">
      <c r="I476" s="12"/>
      <c r="L476" s="12"/>
      <c r="P476" s="12"/>
      <c r="T476" s="12"/>
      <c r="X476" s="12"/>
      <c r="AB476" s="12"/>
      <c r="AE476" s="12"/>
      <c r="AH476" s="12"/>
    </row>
    <row r="477">
      <c r="I477" s="12"/>
      <c r="L477" s="12"/>
      <c r="P477" s="12"/>
      <c r="T477" s="12"/>
      <c r="X477" s="12"/>
      <c r="AB477" s="12"/>
      <c r="AE477" s="12"/>
      <c r="AH477" s="12"/>
    </row>
    <row r="478">
      <c r="I478" s="12"/>
      <c r="L478" s="12"/>
      <c r="P478" s="12"/>
      <c r="T478" s="12"/>
      <c r="X478" s="12"/>
      <c r="AB478" s="12"/>
      <c r="AE478" s="12"/>
      <c r="AH478" s="12"/>
    </row>
    <row r="479">
      <c r="I479" s="12"/>
      <c r="L479" s="12"/>
      <c r="P479" s="12"/>
      <c r="T479" s="12"/>
      <c r="X479" s="12"/>
      <c r="AB479" s="12"/>
      <c r="AE479" s="12"/>
      <c r="AH479" s="12"/>
    </row>
    <row r="480">
      <c r="I480" s="12"/>
      <c r="L480" s="12"/>
      <c r="P480" s="12"/>
      <c r="T480" s="12"/>
      <c r="X480" s="12"/>
      <c r="AB480" s="12"/>
      <c r="AE480" s="12"/>
      <c r="AH480" s="12"/>
    </row>
    <row r="481">
      <c r="I481" s="12"/>
      <c r="L481" s="12"/>
      <c r="P481" s="12"/>
      <c r="T481" s="12"/>
      <c r="X481" s="12"/>
      <c r="AB481" s="12"/>
      <c r="AE481" s="12"/>
      <c r="AH481" s="12"/>
    </row>
    <row r="482">
      <c r="I482" s="12"/>
      <c r="L482" s="12"/>
      <c r="P482" s="12"/>
      <c r="T482" s="12"/>
      <c r="X482" s="12"/>
      <c r="AB482" s="12"/>
      <c r="AE482" s="12"/>
      <c r="AH482" s="12"/>
    </row>
    <row r="483">
      <c r="I483" s="12"/>
      <c r="L483" s="12"/>
      <c r="P483" s="12"/>
      <c r="T483" s="12"/>
      <c r="X483" s="12"/>
      <c r="AB483" s="12"/>
      <c r="AE483" s="12"/>
      <c r="AH483" s="12"/>
    </row>
    <row r="484">
      <c r="I484" s="12"/>
      <c r="L484" s="12"/>
      <c r="P484" s="12"/>
      <c r="T484" s="12"/>
      <c r="X484" s="12"/>
      <c r="AB484" s="12"/>
      <c r="AE484" s="12"/>
      <c r="AH484" s="12"/>
    </row>
    <row r="485">
      <c r="I485" s="12"/>
      <c r="L485" s="12"/>
      <c r="P485" s="12"/>
      <c r="T485" s="12"/>
      <c r="X485" s="12"/>
      <c r="AB485" s="12"/>
      <c r="AE485" s="12"/>
      <c r="AH485" s="12"/>
    </row>
    <row r="486">
      <c r="I486" s="12"/>
      <c r="L486" s="12"/>
      <c r="P486" s="12"/>
      <c r="T486" s="12"/>
      <c r="X486" s="12"/>
      <c r="AB486" s="12"/>
      <c r="AE486" s="12"/>
      <c r="AH486" s="12"/>
    </row>
    <row r="487">
      <c r="I487" s="12"/>
      <c r="L487" s="12"/>
      <c r="P487" s="12"/>
      <c r="T487" s="12"/>
      <c r="X487" s="12"/>
      <c r="AB487" s="12"/>
      <c r="AE487" s="12"/>
      <c r="AH487" s="12"/>
    </row>
    <row r="488">
      <c r="I488" s="12"/>
      <c r="L488" s="12"/>
      <c r="P488" s="12"/>
      <c r="T488" s="12"/>
      <c r="X488" s="12"/>
      <c r="AB488" s="12"/>
      <c r="AE488" s="12"/>
      <c r="AH488" s="12"/>
    </row>
    <row r="489">
      <c r="I489" s="12"/>
      <c r="L489" s="12"/>
      <c r="P489" s="12"/>
      <c r="T489" s="12"/>
      <c r="X489" s="12"/>
      <c r="AB489" s="12"/>
      <c r="AE489" s="12"/>
      <c r="AH489" s="12"/>
    </row>
    <row r="490">
      <c r="I490" s="12"/>
      <c r="L490" s="12"/>
      <c r="P490" s="12"/>
      <c r="T490" s="12"/>
      <c r="X490" s="12"/>
      <c r="AB490" s="12"/>
      <c r="AE490" s="12"/>
      <c r="AH490" s="12"/>
    </row>
    <row r="491">
      <c r="I491" s="12"/>
      <c r="L491" s="12"/>
      <c r="P491" s="12"/>
      <c r="T491" s="12"/>
      <c r="X491" s="12"/>
      <c r="AB491" s="12"/>
      <c r="AE491" s="12"/>
      <c r="AH491" s="12"/>
    </row>
    <row r="492">
      <c r="I492" s="12"/>
      <c r="L492" s="12"/>
      <c r="P492" s="12"/>
      <c r="T492" s="12"/>
      <c r="X492" s="12"/>
      <c r="AB492" s="12"/>
      <c r="AE492" s="12"/>
      <c r="AH492" s="12"/>
    </row>
    <row r="493">
      <c r="I493" s="12"/>
      <c r="L493" s="12"/>
      <c r="P493" s="12"/>
      <c r="T493" s="12"/>
      <c r="X493" s="12"/>
      <c r="AB493" s="12"/>
      <c r="AE493" s="12"/>
      <c r="AH493" s="12"/>
    </row>
    <row r="494">
      <c r="I494" s="12"/>
      <c r="L494" s="12"/>
      <c r="P494" s="12"/>
      <c r="T494" s="12"/>
      <c r="X494" s="12"/>
      <c r="AB494" s="12"/>
      <c r="AE494" s="12"/>
      <c r="AH494" s="12"/>
    </row>
    <row r="495">
      <c r="I495" s="12"/>
      <c r="L495" s="12"/>
      <c r="P495" s="12"/>
      <c r="T495" s="12"/>
      <c r="X495" s="12"/>
      <c r="AB495" s="12"/>
      <c r="AE495" s="12"/>
      <c r="AH495" s="12"/>
    </row>
    <row r="496">
      <c r="I496" s="12"/>
      <c r="L496" s="12"/>
      <c r="P496" s="12"/>
      <c r="T496" s="12"/>
      <c r="X496" s="12"/>
      <c r="AB496" s="12"/>
      <c r="AE496" s="12"/>
      <c r="AH496" s="12"/>
    </row>
    <row r="497">
      <c r="I497" s="12"/>
      <c r="L497" s="12"/>
      <c r="P497" s="12"/>
      <c r="T497" s="12"/>
      <c r="X497" s="12"/>
      <c r="AB497" s="12"/>
      <c r="AE497" s="12"/>
      <c r="AH497" s="12"/>
    </row>
    <row r="498">
      <c r="I498" s="12"/>
      <c r="L498" s="12"/>
      <c r="P498" s="12"/>
      <c r="T498" s="12"/>
      <c r="X498" s="12"/>
      <c r="AB498" s="12"/>
      <c r="AE498" s="12"/>
      <c r="AH498" s="12"/>
    </row>
    <row r="499">
      <c r="I499" s="12"/>
      <c r="L499" s="12"/>
      <c r="P499" s="12"/>
      <c r="T499" s="12"/>
      <c r="X499" s="12"/>
      <c r="AB499" s="12"/>
      <c r="AE499" s="12"/>
      <c r="AH499" s="12"/>
    </row>
    <row r="500">
      <c r="I500" s="12"/>
      <c r="L500" s="12"/>
      <c r="P500" s="12"/>
      <c r="T500" s="12"/>
      <c r="X500" s="12"/>
      <c r="AB500" s="12"/>
      <c r="AE500" s="12"/>
      <c r="AH500" s="12"/>
    </row>
    <row r="501">
      <c r="I501" s="12"/>
      <c r="L501" s="12"/>
      <c r="P501" s="12"/>
      <c r="T501" s="12"/>
      <c r="X501" s="12"/>
      <c r="AB501" s="12"/>
      <c r="AE501" s="12"/>
      <c r="AH501" s="12"/>
    </row>
    <row r="502">
      <c r="I502" s="12"/>
      <c r="L502" s="12"/>
      <c r="P502" s="12"/>
      <c r="T502" s="12"/>
      <c r="X502" s="12"/>
      <c r="AB502" s="12"/>
      <c r="AE502" s="12"/>
      <c r="AH502" s="12"/>
    </row>
    <row r="503">
      <c r="I503" s="12"/>
      <c r="L503" s="12"/>
      <c r="P503" s="12"/>
      <c r="T503" s="12"/>
      <c r="X503" s="12"/>
      <c r="AB503" s="12"/>
      <c r="AE503" s="12"/>
      <c r="AH503" s="12"/>
    </row>
    <row r="504">
      <c r="I504" s="12"/>
      <c r="L504" s="12"/>
      <c r="P504" s="12"/>
      <c r="T504" s="12"/>
      <c r="X504" s="12"/>
      <c r="AB504" s="12"/>
      <c r="AE504" s="12"/>
      <c r="AH504" s="12"/>
    </row>
    <row r="505">
      <c r="I505" s="12"/>
      <c r="L505" s="12"/>
      <c r="P505" s="12"/>
      <c r="T505" s="12"/>
      <c r="X505" s="12"/>
      <c r="AB505" s="12"/>
      <c r="AE505" s="12"/>
      <c r="AH505" s="12"/>
    </row>
    <row r="506">
      <c r="I506" s="12"/>
      <c r="L506" s="12"/>
      <c r="P506" s="12"/>
      <c r="T506" s="12"/>
      <c r="X506" s="12"/>
      <c r="AB506" s="12"/>
      <c r="AE506" s="12"/>
      <c r="AH506" s="12"/>
    </row>
    <row r="507">
      <c r="I507" s="12"/>
      <c r="L507" s="12"/>
      <c r="P507" s="12"/>
      <c r="T507" s="12"/>
      <c r="X507" s="12"/>
      <c r="AB507" s="12"/>
      <c r="AE507" s="12"/>
      <c r="AH507" s="12"/>
    </row>
    <row r="508">
      <c r="I508" s="12"/>
      <c r="L508" s="12"/>
      <c r="P508" s="12"/>
      <c r="T508" s="12"/>
      <c r="X508" s="12"/>
      <c r="AB508" s="12"/>
      <c r="AE508" s="12"/>
      <c r="AH508" s="12"/>
    </row>
    <row r="509">
      <c r="I509" s="12"/>
      <c r="L509" s="12"/>
      <c r="P509" s="12"/>
      <c r="T509" s="12"/>
      <c r="X509" s="12"/>
      <c r="AB509" s="12"/>
      <c r="AE509" s="12"/>
      <c r="AH509" s="12"/>
    </row>
    <row r="510">
      <c r="I510" s="12"/>
      <c r="L510" s="12"/>
      <c r="P510" s="12"/>
      <c r="T510" s="12"/>
      <c r="X510" s="12"/>
      <c r="AB510" s="12"/>
      <c r="AE510" s="12"/>
      <c r="AH510" s="12"/>
    </row>
    <row r="511">
      <c r="I511" s="12"/>
      <c r="L511" s="12"/>
      <c r="P511" s="12"/>
      <c r="T511" s="12"/>
      <c r="X511" s="12"/>
      <c r="AB511" s="12"/>
      <c r="AE511" s="12"/>
      <c r="AH511" s="12"/>
    </row>
    <row r="512">
      <c r="I512" s="12"/>
      <c r="L512" s="12"/>
      <c r="P512" s="12"/>
      <c r="T512" s="12"/>
      <c r="X512" s="12"/>
      <c r="AB512" s="12"/>
      <c r="AE512" s="12"/>
      <c r="AH512" s="12"/>
    </row>
    <row r="513">
      <c r="I513" s="12"/>
      <c r="L513" s="12"/>
      <c r="P513" s="12"/>
      <c r="T513" s="12"/>
      <c r="X513" s="12"/>
      <c r="AB513" s="12"/>
      <c r="AE513" s="12"/>
      <c r="AH513" s="12"/>
    </row>
    <row r="514">
      <c r="I514" s="12"/>
      <c r="L514" s="12"/>
      <c r="P514" s="12"/>
      <c r="T514" s="12"/>
      <c r="X514" s="12"/>
      <c r="AB514" s="12"/>
      <c r="AE514" s="12"/>
      <c r="AH514" s="12"/>
    </row>
    <row r="515">
      <c r="I515" s="12"/>
      <c r="L515" s="12"/>
      <c r="P515" s="12"/>
      <c r="T515" s="12"/>
      <c r="X515" s="12"/>
      <c r="AB515" s="12"/>
      <c r="AE515" s="12"/>
      <c r="AH515" s="12"/>
    </row>
    <row r="516">
      <c r="I516" s="12"/>
      <c r="L516" s="12"/>
      <c r="P516" s="12"/>
      <c r="T516" s="12"/>
      <c r="X516" s="12"/>
      <c r="AB516" s="12"/>
      <c r="AE516" s="12"/>
      <c r="AH516" s="12"/>
    </row>
    <row r="517">
      <c r="I517" s="12"/>
      <c r="L517" s="12"/>
      <c r="P517" s="12"/>
      <c r="T517" s="12"/>
      <c r="X517" s="12"/>
      <c r="AB517" s="12"/>
      <c r="AE517" s="12"/>
      <c r="AH517" s="12"/>
    </row>
    <row r="518">
      <c r="I518" s="12"/>
      <c r="L518" s="12"/>
      <c r="P518" s="12"/>
      <c r="T518" s="12"/>
      <c r="X518" s="12"/>
      <c r="AB518" s="12"/>
      <c r="AE518" s="12"/>
      <c r="AH518" s="12"/>
    </row>
    <row r="519">
      <c r="I519" s="12"/>
      <c r="L519" s="12"/>
      <c r="P519" s="12"/>
      <c r="T519" s="12"/>
      <c r="X519" s="12"/>
      <c r="AB519" s="12"/>
      <c r="AE519" s="12"/>
      <c r="AH519" s="12"/>
    </row>
    <row r="520">
      <c r="I520" s="12"/>
      <c r="L520" s="12"/>
      <c r="P520" s="12"/>
      <c r="T520" s="12"/>
      <c r="X520" s="12"/>
      <c r="AB520" s="12"/>
      <c r="AE520" s="12"/>
      <c r="AH520" s="12"/>
    </row>
    <row r="521">
      <c r="I521" s="12"/>
      <c r="L521" s="12"/>
      <c r="P521" s="12"/>
      <c r="T521" s="12"/>
      <c r="X521" s="12"/>
      <c r="AB521" s="12"/>
      <c r="AE521" s="12"/>
      <c r="AH521" s="12"/>
    </row>
    <row r="522">
      <c r="I522" s="12"/>
      <c r="L522" s="12"/>
      <c r="P522" s="12"/>
      <c r="T522" s="12"/>
      <c r="X522" s="12"/>
      <c r="AB522" s="12"/>
      <c r="AE522" s="12"/>
      <c r="AH522" s="12"/>
    </row>
    <row r="523">
      <c r="I523" s="12"/>
      <c r="L523" s="12"/>
      <c r="P523" s="12"/>
      <c r="T523" s="12"/>
      <c r="X523" s="12"/>
      <c r="AB523" s="12"/>
      <c r="AE523" s="12"/>
      <c r="AH523" s="12"/>
    </row>
    <row r="524">
      <c r="I524" s="12"/>
      <c r="L524" s="12"/>
      <c r="P524" s="12"/>
      <c r="T524" s="12"/>
      <c r="X524" s="12"/>
      <c r="AB524" s="12"/>
      <c r="AE524" s="12"/>
      <c r="AH524" s="12"/>
    </row>
    <row r="525">
      <c r="I525" s="12"/>
      <c r="L525" s="12"/>
      <c r="P525" s="12"/>
      <c r="T525" s="12"/>
      <c r="X525" s="12"/>
      <c r="AB525" s="12"/>
      <c r="AE525" s="12"/>
      <c r="AH525" s="12"/>
    </row>
    <row r="526">
      <c r="I526" s="12"/>
      <c r="L526" s="12"/>
      <c r="P526" s="12"/>
      <c r="T526" s="12"/>
      <c r="X526" s="12"/>
      <c r="AB526" s="12"/>
      <c r="AE526" s="12"/>
      <c r="AH526" s="12"/>
    </row>
    <row r="527">
      <c r="I527" s="12"/>
      <c r="L527" s="12"/>
      <c r="P527" s="12"/>
      <c r="T527" s="12"/>
      <c r="X527" s="12"/>
      <c r="AB527" s="12"/>
      <c r="AE527" s="12"/>
      <c r="AH527" s="12"/>
    </row>
    <row r="528">
      <c r="I528" s="12"/>
      <c r="L528" s="12"/>
      <c r="P528" s="12"/>
      <c r="T528" s="12"/>
      <c r="X528" s="12"/>
      <c r="AB528" s="12"/>
      <c r="AE528" s="12"/>
      <c r="AH528" s="12"/>
    </row>
    <row r="529">
      <c r="I529" s="12"/>
      <c r="L529" s="12"/>
      <c r="P529" s="12"/>
      <c r="T529" s="12"/>
      <c r="X529" s="12"/>
      <c r="AB529" s="12"/>
      <c r="AE529" s="12"/>
      <c r="AH529" s="12"/>
    </row>
    <row r="530">
      <c r="I530" s="12"/>
      <c r="L530" s="12"/>
      <c r="P530" s="12"/>
      <c r="T530" s="12"/>
      <c r="X530" s="12"/>
      <c r="AB530" s="12"/>
      <c r="AE530" s="12"/>
      <c r="AH530" s="12"/>
    </row>
    <row r="531">
      <c r="I531" s="12"/>
      <c r="L531" s="12"/>
      <c r="P531" s="12"/>
      <c r="T531" s="12"/>
      <c r="X531" s="12"/>
      <c r="AB531" s="12"/>
      <c r="AE531" s="12"/>
      <c r="AH531" s="12"/>
    </row>
    <row r="532">
      <c r="I532" s="12"/>
      <c r="L532" s="12"/>
      <c r="P532" s="12"/>
      <c r="T532" s="12"/>
      <c r="X532" s="12"/>
      <c r="AB532" s="12"/>
      <c r="AE532" s="12"/>
      <c r="AH532" s="12"/>
    </row>
    <row r="533">
      <c r="I533" s="12"/>
      <c r="L533" s="12"/>
      <c r="P533" s="12"/>
      <c r="T533" s="12"/>
      <c r="X533" s="12"/>
      <c r="AB533" s="12"/>
      <c r="AE533" s="12"/>
      <c r="AH533" s="12"/>
    </row>
    <row r="534">
      <c r="I534" s="12"/>
      <c r="L534" s="12"/>
      <c r="P534" s="12"/>
      <c r="T534" s="12"/>
      <c r="X534" s="12"/>
      <c r="AB534" s="12"/>
      <c r="AE534" s="12"/>
      <c r="AH534" s="12"/>
    </row>
    <row r="535">
      <c r="I535" s="12"/>
      <c r="L535" s="12"/>
      <c r="P535" s="12"/>
      <c r="T535" s="12"/>
      <c r="X535" s="12"/>
      <c r="AB535" s="12"/>
      <c r="AE535" s="12"/>
      <c r="AH535" s="12"/>
    </row>
    <row r="536">
      <c r="I536" s="12"/>
      <c r="L536" s="12"/>
      <c r="P536" s="12"/>
      <c r="T536" s="12"/>
      <c r="X536" s="12"/>
      <c r="AB536" s="12"/>
      <c r="AE536" s="12"/>
      <c r="AH536" s="12"/>
    </row>
    <row r="537">
      <c r="I537" s="12"/>
      <c r="L537" s="12"/>
      <c r="P537" s="12"/>
      <c r="T537" s="12"/>
      <c r="X537" s="12"/>
      <c r="AB537" s="12"/>
      <c r="AE537" s="12"/>
      <c r="AH537" s="12"/>
    </row>
    <row r="538">
      <c r="I538" s="12"/>
      <c r="L538" s="12"/>
      <c r="P538" s="12"/>
      <c r="T538" s="12"/>
      <c r="X538" s="12"/>
      <c r="AB538" s="12"/>
      <c r="AE538" s="12"/>
      <c r="AH538" s="12"/>
    </row>
    <row r="539">
      <c r="I539" s="12"/>
      <c r="L539" s="12"/>
      <c r="P539" s="12"/>
      <c r="T539" s="12"/>
      <c r="X539" s="12"/>
      <c r="AB539" s="12"/>
      <c r="AE539" s="12"/>
      <c r="AH539" s="12"/>
    </row>
    <row r="540">
      <c r="I540" s="12"/>
      <c r="L540" s="12"/>
      <c r="P540" s="12"/>
      <c r="T540" s="12"/>
      <c r="X540" s="12"/>
      <c r="AB540" s="12"/>
      <c r="AE540" s="12"/>
      <c r="AH540" s="12"/>
    </row>
    <row r="541">
      <c r="I541" s="12"/>
      <c r="L541" s="12"/>
      <c r="P541" s="12"/>
      <c r="T541" s="12"/>
      <c r="X541" s="12"/>
      <c r="AB541" s="12"/>
      <c r="AE541" s="12"/>
      <c r="AH541" s="12"/>
    </row>
    <row r="542">
      <c r="I542" s="12"/>
      <c r="L542" s="12"/>
      <c r="P542" s="12"/>
      <c r="T542" s="12"/>
      <c r="X542" s="12"/>
      <c r="AB542" s="12"/>
      <c r="AE542" s="12"/>
      <c r="AH542" s="12"/>
    </row>
    <row r="543">
      <c r="I543" s="12"/>
      <c r="L543" s="12"/>
      <c r="P543" s="12"/>
      <c r="T543" s="12"/>
      <c r="X543" s="12"/>
      <c r="AB543" s="12"/>
      <c r="AE543" s="12"/>
      <c r="AH543" s="12"/>
    </row>
    <row r="544">
      <c r="I544" s="12"/>
      <c r="L544" s="12"/>
      <c r="P544" s="12"/>
      <c r="T544" s="12"/>
      <c r="X544" s="12"/>
      <c r="AB544" s="12"/>
      <c r="AE544" s="12"/>
      <c r="AH544" s="12"/>
    </row>
    <row r="545">
      <c r="I545" s="12"/>
      <c r="L545" s="12"/>
      <c r="P545" s="12"/>
      <c r="T545" s="12"/>
      <c r="X545" s="12"/>
      <c r="AB545" s="12"/>
      <c r="AE545" s="12"/>
      <c r="AH545" s="12"/>
    </row>
    <row r="546">
      <c r="I546" s="12"/>
      <c r="L546" s="12"/>
      <c r="P546" s="12"/>
      <c r="T546" s="12"/>
      <c r="X546" s="12"/>
      <c r="AB546" s="12"/>
      <c r="AE546" s="12"/>
      <c r="AH546" s="12"/>
    </row>
    <row r="547">
      <c r="I547" s="12"/>
      <c r="L547" s="12"/>
      <c r="P547" s="12"/>
      <c r="T547" s="12"/>
      <c r="X547" s="12"/>
      <c r="AB547" s="12"/>
      <c r="AE547" s="12"/>
      <c r="AH547" s="12"/>
    </row>
    <row r="548">
      <c r="I548" s="12"/>
      <c r="L548" s="12"/>
      <c r="P548" s="12"/>
      <c r="T548" s="12"/>
      <c r="X548" s="12"/>
      <c r="AB548" s="12"/>
      <c r="AE548" s="12"/>
      <c r="AH548" s="12"/>
    </row>
    <row r="549">
      <c r="I549" s="12"/>
      <c r="L549" s="12"/>
      <c r="P549" s="12"/>
      <c r="T549" s="12"/>
      <c r="X549" s="12"/>
      <c r="AB549" s="12"/>
      <c r="AE549" s="12"/>
      <c r="AH549" s="12"/>
    </row>
    <row r="550">
      <c r="I550" s="12"/>
      <c r="L550" s="12"/>
      <c r="P550" s="12"/>
      <c r="T550" s="12"/>
      <c r="X550" s="12"/>
      <c r="AB550" s="12"/>
      <c r="AE550" s="12"/>
      <c r="AH550" s="12"/>
    </row>
    <row r="551">
      <c r="I551" s="12"/>
      <c r="L551" s="12"/>
      <c r="P551" s="12"/>
      <c r="T551" s="12"/>
      <c r="X551" s="12"/>
      <c r="AB551" s="12"/>
      <c r="AE551" s="12"/>
      <c r="AH551" s="12"/>
    </row>
    <row r="552">
      <c r="I552" s="12"/>
      <c r="L552" s="12"/>
      <c r="P552" s="12"/>
      <c r="T552" s="12"/>
      <c r="X552" s="12"/>
      <c r="AB552" s="12"/>
      <c r="AE552" s="12"/>
      <c r="AH552" s="12"/>
    </row>
    <row r="553">
      <c r="I553" s="12"/>
      <c r="L553" s="12"/>
      <c r="P553" s="12"/>
      <c r="T553" s="12"/>
      <c r="X553" s="12"/>
      <c r="AB553" s="12"/>
      <c r="AE553" s="12"/>
      <c r="AH553" s="12"/>
    </row>
    <row r="554">
      <c r="I554" s="12"/>
      <c r="L554" s="12"/>
      <c r="P554" s="12"/>
      <c r="T554" s="12"/>
      <c r="X554" s="12"/>
      <c r="AB554" s="12"/>
      <c r="AE554" s="12"/>
      <c r="AH554" s="12"/>
    </row>
    <row r="555">
      <c r="I555" s="12"/>
      <c r="L555" s="12"/>
      <c r="P555" s="12"/>
      <c r="T555" s="12"/>
      <c r="X555" s="12"/>
      <c r="AB555" s="12"/>
      <c r="AE555" s="12"/>
      <c r="AH555" s="12"/>
    </row>
    <row r="556">
      <c r="I556" s="12"/>
      <c r="L556" s="12"/>
      <c r="P556" s="12"/>
      <c r="T556" s="12"/>
      <c r="X556" s="12"/>
      <c r="AB556" s="12"/>
      <c r="AE556" s="12"/>
      <c r="AH556" s="12"/>
    </row>
    <row r="557">
      <c r="I557" s="12"/>
      <c r="L557" s="12"/>
      <c r="P557" s="12"/>
      <c r="T557" s="12"/>
      <c r="X557" s="12"/>
      <c r="AB557" s="12"/>
      <c r="AE557" s="12"/>
      <c r="AH557" s="12"/>
    </row>
    <row r="558">
      <c r="I558" s="12"/>
      <c r="L558" s="12"/>
      <c r="P558" s="12"/>
      <c r="T558" s="12"/>
      <c r="X558" s="12"/>
      <c r="AB558" s="12"/>
      <c r="AE558" s="12"/>
      <c r="AH558" s="12"/>
    </row>
    <row r="559">
      <c r="I559" s="12"/>
      <c r="L559" s="12"/>
      <c r="P559" s="12"/>
      <c r="T559" s="12"/>
      <c r="X559" s="12"/>
      <c r="AB559" s="12"/>
      <c r="AE559" s="12"/>
      <c r="AH559" s="12"/>
    </row>
    <row r="560">
      <c r="I560" s="12"/>
      <c r="L560" s="12"/>
      <c r="P560" s="12"/>
      <c r="T560" s="12"/>
      <c r="X560" s="12"/>
      <c r="AB560" s="12"/>
      <c r="AE560" s="12"/>
      <c r="AH560" s="12"/>
    </row>
    <row r="561">
      <c r="I561" s="12"/>
      <c r="L561" s="12"/>
      <c r="P561" s="12"/>
      <c r="T561" s="12"/>
      <c r="X561" s="12"/>
      <c r="AB561" s="12"/>
      <c r="AE561" s="12"/>
      <c r="AH561" s="12"/>
    </row>
    <row r="562">
      <c r="I562" s="12"/>
      <c r="L562" s="12"/>
      <c r="P562" s="12"/>
      <c r="T562" s="12"/>
      <c r="X562" s="12"/>
      <c r="AB562" s="12"/>
      <c r="AE562" s="12"/>
      <c r="AH562" s="12"/>
    </row>
    <row r="563">
      <c r="I563" s="12"/>
      <c r="L563" s="12"/>
      <c r="P563" s="12"/>
      <c r="T563" s="12"/>
      <c r="X563" s="12"/>
      <c r="AB563" s="12"/>
      <c r="AE563" s="12"/>
      <c r="AH563" s="12"/>
    </row>
    <row r="564">
      <c r="I564" s="12"/>
      <c r="L564" s="12"/>
      <c r="P564" s="12"/>
      <c r="T564" s="12"/>
      <c r="X564" s="12"/>
      <c r="AB564" s="12"/>
      <c r="AE564" s="12"/>
      <c r="AH564" s="12"/>
    </row>
    <row r="565">
      <c r="I565" s="12"/>
      <c r="L565" s="12"/>
      <c r="P565" s="12"/>
      <c r="T565" s="12"/>
      <c r="X565" s="12"/>
      <c r="AB565" s="12"/>
      <c r="AE565" s="12"/>
      <c r="AH565" s="12"/>
    </row>
    <row r="566">
      <c r="I566" s="12"/>
      <c r="L566" s="12"/>
      <c r="P566" s="12"/>
      <c r="T566" s="12"/>
      <c r="X566" s="12"/>
      <c r="AB566" s="12"/>
      <c r="AE566" s="12"/>
      <c r="AH566" s="12"/>
    </row>
    <row r="567">
      <c r="I567" s="12"/>
      <c r="L567" s="12"/>
      <c r="P567" s="12"/>
      <c r="T567" s="12"/>
      <c r="X567" s="12"/>
      <c r="AB567" s="12"/>
      <c r="AE567" s="12"/>
      <c r="AH567" s="12"/>
    </row>
    <row r="568">
      <c r="I568" s="12"/>
      <c r="L568" s="12"/>
      <c r="P568" s="12"/>
      <c r="T568" s="12"/>
      <c r="X568" s="12"/>
      <c r="AB568" s="12"/>
      <c r="AE568" s="12"/>
      <c r="AH568" s="12"/>
    </row>
    <row r="569">
      <c r="I569" s="12"/>
      <c r="L569" s="12"/>
      <c r="P569" s="12"/>
      <c r="T569" s="12"/>
      <c r="X569" s="12"/>
      <c r="AB569" s="12"/>
      <c r="AE569" s="12"/>
      <c r="AH569" s="12"/>
    </row>
    <row r="570">
      <c r="I570" s="12"/>
      <c r="L570" s="12"/>
      <c r="P570" s="12"/>
      <c r="T570" s="12"/>
      <c r="X570" s="12"/>
      <c r="AB570" s="12"/>
      <c r="AE570" s="12"/>
      <c r="AH570" s="12"/>
    </row>
    <row r="571">
      <c r="I571" s="12"/>
      <c r="L571" s="12"/>
      <c r="P571" s="12"/>
      <c r="T571" s="12"/>
      <c r="X571" s="12"/>
      <c r="AB571" s="12"/>
      <c r="AE571" s="12"/>
      <c r="AH571" s="12"/>
    </row>
    <row r="572">
      <c r="I572" s="12"/>
      <c r="L572" s="12"/>
      <c r="P572" s="12"/>
      <c r="T572" s="12"/>
      <c r="X572" s="12"/>
      <c r="AB572" s="12"/>
      <c r="AE572" s="12"/>
      <c r="AH572" s="12"/>
    </row>
    <row r="573">
      <c r="I573" s="12"/>
      <c r="L573" s="12"/>
      <c r="P573" s="12"/>
      <c r="T573" s="12"/>
      <c r="X573" s="12"/>
      <c r="AB573" s="12"/>
      <c r="AE573" s="12"/>
      <c r="AH573" s="12"/>
    </row>
    <row r="574">
      <c r="I574" s="12"/>
      <c r="L574" s="12"/>
      <c r="P574" s="12"/>
      <c r="T574" s="12"/>
      <c r="X574" s="12"/>
      <c r="AB574" s="12"/>
      <c r="AE574" s="12"/>
      <c r="AH574" s="12"/>
    </row>
    <row r="575">
      <c r="I575" s="12"/>
      <c r="L575" s="12"/>
      <c r="P575" s="12"/>
      <c r="T575" s="12"/>
      <c r="X575" s="12"/>
      <c r="AB575" s="12"/>
      <c r="AE575" s="12"/>
      <c r="AH575" s="12"/>
    </row>
    <row r="576">
      <c r="I576" s="12"/>
      <c r="L576" s="12"/>
      <c r="P576" s="12"/>
      <c r="T576" s="12"/>
      <c r="X576" s="12"/>
      <c r="AB576" s="12"/>
      <c r="AE576" s="12"/>
      <c r="AH576" s="12"/>
    </row>
    <row r="577">
      <c r="I577" s="12"/>
      <c r="L577" s="12"/>
      <c r="P577" s="12"/>
      <c r="T577" s="12"/>
      <c r="X577" s="12"/>
      <c r="AB577" s="12"/>
      <c r="AE577" s="12"/>
      <c r="AH577" s="12"/>
    </row>
    <row r="578">
      <c r="I578" s="12"/>
      <c r="L578" s="12"/>
      <c r="P578" s="12"/>
      <c r="T578" s="12"/>
      <c r="X578" s="12"/>
      <c r="AB578" s="12"/>
      <c r="AE578" s="12"/>
      <c r="AH578" s="12"/>
    </row>
    <row r="579">
      <c r="I579" s="12"/>
      <c r="L579" s="12"/>
      <c r="P579" s="12"/>
      <c r="T579" s="12"/>
      <c r="X579" s="12"/>
      <c r="AB579" s="12"/>
      <c r="AE579" s="12"/>
      <c r="AH579" s="12"/>
    </row>
    <row r="580">
      <c r="I580" s="12"/>
      <c r="L580" s="12"/>
      <c r="P580" s="12"/>
      <c r="T580" s="12"/>
      <c r="X580" s="12"/>
      <c r="AB580" s="12"/>
      <c r="AE580" s="12"/>
      <c r="AH580" s="12"/>
    </row>
    <row r="581">
      <c r="I581" s="12"/>
      <c r="L581" s="12"/>
      <c r="P581" s="12"/>
      <c r="T581" s="12"/>
      <c r="X581" s="12"/>
      <c r="AB581" s="12"/>
      <c r="AE581" s="12"/>
      <c r="AH581" s="12"/>
    </row>
    <row r="582">
      <c r="I582" s="12"/>
      <c r="L582" s="12"/>
      <c r="P582" s="12"/>
      <c r="T582" s="12"/>
      <c r="X582" s="12"/>
      <c r="AB582" s="12"/>
      <c r="AE582" s="12"/>
      <c r="AH582" s="12"/>
    </row>
    <row r="583">
      <c r="I583" s="12"/>
      <c r="L583" s="12"/>
      <c r="P583" s="12"/>
      <c r="T583" s="12"/>
      <c r="X583" s="12"/>
      <c r="AB583" s="12"/>
      <c r="AE583" s="12"/>
      <c r="AH583" s="12"/>
    </row>
    <row r="584">
      <c r="I584" s="12"/>
      <c r="L584" s="12"/>
      <c r="P584" s="12"/>
      <c r="T584" s="12"/>
      <c r="X584" s="12"/>
      <c r="AB584" s="12"/>
      <c r="AE584" s="12"/>
      <c r="AH584" s="12"/>
    </row>
    <row r="585">
      <c r="I585" s="12"/>
      <c r="L585" s="12"/>
      <c r="P585" s="12"/>
      <c r="T585" s="12"/>
      <c r="X585" s="12"/>
      <c r="AB585" s="12"/>
      <c r="AE585" s="12"/>
      <c r="AH585" s="12"/>
    </row>
    <row r="586">
      <c r="I586" s="12"/>
      <c r="L586" s="12"/>
      <c r="P586" s="12"/>
      <c r="T586" s="12"/>
      <c r="X586" s="12"/>
      <c r="AB586" s="12"/>
      <c r="AE586" s="12"/>
      <c r="AH586" s="12"/>
    </row>
    <row r="587">
      <c r="I587" s="12"/>
      <c r="L587" s="12"/>
      <c r="P587" s="12"/>
      <c r="T587" s="12"/>
      <c r="X587" s="12"/>
      <c r="AB587" s="12"/>
      <c r="AE587" s="12"/>
      <c r="AH587" s="12"/>
    </row>
    <row r="588">
      <c r="I588" s="12"/>
      <c r="L588" s="12"/>
      <c r="P588" s="12"/>
      <c r="T588" s="12"/>
      <c r="X588" s="12"/>
      <c r="AB588" s="12"/>
      <c r="AE588" s="12"/>
      <c r="AH588" s="12"/>
    </row>
    <row r="589">
      <c r="I589" s="12"/>
      <c r="L589" s="12"/>
      <c r="P589" s="12"/>
      <c r="T589" s="12"/>
      <c r="X589" s="12"/>
      <c r="AB589" s="12"/>
      <c r="AE589" s="12"/>
      <c r="AH589" s="12"/>
    </row>
    <row r="590">
      <c r="I590" s="12"/>
      <c r="L590" s="12"/>
      <c r="P590" s="12"/>
      <c r="T590" s="12"/>
      <c r="X590" s="12"/>
      <c r="AB590" s="12"/>
      <c r="AE590" s="12"/>
      <c r="AH590" s="12"/>
    </row>
    <row r="591">
      <c r="I591" s="12"/>
      <c r="L591" s="12"/>
      <c r="P591" s="12"/>
      <c r="T591" s="12"/>
      <c r="X591" s="12"/>
      <c r="AB591" s="12"/>
      <c r="AE591" s="12"/>
      <c r="AH591" s="12"/>
    </row>
    <row r="592">
      <c r="I592" s="12"/>
      <c r="L592" s="12"/>
      <c r="P592" s="12"/>
      <c r="T592" s="12"/>
      <c r="X592" s="12"/>
      <c r="AB592" s="12"/>
      <c r="AE592" s="12"/>
      <c r="AH592" s="12"/>
    </row>
    <row r="593">
      <c r="I593" s="12"/>
      <c r="L593" s="12"/>
      <c r="P593" s="12"/>
      <c r="T593" s="12"/>
      <c r="X593" s="12"/>
      <c r="AB593" s="12"/>
      <c r="AE593" s="12"/>
      <c r="AH593" s="12"/>
    </row>
    <row r="594">
      <c r="I594" s="12"/>
      <c r="L594" s="12"/>
      <c r="P594" s="12"/>
      <c r="T594" s="12"/>
      <c r="X594" s="12"/>
      <c r="AB594" s="12"/>
      <c r="AE594" s="12"/>
      <c r="AH594" s="12"/>
    </row>
    <row r="595">
      <c r="I595" s="12"/>
      <c r="L595" s="12"/>
      <c r="P595" s="12"/>
      <c r="T595" s="12"/>
      <c r="X595" s="12"/>
      <c r="AB595" s="12"/>
      <c r="AE595" s="12"/>
      <c r="AH595" s="12"/>
    </row>
    <row r="596">
      <c r="I596" s="12"/>
      <c r="L596" s="12"/>
      <c r="P596" s="12"/>
      <c r="T596" s="12"/>
      <c r="X596" s="12"/>
      <c r="AB596" s="12"/>
      <c r="AE596" s="12"/>
      <c r="AH596" s="12"/>
    </row>
    <row r="597">
      <c r="I597" s="12"/>
      <c r="L597" s="12"/>
      <c r="P597" s="12"/>
      <c r="T597" s="12"/>
      <c r="X597" s="12"/>
      <c r="AB597" s="12"/>
      <c r="AE597" s="12"/>
      <c r="AH597" s="12"/>
    </row>
    <row r="598">
      <c r="I598" s="12"/>
      <c r="L598" s="12"/>
      <c r="P598" s="12"/>
      <c r="T598" s="12"/>
      <c r="X598" s="12"/>
      <c r="AB598" s="12"/>
      <c r="AE598" s="12"/>
      <c r="AH598" s="12"/>
    </row>
    <row r="599">
      <c r="I599" s="12"/>
      <c r="L599" s="12"/>
      <c r="P599" s="12"/>
      <c r="T599" s="12"/>
      <c r="X599" s="12"/>
      <c r="AB599" s="12"/>
      <c r="AE599" s="12"/>
      <c r="AH599" s="12"/>
    </row>
    <row r="600">
      <c r="I600" s="12"/>
      <c r="L600" s="12"/>
      <c r="P600" s="12"/>
      <c r="T600" s="12"/>
      <c r="X600" s="12"/>
      <c r="AB600" s="12"/>
      <c r="AE600" s="12"/>
      <c r="AH600" s="12"/>
    </row>
    <row r="601">
      <c r="I601" s="12"/>
      <c r="L601" s="12"/>
      <c r="P601" s="12"/>
      <c r="T601" s="12"/>
      <c r="X601" s="12"/>
      <c r="AB601" s="12"/>
      <c r="AE601" s="12"/>
      <c r="AH601" s="12"/>
    </row>
    <row r="602">
      <c r="I602" s="12"/>
      <c r="L602" s="12"/>
      <c r="P602" s="12"/>
      <c r="T602" s="12"/>
      <c r="X602" s="12"/>
      <c r="AB602" s="12"/>
      <c r="AE602" s="12"/>
      <c r="AH602" s="12"/>
    </row>
    <row r="603">
      <c r="I603" s="12"/>
      <c r="L603" s="12"/>
      <c r="P603" s="12"/>
      <c r="T603" s="12"/>
      <c r="X603" s="12"/>
      <c r="AB603" s="12"/>
      <c r="AE603" s="12"/>
      <c r="AH603" s="12"/>
    </row>
    <row r="604">
      <c r="I604" s="12"/>
      <c r="L604" s="12"/>
      <c r="P604" s="12"/>
      <c r="T604" s="12"/>
      <c r="X604" s="12"/>
      <c r="AB604" s="12"/>
      <c r="AE604" s="12"/>
      <c r="AH604" s="12"/>
    </row>
    <row r="605">
      <c r="I605" s="12"/>
      <c r="L605" s="12"/>
      <c r="P605" s="12"/>
      <c r="T605" s="12"/>
      <c r="X605" s="12"/>
      <c r="AB605" s="12"/>
      <c r="AE605" s="12"/>
      <c r="AH605" s="12"/>
    </row>
    <row r="606">
      <c r="I606" s="12"/>
      <c r="L606" s="12"/>
      <c r="P606" s="12"/>
      <c r="T606" s="12"/>
      <c r="X606" s="12"/>
      <c r="AB606" s="12"/>
      <c r="AE606" s="12"/>
      <c r="AH606" s="12"/>
    </row>
    <row r="607">
      <c r="I607" s="12"/>
      <c r="L607" s="12"/>
      <c r="P607" s="12"/>
      <c r="T607" s="12"/>
      <c r="X607" s="12"/>
      <c r="AB607" s="12"/>
      <c r="AE607" s="12"/>
      <c r="AH607" s="12"/>
    </row>
    <row r="608">
      <c r="I608" s="12"/>
      <c r="L608" s="12"/>
      <c r="P608" s="12"/>
      <c r="T608" s="12"/>
      <c r="X608" s="12"/>
      <c r="AB608" s="12"/>
      <c r="AE608" s="12"/>
      <c r="AH608" s="12"/>
    </row>
    <row r="609">
      <c r="I609" s="12"/>
      <c r="L609" s="12"/>
      <c r="P609" s="12"/>
      <c r="T609" s="12"/>
      <c r="X609" s="12"/>
      <c r="AB609" s="12"/>
      <c r="AE609" s="12"/>
      <c r="AH609" s="12"/>
    </row>
    <row r="610">
      <c r="I610" s="12"/>
      <c r="L610" s="12"/>
      <c r="P610" s="12"/>
      <c r="T610" s="12"/>
      <c r="X610" s="12"/>
      <c r="AB610" s="12"/>
      <c r="AE610" s="12"/>
      <c r="AH610" s="12"/>
    </row>
    <row r="611">
      <c r="I611" s="12"/>
      <c r="L611" s="12"/>
      <c r="P611" s="12"/>
      <c r="T611" s="12"/>
      <c r="X611" s="12"/>
      <c r="AB611" s="12"/>
      <c r="AE611" s="12"/>
      <c r="AH611" s="12"/>
    </row>
    <row r="612">
      <c r="I612" s="12"/>
      <c r="L612" s="12"/>
      <c r="P612" s="12"/>
      <c r="T612" s="12"/>
      <c r="X612" s="12"/>
      <c r="AB612" s="12"/>
      <c r="AE612" s="12"/>
      <c r="AH612" s="12"/>
    </row>
    <row r="613">
      <c r="I613" s="12"/>
      <c r="L613" s="12"/>
      <c r="P613" s="12"/>
      <c r="T613" s="12"/>
      <c r="X613" s="12"/>
      <c r="AB613" s="12"/>
      <c r="AE613" s="12"/>
      <c r="AH613" s="12"/>
    </row>
    <row r="614">
      <c r="I614" s="12"/>
      <c r="L614" s="12"/>
      <c r="P614" s="12"/>
      <c r="T614" s="12"/>
      <c r="X614" s="12"/>
      <c r="AB614" s="12"/>
      <c r="AE614" s="12"/>
      <c r="AH614" s="12"/>
    </row>
    <row r="615">
      <c r="I615" s="12"/>
      <c r="L615" s="12"/>
      <c r="P615" s="12"/>
      <c r="T615" s="12"/>
      <c r="X615" s="12"/>
      <c r="AB615" s="12"/>
      <c r="AE615" s="12"/>
      <c r="AH615" s="12"/>
    </row>
    <row r="616">
      <c r="I616" s="12"/>
      <c r="L616" s="12"/>
      <c r="P616" s="12"/>
      <c r="T616" s="12"/>
      <c r="X616" s="12"/>
      <c r="AB616" s="12"/>
      <c r="AE616" s="12"/>
      <c r="AH616" s="12"/>
    </row>
    <row r="617">
      <c r="I617" s="12"/>
      <c r="L617" s="12"/>
      <c r="P617" s="12"/>
      <c r="T617" s="12"/>
      <c r="X617" s="12"/>
      <c r="AB617" s="12"/>
      <c r="AE617" s="12"/>
      <c r="AH617" s="12"/>
    </row>
    <row r="618">
      <c r="I618" s="12"/>
      <c r="L618" s="12"/>
      <c r="P618" s="12"/>
      <c r="T618" s="12"/>
      <c r="X618" s="12"/>
      <c r="AB618" s="12"/>
      <c r="AE618" s="12"/>
      <c r="AH618" s="12"/>
    </row>
    <row r="619">
      <c r="I619" s="12"/>
      <c r="L619" s="12"/>
      <c r="P619" s="12"/>
      <c r="T619" s="12"/>
      <c r="X619" s="12"/>
      <c r="AB619" s="12"/>
      <c r="AE619" s="12"/>
      <c r="AH619" s="12"/>
    </row>
    <row r="620">
      <c r="I620" s="12"/>
      <c r="L620" s="12"/>
      <c r="P620" s="12"/>
      <c r="T620" s="12"/>
      <c r="X620" s="12"/>
      <c r="AB620" s="12"/>
      <c r="AE620" s="12"/>
      <c r="AH620" s="12"/>
    </row>
    <row r="621">
      <c r="I621" s="12"/>
      <c r="L621" s="12"/>
      <c r="P621" s="12"/>
      <c r="T621" s="12"/>
      <c r="X621" s="12"/>
      <c r="AB621" s="12"/>
      <c r="AE621" s="12"/>
      <c r="AH621" s="12"/>
    </row>
    <row r="622">
      <c r="I622" s="12"/>
      <c r="L622" s="12"/>
      <c r="P622" s="12"/>
      <c r="T622" s="12"/>
      <c r="X622" s="12"/>
      <c r="AB622" s="12"/>
      <c r="AE622" s="12"/>
      <c r="AH622" s="12"/>
    </row>
    <row r="623">
      <c r="I623" s="12"/>
      <c r="L623" s="12"/>
      <c r="P623" s="12"/>
      <c r="T623" s="12"/>
      <c r="X623" s="12"/>
      <c r="AB623" s="12"/>
      <c r="AE623" s="12"/>
      <c r="AH623" s="12"/>
    </row>
    <row r="624">
      <c r="I624" s="12"/>
      <c r="L624" s="12"/>
      <c r="P624" s="12"/>
      <c r="T624" s="12"/>
      <c r="X624" s="12"/>
      <c r="AB624" s="12"/>
      <c r="AE624" s="12"/>
      <c r="AH624" s="12"/>
    </row>
    <row r="625">
      <c r="I625" s="12"/>
      <c r="L625" s="12"/>
      <c r="P625" s="12"/>
      <c r="T625" s="12"/>
      <c r="X625" s="12"/>
      <c r="AB625" s="12"/>
      <c r="AE625" s="12"/>
      <c r="AH625" s="12"/>
    </row>
    <row r="626">
      <c r="I626" s="12"/>
      <c r="L626" s="12"/>
      <c r="P626" s="12"/>
      <c r="T626" s="12"/>
      <c r="X626" s="12"/>
      <c r="AB626" s="12"/>
      <c r="AE626" s="12"/>
      <c r="AH626" s="12"/>
    </row>
    <row r="627">
      <c r="I627" s="12"/>
      <c r="L627" s="12"/>
      <c r="P627" s="12"/>
      <c r="T627" s="12"/>
      <c r="X627" s="12"/>
      <c r="AB627" s="12"/>
      <c r="AE627" s="12"/>
      <c r="AH627" s="12"/>
    </row>
    <row r="628">
      <c r="I628" s="12"/>
      <c r="L628" s="12"/>
      <c r="P628" s="12"/>
      <c r="T628" s="12"/>
      <c r="X628" s="12"/>
      <c r="AB628" s="12"/>
      <c r="AE628" s="12"/>
      <c r="AH628" s="12"/>
    </row>
    <row r="629">
      <c r="I629" s="12"/>
      <c r="L629" s="12"/>
      <c r="P629" s="12"/>
      <c r="T629" s="12"/>
      <c r="X629" s="12"/>
      <c r="AB629" s="12"/>
      <c r="AE629" s="12"/>
      <c r="AH629" s="12"/>
    </row>
    <row r="630">
      <c r="I630" s="12"/>
      <c r="L630" s="12"/>
      <c r="P630" s="12"/>
      <c r="T630" s="12"/>
      <c r="X630" s="12"/>
      <c r="AB630" s="12"/>
      <c r="AE630" s="12"/>
      <c r="AH630" s="12"/>
    </row>
    <row r="631">
      <c r="I631" s="12"/>
      <c r="L631" s="12"/>
      <c r="P631" s="12"/>
      <c r="T631" s="12"/>
      <c r="X631" s="12"/>
      <c r="AB631" s="12"/>
      <c r="AE631" s="12"/>
      <c r="AH631" s="12"/>
    </row>
    <row r="632">
      <c r="I632" s="12"/>
      <c r="L632" s="12"/>
      <c r="P632" s="12"/>
      <c r="T632" s="12"/>
      <c r="X632" s="12"/>
      <c r="AB632" s="12"/>
      <c r="AE632" s="12"/>
      <c r="AH632" s="12"/>
    </row>
    <row r="633">
      <c r="I633" s="12"/>
      <c r="L633" s="12"/>
      <c r="P633" s="12"/>
      <c r="T633" s="12"/>
      <c r="X633" s="12"/>
      <c r="AB633" s="12"/>
      <c r="AE633" s="12"/>
      <c r="AH633" s="12"/>
    </row>
    <row r="634">
      <c r="I634" s="12"/>
      <c r="L634" s="12"/>
      <c r="P634" s="12"/>
      <c r="T634" s="12"/>
      <c r="X634" s="12"/>
      <c r="AB634" s="12"/>
      <c r="AE634" s="12"/>
      <c r="AH634" s="12"/>
    </row>
    <row r="635">
      <c r="I635" s="12"/>
      <c r="L635" s="12"/>
      <c r="P635" s="12"/>
      <c r="T635" s="12"/>
      <c r="X635" s="12"/>
      <c r="AB635" s="12"/>
      <c r="AE635" s="12"/>
      <c r="AH635" s="12"/>
    </row>
    <row r="636">
      <c r="I636" s="12"/>
      <c r="L636" s="12"/>
      <c r="P636" s="12"/>
      <c r="T636" s="12"/>
      <c r="X636" s="12"/>
      <c r="AB636" s="12"/>
      <c r="AE636" s="12"/>
      <c r="AH636" s="12"/>
    </row>
    <row r="637">
      <c r="I637" s="12"/>
      <c r="L637" s="12"/>
      <c r="P637" s="12"/>
      <c r="T637" s="12"/>
      <c r="X637" s="12"/>
      <c r="AB637" s="12"/>
      <c r="AE637" s="12"/>
      <c r="AH637" s="12"/>
    </row>
    <row r="638">
      <c r="I638" s="12"/>
      <c r="L638" s="12"/>
      <c r="P638" s="12"/>
      <c r="T638" s="12"/>
      <c r="X638" s="12"/>
      <c r="AB638" s="12"/>
      <c r="AE638" s="12"/>
      <c r="AH638" s="12"/>
    </row>
    <row r="639">
      <c r="I639" s="12"/>
      <c r="L639" s="12"/>
      <c r="P639" s="12"/>
      <c r="T639" s="12"/>
      <c r="X639" s="12"/>
      <c r="AB639" s="12"/>
      <c r="AE639" s="12"/>
      <c r="AH639" s="12"/>
    </row>
    <row r="640">
      <c r="I640" s="12"/>
      <c r="L640" s="12"/>
      <c r="P640" s="12"/>
      <c r="T640" s="12"/>
      <c r="X640" s="12"/>
      <c r="AB640" s="12"/>
      <c r="AE640" s="12"/>
      <c r="AH640" s="12"/>
    </row>
    <row r="641">
      <c r="I641" s="12"/>
      <c r="L641" s="12"/>
      <c r="P641" s="12"/>
      <c r="T641" s="12"/>
      <c r="X641" s="12"/>
      <c r="AB641" s="12"/>
      <c r="AE641" s="12"/>
      <c r="AH641" s="12"/>
    </row>
    <row r="642">
      <c r="I642" s="12"/>
      <c r="L642" s="12"/>
      <c r="P642" s="12"/>
      <c r="T642" s="12"/>
      <c r="X642" s="12"/>
      <c r="AB642" s="12"/>
      <c r="AE642" s="12"/>
      <c r="AH642" s="12"/>
    </row>
    <row r="643">
      <c r="I643" s="12"/>
      <c r="L643" s="12"/>
      <c r="P643" s="12"/>
      <c r="T643" s="12"/>
      <c r="X643" s="12"/>
      <c r="AB643" s="12"/>
      <c r="AE643" s="12"/>
      <c r="AH643" s="12"/>
    </row>
    <row r="644">
      <c r="I644" s="12"/>
      <c r="L644" s="12"/>
      <c r="P644" s="12"/>
      <c r="T644" s="12"/>
      <c r="X644" s="12"/>
      <c r="AB644" s="12"/>
      <c r="AE644" s="12"/>
      <c r="AH644" s="12"/>
    </row>
    <row r="645">
      <c r="I645" s="12"/>
      <c r="L645" s="12"/>
      <c r="P645" s="12"/>
      <c r="T645" s="12"/>
      <c r="X645" s="12"/>
      <c r="AB645" s="12"/>
      <c r="AE645" s="12"/>
      <c r="AH645" s="12"/>
    </row>
    <row r="646">
      <c r="I646" s="12"/>
      <c r="L646" s="12"/>
      <c r="P646" s="12"/>
      <c r="T646" s="12"/>
      <c r="X646" s="12"/>
      <c r="AB646" s="12"/>
      <c r="AE646" s="12"/>
      <c r="AH646" s="12"/>
    </row>
    <row r="647">
      <c r="I647" s="12"/>
      <c r="L647" s="12"/>
      <c r="P647" s="12"/>
      <c r="T647" s="12"/>
      <c r="X647" s="12"/>
      <c r="AB647" s="12"/>
      <c r="AE647" s="12"/>
      <c r="AH647" s="12"/>
    </row>
    <row r="648">
      <c r="I648" s="12"/>
      <c r="L648" s="12"/>
      <c r="P648" s="12"/>
      <c r="T648" s="12"/>
      <c r="X648" s="12"/>
      <c r="AB648" s="12"/>
      <c r="AE648" s="12"/>
      <c r="AH648" s="12"/>
    </row>
    <row r="649">
      <c r="I649" s="12"/>
      <c r="L649" s="12"/>
      <c r="P649" s="12"/>
      <c r="T649" s="12"/>
      <c r="X649" s="12"/>
      <c r="AB649" s="12"/>
      <c r="AE649" s="12"/>
      <c r="AH649" s="12"/>
    </row>
    <row r="650">
      <c r="I650" s="12"/>
      <c r="L650" s="12"/>
      <c r="P650" s="12"/>
      <c r="T650" s="12"/>
      <c r="X650" s="12"/>
      <c r="AB650" s="12"/>
      <c r="AE650" s="12"/>
      <c r="AH650" s="12"/>
    </row>
    <row r="651">
      <c r="I651" s="12"/>
      <c r="L651" s="12"/>
      <c r="P651" s="12"/>
      <c r="T651" s="12"/>
      <c r="X651" s="12"/>
      <c r="AB651" s="12"/>
      <c r="AE651" s="12"/>
      <c r="AH651" s="12"/>
    </row>
    <row r="652">
      <c r="I652" s="12"/>
      <c r="L652" s="12"/>
      <c r="P652" s="12"/>
      <c r="T652" s="12"/>
      <c r="X652" s="12"/>
      <c r="AB652" s="12"/>
      <c r="AE652" s="12"/>
      <c r="AH652" s="12"/>
    </row>
    <row r="653">
      <c r="I653" s="12"/>
      <c r="L653" s="12"/>
      <c r="P653" s="12"/>
      <c r="T653" s="12"/>
      <c r="X653" s="12"/>
      <c r="AB653" s="12"/>
      <c r="AE653" s="12"/>
      <c r="AH653" s="12"/>
    </row>
    <row r="654">
      <c r="I654" s="12"/>
      <c r="L654" s="12"/>
      <c r="P654" s="12"/>
      <c r="T654" s="12"/>
      <c r="X654" s="12"/>
      <c r="AB654" s="12"/>
      <c r="AE654" s="12"/>
      <c r="AH654" s="12"/>
    </row>
    <row r="655">
      <c r="I655" s="12"/>
      <c r="L655" s="12"/>
      <c r="P655" s="12"/>
      <c r="T655" s="12"/>
      <c r="X655" s="12"/>
      <c r="AB655" s="12"/>
      <c r="AE655" s="12"/>
      <c r="AH655" s="12"/>
    </row>
    <row r="656">
      <c r="I656" s="12"/>
      <c r="L656" s="12"/>
      <c r="P656" s="12"/>
      <c r="T656" s="12"/>
      <c r="X656" s="12"/>
      <c r="AB656" s="12"/>
      <c r="AE656" s="12"/>
      <c r="AH656" s="12"/>
    </row>
    <row r="657">
      <c r="I657" s="12"/>
      <c r="L657" s="12"/>
      <c r="P657" s="12"/>
      <c r="T657" s="12"/>
      <c r="X657" s="12"/>
      <c r="AB657" s="12"/>
      <c r="AE657" s="12"/>
      <c r="AH657" s="12"/>
    </row>
    <row r="658">
      <c r="I658" s="12"/>
      <c r="L658" s="12"/>
      <c r="P658" s="12"/>
      <c r="T658" s="12"/>
      <c r="X658" s="12"/>
      <c r="AB658" s="12"/>
      <c r="AE658" s="12"/>
      <c r="AH658" s="12"/>
    </row>
    <row r="659">
      <c r="I659" s="12"/>
      <c r="L659" s="12"/>
      <c r="P659" s="12"/>
      <c r="T659" s="12"/>
      <c r="X659" s="12"/>
      <c r="AB659" s="12"/>
      <c r="AE659" s="12"/>
      <c r="AH659" s="12"/>
    </row>
    <row r="660">
      <c r="I660" s="12"/>
      <c r="L660" s="12"/>
      <c r="P660" s="12"/>
      <c r="T660" s="12"/>
      <c r="X660" s="12"/>
      <c r="AB660" s="12"/>
      <c r="AE660" s="12"/>
      <c r="AH660" s="12"/>
    </row>
    <row r="661">
      <c r="I661" s="12"/>
      <c r="L661" s="12"/>
      <c r="P661" s="12"/>
      <c r="T661" s="12"/>
      <c r="X661" s="12"/>
      <c r="AB661" s="12"/>
      <c r="AE661" s="12"/>
      <c r="AH661" s="12"/>
    </row>
    <row r="662">
      <c r="I662" s="12"/>
      <c r="L662" s="12"/>
      <c r="P662" s="12"/>
      <c r="T662" s="12"/>
      <c r="X662" s="12"/>
      <c r="AB662" s="12"/>
      <c r="AE662" s="12"/>
      <c r="AH662" s="12"/>
    </row>
    <row r="663">
      <c r="I663" s="12"/>
      <c r="L663" s="12"/>
      <c r="P663" s="12"/>
      <c r="T663" s="12"/>
      <c r="X663" s="12"/>
      <c r="AB663" s="12"/>
      <c r="AE663" s="12"/>
      <c r="AH663" s="12"/>
    </row>
    <row r="664">
      <c r="I664" s="12"/>
      <c r="L664" s="12"/>
      <c r="P664" s="12"/>
      <c r="T664" s="12"/>
      <c r="X664" s="12"/>
      <c r="AB664" s="12"/>
      <c r="AE664" s="12"/>
      <c r="AH664" s="12"/>
    </row>
    <row r="665">
      <c r="I665" s="12"/>
      <c r="L665" s="12"/>
      <c r="P665" s="12"/>
      <c r="T665" s="12"/>
      <c r="X665" s="12"/>
      <c r="AB665" s="12"/>
      <c r="AE665" s="12"/>
      <c r="AH665" s="12"/>
    </row>
    <row r="666">
      <c r="I666" s="12"/>
      <c r="L666" s="12"/>
      <c r="P666" s="12"/>
      <c r="T666" s="12"/>
      <c r="X666" s="12"/>
      <c r="AB666" s="12"/>
      <c r="AE666" s="12"/>
      <c r="AH666" s="12"/>
    </row>
    <row r="667">
      <c r="I667" s="12"/>
      <c r="L667" s="12"/>
      <c r="P667" s="12"/>
      <c r="T667" s="12"/>
      <c r="X667" s="12"/>
      <c r="AB667" s="12"/>
      <c r="AE667" s="12"/>
      <c r="AH667" s="12"/>
    </row>
    <row r="668">
      <c r="I668" s="12"/>
      <c r="L668" s="12"/>
      <c r="P668" s="12"/>
      <c r="T668" s="12"/>
      <c r="X668" s="12"/>
      <c r="AB668" s="12"/>
      <c r="AE668" s="12"/>
      <c r="AH668" s="12"/>
    </row>
    <row r="669">
      <c r="I669" s="12"/>
      <c r="L669" s="12"/>
      <c r="P669" s="12"/>
      <c r="T669" s="12"/>
      <c r="X669" s="12"/>
      <c r="AB669" s="12"/>
      <c r="AE669" s="12"/>
      <c r="AH669" s="12"/>
    </row>
    <row r="670">
      <c r="I670" s="12"/>
      <c r="L670" s="12"/>
      <c r="P670" s="12"/>
      <c r="T670" s="12"/>
      <c r="X670" s="12"/>
      <c r="AB670" s="12"/>
      <c r="AE670" s="12"/>
      <c r="AH670" s="12"/>
    </row>
    <row r="671">
      <c r="I671" s="12"/>
      <c r="L671" s="12"/>
      <c r="P671" s="12"/>
      <c r="T671" s="12"/>
      <c r="X671" s="12"/>
      <c r="AB671" s="12"/>
      <c r="AE671" s="12"/>
      <c r="AH671" s="12"/>
    </row>
    <row r="672">
      <c r="I672" s="12"/>
      <c r="L672" s="12"/>
      <c r="P672" s="12"/>
      <c r="T672" s="12"/>
      <c r="X672" s="12"/>
      <c r="AB672" s="12"/>
      <c r="AE672" s="12"/>
      <c r="AH672" s="12"/>
    </row>
    <row r="673">
      <c r="I673" s="12"/>
      <c r="L673" s="12"/>
      <c r="P673" s="12"/>
      <c r="T673" s="12"/>
      <c r="X673" s="12"/>
      <c r="AB673" s="12"/>
      <c r="AE673" s="12"/>
      <c r="AH673" s="12"/>
    </row>
    <row r="674">
      <c r="I674" s="12"/>
      <c r="L674" s="12"/>
      <c r="P674" s="12"/>
      <c r="T674" s="12"/>
      <c r="X674" s="12"/>
      <c r="AB674" s="12"/>
      <c r="AE674" s="12"/>
      <c r="AH674" s="12"/>
    </row>
    <row r="675">
      <c r="I675" s="12"/>
      <c r="L675" s="12"/>
      <c r="P675" s="12"/>
      <c r="T675" s="12"/>
      <c r="X675" s="12"/>
      <c r="AB675" s="12"/>
      <c r="AE675" s="12"/>
      <c r="AH675" s="12"/>
    </row>
    <row r="676">
      <c r="I676" s="12"/>
      <c r="L676" s="12"/>
      <c r="P676" s="12"/>
      <c r="T676" s="12"/>
      <c r="X676" s="12"/>
      <c r="AB676" s="12"/>
      <c r="AE676" s="12"/>
      <c r="AH676" s="12"/>
    </row>
    <row r="677">
      <c r="I677" s="12"/>
      <c r="L677" s="12"/>
      <c r="P677" s="12"/>
      <c r="T677" s="12"/>
      <c r="X677" s="12"/>
      <c r="AB677" s="12"/>
      <c r="AE677" s="12"/>
      <c r="AH677" s="12"/>
    </row>
    <row r="678">
      <c r="I678" s="12"/>
      <c r="L678" s="12"/>
      <c r="P678" s="12"/>
      <c r="T678" s="12"/>
      <c r="X678" s="12"/>
      <c r="AB678" s="12"/>
      <c r="AE678" s="12"/>
      <c r="AH678" s="12"/>
    </row>
    <row r="679">
      <c r="I679" s="12"/>
      <c r="L679" s="12"/>
      <c r="P679" s="12"/>
      <c r="T679" s="12"/>
      <c r="X679" s="12"/>
      <c r="AB679" s="12"/>
      <c r="AE679" s="12"/>
      <c r="AH679" s="12"/>
    </row>
    <row r="680">
      <c r="I680" s="12"/>
      <c r="L680" s="12"/>
      <c r="P680" s="12"/>
      <c r="T680" s="12"/>
      <c r="X680" s="12"/>
      <c r="AB680" s="12"/>
      <c r="AE680" s="12"/>
      <c r="AH680" s="12"/>
    </row>
    <row r="681">
      <c r="I681" s="12"/>
      <c r="L681" s="12"/>
      <c r="P681" s="12"/>
      <c r="T681" s="12"/>
      <c r="X681" s="12"/>
      <c r="AB681" s="12"/>
      <c r="AE681" s="12"/>
      <c r="AH681" s="12"/>
    </row>
    <row r="682">
      <c r="I682" s="12"/>
      <c r="L682" s="12"/>
      <c r="P682" s="12"/>
      <c r="T682" s="12"/>
      <c r="X682" s="12"/>
      <c r="AB682" s="12"/>
      <c r="AE682" s="12"/>
      <c r="AH682" s="12"/>
    </row>
    <row r="683">
      <c r="I683" s="12"/>
      <c r="L683" s="12"/>
      <c r="P683" s="12"/>
      <c r="T683" s="12"/>
      <c r="X683" s="12"/>
      <c r="AB683" s="12"/>
      <c r="AE683" s="12"/>
      <c r="AH683" s="12"/>
    </row>
    <row r="684">
      <c r="I684" s="12"/>
      <c r="L684" s="12"/>
      <c r="P684" s="12"/>
      <c r="T684" s="12"/>
      <c r="X684" s="12"/>
      <c r="AB684" s="12"/>
      <c r="AE684" s="12"/>
      <c r="AH684" s="12"/>
    </row>
    <row r="685">
      <c r="I685" s="12"/>
      <c r="L685" s="12"/>
      <c r="P685" s="12"/>
      <c r="T685" s="12"/>
      <c r="X685" s="12"/>
      <c r="AB685" s="12"/>
      <c r="AE685" s="12"/>
      <c r="AH685" s="12"/>
    </row>
    <row r="686">
      <c r="I686" s="12"/>
      <c r="L686" s="12"/>
      <c r="P686" s="12"/>
      <c r="T686" s="12"/>
      <c r="X686" s="12"/>
      <c r="AB686" s="12"/>
      <c r="AE686" s="12"/>
      <c r="AH686" s="12"/>
    </row>
    <row r="687">
      <c r="I687" s="12"/>
      <c r="L687" s="12"/>
      <c r="P687" s="12"/>
      <c r="T687" s="12"/>
      <c r="X687" s="12"/>
      <c r="AB687" s="12"/>
      <c r="AE687" s="12"/>
      <c r="AH687" s="12"/>
    </row>
    <row r="688">
      <c r="I688" s="12"/>
      <c r="L688" s="12"/>
      <c r="P688" s="12"/>
      <c r="T688" s="12"/>
      <c r="X688" s="12"/>
      <c r="AB688" s="12"/>
      <c r="AE688" s="12"/>
      <c r="AH688" s="12"/>
    </row>
    <row r="689">
      <c r="I689" s="12"/>
      <c r="L689" s="12"/>
      <c r="P689" s="12"/>
      <c r="T689" s="12"/>
      <c r="X689" s="12"/>
      <c r="AB689" s="12"/>
      <c r="AE689" s="12"/>
      <c r="AH689" s="12"/>
    </row>
    <row r="690">
      <c r="I690" s="12"/>
      <c r="L690" s="12"/>
      <c r="P690" s="12"/>
      <c r="T690" s="12"/>
      <c r="X690" s="12"/>
      <c r="AB690" s="12"/>
      <c r="AE690" s="12"/>
      <c r="AH690" s="12"/>
    </row>
    <row r="691">
      <c r="I691" s="12"/>
      <c r="L691" s="12"/>
      <c r="P691" s="12"/>
      <c r="T691" s="12"/>
      <c r="X691" s="12"/>
      <c r="AB691" s="12"/>
      <c r="AE691" s="12"/>
      <c r="AH691" s="12"/>
    </row>
    <row r="692">
      <c r="I692" s="12"/>
      <c r="L692" s="12"/>
      <c r="P692" s="12"/>
      <c r="T692" s="12"/>
      <c r="X692" s="12"/>
      <c r="AB692" s="12"/>
      <c r="AE692" s="12"/>
      <c r="AH692" s="12"/>
    </row>
    <row r="693">
      <c r="I693" s="12"/>
      <c r="L693" s="12"/>
      <c r="P693" s="12"/>
      <c r="T693" s="12"/>
      <c r="X693" s="12"/>
      <c r="AB693" s="12"/>
      <c r="AE693" s="12"/>
      <c r="AH693" s="12"/>
    </row>
    <row r="694">
      <c r="I694" s="12"/>
      <c r="L694" s="12"/>
      <c r="P694" s="12"/>
      <c r="T694" s="12"/>
      <c r="X694" s="12"/>
      <c r="AB694" s="12"/>
      <c r="AE694" s="12"/>
      <c r="AH694" s="12"/>
    </row>
    <row r="695">
      <c r="I695" s="12"/>
      <c r="L695" s="12"/>
      <c r="P695" s="12"/>
      <c r="T695" s="12"/>
      <c r="X695" s="12"/>
      <c r="AB695" s="12"/>
      <c r="AE695" s="12"/>
      <c r="AH695" s="12"/>
    </row>
    <row r="696">
      <c r="I696" s="12"/>
      <c r="L696" s="12"/>
      <c r="P696" s="12"/>
      <c r="T696" s="12"/>
      <c r="X696" s="12"/>
      <c r="AB696" s="12"/>
      <c r="AE696" s="12"/>
      <c r="AH696" s="12"/>
    </row>
    <row r="697">
      <c r="I697" s="12"/>
      <c r="L697" s="12"/>
      <c r="P697" s="12"/>
      <c r="T697" s="12"/>
      <c r="X697" s="12"/>
      <c r="AB697" s="12"/>
      <c r="AE697" s="12"/>
      <c r="AH697" s="12"/>
    </row>
    <row r="698">
      <c r="I698" s="12"/>
      <c r="L698" s="12"/>
      <c r="P698" s="12"/>
      <c r="T698" s="12"/>
      <c r="X698" s="12"/>
      <c r="AB698" s="12"/>
      <c r="AE698" s="12"/>
      <c r="AH698" s="12"/>
    </row>
    <row r="699">
      <c r="I699" s="12"/>
      <c r="L699" s="12"/>
      <c r="P699" s="12"/>
      <c r="T699" s="12"/>
      <c r="X699" s="12"/>
      <c r="AB699" s="12"/>
      <c r="AE699" s="12"/>
      <c r="AH699" s="12"/>
    </row>
    <row r="700">
      <c r="I700" s="12"/>
      <c r="L700" s="12"/>
      <c r="P700" s="12"/>
      <c r="T700" s="12"/>
      <c r="X700" s="12"/>
      <c r="AB700" s="12"/>
      <c r="AE700" s="12"/>
      <c r="AH700" s="12"/>
    </row>
    <row r="701">
      <c r="I701" s="12"/>
      <c r="L701" s="12"/>
      <c r="P701" s="12"/>
      <c r="T701" s="12"/>
      <c r="X701" s="12"/>
      <c r="AB701" s="12"/>
      <c r="AE701" s="12"/>
      <c r="AH701" s="12"/>
    </row>
    <row r="702">
      <c r="I702" s="12"/>
      <c r="L702" s="12"/>
      <c r="P702" s="12"/>
      <c r="T702" s="12"/>
      <c r="X702" s="12"/>
      <c r="AB702" s="12"/>
      <c r="AE702" s="12"/>
      <c r="AH702" s="12"/>
    </row>
    <row r="703">
      <c r="I703" s="12"/>
      <c r="L703" s="12"/>
      <c r="P703" s="12"/>
      <c r="T703" s="12"/>
      <c r="X703" s="12"/>
      <c r="AB703" s="12"/>
      <c r="AE703" s="12"/>
      <c r="AH703" s="12"/>
    </row>
    <row r="704">
      <c r="I704" s="12"/>
      <c r="L704" s="12"/>
      <c r="P704" s="12"/>
      <c r="T704" s="12"/>
      <c r="X704" s="12"/>
      <c r="AB704" s="12"/>
      <c r="AE704" s="12"/>
      <c r="AH704" s="12"/>
    </row>
    <row r="705">
      <c r="I705" s="12"/>
      <c r="L705" s="12"/>
      <c r="P705" s="12"/>
      <c r="T705" s="12"/>
      <c r="X705" s="12"/>
      <c r="AB705" s="12"/>
      <c r="AE705" s="12"/>
      <c r="AH705" s="12"/>
    </row>
    <row r="706">
      <c r="I706" s="12"/>
      <c r="L706" s="12"/>
      <c r="P706" s="12"/>
      <c r="T706" s="12"/>
      <c r="X706" s="12"/>
      <c r="AB706" s="12"/>
      <c r="AE706" s="12"/>
      <c r="AH706" s="12"/>
    </row>
    <row r="707">
      <c r="I707" s="12"/>
      <c r="L707" s="12"/>
      <c r="P707" s="12"/>
      <c r="T707" s="12"/>
      <c r="X707" s="12"/>
      <c r="AB707" s="12"/>
      <c r="AE707" s="12"/>
      <c r="AH707" s="12"/>
    </row>
    <row r="708">
      <c r="I708" s="12"/>
      <c r="L708" s="12"/>
      <c r="P708" s="12"/>
      <c r="T708" s="12"/>
      <c r="X708" s="12"/>
      <c r="AB708" s="12"/>
      <c r="AE708" s="12"/>
      <c r="AH708" s="12"/>
    </row>
    <row r="709">
      <c r="I709" s="12"/>
      <c r="L709" s="12"/>
      <c r="P709" s="12"/>
      <c r="T709" s="12"/>
      <c r="X709" s="12"/>
      <c r="AB709" s="12"/>
      <c r="AE709" s="12"/>
      <c r="AH709" s="12"/>
    </row>
    <row r="710">
      <c r="I710" s="12"/>
      <c r="L710" s="12"/>
      <c r="P710" s="12"/>
      <c r="T710" s="12"/>
      <c r="X710" s="12"/>
      <c r="AB710" s="12"/>
      <c r="AE710" s="12"/>
      <c r="AH710" s="12"/>
    </row>
    <row r="711">
      <c r="I711" s="12"/>
      <c r="L711" s="12"/>
      <c r="P711" s="12"/>
      <c r="T711" s="12"/>
      <c r="X711" s="12"/>
      <c r="AB711" s="12"/>
      <c r="AE711" s="12"/>
      <c r="AH711" s="12"/>
    </row>
    <row r="712">
      <c r="I712" s="12"/>
      <c r="L712" s="12"/>
      <c r="P712" s="12"/>
      <c r="T712" s="12"/>
      <c r="X712" s="12"/>
      <c r="AB712" s="12"/>
      <c r="AE712" s="12"/>
      <c r="AH712" s="12"/>
    </row>
    <row r="713">
      <c r="I713" s="12"/>
      <c r="L713" s="12"/>
      <c r="P713" s="12"/>
      <c r="T713" s="12"/>
      <c r="X713" s="12"/>
      <c r="AB713" s="12"/>
      <c r="AE713" s="12"/>
      <c r="AH713" s="12"/>
    </row>
    <row r="714">
      <c r="I714" s="12"/>
      <c r="L714" s="12"/>
      <c r="P714" s="12"/>
      <c r="T714" s="12"/>
      <c r="X714" s="12"/>
      <c r="AB714" s="12"/>
      <c r="AE714" s="12"/>
      <c r="AH714" s="12"/>
    </row>
    <row r="715">
      <c r="I715" s="12"/>
      <c r="L715" s="12"/>
      <c r="P715" s="12"/>
      <c r="T715" s="12"/>
      <c r="X715" s="12"/>
      <c r="AB715" s="12"/>
      <c r="AE715" s="12"/>
      <c r="AH715" s="12"/>
    </row>
    <row r="716">
      <c r="I716" s="12"/>
      <c r="L716" s="12"/>
      <c r="P716" s="12"/>
      <c r="T716" s="12"/>
      <c r="X716" s="12"/>
      <c r="AB716" s="12"/>
      <c r="AE716" s="12"/>
      <c r="AH716" s="12"/>
    </row>
    <row r="717">
      <c r="I717" s="12"/>
      <c r="L717" s="12"/>
      <c r="P717" s="12"/>
      <c r="T717" s="12"/>
      <c r="X717" s="12"/>
      <c r="AB717" s="12"/>
      <c r="AE717" s="12"/>
      <c r="AH717" s="12"/>
    </row>
    <row r="718">
      <c r="I718" s="12"/>
      <c r="L718" s="12"/>
      <c r="P718" s="12"/>
      <c r="T718" s="12"/>
      <c r="X718" s="12"/>
      <c r="AB718" s="12"/>
      <c r="AE718" s="12"/>
      <c r="AH718" s="12"/>
    </row>
    <row r="719">
      <c r="I719" s="12"/>
      <c r="L719" s="12"/>
      <c r="P719" s="12"/>
      <c r="T719" s="12"/>
      <c r="X719" s="12"/>
      <c r="AB719" s="12"/>
      <c r="AE719" s="12"/>
      <c r="AH719" s="12"/>
    </row>
    <row r="720">
      <c r="I720" s="12"/>
      <c r="L720" s="12"/>
      <c r="P720" s="12"/>
      <c r="T720" s="12"/>
      <c r="X720" s="12"/>
      <c r="AB720" s="12"/>
      <c r="AE720" s="12"/>
      <c r="AH720" s="12"/>
    </row>
    <row r="721">
      <c r="I721" s="12"/>
      <c r="L721" s="12"/>
      <c r="P721" s="12"/>
      <c r="T721" s="12"/>
      <c r="X721" s="12"/>
      <c r="AB721" s="12"/>
      <c r="AE721" s="12"/>
      <c r="AH721" s="12"/>
    </row>
    <row r="722">
      <c r="I722" s="12"/>
      <c r="L722" s="12"/>
      <c r="P722" s="12"/>
      <c r="T722" s="12"/>
      <c r="X722" s="12"/>
      <c r="AB722" s="12"/>
      <c r="AE722" s="12"/>
      <c r="AH722" s="12"/>
    </row>
    <row r="723">
      <c r="I723" s="12"/>
      <c r="L723" s="12"/>
      <c r="P723" s="12"/>
      <c r="T723" s="12"/>
      <c r="X723" s="12"/>
      <c r="AB723" s="12"/>
      <c r="AE723" s="12"/>
      <c r="AH723" s="12"/>
    </row>
    <row r="724">
      <c r="I724" s="12"/>
      <c r="L724" s="12"/>
      <c r="P724" s="12"/>
      <c r="T724" s="12"/>
      <c r="X724" s="12"/>
      <c r="AB724" s="12"/>
      <c r="AE724" s="12"/>
      <c r="AH724" s="12"/>
    </row>
    <row r="725">
      <c r="I725" s="12"/>
      <c r="L725" s="12"/>
      <c r="P725" s="12"/>
      <c r="T725" s="12"/>
      <c r="X725" s="12"/>
      <c r="AB725" s="12"/>
      <c r="AE725" s="12"/>
      <c r="AH725" s="12"/>
    </row>
    <row r="726">
      <c r="I726" s="12"/>
      <c r="L726" s="12"/>
      <c r="P726" s="12"/>
      <c r="T726" s="12"/>
      <c r="X726" s="12"/>
      <c r="AB726" s="12"/>
      <c r="AE726" s="12"/>
      <c r="AH726" s="12"/>
    </row>
    <row r="727">
      <c r="I727" s="12"/>
      <c r="L727" s="12"/>
      <c r="P727" s="12"/>
      <c r="T727" s="12"/>
      <c r="X727" s="12"/>
      <c r="AB727" s="12"/>
      <c r="AE727" s="12"/>
      <c r="AH727" s="12"/>
    </row>
    <row r="728">
      <c r="I728" s="12"/>
      <c r="L728" s="12"/>
      <c r="P728" s="12"/>
      <c r="T728" s="12"/>
      <c r="X728" s="12"/>
      <c r="AB728" s="12"/>
      <c r="AE728" s="12"/>
      <c r="AH728" s="12"/>
    </row>
    <row r="729">
      <c r="I729" s="12"/>
      <c r="L729" s="12"/>
      <c r="P729" s="12"/>
      <c r="T729" s="12"/>
      <c r="X729" s="12"/>
      <c r="AB729" s="12"/>
      <c r="AE729" s="12"/>
      <c r="AH729" s="12"/>
    </row>
    <row r="730">
      <c r="I730" s="12"/>
      <c r="L730" s="12"/>
      <c r="P730" s="12"/>
      <c r="T730" s="12"/>
      <c r="X730" s="12"/>
      <c r="AB730" s="12"/>
      <c r="AE730" s="12"/>
      <c r="AH730" s="12"/>
    </row>
    <row r="731">
      <c r="I731" s="12"/>
      <c r="L731" s="12"/>
      <c r="P731" s="12"/>
      <c r="T731" s="12"/>
      <c r="X731" s="12"/>
      <c r="AB731" s="12"/>
      <c r="AE731" s="12"/>
      <c r="AH731" s="12"/>
    </row>
    <row r="732">
      <c r="I732" s="12"/>
      <c r="L732" s="12"/>
      <c r="P732" s="12"/>
      <c r="T732" s="12"/>
      <c r="X732" s="12"/>
      <c r="AB732" s="12"/>
      <c r="AE732" s="12"/>
      <c r="AH732" s="12"/>
    </row>
    <row r="733">
      <c r="I733" s="12"/>
      <c r="L733" s="12"/>
      <c r="P733" s="12"/>
      <c r="T733" s="12"/>
      <c r="X733" s="12"/>
      <c r="AB733" s="12"/>
      <c r="AE733" s="12"/>
      <c r="AH733" s="12"/>
    </row>
    <row r="734">
      <c r="I734" s="12"/>
      <c r="L734" s="12"/>
      <c r="P734" s="12"/>
      <c r="T734" s="12"/>
      <c r="X734" s="12"/>
      <c r="AB734" s="12"/>
      <c r="AE734" s="12"/>
      <c r="AH734" s="12"/>
    </row>
    <row r="735">
      <c r="I735" s="12"/>
      <c r="L735" s="12"/>
      <c r="P735" s="12"/>
      <c r="T735" s="12"/>
      <c r="X735" s="12"/>
      <c r="AB735" s="12"/>
      <c r="AE735" s="12"/>
      <c r="AH735" s="12"/>
    </row>
    <row r="736">
      <c r="I736" s="12"/>
      <c r="L736" s="12"/>
      <c r="P736" s="12"/>
      <c r="T736" s="12"/>
      <c r="X736" s="12"/>
      <c r="AB736" s="12"/>
      <c r="AE736" s="12"/>
      <c r="AH736" s="12"/>
    </row>
    <row r="737">
      <c r="I737" s="12"/>
      <c r="L737" s="12"/>
      <c r="P737" s="12"/>
      <c r="T737" s="12"/>
      <c r="X737" s="12"/>
      <c r="AB737" s="12"/>
      <c r="AE737" s="12"/>
      <c r="AH737" s="12"/>
    </row>
    <row r="738">
      <c r="I738" s="12"/>
      <c r="L738" s="12"/>
      <c r="P738" s="12"/>
      <c r="T738" s="12"/>
      <c r="X738" s="12"/>
      <c r="AB738" s="12"/>
      <c r="AE738" s="12"/>
      <c r="AH738" s="12"/>
    </row>
    <row r="739">
      <c r="I739" s="12"/>
      <c r="L739" s="12"/>
      <c r="P739" s="12"/>
      <c r="T739" s="12"/>
      <c r="X739" s="12"/>
      <c r="AB739" s="12"/>
      <c r="AE739" s="12"/>
      <c r="AH739" s="12"/>
    </row>
    <row r="740">
      <c r="I740" s="12"/>
      <c r="L740" s="12"/>
      <c r="P740" s="12"/>
      <c r="T740" s="12"/>
      <c r="X740" s="12"/>
      <c r="AB740" s="12"/>
      <c r="AE740" s="12"/>
      <c r="AH740" s="12"/>
    </row>
    <row r="741">
      <c r="I741" s="12"/>
      <c r="L741" s="12"/>
      <c r="P741" s="12"/>
      <c r="T741" s="12"/>
      <c r="X741" s="12"/>
      <c r="AB741" s="12"/>
      <c r="AE741" s="12"/>
      <c r="AH741" s="12"/>
    </row>
    <row r="742">
      <c r="I742" s="12"/>
      <c r="L742" s="12"/>
      <c r="P742" s="12"/>
      <c r="T742" s="12"/>
      <c r="X742" s="12"/>
      <c r="AB742" s="12"/>
      <c r="AE742" s="12"/>
      <c r="AH742" s="12"/>
    </row>
    <row r="743">
      <c r="I743" s="12"/>
      <c r="L743" s="12"/>
      <c r="P743" s="12"/>
      <c r="T743" s="12"/>
      <c r="X743" s="12"/>
      <c r="AB743" s="12"/>
      <c r="AE743" s="12"/>
      <c r="AH743" s="12"/>
    </row>
    <row r="744">
      <c r="I744" s="12"/>
      <c r="L744" s="12"/>
      <c r="P744" s="12"/>
      <c r="T744" s="12"/>
      <c r="X744" s="12"/>
      <c r="AB744" s="12"/>
      <c r="AE744" s="12"/>
      <c r="AH744" s="12"/>
    </row>
    <row r="745">
      <c r="I745" s="12"/>
      <c r="L745" s="12"/>
      <c r="P745" s="12"/>
      <c r="T745" s="12"/>
      <c r="X745" s="12"/>
      <c r="AB745" s="12"/>
      <c r="AE745" s="12"/>
      <c r="AH745" s="12"/>
    </row>
    <row r="746">
      <c r="I746" s="12"/>
      <c r="L746" s="12"/>
      <c r="P746" s="12"/>
      <c r="T746" s="12"/>
      <c r="X746" s="12"/>
      <c r="AB746" s="12"/>
      <c r="AE746" s="12"/>
      <c r="AH746" s="12"/>
    </row>
    <row r="747">
      <c r="I747" s="12"/>
      <c r="L747" s="12"/>
      <c r="P747" s="12"/>
      <c r="T747" s="12"/>
      <c r="X747" s="12"/>
      <c r="AB747" s="12"/>
      <c r="AE747" s="12"/>
      <c r="AH747" s="12"/>
    </row>
    <row r="748">
      <c r="I748" s="12"/>
      <c r="L748" s="12"/>
      <c r="P748" s="12"/>
      <c r="T748" s="12"/>
      <c r="X748" s="12"/>
      <c r="AB748" s="12"/>
      <c r="AE748" s="12"/>
      <c r="AH748" s="12"/>
    </row>
    <row r="749">
      <c r="I749" s="12"/>
      <c r="L749" s="12"/>
      <c r="P749" s="12"/>
      <c r="T749" s="12"/>
      <c r="X749" s="12"/>
      <c r="AB749" s="12"/>
      <c r="AE749" s="12"/>
      <c r="AH749" s="12"/>
    </row>
    <row r="750">
      <c r="I750" s="12"/>
      <c r="L750" s="12"/>
      <c r="P750" s="12"/>
      <c r="T750" s="12"/>
      <c r="X750" s="12"/>
      <c r="AB750" s="12"/>
      <c r="AE750" s="12"/>
      <c r="AH750" s="12"/>
    </row>
    <row r="751">
      <c r="I751" s="12"/>
      <c r="L751" s="12"/>
      <c r="P751" s="12"/>
      <c r="T751" s="12"/>
      <c r="X751" s="12"/>
      <c r="AB751" s="12"/>
      <c r="AE751" s="12"/>
      <c r="AH751" s="12"/>
    </row>
    <row r="752">
      <c r="I752" s="12"/>
      <c r="L752" s="12"/>
      <c r="P752" s="12"/>
      <c r="T752" s="12"/>
      <c r="X752" s="12"/>
      <c r="AB752" s="12"/>
      <c r="AE752" s="12"/>
      <c r="AH752" s="12"/>
    </row>
    <row r="753">
      <c r="I753" s="12"/>
      <c r="L753" s="12"/>
      <c r="P753" s="12"/>
      <c r="T753" s="12"/>
      <c r="X753" s="12"/>
      <c r="AB753" s="12"/>
      <c r="AE753" s="12"/>
      <c r="AH753" s="12"/>
    </row>
    <row r="754">
      <c r="I754" s="12"/>
      <c r="L754" s="12"/>
      <c r="P754" s="12"/>
      <c r="T754" s="12"/>
      <c r="X754" s="12"/>
      <c r="AB754" s="12"/>
      <c r="AE754" s="12"/>
      <c r="AH754" s="12"/>
    </row>
    <row r="755">
      <c r="I755" s="12"/>
      <c r="L755" s="12"/>
      <c r="P755" s="12"/>
      <c r="T755" s="12"/>
      <c r="X755" s="12"/>
      <c r="AB755" s="12"/>
      <c r="AE755" s="12"/>
      <c r="AH755" s="12"/>
    </row>
    <row r="756">
      <c r="I756" s="12"/>
      <c r="L756" s="12"/>
      <c r="P756" s="12"/>
      <c r="T756" s="12"/>
      <c r="X756" s="12"/>
      <c r="AB756" s="12"/>
      <c r="AE756" s="12"/>
      <c r="AH756" s="12"/>
    </row>
    <row r="757">
      <c r="I757" s="12"/>
      <c r="L757" s="12"/>
      <c r="P757" s="12"/>
      <c r="T757" s="12"/>
      <c r="X757" s="12"/>
      <c r="AB757" s="12"/>
      <c r="AE757" s="12"/>
      <c r="AH757" s="12"/>
    </row>
    <row r="758">
      <c r="I758" s="12"/>
      <c r="L758" s="12"/>
      <c r="P758" s="12"/>
      <c r="T758" s="12"/>
      <c r="X758" s="12"/>
      <c r="AB758" s="12"/>
      <c r="AE758" s="12"/>
      <c r="AH758" s="12"/>
    </row>
    <row r="759">
      <c r="I759" s="12"/>
      <c r="L759" s="12"/>
      <c r="P759" s="12"/>
      <c r="T759" s="12"/>
      <c r="X759" s="12"/>
      <c r="AB759" s="12"/>
      <c r="AE759" s="12"/>
      <c r="AH759" s="12"/>
    </row>
    <row r="760">
      <c r="I760" s="12"/>
      <c r="L760" s="12"/>
      <c r="P760" s="12"/>
      <c r="T760" s="12"/>
      <c r="X760" s="12"/>
      <c r="AB760" s="12"/>
      <c r="AE760" s="12"/>
      <c r="AH760" s="12"/>
    </row>
    <row r="761">
      <c r="I761" s="12"/>
      <c r="L761" s="12"/>
      <c r="P761" s="12"/>
      <c r="T761" s="12"/>
      <c r="X761" s="12"/>
      <c r="AB761" s="12"/>
      <c r="AE761" s="12"/>
      <c r="AH761" s="12"/>
    </row>
    <row r="762">
      <c r="I762" s="12"/>
      <c r="L762" s="12"/>
      <c r="P762" s="12"/>
      <c r="T762" s="12"/>
      <c r="X762" s="12"/>
      <c r="AB762" s="12"/>
      <c r="AE762" s="12"/>
      <c r="AH762" s="12"/>
    </row>
    <row r="763">
      <c r="I763" s="12"/>
      <c r="L763" s="12"/>
      <c r="P763" s="12"/>
      <c r="T763" s="12"/>
      <c r="X763" s="12"/>
      <c r="AB763" s="12"/>
      <c r="AE763" s="12"/>
      <c r="AH763" s="12"/>
    </row>
    <row r="764">
      <c r="I764" s="12"/>
      <c r="L764" s="12"/>
      <c r="P764" s="12"/>
      <c r="T764" s="12"/>
      <c r="X764" s="12"/>
      <c r="AB764" s="12"/>
      <c r="AE764" s="12"/>
      <c r="AH764" s="12"/>
    </row>
    <row r="765">
      <c r="I765" s="12"/>
      <c r="L765" s="12"/>
      <c r="P765" s="12"/>
      <c r="T765" s="12"/>
      <c r="X765" s="12"/>
      <c r="AB765" s="12"/>
      <c r="AE765" s="12"/>
      <c r="AH765" s="12"/>
    </row>
    <row r="766">
      <c r="I766" s="12"/>
      <c r="L766" s="12"/>
      <c r="P766" s="12"/>
      <c r="T766" s="12"/>
      <c r="X766" s="12"/>
      <c r="AB766" s="12"/>
      <c r="AE766" s="12"/>
      <c r="AH766" s="12"/>
    </row>
    <row r="767">
      <c r="I767" s="12"/>
      <c r="L767" s="12"/>
      <c r="P767" s="12"/>
      <c r="T767" s="12"/>
      <c r="X767" s="12"/>
      <c r="AB767" s="12"/>
      <c r="AE767" s="12"/>
      <c r="AH767" s="12"/>
    </row>
    <row r="768">
      <c r="I768" s="12"/>
      <c r="L768" s="12"/>
      <c r="P768" s="12"/>
      <c r="T768" s="12"/>
      <c r="X768" s="12"/>
      <c r="AB768" s="12"/>
      <c r="AE768" s="12"/>
      <c r="AH768" s="12"/>
    </row>
    <row r="769">
      <c r="I769" s="12"/>
      <c r="L769" s="12"/>
      <c r="P769" s="12"/>
      <c r="T769" s="12"/>
      <c r="X769" s="12"/>
      <c r="AB769" s="12"/>
      <c r="AE769" s="12"/>
      <c r="AH769" s="12"/>
    </row>
    <row r="770">
      <c r="I770" s="12"/>
      <c r="L770" s="12"/>
      <c r="P770" s="12"/>
      <c r="T770" s="12"/>
      <c r="X770" s="12"/>
      <c r="AB770" s="12"/>
      <c r="AE770" s="12"/>
      <c r="AH770" s="12"/>
    </row>
    <row r="771">
      <c r="I771" s="12"/>
      <c r="L771" s="12"/>
      <c r="P771" s="12"/>
      <c r="T771" s="12"/>
      <c r="X771" s="12"/>
      <c r="AB771" s="12"/>
      <c r="AE771" s="12"/>
      <c r="AH771" s="12"/>
    </row>
    <row r="772">
      <c r="I772" s="12"/>
      <c r="L772" s="12"/>
      <c r="P772" s="12"/>
      <c r="T772" s="12"/>
      <c r="X772" s="12"/>
      <c r="AB772" s="12"/>
      <c r="AE772" s="12"/>
      <c r="AH772" s="12"/>
    </row>
    <row r="773">
      <c r="I773" s="12"/>
      <c r="L773" s="12"/>
      <c r="P773" s="12"/>
      <c r="T773" s="12"/>
      <c r="X773" s="12"/>
      <c r="AB773" s="12"/>
      <c r="AE773" s="12"/>
      <c r="AH773" s="12"/>
    </row>
    <row r="774">
      <c r="I774" s="12"/>
      <c r="L774" s="12"/>
      <c r="P774" s="12"/>
      <c r="T774" s="12"/>
      <c r="X774" s="12"/>
      <c r="AB774" s="12"/>
      <c r="AE774" s="12"/>
      <c r="AH774" s="12"/>
    </row>
    <row r="775">
      <c r="I775" s="12"/>
      <c r="L775" s="12"/>
      <c r="P775" s="12"/>
      <c r="T775" s="12"/>
      <c r="X775" s="12"/>
      <c r="AB775" s="12"/>
      <c r="AE775" s="12"/>
      <c r="AH775" s="12"/>
    </row>
    <row r="776">
      <c r="I776" s="12"/>
      <c r="L776" s="12"/>
      <c r="P776" s="12"/>
      <c r="T776" s="12"/>
      <c r="X776" s="12"/>
      <c r="AB776" s="12"/>
      <c r="AE776" s="12"/>
      <c r="AH776" s="12"/>
    </row>
    <row r="777">
      <c r="I777" s="12"/>
      <c r="L777" s="12"/>
      <c r="P777" s="12"/>
      <c r="T777" s="12"/>
      <c r="X777" s="12"/>
      <c r="AB777" s="12"/>
      <c r="AE777" s="12"/>
      <c r="AH777" s="12"/>
    </row>
    <row r="778">
      <c r="I778" s="12"/>
      <c r="L778" s="12"/>
      <c r="P778" s="12"/>
      <c r="T778" s="12"/>
      <c r="X778" s="12"/>
      <c r="AB778" s="12"/>
      <c r="AE778" s="12"/>
      <c r="AH778" s="12"/>
    </row>
    <row r="779">
      <c r="I779" s="12"/>
      <c r="L779" s="12"/>
      <c r="P779" s="12"/>
      <c r="T779" s="12"/>
      <c r="X779" s="12"/>
      <c r="AB779" s="12"/>
      <c r="AE779" s="12"/>
      <c r="AH779" s="12"/>
    </row>
    <row r="780">
      <c r="I780" s="12"/>
      <c r="L780" s="12"/>
      <c r="P780" s="12"/>
      <c r="T780" s="12"/>
      <c r="X780" s="12"/>
      <c r="AB780" s="12"/>
      <c r="AE780" s="12"/>
      <c r="AH780" s="12"/>
    </row>
    <row r="781">
      <c r="I781" s="12"/>
      <c r="L781" s="12"/>
      <c r="P781" s="12"/>
      <c r="T781" s="12"/>
      <c r="X781" s="12"/>
      <c r="AB781" s="12"/>
      <c r="AE781" s="12"/>
      <c r="AH781" s="12"/>
    </row>
    <row r="782">
      <c r="I782" s="12"/>
      <c r="L782" s="12"/>
      <c r="P782" s="12"/>
      <c r="T782" s="12"/>
      <c r="X782" s="12"/>
      <c r="AB782" s="12"/>
      <c r="AE782" s="12"/>
      <c r="AH782" s="12"/>
    </row>
    <row r="783">
      <c r="I783" s="12"/>
      <c r="L783" s="12"/>
      <c r="P783" s="12"/>
      <c r="T783" s="12"/>
      <c r="X783" s="12"/>
      <c r="AB783" s="12"/>
      <c r="AE783" s="12"/>
      <c r="AH783" s="12"/>
    </row>
    <row r="784">
      <c r="I784" s="12"/>
      <c r="L784" s="12"/>
      <c r="P784" s="12"/>
      <c r="T784" s="12"/>
      <c r="X784" s="12"/>
      <c r="AB784" s="12"/>
      <c r="AE784" s="12"/>
      <c r="AH784" s="12"/>
    </row>
    <row r="785">
      <c r="I785" s="12"/>
      <c r="L785" s="12"/>
      <c r="P785" s="12"/>
      <c r="T785" s="12"/>
      <c r="X785" s="12"/>
      <c r="AB785" s="12"/>
      <c r="AE785" s="12"/>
      <c r="AH785" s="12"/>
    </row>
    <row r="786">
      <c r="I786" s="12"/>
      <c r="L786" s="12"/>
      <c r="P786" s="12"/>
      <c r="T786" s="12"/>
      <c r="X786" s="12"/>
      <c r="AB786" s="12"/>
      <c r="AE786" s="12"/>
      <c r="AH786" s="12"/>
    </row>
    <row r="787">
      <c r="I787" s="12"/>
      <c r="L787" s="12"/>
      <c r="P787" s="12"/>
      <c r="T787" s="12"/>
      <c r="X787" s="12"/>
      <c r="AB787" s="12"/>
      <c r="AE787" s="12"/>
      <c r="AH787" s="12"/>
    </row>
    <row r="788">
      <c r="I788" s="12"/>
      <c r="L788" s="12"/>
      <c r="P788" s="12"/>
      <c r="T788" s="12"/>
      <c r="X788" s="12"/>
      <c r="AB788" s="12"/>
      <c r="AE788" s="12"/>
      <c r="AH788" s="12"/>
    </row>
    <row r="789">
      <c r="I789" s="12"/>
      <c r="L789" s="12"/>
      <c r="P789" s="12"/>
      <c r="T789" s="12"/>
      <c r="X789" s="12"/>
      <c r="AB789" s="12"/>
      <c r="AE789" s="12"/>
      <c r="AH789" s="12"/>
    </row>
    <row r="790">
      <c r="I790" s="12"/>
      <c r="L790" s="12"/>
      <c r="P790" s="12"/>
      <c r="T790" s="12"/>
      <c r="X790" s="12"/>
      <c r="AB790" s="12"/>
      <c r="AE790" s="12"/>
      <c r="AH790" s="12"/>
    </row>
    <row r="791">
      <c r="I791" s="12"/>
      <c r="L791" s="12"/>
      <c r="P791" s="12"/>
      <c r="T791" s="12"/>
      <c r="X791" s="12"/>
      <c r="AB791" s="12"/>
      <c r="AE791" s="12"/>
      <c r="AH791" s="12"/>
    </row>
    <row r="792">
      <c r="I792" s="12"/>
      <c r="L792" s="12"/>
      <c r="P792" s="12"/>
      <c r="T792" s="12"/>
      <c r="X792" s="12"/>
      <c r="AB792" s="12"/>
      <c r="AE792" s="12"/>
      <c r="AH792" s="12"/>
    </row>
    <row r="793">
      <c r="I793" s="12"/>
      <c r="L793" s="12"/>
      <c r="P793" s="12"/>
      <c r="T793" s="12"/>
      <c r="X793" s="12"/>
      <c r="AB793" s="12"/>
      <c r="AE793" s="12"/>
      <c r="AH793" s="12"/>
    </row>
    <row r="794">
      <c r="I794" s="12"/>
      <c r="L794" s="12"/>
      <c r="P794" s="12"/>
      <c r="T794" s="12"/>
      <c r="X794" s="12"/>
      <c r="AB794" s="12"/>
      <c r="AE794" s="12"/>
      <c r="AH794" s="12"/>
    </row>
    <row r="795">
      <c r="I795" s="12"/>
      <c r="L795" s="12"/>
      <c r="P795" s="12"/>
      <c r="T795" s="12"/>
      <c r="X795" s="12"/>
      <c r="AB795" s="12"/>
      <c r="AE795" s="12"/>
      <c r="AH795" s="12"/>
    </row>
    <row r="796">
      <c r="I796" s="12"/>
      <c r="L796" s="12"/>
      <c r="P796" s="12"/>
      <c r="T796" s="12"/>
      <c r="X796" s="12"/>
      <c r="AB796" s="12"/>
      <c r="AE796" s="12"/>
      <c r="AH796" s="12"/>
    </row>
    <row r="797">
      <c r="I797" s="12"/>
      <c r="L797" s="12"/>
      <c r="P797" s="12"/>
      <c r="T797" s="12"/>
      <c r="X797" s="12"/>
      <c r="AB797" s="12"/>
      <c r="AE797" s="12"/>
      <c r="AH797" s="12"/>
    </row>
    <row r="798">
      <c r="I798" s="12"/>
      <c r="L798" s="12"/>
      <c r="P798" s="12"/>
      <c r="T798" s="12"/>
      <c r="X798" s="12"/>
      <c r="AB798" s="12"/>
      <c r="AE798" s="12"/>
      <c r="AH798" s="12"/>
    </row>
    <row r="799">
      <c r="I799" s="12"/>
      <c r="L799" s="12"/>
      <c r="P799" s="12"/>
      <c r="T799" s="12"/>
      <c r="X799" s="12"/>
      <c r="AB799" s="12"/>
      <c r="AE799" s="12"/>
      <c r="AH799" s="12"/>
    </row>
    <row r="800">
      <c r="I800" s="12"/>
      <c r="L800" s="12"/>
      <c r="P800" s="12"/>
      <c r="T800" s="12"/>
      <c r="X800" s="12"/>
      <c r="AB800" s="12"/>
      <c r="AE800" s="12"/>
      <c r="AH800" s="12"/>
    </row>
    <row r="801">
      <c r="I801" s="12"/>
      <c r="L801" s="12"/>
      <c r="P801" s="12"/>
      <c r="T801" s="12"/>
      <c r="X801" s="12"/>
      <c r="AB801" s="12"/>
      <c r="AE801" s="12"/>
      <c r="AH801" s="12"/>
    </row>
    <row r="802">
      <c r="I802" s="12"/>
      <c r="L802" s="12"/>
      <c r="P802" s="12"/>
      <c r="T802" s="12"/>
      <c r="X802" s="12"/>
      <c r="AB802" s="12"/>
      <c r="AE802" s="12"/>
      <c r="AH802" s="12"/>
    </row>
    <row r="803">
      <c r="I803" s="12"/>
      <c r="L803" s="12"/>
      <c r="P803" s="12"/>
      <c r="T803" s="12"/>
      <c r="X803" s="12"/>
      <c r="AB803" s="12"/>
      <c r="AE803" s="12"/>
      <c r="AH803" s="12"/>
    </row>
    <row r="804">
      <c r="I804" s="12"/>
      <c r="L804" s="12"/>
      <c r="P804" s="12"/>
      <c r="T804" s="12"/>
      <c r="X804" s="12"/>
      <c r="AB804" s="12"/>
      <c r="AE804" s="12"/>
      <c r="AH804" s="12"/>
    </row>
    <row r="805">
      <c r="I805" s="12"/>
      <c r="L805" s="12"/>
      <c r="P805" s="12"/>
      <c r="T805" s="12"/>
      <c r="X805" s="12"/>
      <c r="AB805" s="12"/>
      <c r="AE805" s="12"/>
      <c r="AH805" s="12"/>
    </row>
    <row r="806">
      <c r="I806" s="12"/>
      <c r="L806" s="12"/>
      <c r="P806" s="12"/>
      <c r="T806" s="12"/>
      <c r="X806" s="12"/>
      <c r="AB806" s="12"/>
      <c r="AE806" s="12"/>
      <c r="AH806" s="12"/>
    </row>
    <row r="807">
      <c r="I807" s="12"/>
      <c r="L807" s="12"/>
      <c r="P807" s="12"/>
      <c r="T807" s="12"/>
      <c r="X807" s="12"/>
      <c r="AB807" s="12"/>
      <c r="AE807" s="12"/>
      <c r="AH807" s="12"/>
    </row>
    <row r="808">
      <c r="I808" s="12"/>
      <c r="L808" s="12"/>
      <c r="P808" s="12"/>
      <c r="T808" s="12"/>
      <c r="X808" s="12"/>
      <c r="AB808" s="12"/>
      <c r="AE808" s="12"/>
      <c r="AH808" s="12"/>
    </row>
    <row r="809">
      <c r="I809" s="12"/>
      <c r="L809" s="12"/>
      <c r="P809" s="12"/>
      <c r="T809" s="12"/>
      <c r="X809" s="12"/>
      <c r="AB809" s="12"/>
      <c r="AE809" s="12"/>
      <c r="AH809" s="12"/>
    </row>
    <row r="810">
      <c r="I810" s="12"/>
      <c r="L810" s="12"/>
      <c r="P810" s="12"/>
      <c r="T810" s="12"/>
      <c r="X810" s="12"/>
      <c r="AB810" s="12"/>
      <c r="AE810" s="12"/>
      <c r="AH810" s="12"/>
    </row>
    <row r="811">
      <c r="I811" s="12"/>
      <c r="L811" s="12"/>
      <c r="P811" s="12"/>
      <c r="T811" s="12"/>
      <c r="X811" s="12"/>
      <c r="AB811" s="12"/>
      <c r="AE811" s="12"/>
      <c r="AH811" s="12"/>
    </row>
    <row r="812">
      <c r="I812" s="12"/>
      <c r="L812" s="12"/>
      <c r="P812" s="12"/>
      <c r="T812" s="12"/>
      <c r="X812" s="12"/>
      <c r="AB812" s="12"/>
      <c r="AE812" s="12"/>
      <c r="AH812" s="12"/>
    </row>
    <row r="813">
      <c r="I813" s="12"/>
      <c r="L813" s="12"/>
      <c r="P813" s="12"/>
      <c r="T813" s="12"/>
      <c r="X813" s="12"/>
      <c r="AB813" s="12"/>
      <c r="AE813" s="12"/>
      <c r="AH813" s="12"/>
    </row>
    <row r="814">
      <c r="I814" s="12"/>
      <c r="L814" s="12"/>
      <c r="P814" s="12"/>
      <c r="T814" s="12"/>
      <c r="X814" s="12"/>
      <c r="AB814" s="12"/>
      <c r="AE814" s="12"/>
      <c r="AH814" s="12"/>
    </row>
    <row r="815">
      <c r="I815" s="12"/>
      <c r="L815" s="12"/>
      <c r="P815" s="12"/>
      <c r="T815" s="12"/>
      <c r="X815" s="12"/>
      <c r="AB815" s="12"/>
      <c r="AE815" s="12"/>
      <c r="AH815" s="12"/>
    </row>
    <row r="816">
      <c r="I816" s="12"/>
      <c r="L816" s="12"/>
      <c r="P816" s="12"/>
      <c r="T816" s="12"/>
      <c r="X816" s="12"/>
      <c r="AB816" s="12"/>
      <c r="AE816" s="12"/>
      <c r="AH816" s="12"/>
    </row>
    <row r="817">
      <c r="I817" s="12"/>
      <c r="L817" s="12"/>
      <c r="P817" s="12"/>
      <c r="T817" s="12"/>
      <c r="X817" s="12"/>
      <c r="AB817" s="12"/>
      <c r="AE817" s="12"/>
      <c r="AH817" s="12"/>
    </row>
    <row r="818">
      <c r="I818" s="12"/>
      <c r="L818" s="12"/>
      <c r="P818" s="12"/>
      <c r="T818" s="12"/>
      <c r="X818" s="12"/>
      <c r="AB818" s="12"/>
      <c r="AE818" s="12"/>
      <c r="AH818" s="12"/>
    </row>
    <row r="819">
      <c r="I819" s="12"/>
      <c r="L819" s="12"/>
      <c r="P819" s="12"/>
      <c r="T819" s="12"/>
      <c r="X819" s="12"/>
      <c r="AB819" s="12"/>
      <c r="AE819" s="12"/>
      <c r="AH819" s="12"/>
    </row>
    <row r="820">
      <c r="I820" s="12"/>
      <c r="L820" s="12"/>
      <c r="P820" s="12"/>
      <c r="T820" s="12"/>
      <c r="X820" s="12"/>
      <c r="AB820" s="12"/>
      <c r="AE820" s="12"/>
      <c r="AH820" s="12"/>
    </row>
    <row r="821">
      <c r="I821" s="12"/>
      <c r="L821" s="12"/>
      <c r="P821" s="12"/>
      <c r="T821" s="12"/>
      <c r="X821" s="12"/>
      <c r="AB821" s="12"/>
      <c r="AE821" s="12"/>
      <c r="AH821" s="12"/>
    </row>
    <row r="822">
      <c r="I822" s="12"/>
      <c r="L822" s="12"/>
      <c r="P822" s="12"/>
      <c r="T822" s="12"/>
      <c r="X822" s="12"/>
      <c r="AB822" s="12"/>
      <c r="AE822" s="12"/>
      <c r="AH822" s="12"/>
    </row>
    <row r="823">
      <c r="I823" s="12"/>
      <c r="L823" s="12"/>
      <c r="P823" s="12"/>
      <c r="T823" s="12"/>
      <c r="X823" s="12"/>
      <c r="AB823" s="12"/>
      <c r="AE823" s="12"/>
      <c r="AH823" s="12"/>
    </row>
    <row r="824">
      <c r="I824" s="12"/>
      <c r="L824" s="12"/>
      <c r="P824" s="12"/>
      <c r="T824" s="12"/>
      <c r="X824" s="12"/>
      <c r="AB824" s="12"/>
      <c r="AE824" s="12"/>
      <c r="AH824" s="12"/>
    </row>
    <row r="825">
      <c r="I825" s="12"/>
      <c r="L825" s="12"/>
      <c r="P825" s="12"/>
      <c r="T825" s="12"/>
      <c r="X825" s="12"/>
      <c r="AB825" s="12"/>
      <c r="AE825" s="12"/>
      <c r="AH825" s="12"/>
    </row>
    <row r="826">
      <c r="I826" s="12"/>
      <c r="L826" s="12"/>
      <c r="P826" s="12"/>
      <c r="T826" s="12"/>
      <c r="X826" s="12"/>
      <c r="AB826" s="12"/>
      <c r="AE826" s="12"/>
      <c r="AH826" s="12"/>
    </row>
    <row r="827">
      <c r="I827" s="12"/>
      <c r="L827" s="12"/>
      <c r="P827" s="12"/>
      <c r="T827" s="12"/>
      <c r="X827" s="12"/>
      <c r="AB827" s="12"/>
      <c r="AE827" s="12"/>
      <c r="AH827" s="12"/>
    </row>
    <row r="828">
      <c r="I828" s="12"/>
      <c r="L828" s="12"/>
      <c r="P828" s="12"/>
      <c r="T828" s="12"/>
      <c r="X828" s="12"/>
      <c r="AB828" s="12"/>
      <c r="AE828" s="12"/>
      <c r="AH828" s="12"/>
    </row>
    <row r="829">
      <c r="I829" s="12"/>
      <c r="L829" s="12"/>
      <c r="P829" s="12"/>
      <c r="T829" s="12"/>
      <c r="X829" s="12"/>
      <c r="AB829" s="12"/>
      <c r="AE829" s="12"/>
      <c r="AH829" s="12"/>
    </row>
    <row r="830">
      <c r="I830" s="12"/>
      <c r="L830" s="12"/>
      <c r="P830" s="12"/>
      <c r="T830" s="12"/>
      <c r="X830" s="12"/>
      <c r="AB830" s="12"/>
      <c r="AE830" s="12"/>
      <c r="AH830" s="12"/>
    </row>
    <row r="831">
      <c r="I831" s="12"/>
      <c r="L831" s="12"/>
      <c r="P831" s="12"/>
      <c r="T831" s="12"/>
      <c r="X831" s="12"/>
      <c r="AB831" s="12"/>
      <c r="AE831" s="12"/>
      <c r="AH831" s="12"/>
    </row>
    <row r="832">
      <c r="I832" s="12"/>
      <c r="L832" s="12"/>
      <c r="P832" s="12"/>
      <c r="T832" s="12"/>
      <c r="X832" s="12"/>
      <c r="AB832" s="12"/>
      <c r="AE832" s="12"/>
      <c r="AH832" s="12"/>
    </row>
    <row r="833">
      <c r="I833" s="12"/>
      <c r="L833" s="12"/>
      <c r="P833" s="12"/>
      <c r="T833" s="12"/>
      <c r="X833" s="12"/>
      <c r="AB833" s="12"/>
      <c r="AE833" s="12"/>
      <c r="AH833" s="12"/>
    </row>
    <row r="834">
      <c r="I834" s="12"/>
      <c r="L834" s="12"/>
      <c r="P834" s="12"/>
      <c r="T834" s="12"/>
      <c r="X834" s="12"/>
      <c r="AB834" s="12"/>
      <c r="AE834" s="12"/>
      <c r="AH834" s="12"/>
    </row>
    <row r="835">
      <c r="I835" s="12"/>
      <c r="L835" s="12"/>
      <c r="P835" s="12"/>
      <c r="T835" s="12"/>
      <c r="X835" s="12"/>
      <c r="AB835" s="12"/>
      <c r="AE835" s="12"/>
      <c r="AH835" s="12"/>
    </row>
    <row r="836">
      <c r="I836" s="12"/>
      <c r="L836" s="12"/>
      <c r="P836" s="12"/>
      <c r="T836" s="12"/>
      <c r="X836" s="12"/>
      <c r="AB836" s="12"/>
      <c r="AE836" s="12"/>
      <c r="AH836" s="12"/>
    </row>
    <row r="837">
      <c r="I837" s="12"/>
      <c r="L837" s="12"/>
      <c r="P837" s="12"/>
      <c r="T837" s="12"/>
      <c r="X837" s="12"/>
      <c r="AB837" s="12"/>
      <c r="AE837" s="12"/>
      <c r="AH837" s="12"/>
    </row>
    <row r="838">
      <c r="I838" s="12"/>
      <c r="L838" s="12"/>
      <c r="P838" s="12"/>
      <c r="T838" s="12"/>
      <c r="X838" s="12"/>
      <c r="AB838" s="12"/>
      <c r="AE838" s="12"/>
      <c r="AH838" s="12"/>
    </row>
    <row r="839">
      <c r="I839" s="12"/>
      <c r="L839" s="12"/>
      <c r="P839" s="12"/>
      <c r="T839" s="12"/>
      <c r="X839" s="12"/>
      <c r="AB839" s="12"/>
      <c r="AE839" s="12"/>
      <c r="AH839" s="12"/>
    </row>
    <row r="840">
      <c r="I840" s="12"/>
      <c r="L840" s="12"/>
      <c r="P840" s="12"/>
      <c r="T840" s="12"/>
      <c r="X840" s="12"/>
      <c r="AB840" s="12"/>
      <c r="AE840" s="12"/>
      <c r="AH840" s="12"/>
    </row>
    <row r="841">
      <c r="I841" s="12"/>
      <c r="L841" s="12"/>
      <c r="P841" s="12"/>
      <c r="T841" s="12"/>
      <c r="X841" s="12"/>
      <c r="AB841" s="12"/>
      <c r="AE841" s="12"/>
      <c r="AH841" s="12"/>
    </row>
    <row r="842">
      <c r="I842" s="12"/>
      <c r="L842" s="12"/>
      <c r="P842" s="12"/>
      <c r="T842" s="12"/>
      <c r="X842" s="12"/>
      <c r="AB842" s="12"/>
      <c r="AE842" s="12"/>
      <c r="AH842" s="12"/>
    </row>
    <row r="843">
      <c r="I843" s="12"/>
      <c r="L843" s="12"/>
      <c r="P843" s="12"/>
      <c r="T843" s="12"/>
      <c r="X843" s="12"/>
      <c r="AB843" s="12"/>
      <c r="AE843" s="12"/>
      <c r="AH843" s="12"/>
    </row>
    <row r="844">
      <c r="I844" s="12"/>
      <c r="L844" s="12"/>
      <c r="P844" s="12"/>
      <c r="T844" s="12"/>
      <c r="X844" s="12"/>
      <c r="AB844" s="12"/>
      <c r="AE844" s="12"/>
      <c r="AH844" s="12"/>
    </row>
    <row r="845">
      <c r="I845" s="12"/>
      <c r="L845" s="12"/>
      <c r="P845" s="12"/>
      <c r="T845" s="12"/>
      <c r="X845" s="12"/>
      <c r="AB845" s="12"/>
      <c r="AE845" s="12"/>
      <c r="AH845" s="12"/>
    </row>
    <row r="846">
      <c r="I846" s="12"/>
      <c r="L846" s="12"/>
      <c r="P846" s="12"/>
      <c r="T846" s="12"/>
      <c r="X846" s="12"/>
      <c r="AB846" s="12"/>
      <c r="AE846" s="12"/>
      <c r="AH846" s="12"/>
    </row>
    <row r="847">
      <c r="I847" s="12"/>
      <c r="L847" s="12"/>
      <c r="P847" s="12"/>
      <c r="T847" s="12"/>
      <c r="X847" s="12"/>
      <c r="AB847" s="12"/>
      <c r="AE847" s="12"/>
      <c r="AH847" s="12"/>
    </row>
    <row r="848">
      <c r="I848" s="12"/>
      <c r="L848" s="12"/>
      <c r="P848" s="12"/>
      <c r="T848" s="12"/>
      <c r="X848" s="12"/>
      <c r="AB848" s="12"/>
      <c r="AE848" s="12"/>
      <c r="AH848" s="12"/>
    </row>
    <row r="849">
      <c r="I849" s="12"/>
      <c r="L849" s="12"/>
      <c r="P849" s="12"/>
      <c r="T849" s="12"/>
      <c r="X849" s="12"/>
      <c r="AB849" s="12"/>
      <c r="AE849" s="12"/>
      <c r="AH849" s="12"/>
    </row>
    <row r="850">
      <c r="I850" s="12"/>
      <c r="L850" s="12"/>
      <c r="P850" s="12"/>
      <c r="T850" s="12"/>
      <c r="X850" s="12"/>
      <c r="AB850" s="12"/>
      <c r="AE850" s="12"/>
      <c r="AH850" s="12"/>
    </row>
    <row r="851">
      <c r="I851" s="12"/>
      <c r="L851" s="12"/>
      <c r="P851" s="12"/>
      <c r="T851" s="12"/>
      <c r="X851" s="12"/>
      <c r="AB851" s="12"/>
      <c r="AE851" s="12"/>
      <c r="AH851" s="12"/>
    </row>
    <row r="852">
      <c r="I852" s="12"/>
      <c r="L852" s="12"/>
      <c r="P852" s="12"/>
      <c r="T852" s="12"/>
      <c r="X852" s="12"/>
      <c r="AB852" s="12"/>
      <c r="AE852" s="12"/>
      <c r="AH852" s="12"/>
    </row>
    <row r="853">
      <c r="I853" s="12"/>
      <c r="L853" s="12"/>
      <c r="P853" s="12"/>
      <c r="T853" s="12"/>
      <c r="X853" s="12"/>
      <c r="AB853" s="12"/>
      <c r="AE853" s="12"/>
      <c r="AH853" s="12"/>
    </row>
    <row r="854">
      <c r="I854" s="12"/>
      <c r="L854" s="12"/>
      <c r="P854" s="12"/>
      <c r="T854" s="12"/>
      <c r="X854" s="12"/>
      <c r="AB854" s="12"/>
      <c r="AE854" s="12"/>
      <c r="AH854" s="12"/>
    </row>
    <row r="855">
      <c r="I855" s="12"/>
      <c r="L855" s="12"/>
      <c r="P855" s="12"/>
      <c r="T855" s="12"/>
      <c r="X855" s="12"/>
      <c r="AB855" s="12"/>
      <c r="AE855" s="12"/>
      <c r="AH855" s="12"/>
    </row>
    <row r="856">
      <c r="I856" s="12"/>
      <c r="L856" s="12"/>
      <c r="P856" s="12"/>
      <c r="T856" s="12"/>
      <c r="X856" s="12"/>
      <c r="AB856" s="12"/>
      <c r="AE856" s="12"/>
      <c r="AH856" s="12"/>
    </row>
    <row r="857">
      <c r="I857" s="12"/>
      <c r="L857" s="12"/>
      <c r="P857" s="12"/>
      <c r="T857" s="12"/>
      <c r="X857" s="12"/>
      <c r="AB857" s="12"/>
      <c r="AE857" s="12"/>
      <c r="AH857" s="12"/>
    </row>
    <row r="858">
      <c r="I858" s="12"/>
      <c r="L858" s="12"/>
      <c r="P858" s="12"/>
      <c r="T858" s="12"/>
      <c r="X858" s="12"/>
      <c r="AB858" s="12"/>
      <c r="AE858" s="12"/>
      <c r="AH858" s="12"/>
    </row>
    <row r="859">
      <c r="I859" s="12"/>
      <c r="L859" s="12"/>
      <c r="P859" s="12"/>
      <c r="T859" s="12"/>
      <c r="X859" s="12"/>
      <c r="AB859" s="12"/>
      <c r="AE859" s="12"/>
      <c r="AH859" s="12"/>
    </row>
    <row r="860">
      <c r="I860" s="12"/>
      <c r="L860" s="12"/>
      <c r="P860" s="12"/>
      <c r="T860" s="12"/>
      <c r="X860" s="12"/>
      <c r="AB860" s="12"/>
      <c r="AE860" s="12"/>
      <c r="AH860" s="12"/>
    </row>
    <row r="861">
      <c r="I861" s="12"/>
      <c r="L861" s="12"/>
      <c r="P861" s="12"/>
      <c r="T861" s="12"/>
      <c r="X861" s="12"/>
      <c r="AB861" s="12"/>
      <c r="AE861" s="12"/>
      <c r="AH861" s="12"/>
    </row>
    <row r="862">
      <c r="I862" s="12"/>
      <c r="L862" s="12"/>
      <c r="P862" s="12"/>
      <c r="T862" s="12"/>
      <c r="X862" s="12"/>
      <c r="AB862" s="12"/>
      <c r="AE862" s="12"/>
      <c r="AH862" s="12"/>
    </row>
    <row r="863">
      <c r="I863" s="12"/>
      <c r="L863" s="12"/>
      <c r="P863" s="12"/>
      <c r="T863" s="12"/>
      <c r="X863" s="12"/>
      <c r="AB863" s="12"/>
      <c r="AE863" s="12"/>
      <c r="AH863" s="12"/>
    </row>
    <row r="864">
      <c r="I864" s="12"/>
      <c r="L864" s="12"/>
      <c r="P864" s="12"/>
      <c r="T864" s="12"/>
      <c r="X864" s="12"/>
      <c r="AB864" s="12"/>
      <c r="AE864" s="12"/>
      <c r="AH864" s="12"/>
    </row>
    <row r="865">
      <c r="I865" s="12"/>
      <c r="L865" s="12"/>
      <c r="P865" s="12"/>
      <c r="T865" s="12"/>
      <c r="X865" s="12"/>
      <c r="AB865" s="12"/>
      <c r="AE865" s="12"/>
      <c r="AH865" s="12"/>
    </row>
    <row r="866">
      <c r="I866" s="12"/>
      <c r="L866" s="12"/>
      <c r="P866" s="12"/>
      <c r="T866" s="12"/>
      <c r="X866" s="12"/>
      <c r="AB866" s="12"/>
      <c r="AE866" s="12"/>
      <c r="AH866" s="12"/>
    </row>
    <row r="867">
      <c r="I867" s="12"/>
      <c r="L867" s="12"/>
      <c r="P867" s="12"/>
      <c r="T867" s="12"/>
      <c r="X867" s="12"/>
      <c r="AB867" s="12"/>
      <c r="AE867" s="12"/>
      <c r="AH867" s="12"/>
    </row>
    <row r="868">
      <c r="I868" s="12"/>
      <c r="L868" s="12"/>
      <c r="P868" s="12"/>
      <c r="T868" s="12"/>
      <c r="X868" s="12"/>
      <c r="AB868" s="12"/>
      <c r="AE868" s="12"/>
      <c r="AH868" s="12"/>
    </row>
    <row r="869">
      <c r="I869" s="12"/>
      <c r="L869" s="12"/>
      <c r="P869" s="12"/>
      <c r="T869" s="12"/>
      <c r="X869" s="12"/>
      <c r="AB869" s="12"/>
      <c r="AE869" s="12"/>
      <c r="AH869" s="12"/>
    </row>
    <row r="870">
      <c r="I870" s="12"/>
      <c r="L870" s="12"/>
      <c r="P870" s="12"/>
      <c r="T870" s="12"/>
      <c r="X870" s="12"/>
      <c r="AB870" s="12"/>
      <c r="AE870" s="12"/>
      <c r="AH870" s="12"/>
    </row>
    <row r="871">
      <c r="I871" s="12"/>
      <c r="L871" s="12"/>
      <c r="P871" s="12"/>
      <c r="T871" s="12"/>
      <c r="X871" s="12"/>
      <c r="AB871" s="12"/>
      <c r="AE871" s="12"/>
      <c r="AH871" s="12"/>
    </row>
    <row r="872">
      <c r="I872" s="12"/>
      <c r="L872" s="12"/>
      <c r="P872" s="12"/>
      <c r="T872" s="12"/>
      <c r="X872" s="12"/>
      <c r="AB872" s="12"/>
      <c r="AE872" s="12"/>
      <c r="AH872" s="12"/>
    </row>
    <row r="873">
      <c r="I873" s="12"/>
      <c r="L873" s="12"/>
      <c r="P873" s="12"/>
      <c r="T873" s="12"/>
      <c r="X873" s="12"/>
      <c r="AB873" s="12"/>
      <c r="AE873" s="12"/>
      <c r="AH873" s="12"/>
    </row>
    <row r="874">
      <c r="I874" s="12"/>
      <c r="L874" s="12"/>
      <c r="P874" s="12"/>
      <c r="T874" s="12"/>
      <c r="X874" s="12"/>
      <c r="AB874" s="12"/>
      <c r="AE874" s="12"/>
      <c r="AH874" s="12"/>
    </row>
    <row r="875">
      <c r="I875" s="12"/>
      <c r="L875" s="12"/>
      <c r="P875" s="12"/>
      <c r="T875" s="12"/>
      <c r="X875" s="12"/>
      <c r="AB875" s="12"/>
      <c r="AE875" s="12"/>
      <c r="AH875" s="12"/>
    </row>
    <row r="876">
      <c r="I876" s="12"/>
      <c r="L876" s="12"/>
      <c r="P876" s="12"/>
      <c r="T876" s="12"/>
      <c r="X876" s="12"/>
      <c r="AB876" s="12"/>
      <c r="AE876" s="12"/>
      <c r="AH876" s="12"/>
    </row>
    <row r="877">
      <c r="I877" s="12"/>
      <c r="L877" s="12"/>
      <c r="P877" s="12"/>
      <c r="T877" s="12"/>
      <c r="X877" s="12"/>
      <c r="AB877" s="12"/>
      <c r="AE877" s="12"/>
      <c r="AH877" s="12"/>
    </row>
    <row r="878">
      <c r="I878" s="12"/>
      <c r="L878" s="12"/>
      <c r="P878" s="12"/>
      <c r="T878" s="12"/>
      <c r="X878" s="12"/>
      <c r="AB878" s="12"/>
      <c r="AE878" s="12"/>
      <c r="AH878" s="12"/>
    </row>
    <row r="879">
      <c r="I879" s="12"/>
      <c r="L879" s="12"/>
      <c r="P879" s="12"/>
      <c r="T879" s="12"/>
      <c r="X879" s="12"/>
      <c r="AB879" s="12"/>
      <c r="AE879" s="12"/>
      <c r="AH879" s="12"/>
    </row>
    <row r="880">
      <c r="I880" s="12"/>
      <c r="L880" s="12"/>
      <c r="P880" s="12"/>
      <c r="T880" s="12"/>
      <c r="X880" s="12"/>
      <c r="AB880" s="12"/>
      <c r="AE880" s="12"/>
      <c r="AH880" s="12"/>
    </row>
    <row r="881">
      <c r="I881" s="12"/>
      <c r="L881" s="12"/>
      <c r="P881" s="12"/>
      <c r="T881" s="12"/>
      <c r="X881" s="12"/>
      <c r="AB881" s="12"/>
      <c r="AE881" s="12"/>
      <c r="AH881" s="12"/>
    </row>
    <row r="882">
      <c r="I882" s="12"/>
      <c r="L882" s="12"/>
      <c r="P882" s="12"/>
      <c r="T882" s="12"/>
      <c r="X882" s="12"/>
      <c r="AB882" s="12"/>
      <c r="AE882" s="12"/>
      <c r="AH882" s="12"/>
    </row>
    <row r="883">
      <c r="I883" s="12"/>
      <c r="L883" s="12"/>
      <c r="P883" s="12"/>
      <c r="T883" s="12"/>
      <c r="X883" s="12"/>
      <c r="AB883" s="12"/>
      <c r="AE883" s="12"/>
      <c r="AH883" s="12"/>
    </row>
    <row r="884">
      <c r="I884" s="12"/>
      <c r="L884" s="12"/>
      <c r="P884" s="12"/>
      <c r="T884" s="12"/>
      <c r="X884" s="12"/>
      <c r="AB884" s="12"/>
      <c r="AE884" s="12"/>
      <c r="AH884" s="12"/>
    </row>
    <row r="885">
      <c r="I885" s="12"/>
      <c r="L885" s="12"/>
      <c r="P885" s="12"/>
      <c r="T885" s="12"/>
      <c r="X885" s="12"/>
      <c r="AB885" s="12"/>
      <c r="AE885" s="12"/>
      <c r="AH885" s="12"/>
    </row>
    <row r="886">
      <c r="I886" s="12"/>
      <c r="L886" s="12"/>
      <c r="P886" s="12"/>
      <c r="T886" s="12"/>
      <c r="X886" s="12"/>
      <c r="AB886" s="12"/>
      <c r="AE886" s="12"/>
      <c r="AH886" s="12"/>
    </row>
    <row r="887">
      <c r="I887" s="12"/>
      <c r="L887" s="12"/>
      <c r="P887" s="12"/>
      <c r="T887" s="12"/>
      <c r="X887" s="12"/>
      <c r="AB887" s="12"/>
      <c r="AE887" s="12"/>
      <c r="AH887" s="12"/>
    </row>
    <row r="888">
      <c r="I888" s="12"/>
      <c r="L888" s="12"/>
      <c r="P888" s="12"/>
      <c r="T888" s="12"/>
      <c r="X888" s="12"/>
      <c r="AB888" s="12"/>
      <c r="AE888" s="12"/>
      <c r="AH888" s="12"/>
    </row>
    <row r="889">
      <c r="I889" s="12"/>
      <c r="L889" s="12"/>
      <c r="P889" s="12"/>
      <c r="T889" s="12"/>
      <c r="X889" s="12"/>
      <c r="AB889" s="12"/>
      <c r="AE889" s="12"/>
      <c r="AH889" s="12"/>
    </row>
    <row r="890">
      <c r="I890" s="12"/>
      <c r="L890" s="12"/>
      <c r="P890" s="12"/>
      <c r="T890" s="12"/>
      <c r="X890" s="12"/>
      <c r="AB890" s="12"/>
      <c r="AE890" s="12"/>
      <c r="AH890" s="12"/>
    </row>
    <row r="891">
      <c r="I891" s="12"/>
      <c r="L891" s="12"/>
      <c r="P891" s="12"/>
      <c r="T891" s="12"/>
      <c r="X891" s="12"/>
      <c r="AB891" s="12"/>
      <c r="AE891" s="12"/>
      <c r="AH891" s="12"/>
    </row>
    <row r="892">
      <c r="I892" s="12"/>
      <c r="L892" s="12"/>
      <c r="P892" s="12"/>
      <c r="T892" s="12"/>
      <c r="X892" s="12"/>
      <c r="AB892" s="12"/>
      <c r="AE892" s="12"/>
      <c r="AH892" s="12"/>
    </row>
    <row r="893">
      <c r="I893" s="12"/>
      <c r="L893" s="12"/>
      <c r="P893" s="12"/>
      <c r="T893" s="12"/>
      <c r="X893" s="12"/>
      <c r="AB893" s="12"/>
      <c r="AE893" s="12"/>
      <c r="AH893" s="12"/>
    </row>
    <row r="894">
      <c r="I894" s="12"/>
      <c r="L894" s="12"/>
      <c r="P894" s="12"/>
      <c r="T894" s="12"/>
      <c r="X894" s="12"/>
      <c r="AB894" s="12"/>
      <c r="AE894" s="12"/>
      <c r="AH894" s="12"/>
    </row>
    <row r="895">
      <c r="I895" s="12"/>
      <c r="L895" s="12"/>
      <c r="P895" s="12"/>
      <c r="T895" s="12"/>
      <c r="X895" s="12"/>
      <c r="AB895" s="12"/>
      <c r="AE895" s="12"/>
      <c r="AH895" s="12"/>
    </row>
    <row r="896">
      <c r="I896" s="12"/>
      <c r="L896" s="12"/>
      <c r="P896" s="12"/>
      <c r="T896" s="12"/>
      <c r="X896" s="12"/>
      <c r="AB896" s="12"/>
      <c r="AE896" s="12"/>
      <c r="AH896" s="12"/>
    </row>
    <row r="897">
      <c r="I897" s="12"/>
      <c r="L897" s="12"/>
      <c r="P897" s="12"/>
      <c r="T897" s="12"/>
      <c r="X897" s="12"/>
      <c r="AB897" s="12"/>
      <c r="AE897" s="12"/>
      <c r="AH897" s="12"/>
    </row>
    <row r="898">
      <c r="I898" s="12"/>
      <c r="L898" s="12"/>
      <c r="P898" s="12"/>
      <c r="T898" s="12"/>
      <c r="X898" s="12"/>
      <c r="AB898" s="12"/>
      <c r="AE898" s="12"/>
      <c r="AH898" s="12"/>
    </row>
    <row r="899">
      <c r="I899" s="12"/>
      <c r="L899" s="12"/>
      <c r="P899" s="12"/>
      <c r="T899" s="12"/>
      <c r="X899" s="12"/>
      <c r="AB899" s="12"/>
      <c r="AE899" s="12"/>
      <c r="AH899" s="12"/>
    </row>
    <row r="900">
      <c r="I900" s="12"/>
      <c r="L900" s="12"/>
      <c r="P900" s="12"/>
      <c r="T900" s="12"/>
      <c r="X900" s="12"/>
      <c r="AB900" s="12"/>
      <c r="AE900" s="12"/>
      <c r="AH900" s="12"/>
    </row>
    <row r="901">
      <c r="I901" s="12"/>
      <c r="L901" s="12"/>
      <c r="P901" s="12"/>
      <c r="T901" s="12"/>
      <c r="X901" s="12"/>
      <c r="AB901" s="12"/>
      <c r="AE901" s="12"/>
      <c r="AH901" s="12"/>
    </row>
    <row r="902">
      <c r="I902" s="12"/>
      <c r="L902" s="12"/>
      <c r="P902" s="12"/>
      <c r="T902" s="12"/>
      <c r="X902" s="12"/>
      <c r="AB902" s="12"/>
      <c r="AE902" s="12"/>
      <c r="AH902" s="12"/>
    </row>
    <row r="903">
      <c r="I903" s="12"/>
      <c r="L903" s="12"/>
      <c r="P903" s="12"/>
      <c r="T903" s="12"/>
      <c r="X903" s="12"/>
      <c r="AB903" s="12"/>
      <c r="AE903" s="12"/>
      <c r="AH903" s="12"/>
    </row>
    <row r="904">
      <c r="I904" s="12"/>
      <c r="L904" s="12"/>
      <c r="P904" s="12"/>
      <c r="T904" s="12"/>
      <c r="X904" s="12"/>
      <c r="AB904" s="12"/>
      <c r="AE904" s="12"/>
      <c r="AH904" s="12"/>
    </row>
    <row r="905">
      <c r="I905" s="12"/>
      <c r="L905" s="12"/>
      <c r="P905" s="12"/>
      <c r="T905" s="12"/>
      <c r="X905" s="12"/>
      <c r="AB905" s="12"/>
      <c r="AE905" s="12"/>
      <c r="AH905" s="12"/>
    </row>
    <row r="906">
      <c r="I906" s="12"/>
      <c r="L906" s="12"/>
      <c r="P906" s="12"/>
      <c r="T906" s="12"/>
      <c r="X906" s="12"/>
      <c r="AB906" s="12"/>
      <c r="AE906" s="12"/>
      <c r="AH906" s="12"/>
    </row>
    <row r="907">
      <c r="I907" s="12"/>
      <c r="L907" s="12"/>
      <c r="P907" s="12"/>
      <c r="T907" s="12"/>
      <c r="X907" s="12"/>
      <c r="AB907" s="12"/>
      <c r="AE907" s="12"/>
      <c r="AH907" s="12"/>
    </row>
    <row r="908">
      <c r="I908" s="12"/>
      <c r="L908" s="12"/>
      <c r="P908" s="12"/>
      <c r="T908" s="12"/>
      <c r="X908" s="12"/>
      <c r="AB908" s="12"/>
      <c r="AE908" s="12"/>
      <c r="AH908" s="12"/>
    </row>
    <row r="909">
      <c r="I909" s="12"/>
      <c r="L909" s="12"/>
      <c r="P909" s="12"/>
      <c r="T909" s="12"/>
      <c r="X909" s="12"/>
      <c r="AB909" s="12"/>
      <c r="AE909" s="12"/>
      <c r="AH909" s="12"/>
    </row>
    <row r="910">
      <c r="I910" s="12"/>
      <c r="L910" s="12"/>
      <c r="P910" s="12"/>
      <c r="T910" s="12"/>
      <c r="X910" s="12"/>
      <c r="AB910" s="12"/>
      <c r="AE910" s="12"/>
      <c r="AH910" s="12"/>
    </row>
    <row r="911">
      <c r="I911" s="12"/>
      <c r="L911" s="12"/>
      <c r="P911" s="12"/>
      <c r="T911" s="12"/>
      <c r="X911" s="12"/>
      <c r="AB911" s="12"/>
      <c r="AE911" s="12"/>
      <c r="AH911" s="12"/>
    </row>
    <row r="912">
      <c r="I912" s="12"/>
      <c r="L912" s="12"/>
      <c r="P912" s="12"/>
      <c r="T912" s="12"/>
      <c r="X912" s="12"/>
      <c r="AB912" s="12"/>
      <c r="AE912" s="12"/>
      <c r="AH912" s="12"/>
    </row>
    <row r="913">
      <c r="I913" s="12"/>
      <c r="L913" s="12"/>
      <c r="P913" s="12"/>
      <c r="T913" s="12"/>
      <c r="X913" s="12"/>
      <c r="AB913" s="12"/>
      <c r="AE913" s="12"/>
      <c r="AH913" s="12"/>
    </row>
    <row r="914">
      <c r="I914" s="12"/>
      <c r="L914" s="12"/>
      <c r="P914" s="12"/>
      <c r="T914" s="12"/>
      <c r="X914" s="12"/>
      <c r="AB914" s="12"/>
      <c r="AE914" s="12"/>
      <c r="AH914" s="12"/>
    </row>
    <row r="915">
      <c r="I915" s="12"/>
      <c r="L915" s="12"/>
      <c r="P915" s="12"/>
      <c r="T915" s="12"/>
      <c r="X915" s="12"/>
      <c r="AB915" s="12"/>
      <c r="AE915" s="12"/>
      <c r="AH915" s="12"/>
    </row>
    <row r="916">
      <c r="I916" s="12"/>
      <c r="L916" s="12"/>
      <c r="P916" s="12"/>
      <c r="T916" s="12"/>
      <c r="X916" s="12"/>
      <c r="AB916" s="12"/>
      <c r="AE916" s="12"/>
      <c r="AH916" s="12"/>
    </row>
    <row r="917">
      <c r="I917" s="12"/>
      <c r="L917" s="12"/>
      <c r="P917" s="12"/>
      <c r="T917" s="12"/>
      <c r="X917" s="12"/>
      <c r="AB917" s="12"/>
      <c r="AE917" s="12"/>
      <c r="AH917" s="12"/>
    </row>
    <row r="918">
      <c r="I918" s="12"/>
      <c r="L918" s="12"/>
      <c r="P918" s="12"/>
      <c r="T918" s="12"/>
      <c r="X918" s="12"/>
      <c r="AB918" s="12"/>
      <c r="AE918" s="12"/>
      <c r="AH918" s="12"/>
    </row>
    <row r="919">
      <c r="I919" s="12"/>
      <c r="L919" s="12"/>
      <c r="P919" s="12"/>
      <c r="T919" s="12"/>
      <c r="X919" s="12"/>
      <c r="AB919" s="12"/>
      <c r="AE919" s="12"/>
      <c r="AH919" s="12"/>
    </row>
    <row r="920">
      <c r="I920" s="12"/>
      <c r="L920" s="12"/>
      <c r="P920" s="12"/>
      <c r="T920" s="12"/>
      <c r="X920" s="12"/>
      <c r="AB920" s="12"/>
      <c r="AE920" s="12"/>
      <c r="AH920" s="12"/>
    </row>
    <row r="921">
      <c r="I921" s="12"/>
      <c r="L921" s="12"/>
      <c r="P921" s="12"/>
      <c r="T921" s="12"/>
      <c r="X921" s="12"/>
      <c r="AB921" s="12"/>
      <c r="AE921" s="12"/>
      <c r="AH921" s="12"/>
    </row>
    <row r="922">
      <c r="I922" s="12"/>
      <c r="L922" s="12"/>
      <c r="P922" s="12"/>
      <c r="T922" s="12"/>
      <c r="X922" s="12"/>
      <c r="AB922" s="12"/>
      <c r="AE922" s="12"/>
      <c r="AH922" s="12"/>
    </row>
    <row r="923">
      <c r="I923" s="12"/>
      <c r="L923" s="12"/>
      <c r="P923" s="12"/>
      <c r="T923" s="12"/>
      <c r="X923" s="12"/>
      <c r="AB923" s="12"/>
      <c r="AE923" s="12"/>
      <c r="AH923" s="12"/>
    </row>
    <row r="924">
      <c r="I924" s="12"/>
      <c r="L924" s="12"/>
      <c r="P924" s="12"/>
      <c r="T924" s="12"/>
      <c r="X924" s="12"/>
      <c r="AB924" s="12"/>
      <c r="AE924" s="12"/>
      <c r="AH924" s="12"/>
    </row>
    <row r="925">
      <c r="I925" s="12"/>
      <c r="L925" s="12"/>
      <c r="P925" s="12"/>
      <c r="T925" s="12"/>
      <c r="X925" s="12"/>
      <c r="AB925" s="12"/>
      <c r="AE925" s="12"/>
      <c r="AH925" s="12"/>
    </row>
    <row r="926">
      <c r="I926" s="12"/>
      <c r="L926" s="12"/>
      <c r="P926" s="12"/>
      <c r="T926" s="12"/>
      <c r="X926" s="12"/>
      <c r="AB926" s="12"/>
      <c r="AE926" s="12"/>
      <c r="AH926" s="12"/>
    </row>
    <row r="927">
      <c r="I927" s="12"/>
      <c r="L927" s="12"/>
      <c r="P927" s="12"/>
      <c r="T927" s="12"/>
      <c r="X927" s="12"/>
      <c r="AB927" s="12"/>
      <c r="AE927" s="12"/>
      <c r="AH927" s="12"/>
    </row>
    <row r="928">
      <c r="I928" s="12"/>
      <c r="L928" s="12"/>
      <c r="P928" s="12"/>
      <c r="T928" s="12"/>
      <c r="X928" s="12"/>
      <c r="AB928" s="12"/>
      <c r="AE928" s="12"/>
      <c r="AH928" s="12"/>
    </row>
    <row r="929">
      <c r="I929" s="12"/>
      <c r="L929" s="12"/>
      <c r="P929" s="12"/>
      <c r="T929" s="12"/>
      <c r="X929" s="12"/>
      <c r="AB929" s="12"/>
      <c r="AE929" s="12"/>
      <c r="AH929" s="12"/>
    </row>
    <row r="930">
      <c r="I930" s="12"/>
      <c r="L930" s="12"/>
      <c r="P930" s="12"/>
      <c r="T930" s="12"/>
      <c r="X930" s="12"/>
      <c r="AB930" s="12"/>
      <c r="AE930" s="12"/>
      <c r="AH930" s="12"/>
    </row>
    <row r="931">
      <c r="I931" s="12"/>
      <c r="L931" s="12"/>
      <c r="P931" s="12"/>
      <c r="T931" s="12"/>
      <c r="X931" s="12"/>
      <c r="AB931" s="12"/>
      <c r="AE931" s="12"/>
      <c r="AH931" s="12"/>
    </row>
    <row r="932">
      <c r="I932" s="12"/>
      <c r="L932" s="12"/>
      <c r="P932" s="12"/>
      <c r="T932" s="12"/>
      <c r="X932" s="12"/>
      <c r="AB932" s="12"/>
      <c r="AE932" s="12"/>
      <c r="AH932" s="12"/>
    </row>
    <row r="933">
      <c r="I933" s="12"/>
      <c r="L933" s="12"/>
      <c r="P933" s="12"/>
      <c r="T933" s="12"/>
      <c r="X933" s="12"/>
      <c r="AB933" s="12"/>
      <c r="AE933" s="12"/>
      <c r="AH933" s="12"/>
    </row>
    <row r="934">
      <c r="I934" s="12"/>
      <c r="L934" s="12"/>
      <c r="P934" s="12"/>
      <c r="T934" s="12"/>
      <c r="X934" s="12"/>
      <c r="AB934" s="12"/>
      <c r="AE934" s="12"/>
      <c r="AH934" s="12"/>
    </row>
    <row r="935">
      <c r="I935" s="12"/>
      <c r="L935" s="12"/>
      <c r="P935" s="12"/>
      <c r="T935" s="12"/>
      <c r="X935" s="12"/>
      <c r="AB935" s="12"/>
      <c r="AE935" s="12"/>
      <c r="AH935" s="12"/>
    </row>
    <row r="936">
      <c r="I936" s="12"/>
      <c r="L936" s="12"/>
      <c r="P936" s="12"/>
      <c r="T936" s="12"/>
      <c r="X936" s="12"/>
      <c r="AB936" s="12"/>
      <c r="AE936" s="12"/>
      <c r="AH936" s="12"/>
    </row>
    <row r="937">
      <c r="I937" s="12"/>
      <c r="L937" s="12"/>
      <c r="P937" s="12"/>
      <c r="T937" s="12"/>
      <c r="X937" s="12"/>
      <c r="AB937" s="12"/>
      <c r="AE937" s="12"/>
      <c r="AH937" s="12"/>
    </row>
    <row r="938">
      <c r="I938" s="12"/>
      <c r="L938" s="12"/>
      <c r="P938" s="12"/>
      <c r="T938" s="12"/>
      <c r="X938" s="12"/>
      <c r="AB938" s="12"/>
      <c r="AE938" s="12"/>
      <c r="AH938" s="12"/>
    </row>
    <row r="939">
      <c r="I939" s="12"/>
      <c r="L939" s="12"/>
      <c r="P939" s="12"/>
      <c r="T939" s="12"/>
      <c r="X939" s="12"/>
      <c r="AB939" s="12"/>
      <c r="AE939" s="12"/>
      <c r="AH939" s="12"/>
    </row>
    <row r="940">
      <c r="I940" s="12"/>
      <c r="L940" s="12"/>
      <c r="P940" s="12"/>
      <c r="T940" s="12"/>
      <c r="X940" s="12"/>
      <c r="AB940" s="12"/>
      <c r="AE940" s="12"/>
      <c r="AH940" s="12"/>
    </row>
    <row r="941">
      <c r="I941" s="12"/>
      <c r="L941" s="12"/>
      <c r="P941" s="12"/>
      <c r="T941" s="12"/>
      <c r="X941" s="12"/>
      <c r="AB941" s="12"/>
      <c r="AE941" s="12"/>
      <c r="AH941" s="12"/>
    </row>
    <row r="942">
      <c r="I942" s="12"/>
      <c r="L942" s="12"/>
      <c r="P942" s="12"/>
      <c r="T942" s="12"/>
      <c r="X942" s="12"/>
      <c r="AB942" s="12"/>
      <c r="AE942" s="12"/>
      <c r="AH942" s="12"/>
    </row>
    <row r="943">
      <c r="I943" s="12"/>
      <c r="L943" s="12"/>
      <c r="P943" s="12"/>
      <c r="T943" s="12"/>
      <c r="X943" s="12"/>
      <c r="AB943" s="12"/>
      <c r="AE943" s="12"/>
      <c r="AH943" s="12"/>
    </row>
    <row r="944">
      <c r="I944" s="12"/>
      <c r="L944" s="12"/>
      <c r="P944" s="12"/>
      <c r="T944" s="12"/>
      <c r="X944" s="12"/>
      <c r="AB944" s="12"/>
      <c r="AE944" s="12"/>
      <c r="AH944" s="12"/>
    </row>
    <row r="945">
      <c r="I945" s="12"/>
      <c r="L945" s="12"/>
      <c r="P945" s="12"/>
      <c r="T945" s="12"/>
      <c r="X945" s="12"/>
      <c r="AB945" s="12"/>
      <c r="AE945" s="12"/>
      <c r="AH945" s="12"/>
    </row>
    <row r="946">
      <c r="I946" s="12"/>
      <c r="L946" s="12"/>
      <c r="P946" s="12"/>
      <c r="T946" s="12"/>
      <c r="X946" s="12"/>
      <c r="AB946" s="12"/>
      <c r="AE946" s="12"/>
      <c r="AH946" s="12"/>
    </row>
    <row r="947">
      <c r="I947" s="12"/>
      <c r="L947" s="12"/>
      <c r="P947" s="12"/>
      <c r="T947" s="12"/>
      <c r="X947" s="12"/>
      <c r="AB947" s="12"/>
      <c r="AE947" s="12"/>
      <c r="AH947" s="12"/>
    </row>
    <row r="948">
      <c r="I948" s="12"/>
      <c r="L948" s="12"/>
      <c r="P948" s="12"/>
      <c r="T948" s="12"/>
      <c r="X948" s="12"/>
      <c r="AB948" s="12"/>
      <c r="AE948" s="12"/>
      <c r="AH948" s="12"/>
    </row>
    <row r="949">
      <c r="I949" s="12"/>
      <c r="L949" s="12"/>
      <c r="P949" s="12"/>
      <c r="T949" s="12"/>
      <c r="X949" s="12"/>
      <c r="AB949" s="12"/>
      <c r="AE949" s="12"/>
      <c r="AH949" s="12"/>
    </row>
    <row r="950">
      <c r="I950" s="12"/>
      <c r="L950" s="12"/>
      <c r="P950" s="12"/>
      <c r="T950" s="12"/>
      <c r="X950" s="12"/>
      <c r="AB950" s="12"/>
      <c r="AE950" s="12"/>
      <c r="AH950" s="12"/>
    </row>
    <row r="951">
      <c r="I951" s="12"/>
      <c r="L951" s="12"/>
      <c r="P951" s="12"/>
      <c r="T951" s="12"/>
      <c r="X951" s="12"/>
      <c r="AB951" s="12"/>
      <c r="AE951" s="12"/>
      <c r="AH951" s="12"/>
    </row>
    <row r="952">
      <c r="I952" s="12"/>
      <c r="L952" s="12"/>
      <c r="P952" s="12"/>
      <c r="T952" s="12"/>
      <c r="X952" s="12"/>
      <c r="AB952" s="12"/>
      <c r="AE952" s="12"/>
      <c r="AH952" s="12"/>
    </row>
    <row r="953">
      <c r="I953" s="12"/>
      <c r="L953" s="12"/>
      <c r="P953" s="12"/>
      <c r="T953" s="12"/>
      <c r="X953" s="12"/>
      <c r="AB953" s="12"/>
      <c r="AE953" s="12"/>
      <c r="AH953" s="12"/>
    </row>
    <row r="954">
      <c r="I954" s="12"/>
      <c r="L954" s="12"/>
      <c r="P954" s="12"/>
      <c r="T954" s="12"/>
      <c r="X954" s="12"/>
      <c r="AB954" s="12"/>
      <c r="AE954" s="12"/>
      <c r="AH954" s="12"/>
    </row>
    <row r="955">
      <c r="I955" s="12"/>
      <c r="L955" s="12"/>
      <c r="P955" s="12"/>
      <c r="T955" s="12"/>
      <c r="X955" s="12"/>
      <c r="AB955" s="12"/>
      <c r="AE955" s="12"/>
      <c r="AH955" s="12"/>
    </row>
    <row r="956">
      <c r="I956" s="12"/>
      <c r="L956" s="12"/>
      <c r="P956" s="12"/>
      <c r="T956" s="12"/>
      <c r="X956" s="12"/>
      <c r="AB956" s="12"/>
      <c r="AE956" s="12"/>
      <c r="AH956" s="12"/>
    </row>
    <row r="957">
      <c r="I957" s="12"/>
      <c r="L957" s="12"/>
      <c r="P957" s="12"/>
      <c r="T957" s="12"/>
      <c r="X957" s="12"/>
      <c r="AB957" s="12"/>
      <c r="AE957" s="12"/>
      <c r="AH957" s="12"/>
    </row>
    <row r="958">
      <c r="I958" s="12"/>
      <c r="L958" s="12"/>
      <c r="P958" s="12"/>
      <c r="T958" s="12"/>
      <c r="X958" s="12"/>
      <c r="AB958" s="12"/>
      <c r="AE958" s="12"/>
      <c r="AH958" s="12"/>
    </row>
    <row r="959">
      <c r="I959" s="12"/>
      <c r="L959" s="12"/>
      <c r="P959" s="12"/>
      <c r="T959" s="12"/>
      <c r="X959" s="12"/>
      <c r="AB959" s="12"/>
      <c r="AE959" s="12"/>
      <c r="AH959" s="12"/>
    </row>
    <row r="960">
      <c r="I960" s="12"/>
      <c r="L960" s="12"/>
      <c r="P960" s="12"/>
      <c r="T960" s="12"/>
      <c r="X960" s="12"/>
      <c r="AB960" s="12"/>
      <c r="AE960" s="12"/>
      <c r="AH960" s="12"/>
    </row>
    <row r="961">
      <c r="I961" s="12"/>
      <c r="L961" s="12"/>
      <c r="P961" s="12"/>
      <c r="T961" s="12"/>
      <c r="X961" s="12"/>
      <c r="AB961" s="12"/>
      <c r="AE961" s="12"/>
      <c r="AH961" s="12"/>
    </row>
    <row r="962">
      <c r="I962" s="12"/>
      <c r="L962" s="12"/>
      <c r="P962" s="12"/>
      <c r="T962" s="12"/>
      <c r="X962" s="12"/>
      <c r="AB962" s="12"/>
      <c r="AE962" s="12"/>
      <c r="AH962" s="12"/>
    </row>
    <row r="963">
      <c r="I963" s="12"/>
      <c r="L963" s="12"/>
      <c r="P963" s="12"/>
      <c r="T963" s="12"/>
      <c r="X963" s="12"/>
      <c r="AB963" s="12"/>
      <c r="AE963" s="12"/>
      <c r="AH963" s="12"/>
    </row>
    <row r="964">
      <c r="I964" s="12"/>
      <c r="L964" s="12"/>
      <c r="P964" s="12"/>
      <c r="T964" s="12"/>
      <c r="X964" s="12"/>
      <c r="AB964" s="12"/>
      <c r="AE964" s="12"/>
      <c r="AH964" s="12"/>
    </row>
    <row r="965">
      <c r="I965" s="12"/>
      <c r="L965" s="12"/>
      <c r="P965" s="12"/>
      <c r="T965" s="12"/>
      <c r="X965" s="12"/>
      <c r="AB965" s="12"/>
      <c r="AE965" s="12"/>
      <c r="AH965" s="12"/>
    </row>
    <row r="966">
      <c r="I966" s="12"/>
      <c r="L966" s="12"/>
      <c r="P966" s="12"/>
      <c r="T966" s="12"/>
      <c r="X966" s="12"/>
      <c r="AB966" s="12"/>
      <c r="AE966" s="12"/>
      <c r="AH966" s="12"/>
    </row>
    <row r="967">
      <c r="I967" s="12"/>
      <c r="L967" s="12"/>
      <c r="P967" s="12"/>
      <c r="T967" s="12"/>
      <c r="X967" s="12"/>
      <c r="AB967" s="12"/>
      <c r="AE967" s="12"/>
      <c r="AH967" s="12"/>
    </row>
    <row r="968">
      <c r="I968" s="12"/>
      <c r="L968" s="12"/>
      <c r="P968" s="12"/>
      <c r="T968" s="12"/>
      <c r="X968" s="12"/>
      <c r="AB968" s="12"/>
      <c r="AE968" s="12"/>
      <c r="AH968" s="12"/>
    </row>
    <row r="969">
      <c r="I969" s="12"/>
      <c r="L969" s="12"/>
      <c r="P969" s="12"/>
      <c r="T969" s="12"/>
      <c r="X969" s="12"/>
      <c r="AB969" s="12"/>
      <c r="AE969" s="12"/>
      <c r="AH969" s="12"/>
    </row>
    <row r="970">
      <c r="I970" s="12"/>
      <c r="L970" s="12"/>
      <c r="P970" s="12"/>
      <c r="T970" s="12"/>
      <c r="X970" s="12"/>
      <c r="AB970" s="12"/>
      <c r="AE970" s="12"/>
      <c r="AH970" s="12"/>
    </row>
    <row r="971">
      <c r="I971" s="12"/>
      <c r="L971" s="12"/>
      <c r="P971" s="12"/>
      <c r="T971" s="12"/>
      <c r="X971" s="12"/>
      <c r="AB971" s="12"/>
      <c r="AE971" s="12"/>
      <c r="AH971" s="12"/>
    </row>
    <row r="972">
      <c r="I972" s="12"/>
      <c r="L972" s="12"/>
      <c r="P972" s="12"/>
      <c r="T972" s="12"/>
      <c r="X972" s="12"/>
      <c r="AB972" s="12"/>
      <c r="AE972" s="12"/>
      <c r="AH972" s="12"/>
    </row>
    <row r="973">
      <c r="I973" s="12"/>
      <c r="L973" s="12"/>
      <c r="P973" s="12"/>
      <c r="T973" s="12"/>
      <c r="X973" s="12"/>
      <c r="AB973" s="12"/>
      <c r="AE973" s="12"/>
      <c r="AH973" s="12"/>
    </row>
    <row r="974">
      <c r="I974" s="12"/>
      <c r="L974" s="12"/>
      <c r="P974" s="12"/>
      <c r="T974" s="12"/>
      <c r="X974" s="12"/>
      <c r="AB974" s="12"/>
      <c r="AE974" s="12"/>
      <c r="AH974" s="12"/>
    </row>
    <row r="975">
      <c r="I975" s="12"/>
      <c r="L975" s="12"/>
      <c r="P975" s="12"/>
      <c r="T975" s="12"/>
      <c r="X975" s="12"/>
      <c r="AB975" s="12"/>
      <c r="AE975" s="12"/>
      <c r="AH975" s="12"/>
    </row>
    <row r="976">
      <c r="I976" s="12"/>
      <c r="L976" s="12"/>
      <c r="P976" s="12"/>
      <c r="T976" s="12"/>
      <c r="X976" s="12"/>
      <c r="AB976" s="12"/>
      <c r="AE976" s="12"/>
      <c r="AH976" s="12"/>
    </row>
    <row r="977">
      <c r="I977" s="12"/>
      <c r="L977" s="12"/>
      <c r="P977" s="12"/>
      <c r="T977" s="12"/>
      <c r="X977" s="12"/>
      <c r="AB977" s="12"/>
      <c r="AE977" s="12"/>
      <c r="AH977" s="12"/>
    </row>
    <row r="978">
      <c r="I978" s="12"/>
      <c r="L978" s="12"/>
      <c r="P978" s="12"/>
      <c r="T978" s="12"/>
      <c r="X978" s="12"/>
      <c r="AB978" s="12"/>
      <c r="AE978" s="12"/>
      <c r="AH978" s="12"/>
    </row>
    <row r="979">
      <c r="I979" s="12"/>
      <c r="L979" s="12"/>
      <c r="P979" s="12"/>
      <c r="T979" s="12"/>
      <c r="X979" s="12"/>
      <c r="AB979" s="12"/>
      <c r="AE979" s="12"/>
      <c r="AH979" s="12"/>
    </row>
    <row r="980">
      <c r="I980" s="12"/>
      <c r="L980" s="12"/>
      <c r="P980" s="12"/>
      <c r="T980" s="12"/>
      <c r="X980" s="12"/>
      <c r="AB980" s="12"/>
      <c r="AE980" s="12"/>
      <c r="AH980" s="12"/>
    </row>
    <row r="981">
      <c r="I981" s="12"/>
      <c r="L981" s="12"/>
      <c r="P981" s="12"/>
      <c r="T981" s="12"/>
      <c r="X981" s="12"/>
      <c r="AB981" s="12"/>
      <c r="AE981" s="12"/>
      <c r="AH981" s="12"/>
    </row>
    <row r="982">
      <c r="I982" s="12"/>
      <c r="L982" s="12"/>
      <c r="P982" s="12"/>
      <c r="T982" s="12"/>
      <c r="X982" s="12"/>
      <c r="AB982" s="12"/>
      <c r="AE982" s="12"/>
      <c r="AH982" s="12"/>
    </row>
    <row r="983">
      <c r="I983" s="12"/>
      <c r="L983" s="12"/>
      <c r="P983" s="12"/>
      <c r="T983" s="12"/>
      <c r="X983" s="12"/>
      <c r="AB983" s="12"/>
      <c r="AE983" s="12"/>
      <c r="AH983" s="12"/>
    </row>
    <row r="984">
      <c r="I984" s="12"/>
      <c r="L984" s="12"/>
      <c r="P984" s="12"/>
      <c r="T984" s="12"/>
      <c r="X984" s="12"/>
      <c r="AB984" s="12"/>
      <c r="AE984" s="12"/>
      <c r="AH984" s="12"/>
    </row>
    <row r="985">
      <c r="I985" s="12"/>
      <c r="L985" s="12"/>
      <c r="P985" s="12"/>
      <c r="T985" s="12"/>
      <c r="X985" s="12"/>
      <c r="AB985" s="12"/>
      <c r="AE985" s="12"/>
      <c r="AH985" s="12"/>
    </row>
    <row r="986">
      <c r="I986" s="12"/>
      <c r="L986" s="12"/>
      <c r="P986" s="12"/>
      <c r="T986" s="12"/>
      <c r="X986" s="12"/>
      <c r="AB986" s="12"/>
      <c r="AE986" s="12"/>
      <c r="AH986" s="12"/>
    </row>
    <row r="987">
      <c r="I987" s="12"/>
      <c r="L987" s="12"/>
      <c r="P987" s="12"/>
      <c r="T987" s="12"/>
      <c r="X987" s="12"/>
      <c r="AB987" s="12"/>
      <c r="AE987" s="12"/>
      <c r="AH987" s="12"/>
    </row>
    <row r="988">
      <c r="I988" s="12"/>
      <c r="L988" s="12"/>
      <c r="P988" s="12"/>
      <c r="T988" s="12"/>
      <c r="X988" s="12"/>
      <c r="AB988" s="12"/>
      <c r="AE988" s="12"/>
      <c r="AH988" s="12"/>
    </row>
    <row r="989">
      <c r="I989" s="12"/>
      <c r="L989" s="12"/>
      <c r="P989" s="12"/>
      <c r="T989" s="12"/>
      <c r="X989" s="12"/>
      <c r="AB989" s="12"/>
      <c r="AE989" s="12"/>
      <c r="AH989" s="12"/>
    </row>
    <row r="990">
      <c r="I990" s="12"/>
      <c r="L990" s="12"/>
      <c r="P990" s="12"/>
      <c r="T990" s="12"/>
      <c r="X990" s="12"/>
      <c r="AB990" s="12"/>
      <c r="AE990" s="12"/>
      <c r="AH990" s="12"/>
    </row>
    <row r="991">
      <c r="I991" s="12"/>
      <c r="L991" s="12"/>
      <c r="P991" s="12"/>
      <c r="T991" s="12"/>
      <c r="X991" s="12"/>
      <c r="AB991" s="12"/>
      <c r="AE991" s="12"/>
      <c r="AH991" s="12"/>
    </row>
    <row r="992">
      <c r="I992" s="12"/>
      <c r="L992" s="12"/>
      <c r="P992" s="12"/>
      <c r="T992" s="12"/>
      <c r="X992" s="12"/>
      <c r="AB992" s="12"/>
      <c r="AE992" s="12"/>
      <c r="AH992" s="12"/>
    </row>
    <row r="993">
      <c r="I993" s="12"/>
      <c r="L993" s="12"/>
      <c r="P993" s="12"/>
      <c r="T993" s="12"/>
      <c r="X993" s="12"/>
      <c r="AB993" s="12"/>
      <c r="AE993" s="12"/>
      <c r="AH993" s="12"/>
    </row>
    <row r="994">
      <c r="I994" s="12"/>
      <c r="L994" s="12"/>
      <c r="P994" s="12"/>
      <c r="T994" s="12"/>
      <c r="X994" s="12"/>
      <c r="AB994" s="12"/>
      <c r="AE994" s="12"/>
      <c r="AH994" s="12"/>
    </row>
    <row r="995">
      <c r="I995" s="12"/>
      <c r="L995" s="12"/>
      <c r="P995" s="12"/>
      <c r="T995" s="12"/>
      <c r="X995" s="12"/>
      <c r="AB995" s="12"/>
      <c r="AE995" s="12"/>
      <c r="AH995" s="12"/>
    </row>
    <row r="996">
      <c r="I996" s="12"/>
      <c r="L996" s="12"/>
      <c r="P996" s="12"/>
      <c r="T996" s="12"/>
      <c r="X996" s="12"/>
      <c r="AB996" s="12"/>
      <c r="AE996" s="12"/>
      <c r="AH996" s="12"/>
    </row>
    <row r="997">
      <c r="I997" s="12"/>
      <c r="L997" s="12"/>
      <c r="P997" s="12"/>
      <c r="T997" s="12"/>
      <c r="X997" s="12"/>
      <c r="AB997" s="12"/>
      <c r="AE997" s="12"/>
      <c r="AH997" s="12"/>
    </row>
    <row r="998">
      <c r="I998" s="12"/>
      <c r="L998" s="12"/>
      <c r="P998" s="12"/>
      <c r="T998" s="12"/>
      <c r="X998" s="12"/>
      <c r="AB998" s="12"/>
      <c r="AE998" s="12"/>
      <c r="AH998" s="12"/>
    </row>
    <row r="999">
      <c r="I999" s="12"/>
      <c r="L999" s="12"/>
      <c r="P999" s="12"/>
      <c r="T999" s="12"/>
      <c r="X999" s="12"/>
      <c r="AB999" s="12"/>
      <c r="AE999" s="12"/>
      <c r="AH999" s="12"/>
    </row>
    <row r="1000">
      <c r="I1000" s="12"/>
      <c r="L1000" s="12"/>
      <c r="P1000" s="12"/>
      <c r="T1000" s="12"/>
      <c r="X1000" s="12"/>
      <c r="AB1000" s="12"/>
      <c r="AE1000" s="12"/>
      <c r="AH1000" s="12"/>
    </row>
    <row r="1001">
      <c r="I1001" s="12"/>
      <c r="L1001" s="12"/>
      <c r="P1001" s="12"/>
      <c r="T1001" s="12"/>
      <c r="X1001" s="12"/>
      <c r="AB1001" s="12"/>
      <c r="AE1001" s="12"/>
      <c r="AH1001" s="12"/>
    </row>
    <row r="1002">
      <c r="I1002" s="12"/>
      <c r="L1002" s="12"/>
      <c r="P1002" s="12"/>
      <c r="T1002" s="12"/>
      <c r="X1002" s="12"/>
      <c r="AB1002" s="12"/>
      <c r="AE1002" s="12"/>
      <c r="AH1002" s="12"/>
    </row>
    <row r="1003">
      <c r="I1003" s="12"/>
      <c r="L1003" s="12"/>
      <c r="P1003" s="12"/>
      <c r="T1003" s="12"/>
      <c r="X1003" s="12"/>
      <c r="AB1003" s="12"/>
      <c r="AE1003" s="12"/>
      <c r="AH1003" s="12"/>
    </row>
    <row r="1004">
      <c r="I1004" s="12"/>
      <c r="L1004" s="12"/>
      <c r="P1004" s="12"/>
      <c r="T1004" s="12"/>
      <c r="X1004" s="12"/>
      <c r="AB1004" s="12"/>
      <c r="AE1004" s="12"/>
      <c r="AH1004" s="12"/>
    </row>
    <row r="1005">
      <c r="I1005" s="12"/>
      <c r="L1005" s="12"/>
      <c r="P1005" s="12"/>
      <c r="T1005" s="12"/>
      <c r="X1005" s="12"/>
      <c r="AB1005" s="12"/>
      <c r="AE1005" s="12"/>
      <c r="AH1005" s="12"/>
    </row>
    <row r="1006">
      <c r="I1006" s="12"/>
      <c r="L1006" s="12"/>
      <c r="P1006" s="12"/>
      <c r="T1006" s="12"/>
      <c r="X1006" s="12"/>
      <c r="AB1006" s="12"/>
      <c r="AE1006" s="12"/>
      <c r="AH1006" s="12"/>
    </row>
    <row r="1007">
      <c r="I1007" s="12"/>
      <c r="L1007" s="12"/>
      <c r="P1007" s="12"/>
      <c r="T1007" s="12"/>
      <c r="X1007" s="12"/>
      <c r="AB1007" s="12"/>
      <c r="AE1007" s="12"/>
      <c r="AH1007" s="12"/>
    </row>
    <row r="1008">
      <c r="I1008" s="12"/>
      <c r="L1008" s="12"/>
      <c r="P1008" s="12"/>
      <c r="T1008" s="12"/>
      <c r="X1008" s="12"/>
      <c r="AB1008" s="12"/>
      <c r="AE1008" s="12"/>
      <c r="AH1008" s="12"/>
    </row>
    <row r="1009">
      <c r="I1009" s="12"/>
      <c r="L1009" s="12"/>
      <c r="P1009" s="12"/>
      <c r="T1009" s="12"/>
      <c r="X1009" s="12"/>
      <c r="AB1009" s="12"/>
      <c r="AE1009" s="12"/>
      <c r="AH1009" s="12"/>
    </row>
    <row r="1010">
      <c r="I1010" s="12"/>
      <c r="L1010" s="12"/>
      <c r="P1010" s="12"/>
      <c r="T1010" s="12"/>
      <c r="X1010" s="12"/>
      <c r="AB1010" s="12"/>
      <c r="AE1010" s="12"/>
      <c r="AH1010" s="12"/>
    </row>
    <row r="1011">
      <c r="I1011" s="12"/>
      <c r="L1011" s="12"/>
      <c r="P1011" s="12"/>
      <c r="T1011" s="12"/>
      <c r="X1011" s="12"/>
      <c r="AB1011" s="12"/>
      <c r="AE1011" s="12"/>
      <c r="AH1011" s="12"/>
    </row>
    <row r="1012">
      <c r="I1012" s="12"/>
      <c r="L1012" s="12"/>
      <c r="P1012" s="12"/>
      <c r="T1012" s="12"/>
      <c r="X1012" s="12"/>
      <c r="AB1012" s="12"/>
      <c r="AE1012" s="12"/>
      <c r="AH1012" s="12"/>
    </row>
    <row r="1013">
      <c r="I1013" s="12"/>
      <c r="L1013" s="12"/>
      <c r="P1013" s="12"/>
      <c r="T1013" s="12"/>
      <c r="X1013" s="12"/>
      <c r="AB1013" s="12"/>
      <c r="AE1013" s="12"/>
      <c r="AH1013" s="12"/>
    </row>
    <row r="1014">
      <c r="I1014" s="12"/>
      <c r="L1014" s="12"/>
      <c r="P1014" s="12"/>
      <c r="T1014" s="12"/>
      <c r="X1014" s="12"/>
      <c r="AB1014" s="12"/>
      <c r="AE1014" s="12"/>
      <c r="AH1014" s="12"/>
    </row>
    <row r="1015">
      <c r="I1015" s="12"/>
      <c r="L1015" s="12"/>
      <c r="P1015" s="12"/>
      <c r="T1015" s="12"/>
      <c r="X1015" s="12"/>
      <c r="AB1015" s="12"/>
      <c r="AE1015" s="12"/>
      <c r="AH1015" s="12"/>
    </row>
    <row r="1016">
      <c r="I1016" s="12"/>
      <c r="L1016" s="12"/>
      <c r="P1016" s="12"/>
      <c r="T1016" s="12"/>
      <c r="X1016" s="12"/>
      <c r="AB1016" s="12"/>
      <c r="AE1016" s="12"/>
      <c r="AH1016" s="12"/>
    </row>
    <row r="1017">
      <c r="I1017" s="12"/>
      <c r="L1017" s="12"/>
      <c r="P1017" s="12"/>
      <c r="T1017" s="12"/>
      <c r="X1017" s="12"/>
      <c r="AB1017" s="12"/>
      <c r="AE1017" s="12"/>
      <c r="AH1017" s="12"/>
    </row>
    <row r="1018">
      <c r="I1018" s="12"/>
      <c r="L1018" s="12"/>
      <c r="P1018" s="12"/>
      <c r="T1018" s="12"/>
      <c r="X1018" s="12"/>
      <c r="AB1018" s="12"/>
      <c r="AE1018" s="12"/>
      <c r="AH1018" s="12"/>
    </row>
    <row r="1019">
      <c r="I1019" s="12"/>
      <c r="L1019" s="12"/>
      <c r="P1019" s="12"/>
      <c r="T1019" s="12"/>
      <c r="X1019" s="12"/>
      <c r="AB1019" s="12"/>
      <c r="AE1019" s="12"/>
      <c r="AH1019" s="12"/>
    </row>
    <row r="1020">
      <c r="I1020" s="12"/>
      <c r="L1020" s="12"/>
      <c r="P1020" s="12"/>
      <c r="T1020" s="12"/>
      <c r="X1020" s="12"/>
      <c r="AB1020" s="12"/>
      <c r="AE1020" s="12"/>
      <c r="AH1020" s="12"/>
    </row>
    <row r="1021">
      <c r="I1021" s="12"/>
      <c r="L1021" s="12"/>
      <c r="P1021" s="12"/>
      <c r="T1021" s="12"/>
      <c r="X1021" s="12"/>
      <c r="AB1021" s="12"/>
      <c r="AE1021" s="12"/>
      <c r="AH1021" s="12"/>
    </row>
    <row r="1022">
      <c r="I1022" s="12"/>
      <c r="L1022" s="12"/>
      <c r="P1022" s="12"/>
      <c r="T1022" s="12"/>
      <c r="X1022" s="12"/>
      <c r="AB1022" s="12"/>
      <c r="AE1022" s="12"/>
      <c r="AH1022" s="12"/>
    </row>
    <row r="1023">
      <c r="I1023" s="12"/>
      <c r="L1023" s="12"/>
      <c r="P1023" s="12"/>
      <c r="T1023" s="12"/>
      <c r="X1023" s="12"/>
      <c r="AB1023" s="12"/>
      <c r="AE1023" s="12"/>
      <c r="AH1023" s="12"/>
    </row>
    <row r="1024">
      <c r="I1024" s="12"/>
      <c r="L1024" s="12"/>
      <c r="P1024" s="12"/>
      <c r="T1024" s="12"/>
      <c r="X1024" s="12"/>
      <c r="AB1024" s="12"/>
      <c r="AE1024" s="12"/>
      <c r="AH1024" s="12"/>
    </row>
  </sheetData>
  <mergeCells count="12">
    <mergeCell ref="E2:G2"/>
    <mergeCell ref="E1:G1"/>
    <mergeCell ref="H1:J1"/>
    <mergeCell ref="H2:J2"/>
    <mergeCell ref="H3:J3"/>
    <mergeCell ref="C4:D4"/>
    <mergeCell ref="B7:D7"/>
    <mergeCell ref="B6:D6"/>
    <mergeCell ref="C5:D5"/>
    <mergeCell ref="C9:D9"/>
    <mergeCell ref="A1:D3"/>
    <mergeCell ref="E3:G3"/>
  </mergeCells>
  <conditionalFormatting sqref="AE1:AH3">
    <cfRule type="cellIs" dxfId="1" priority="1" operator="equal">
      <formula>"n/a"</formula>
    </cfRule>
  </conditionalFormatting>
  <hyperlinks>
    <hyperlink display="ILC1110" location="ILC1110!A1" ref="A12"/>
    <hyperlink display="ILC1111" location="ILC1111!A1" ref="A13"/>
    <hyperlink display="ILC1112" location="ILC1112!A1" ref="A14"/>
    <hyperlink display="ILC1211" location="ILC1211!A1" ref="A15"/>
    <hyperlink display="ILC1213" location="ILC1213!A1" ref="A16"/>
    <hyperlink display="ILC1314" location="ILC1314!A1" ref="A17"/>
    <hyperlink display="ILC1404" location="ILC1404!A1" ref="A18"/>
    <hyperlink display="ILC2203" location="ILC2203!A1" ref="A19"/>
    <hyperlink display="ILC2206" location="ILC2206!A1" ref="A20"/>
    <hyperlink display="ILC2303" location="ILC2303!A1" ref="A21"/>
    <hyperlink display="ILC2307" location="ILC2307!A1" ref="A22"/>
    <hyperlink display="ILC2313" location="ILC2313!A1" ref="A23"/>
    <hyperlink display="ILC2412" location="ILC2412!A1" ref="A24"/>
    <hyperlink display="ILC2413" location="ILC2413!A1" ref="A25"/>
    <hyperlink display="ILC3104" location="ILC3104!A1" ref="A26"/>
    <hyperlink display="ILC3310" location="ILC3310!A1" ref="A27"/>
    <hyperlink display="ILC3312" location="ILC3312!A1" ref="A28"/>
    <hyperlink display="ILC3413" location="null!A1" ref="A29"/>
    <hyperlink display="ILC3415" location="null!A1" ref="A30"/>
    <hyperlink display="ILC4406" location="ILC4406!A1" ref="A31"/>
    <hyperlink display="ILC4410" location="ILC4410!A1" ref="A32"/>
    <hyperlink display="JBV455" location="JBV455!A1" ref="A33"/>
    <hyperlink display="JBV462" location="JBV462!A1" ref="A34"/>
    <hyperlink display="JBV464" location="JBV464!A1" ref="A35"/>
    <hyperlink display="VDI208" location="VDI208!A1" ref="A36"/>
    <hyperlink display="STO2206" location="STO2206!A1" ref="A37"/>
  </hyperlink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0"/>
    <col customWidth="1" min="2" max="2" width="10.71"/>
    <col customWidth="1" min="3" max="3" width="7.71"/>
    <col customWidth="1" min="4" max="4" width="9.71"/>
    <col customWidth="1" min="5" max="8" width="8.57"/>
    <col customWidth="1" min="9" max="11" width="8.29"/>
    <col customWidth="1" min="12" max="12" width="8.57"/>
    <col customWidth="1" min="13" max="13" width="10.57"/>
    <col customWidth="1" min="14" max="29" width="8.57"/>
  </cols>
  <sheetData>
    <row r="1">
      <c r="A1" s="1"/>
      <c r="B1" s="7"/>
      <c r="C1" s="7"/>
      <c r="D1" s="7"/>
      <c r="E1" s="106"/>
      <c r="F1" s="7"/>
      <c r="G1" s="7"/>
      <c r="H1" s="7"/>
      <c r="I1" s="7"/>
      <c r="J1" s="7"/>
      <c r="K1" s="8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</row>
    <row r="2">
      <c r="A2" s="16"/>
      <c r="B2" s="18"/>
      <c r="C2" s="18"/>
      <c r="D2" s="18"/>
      <c r="E2" s="107"/>
      <c r="F2" s="18"/>
      <c r="G2" s="18"/>
      <c r="H2" s="18"/>
      <c r="I2" s="18"/>
      <c r="J2" s="18"/>
      <c r="K2" s="2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</row>
    <row r="3">
      <c r="A3" s="23"/>
      <c r="B3" s="25"/>
      <c r="C3" s="25"/>
      <c r="D3" s="25"/>
      <c r="E3" s="108"/>
      <c r="F3" s="25"/>
      <c r="G3" s="25"/>
      <c r="H3" s="25"/>
      <c r="I3" s="25"/>
      <c r="J3" s="25"/>
      <c r="K3" s="27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31"/>
      <c r="Z3" s="31"/>
      <c r="AA3" s="31"/>
      <c r="AB3" s="31"/>
      <c r="AC3" s="31"/>
    </row>
    <row r="4">
      <c r="A4" s="4"/>
      <c r="B4" s="4"/>
      <c r="C4" s="28"/>
      <c r="D4" s="28"/>
      <c r="E4" s="109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</row>
    <row r="5">
      <c r="A5" s="42" t="s">
        <v>21</v>
      </c>
      <c r="B5" s="45" t="s">
        <v>33</v>
      </c>
      <c r="C5" s="45" t="s">
        <v>151</v>
      </c>
      <c r="D5" s="45" t="s">
        <v>152</v>
      </c>
      <c r="E5" s="111" t="s">
        <v>45</v>
      </c>
      <c r="F5" s="45" t="s">
        <v>47</v>
      </c>
      <c r="G5" s="45" t="s">
        <v>51</v>
      </c>
      <c r="H5" s="111" t="s">
        <v>55</v>
      </c>
      <c r="I5" s="111" t="s">
        <v>57</v>
      </c>
      <c r="J5" s="111" t="s">
        <v>56</v>
      </c>
      <c r="K5" s="111" t="s">
        <v>58</v>
      </c>
      <c r="L5" s="111" t="s">
        <v>62</v>
      </c>
      <c r="M5" s="111" t="s">
        <v>64</v>
      </c>
      <c r="N5" s="111" t="s">
        <v>65</v>
      </c>
      <c r="O5" s="111" t="s">
        <v>68</v>
      </c>
      <c r="P5" s="111" t="s">
        <v>70</v>
      </c>
      <c r="Q5" s="111" t="s">
        <v>72</v>
      </c>
      <c r="R5" s="111" t="s">
        <v>74</v>
      </c>
      <c r="S5" s="111" t="s">
        <v>75</v>
      </c>
      <c r="T5" s="111" t="s">
        <v>78</v>
      </c>
      <c r="U5" s="112" t="str">
        <f>#REF!</f>
        <v>#REF!</v>
      </c>
      <c r="V5" s="111" t="s">
        <v>79</v>
      </c>
      <c r="W5" s="111" t="s">
        <v>80</v>
      </c>
      <c r="X5" s="111" t="s">
        <v>81</v>
      </c>
      <c r="Y5" s="111" t="s">
        <v>82</v>
      </c>
      <c r="Z5" s="111" t="s">
        <v>85</v>
      </c>
      <c r="AA5" s="112" t="str">
        <f>#REF!</f>
        <v>#REF!</v>
      </c>
      <c r="AB5" s="111" t="s">
        <v>86</v>
      </c>
      <c r="AC5" s="111" t="s">
        <v>87</v>
      </c>
    </row>
    <row r="6" hidden="1">
      <c r="A6" s="67" t="str">
        <f t="shared" ref="A6:A12" si="1">CHOOSE(weekday(B6),"Sun","Mon","Tue","Wed","Thu","Fri","Sat")</f>
        <v>Mon</v>
      </c>
      <c r="B6" s="69">
        <v>43451.0</v>
      </c>
      <c r="C6" s="12"/>
      <c r="D6" s="12"/>
      <c r="E6" s="114" t="str">
        <f>if(vlookup(B:B,'ILC1211'!$B9:F8448,5,false)="","Y","N")</f>
        <v>Y</v>
      </c>
      <c r="F6" s="12"/>
      <c r="G6" s="12"/>
      <c r="H6" s="12" t="str">
        <f>if(vlookup(B:B,'ILC1404'!B9:F8171,5,false)="","Y","N")</f>
        <v>N</v>
      </c>
      <c r="I6" s="12"/>
      <c r="J6" s="12"/>
      <c r="K6" s="12" t="str">
        <f>if(vlookup(B:B,'ILC2303'!B9:F8448,5,false)="","Y","N")</f>
        <v>N</v>
      </c>
      <c r="L6" s="12" t="str">
        <f>if(vlookup(B:B,'ILC2307'!B9:F8964,5,false)="","Y","N")</f>
        <v>N</v>
      </c>
      <c r="M6" s="12" t="str">
        <f>if(vlookup(B:B,'ILC2313'!B9:F8603,5,false)="","Y","N")</f>
        <v>N</v>
      </c>
      <c r="N6" s="12" t="str">
        <f>if(vlookup(B:B,'ILC2412'!B9:F8448,5,false)="","Y","N")</f>
        <v>N</v>
      </c>
      <c r="O6" s="12" t="str">
        <f>if(vlookup(B:B,'ILC2413'!B9:F8946,5,false)="","Y","N")</f>
        <v>N</v>
      </c>
      <c r="P6" s="12" t="str">
        <f>if(vlookup(B:B,'ILC3104'!B9:F8491,5,false)="","Y","N")</f>
        <v>Y</v>
      </c>
      <c r="Q6" s="12"/>
      <c r="R6" s="12" t="str">
        <f>if(vlookup(B:B,'ILC3312'!B9:F8448,5,false)="","Y","N")</f>
        <v>N</v>
      </c>
      <c r="S6" s="12" t="str">
        <f t="shared" ref="S6:S12" si="2">if(vlookup(E:E,'ILC3315'!F9:J8448,5,false)="","Y","N")</f>
        <v>#REF!</v>
      </c>
      <c r="T6" s="12"/>
      <c r="U6" s="12" t="str">
        <f t="shared" ref="U6:U12" si="3">if(vlookup(H:H,'ILC3315'!H9:L8448,5,false)="","Y","N")</f>
        <v>#REF!</v>
      </c>
      <c r="V6" s="12"/>
      <c r="W6" s="12" t="str">
        <f>if(vlookup(B:B,'ILC4410'!B9:F8615,5,false)="","Y","N")</f>
        <v>N</v>
      </c>
      <c r="X6" s="12" t="str">
        <f>if(vlookup(B:B,'JBV455'!B9:F8955,5,false)="","Y","N")</f>
        <v>N</v>
      </c>
      <c r="Y6" s="12" t="str">
        <f>if(vlookup(B:B,'JBV462'!B9:F8448,5,false)="","Y","N")</f>
        <v>Y</v>
      </c>
      <c r="Z6" s="12"/>
      <c r="AA6" s="12" t="str">
        <f>if(vlookup(B:B,'JBV464'!B9:F8448,5,false)="","Y","N")</f>
        <v>Y</v>
      </c>
      <c r="AB6" s="12"/>
      <c r="AC6" s="12"/>
    </row>
    <row r="7" hidden="1">
      <c r="A7" s="67" t="str">
        <f t="shared" si="1"/>
        <v>Tue</v>
      </c>
      <c r="B7" s="69">
        <v>43452.0</v>
      </c>
      <c r="C7" s="12"/>
      <c r="D7" s="12"/>
      <c r="E7" s="114" t="str">
        <f>if(vlookup(B:B,'ILC1211'!$B10:F8449,5,false)="","Y","N")</f>
        <v>Y</v>
      </c>
      <c r="F7" s="12"/>
      <c r="G7" s="12"/>
      <c r="H7" s="12" t="str">
        <f>if(vlookup(B:B,'ILC1404'!B10:F8172,5,false)="","Y","N")</f>
        <v>N</v>
      </c>
      <c r="I7" s="12"/>
      <c r="J7" s="12"/>
      <c r="K7" s="12" t="str">
        <f>if(vlookup(B:B,'ILC2303'!B10:F8449,5,false)="","Y","N")</f>
        <v>N</v>
      </c>
      <c r="L7" s="12" t="str">
        <f>if(vlookup(B:B,'ILC2307'!B10:F8965,5,false)="","Y","N")</f>
        <v>N</v>
      </c>
      <c r="M7" s="12" t="str">
        <f>if(vlookup(B:B,'ILC2313'!B10:F8604,5,false)="","Y","N")</f>
        <v>N</v>
      </c>
      <c r="N7" s="12" t="str">
        <f>if(vlookup(B:B,'ILC2412'!B10:F8449,5,false)="","Y","N")</f>
        <v>N</v>
      </c>
      <c r="O7" s="12" t="str">
        <f>if(vlookup(B:B,'ILC2413'!B10:F8947,5,false)="","Y","N")</f>
        <v>N</v>
      </c>
      <c r="P7" s="12" t="str">
        <f>if(vlookup(B:B,'ILC3104'!B10:F8492,5,false)="","Y","N")</f>
        <v>N</v>
      </c>
      <c r="Q7" s="12"/>
      <c r="R7" s="12" t="str">
        <f>if(vlookup(B:B,'ILC3312'!B10:F8449,5,false)="","Y","N")</f>
        <v>N</v>
      </c>
      <c r="S7" s="12" t="str">
        <f t="shared" si="2"/>
        <v>#REF!</v>
      </c>
      <c r="T7" s="12"/>
      <c r="U7" s="12" t="str">
        <f t="shared" si="3"/>
        <v>#REF!</v>
      </c>
      <c r="V7" s="12"/>
      <c r="W7" s="12" t="str">
        <f>if(vlookup(B:B,'ILC4410'!B10:F8616,5,false)="","Y","N")</f>
        <v>N</v>
      </c>
      <c r="X7" s="12" t="str">
        <f>if(vlookup(B:B,'JBV455'!B10:F8956,5,false)="","Y","N")</f>
        <v>N</v>
      </c>
      <c r="Y7" s="12" t="str">
        <f>if(vlookup(B:B,'JBV462'!B10:F8449,5,false)="","Y","N")</f>
        <v>Y</v>
      </c>
      <c r="Z7" s="12"/>
      <c r="AA7" s="12" t="str">
        <f>if(vlookup(B:B,'JBV464'!B10:F8449,5,false)="","Y","N")</f>
        <v>Y</v>
      </c>
      <c r="AB7" s="12"/>
      <c r="AC7" s="12"/>
    </row>
    <row r="8" hidden="1">
      <c r="A8" s="67" t="str">
        <f t="shared" si="1"/>
        <v>Wed</v>
      </c>
      <c r="B8" s="69">
        <v>43453.0</v>
      </c>
      <c r="C8" s="12"/>
      <c r="D8" s="12"/>
      <c r="E8" s="114" t="str">
        <f>if(vlookup(B:B,'ILC1211'!$B11:F8450,5,false)="","Y","N")</f>
        <v>N</v>
      </c>
      <c r="F8" s="12"/>
      <c r="G8" s="12"/>
      <c r="H8" s="12" t="str">
        <f>if(vlookup(B:B,'ILC1404'!B11:F8173,5,false)="","Y","N")</f>
        <v>N</v>
      </c>
      <c r="I8" s="12"/>
      <c r="J8" s="12"/>
      <c r="K8" s="12" t="str">
        <f>if(vlookup(B:B,'ILC2303'!B11:F8450,5,false)="","Y","N")</f>
        <v>N</v>
      </c>
      <c r="L8" s="12" t="str">
        <f>if(vlookup(B:B,'ILC2307'!B11:F8966,5,false)="","Y","N")</f>
        <v>N</v>
      </c>
      <c r="M8" s="12" t="str">
        <f>if(vlookup(B:B,'ILC2313'!B11:F8605,5,false)="","Y","N")</f>
        <v>N</v>
      </c>
      <c r="N8" s="12" t="str">
        <f>if(vlookup(B:B,'ILC2412'!B11:F8450,5,false)="","Y","N")</f>
        <v>N</v>
      </c>
      <c r="O8" s="12" t="str">
        <f>if(vlookup(B:B,'ILC2413'!B11:F8948,5,false)="","Y","N")</f>
        <v>N</v>
      </c>
      <c r="P8" s="12" t="str">
        <f>if(vlookup(B:B,'ILC3104'!B11:F8493,5,false)="","Y","N")</f>
        <v>N</v>
      </c>
      <c r="Q8" s="12"/>
      <c r="R8" s="12" t="str">
        <f>if(vlookup(B:B,'ILC3312'!B11:F8450,5,false)="","Y","N")</f>
        <v>N</v>
      </c>
      <c r="S8" s="12" t="str">
        <f t="shared" si="2"/>
        <v>#REF!</v>
      </c>
      <c r="T8" s="12"/>
      <c r="U8" s="12" t="str">
        <f t="shared" si="3"/>
        <v>#REF!</v>
      </c>
      <c r="V8" s="12"/>
      <c r="W8" s="12" t="str">
        <f>if(vlookup(B:B,'ILC4410'!B11:F8617,5,false)="","Y","N")</f>
        <v>N</v>
      </c>
      <c r="X8" s="12" t="str">
        <f>if(vlookup(B:B,'JBV455'!B11:F8957,5,false)="","Y","N")</f>
        <v>N</v>
      </c>
      <c r="Y8" s="12" t="str">
        <f>if(vlookup(B:B,'JBV462'!B11:F8450,5,false)="","Y","N")</f>
        <v>Y</v>
      </c>
      <c r="Z8" s="12"/>
      <c r="AA8" s="12" t="str">
        <f>if(vlookup(B:B,'JBV464'!B11:F8450,5,false)="","Y","N")</f>
        <v>N</v>
      </c>
      <c r="AB8" s="12"/>
      <c r="AC8" s="12"/>
    </row>
    <row r="9" hidden="1">
      <c r="A9" s="67" t="str">
        <f t="shared" si="1"/>
        <v>Thu</v>
      </c>
      <c r="B9" s="69">
        <v>43454.0</v>
      </c>
      <c r="C9" s="12"/>
      <c r="D9" s="12"/>
      <c r="E9" s="114" t="str">
        <f>if(vlookup(B:B,'ILC1211'!$B12:F8451,5,false)="","Y","N")</f>
        <v>N</v>
      </c>
      <c r="F9" s="12"/>
      <c r="G9" s="12"/>
      <c r="H9" s="12" t="str">
        <f>if(vlookup(B:B,'ILC1404'!B12:F8174,5,false)="","Y","N")</f>
        <v>N</v>
      </c>
      <c r="I9" s="12"/>
      <c r="J9" s="12"/>
      <c r="K9" s="12" t="str">
        <f>if(vlookup(B:B,'ILC2303'!B12:F8451,5,false)="","Y","N")</f>
        <v>N</v>
      </c>
      <c r="L9" s="12" t="str">
        <f>if(vlookup(B:B,'ILC2307'!B12:F8967,5,false)="","Y","N")</f>
        <v>N</v>
      </c>
      <c r="M9" s="12" t="str">
        <f>if(vlookup(B:B,'ILC2313'!B12:F8606,5,false)="","Y","N")</f>
        <v>N</v>
      </c>
      <c r="N9" s="12" t="str">
        <f>if(vlookup(B:B,'ILC2412'!B12:F8451,5,false)="","Y","N")</f>
        <v>N</v>
      </c>
      <c r="O9" s="12" t="str">
        <f>if(vlookup(B:B,'ILC2413'!B12:F8949,5,false)="","Y","N")</f>
        <v>N</v>
      </c>
      <c r="P9" s="12" t="str">
        <f>if(vlookup(B:B,'ILC3104'!B12:F8494,5,false)="","Y","N")</f>
        <v>N</v>
      </c>
      <c r="Q9" s="12"/>
      <c r="R9" s="12" t="str">
        <f>if(vlookup(B:B,'ILC3312'!B12:F8451,5,false)="","Y","N")</f>
        <v>N</v>
      </c>
      <c r="S9" s="12" t="str">
        <f t="shared" si="2"/>
        <v>#REF!</v>
      </c>
      <c r="T9" s="12"/>
      <c r="U9" s="12" t="str">
        <f t="shared" si="3"/>
        <v>#REF!</v>
      </c>
      <c r="V9" s="12"/>
      <c r="W9" s="12" t="str">
        <f>if(vlookup(B:B,'ILC4410'!B12:F8618,5,false)="","Y","N")</f>
        <v>N</v>
      </c>
      <c r="X9" s="12" t="str">
        <f>if(vlookup(B:B,'JBV455'!B12:F8958,5,false)="","Y","N")</f>
        <v>N</v>
      </c>
      <c r="Y9" s="12" t="str">
        <f>if(vlookup(B:B,'JBV462'!B12:F8451,5,false)="","Y","N")</f>
        <v>N</v>
      </c>
      <c r="Z9" s="12"/>
      <c r="AA9" s="12" t="str">
        <f>if(vlookup(B:B,'JBV464'!B12:F8451,5,false)="","Y","N")</f>
        <v>N</v>
      </c>
      <c r="AB9" s="12"/>
      <c r="AC9" s="12"/>
    </row>
    <row r="10" hidden="1">
      <c r="A10" s="67" t="str">
        <f t="shared" si="1"/>
        <v>Fri</v>
      </c>
      <c r="B10" s="69">
        <v>43455.0</v>
      </c>
      <c r="C10" s="12"/>
      <c r="D10" s="12"/>
      <c r="E10" s="114" t="str">
        <f>if(vlookup(B:B,'ILC1211'!$B13:F8452,5,false)="","Y","N")</f>
        <v>N</v>
      </c>
      <c r="F10" s="12"/>
      <c r="G10" s="12"/>
      <c r="H10" s="12" t="str">
        <f>if(vlookup(B:B,'ILC1404'!B13:F8175,5,false)="","Y","N")</f>
        <v>N</v>
      </c>
      <c r="I10" s="12"/>
      <c r="J10" s="12"/>
      <c r="K10" s="12" t="str">
        <f>if(vlookup(B:B,'ILC2303'!B13:F8452,5,false)="","Y","N")</f>
        <v>N</v>
      </c>
      <c r="L10" s="12" t="str">
        <f>if(vlookup(B:B,'ILC2307'!B13:F8968,5,false)="","Y","N")</f>
        <v>N</v>
      </c>
      <c r="M10" s="12" t="str">
        <f>if(vlookup(B:B,'ILC2313'!B13:F8607,5,false)="","Y","N")</f>
        <v>N</v>
      </c>
      <c r="N10" s="12" t="str">
        <f>if(vlookup(B:B,'ILC2412'!B13:F8452,5,false)="","Y","N")</f>
        <v>N</v>
      </c>
      <c r="O10" s="12" t="str">
        <f>if(vlookup(B:B,'ILC2413'!B13:F8950,5,false)="","Y","N")</f>
        <v>N</v>
      </c>
      <c r="P10" s="12" t="str">
        <f>if(vlookup(B:B,'ILC3104'!B13:F8495,5,false)="","Y","N")</f>
        <v>N</v>
      </c>
      <c r="Q10" s="12"/>
      <c r="R10" s="12" t="str">
        <f>if(vlookup(B:B,'ILC3312'!B13:F8452,5,false)="","Y","N")</f>
        <v>N</v>
      </c>
      <c r="S10" s="12" t="str">
        <f t="shared" si="2"/>
        <v>#REF!</v>
      </c>
      <c r="T10" s="12"/>
      <c r="U10" s="12" t="str">
        <f t="shared" si="3"/>
        <v>#REF!</v>
      </c>
      <c r="V10" s="12"/>
      <c r="W10" s="12" t="str">
        <f>if(vlookup(B:B,'ILC4410'!B13:F8619,5,false)="","Y","N")</f>
        <v>N</v>
      </c>
      <c r="X10" s="12" t="str">
        <f>if(vlookup(B:B,'JBV455'!B13:F8959,5,false)="","Y","N")</f>
        <v>N</v>
      </c>
      <c r="Y10" s="12" t="str">
        <f>if(vlookup(B:B,'JBV462'!B13:F8452,5,false)="","Y","N")</f>
        <v>N</v>
      </c>
      <c r="Z10" s="12"/>
      <c r="AA10" s="12" t="str">
        <f>if(vlookup(B:B,'JBV464'!B13:F8452,5,false)="","Y","N")</f>
        <v>N</v>
      </c>
      <c r="AB10" s="12"/>
      <c r="AC10" s="12"/>
    </row>
    <row r="11" hidden="1">
      <c r="A11" s="67" t="str">
        <f t="shared" si="1"/>
        <v>Sat</v>
      </c>
      <c r="B11" s="69">
        <v>43456.0</v>
      </c>
      <c r="C11" s="12"/>
      <c r="D11" s="12"/>
      <c r="E11" s="114" t="str">
        <f>if(vlookup(B:B,'ILC1211'!$B14:F8453,5,false)="","Y","N")</f>
        <v>N</v>
      </c>
      <c r="F11" s="12"/>
      <c r="G11" s="12"/>
      <c r="H11" s="12" t="str">
        <f>if(vlookup(B:B,'ILC1404'!B14:F8176,5,false)="","Y","N")</f>
        <v>N</v>
      </c>
      <c r="I11" s="12"/>
      <c r="J11" s="12"/>
      <c r="K11" s="12" t="str">
        <f>if(vlookup(B:B,'ILC2303'!B14:F8453,5,false)="","Y","N")</f>
        <v>N</v>
      </c>
      <c r="L11" s="12" t="str">
        <f>if(vlookup(B:B,'ILC2307'!B14:F8969,5,false)="","Y","N")</f>
        <v>N</v>
      </c>
      <c r="M11" s="12" t="str">
        <f>if(vlookup(B:B,'ILC2313'!B14:F8608,5,false)="","Y","N")</f>
        <v>N</v>
      </c>
      <c r="N11" s="12" t="str">
        <f>if(vlookup(B:B,'ILC2412'!B14:F8453,5,false)="","Y","N")</f>
        <v>N</v>
      </c>
      <c r="O11" s="12" t="str">
        <f>if(vlookup(B:B,'ILC2413'!B14:F8951,5,false)="","Y","N")</f>
        <v>N</v>
      </c>
      <c r="P11" s="12" t="str">
        <f>if(vlookup(B:B,'ILC3104'!B14:F8496,5,false)="","Y","N")</f>
        <v>N</v>
      </c>
      <c r="Q11" s="12"/>
      <c r="R11" s="12" t="str">
        <f>if(vlookup(B:B,'ILC3312'!B14:F8453,5,false)="","Y","N")</f>
        <v>N</v>
      </c>
      <c r="S11" s="12" t="str">
        <f t="shared" si="2"/>
        <v>#REF!</v>
      </c>
      <c r="T11" s="12"/>
      <c r="U11" s="12" t="str">
        <f t="shared" si="3"/>
        <v>#REF!</v>
      </c>
      <c r="V11" s="12"/>
      <c r="W11" s="12" t="str">
        <f>if(vlookup(B:B,'ILC4410'!B14:F8620,5,false)="","Y","N")</f>
        <v>N</v>
      </c>
      <c r="X11" s="12" t="str">
        <f>if(vlookup(B:B,'JBV455'!B14:F8960,5,false)="","Y","N")</f>
        <v>N</v>
      </c>
      <c r="Y11" s="12" t="str">
        <f>if(vlookup(B:B,'JBV462'!B14:F8453,5,false)="","Y","N")</f>
        <v>N</v>
      </c>
      <c r="Z11" s="12"/>
      <c r="AA11" s="12" t="str">
        <f>if(vlookup(B:B,'JBV464'!B14:F8453,5,false)="","Y","N")</f>
        <v>N</v>
      </c>
      <c r="AB11" s="12"/>
      <c r="AC11" s="12"/>
    </row>
    <row r="12" hidden="1">
      <c r="A12" s="67" t="str">
        <f t="shared" si="1"/>
        <v>Sun</v>
      </c>
      <c r="B12" s="69">
        <v>43457.0</v>
      </c>
      <c r="C12" s="12"/>
      <c r="D12" s="12"/>
      <c r="E12" s="114" t="str">
        <f>if(vlookup(B:B,'ILC1211'!$B15:F8454,5,false)="","Y","N")</f>
        <v>N</v>
      </c>
      <c r="F12" s="12"/>
      <c r="G12" s="12"/>
      <c r="H12" s="12" t="str">
        <f>if(vlookup(B:B,'ILC1404'!B15:F8177,5,false)="","Y","N")</f>
        <v>N</v>
      </c>
      <c r="I12" s="12"/>
      <c r="J12" s="12"/>
      <c r="K12" s="12" t="str">
        <f>if(vlookup(B:B,'ILC2303'!B15:F8454,5,false)="","Y","N")</f>
        <v>N</v>
      </c>
      <c r="L12" s="12" t="str">
        <f>if(vlookup(B:B,'ILC2307'!B15:F8970,5,false)="","Y","N")</f>
        <v>N</v>
      </c>
      <c r="M12" s="12" t="str">
        <f>if(vlookup(B:B,'ILC2313'!B15:F8609,5,false)="","Y","N")</f>
        <v>N</v>
      </c>
      <c r="N12" s="12" t="str">
        <f>if(vlookup(B:B,'ILC2412'!B15:F8454,5,false)="","Y","N")</f>
        <v>N</v>
      </c>
      <c r="O12" s="12" t="str">
        <f>if(vlookup(B:B,'ILC2413'!B15:F8952,5,false)="","Y","N")</f>
        <v>N</v>
      </c>
      <c r="P12" s="12" t="str">
        <f>if(vlookup(B:B,'ILC3104'!B15:F8497,5,false)="","Y","N")</f>
        <v>N</v>
      </c>
      <c r="Q12" s="12"/>
      <c r="R12" s="12" t="str">
        <f>if(vlookup(B:B,'ILC3312'!B15:F8454,5,false)="","Y","N")</f>
        <v>N</v>
      </c>
      <c r="S12" s="12" t="str">
        <f t="shared" si="2"/>
        <v>#REF!</v>
      </c>
      <c r="T12" s="12"/>
      <c r="U12" s="12" t="str">
        <f t="shared" si="3"/>
        <v>#REF!</v>
      </c>
      <c r="V12" s="12"/>
      <c r="W12" s="12" t="str">
        <f>if(vlookup(B:B,'ILC4410'!B15:F8621,5,false)="","Y","N")</f>
        <v>N</v>
      </c>
      <c r="X12" s="12" t="str">
        <f>if(vlookup(B:B,'JBV455'!B15:F8961,5,false)="","Y","N")</f>
        <v>N</v>
      </c>
      <c r="Y12" s="12" t="str">
        <f>if(vlookup(B:B,'JBV462'!B15:F8454,5,false)="","Y","N")</f>
        <v>N</v>
      </c>
      <c r="Z12" s="12"/>
      <c r="AA12" s="12" t="str">
        <f>if(vlookup(B:B,'JBV464'!B15:F8454,5,false)="","Y","N")</f>
        <v>N</v>
      </c>
      <c r="AB12" s="12"/>
      <c r="AC12" s="12"/>
    </row>
    <row r="13" hidden="1">
      <c r="A13" s="115">
        <v>31.0</v>
      </c>
      <c r="B13" s="116">
        <v>42339.0</v>
      </c>
      <c r="C13" s="109">
        <v>0.9</v>
      </c>
      <c r="D13" s="117">
        <v>469.4</v>
      </c>
      <c r="E13" s="114">
        <f>IFERROR(__xludf.DUMMYFUNCTION("(COUNT(filter('ILC1211'!$D:$D,month('ILC1211'!$B:$B)=month(B13),year('ILC1211'!$B:$B)=year(B13))))/A13"),0.0)</f>
        <v>0</v>
      </c>
      <c r="F13" s="114"/>
      <c r="G13" s="114"/>
      <c r="H13" s="114">
        <f>IFERROR(__xludf.DUMMYFUNCTION("(COUNT(filter('ILC1404'!$D:$D,month('ILC1404'!$B:$B)=month(B13),year('ILC1404'!$B:$B)=year(B13))))/A13"),0.0)</f>
        <v>0</v>
      </c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</row>
    <row r="14" hidden="1">
      <c r="A14" s="115">
        <v>31.0</v>
      </c>
      <c r="B14" s="116">
        <v>42370.0</v>
      </c>
      <c r="C14" s="109">
        <v>0.9</v>
      </c>
      <c r="D14" s="117">
        <v>747.72</v>
      </c>
      <c r="E14" s="114">
        <f>IFERROR(__xludf.DUMMYFUNCTION("(COUNT(filter('ILC1211'!$D:$D,month('ILC1211'!$B:$B)=month(B14),year('ILC1211'!$B:$B)=year(B14))))/A14"),0.0)</f>
        <v>0</v>
      </c>
      <c r="F14" s="114"/>
      <c r="G14" s="114"/>
      <c r="H14" s="114">
        <f>IFERROR(__xludf.DUMMYFUNCTION("(COUNT(filter('ILC1404'!$D:$D,month('ILC1404'!$B:$B)=month(B14),year('ILC1404'!$B:$B)=year(B14))))/A14"),0.0)</f>
        <v>0</v>
      </c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</row>
    <row r="15" hidden="1">
      <c r="A15" s="115">
        <v>28.0</v>
      </c>
      <c r="B15" s="116">
        <v>42401.0</v>
      </c>
      <c r="C15" s="109">
        <v>0.88</v>
      </c>
      <c r="D15" s="117">
        <v>638.18</v>
      </c>
      <c r="E15" s="114">
        <f>IFERROR(__xludf.DUMMYFUNCTION("(COUNT(filter('ILC1211'!$D:$D,month('ILC1211'!$B:$B)=month(B15),year('ILC1211'!$B:$B)=year(B15))))/A15"),0.0)</f>
        <v>0</v>
      </c>
      <c r="F15" s="114"/>
      <c r="G15" s="114"/>
      <c r="H15" s="114">
        <f>IFERROR(__xludf.DUMMYFUNCTION("(COUNT(filter('ILC1404'!$D:$D,month('ILC1404'!$B:$B)=month(B15),year('ILC1404'!$B:$B)=year(B15))))/A15"),0.0)</f>
        <v>0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</row>
    <row r="16" hidden="1">
      <c r="A16" s="115">
        <v>31.0</v>
      </c>
      <c r="B16" s="116">
        <v>42430.0</v>
      </c>
      <c r="C16" s="109">
        <v>0.76</v>
      </c>
      <c r="D16" s="117">
        <v>323.29</v>
      </c>
      <c r="E16" s="114">
        <f>IFERROR(__xludf.DUMMYFUNCTION("(COUNT(filter('ILC1211'!$D:$D,month('ILC1211'!$B:$B)=month(B16),year('ILC1211'!$B:$B)=year(B16))))/A16"),0.0)</f>
        <v>0</v>
      </c>
      <c r="F16" s="114"/>
      <c r="G16" s="114"/>
      <c r="H16" s="114">
        <f>IFERROR(__xludf.DUMMYFUNCTION("(COUNT(filter('ILC1404'!$D:$D,month('ILC1404'!$B:$B)=month(B16),year('ILC1404'!$B:$B)=year(B16))))/A16"),0.0)</f>
        <v>0</v>
      </c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</row>
    <row r="17" hidden="1">
      <c r="A17" s="115">
        <v>30.0</v>
      </c>
      <c r="B17" s="116">
        <v>42461.0</v>
      </c>
      <c r="C17" s="109">
        <v>0.77</v>
      </c>
      <c r="D17" s="117">
        <v>244.72</v>
      </c>
      <c r="E17" s="114">
        <f>IFERROR(__xludf.DUMMYFUNCTION("(COUNT(filter('ILC1211'!$D:$D,month('ILC1211'!$B:$B)=month(B17),year('ILC1211'!$B:$B)=year(B17))))/A17"),0.0)</f>
        <v>0</v>
      </c>
      <c r="F17" s="114"/>
      <c r="G17" s="114"/>
      <c r="H17" s="114">
        <f>IFERROR(__xludf.DUMMYFUNCTION("(COUNT(filter('ILC1404'!$D:$D,month('ILC1404'!$B:$B)=month(B17),year('ILC1404'!$B:$B)=year(B17))))/A17"),0.0)</f>
        <v>0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</row>
    <row r="18" hidden="1">
      <c r="A18" s="115">
        <v>31.0</v>
      </c>
      <c r="B18" s="116">
        <v>42491.0</v>
      </c>
      <c r="C18" s="109">
        <v>0.74</v>
      </c>
      <c r="D18" s="117">
        <v>285.91</v>
      </c>
      <c r="E18" s="114">
        <f>IFERROR(__xludf.DUMMYFUNCTION("(COUNT(filter('ILC1211'!$D:$D,month('ILC1211'!$B:$B)=month(B18),year('ILC1211'!$B:$B)=year(B18))))/A18"),0.0)</f>
        <v>0</v>
      </c>
      <c r="F18" s="114"/>
      <c r="G18" s="114"/>
      <c r="H18" s="114">
        <f>IFERROR(__xludf.DUMMYFUNCTION("(COUNT(filter('ILC1404'!$D:$D,month('ILC1404'!$B:$B)=month(B18),year('ILC1404'!$B:$B)=year(B18))))/A18"),0.0)</f>
        <v>0</v>
      </c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</row>
    <row r="19" hidden="1">
      <c r="A19" s="115">
        <v>30.0</v>
      </c>
      <c r="B19" s="116">
        <v>42522.0</v>
      </c>
      <c r="C19" s="109">
        <v>0.6</v>
      </c>
      <c r="D19" s="117">
        <v>172.89</v>
      </c>
      <c r="E19" s="114">
        <f>IFERROR(__xludf.DUMMYFUNCTION("(COUNT(filter('ILC1211'!$D:$D,month('ILC1211'!$B:$B)=month(B19),year('ILC1211'!$B:$B)=year(B19))))/A19"),0.0)</f>
        <v>0</v>
      </c>
      <c r="F19" s="114"/>
      <c r="G19" s="114"/>
      <c r="H19" s="114">
        <f>IFERROR(__xludf.DUMMYFUNCTION("(COUNT(filter('ILC1404'!$D:$D,month('ILC1404'!$B:$B)=month(B19),year('ILC1404'!$B:$B)=year(B19))))/A19"),0.0)</f>
        <v>0</v>
      </c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</row>
    <row r="20" hidden="1">
      <c r="A20" s="115">
        <v>31.0</v>
      </c>
      <c r="B20" s="116">
        <v>42552.0</v>
      </c>
      <c r="C20" s="109">
        <v>0.65</v>
      </c>
      <c r="D20" s="117">
        <v>254.21</v>
      </c>
      <c r="E20" s="114">
        <f>IFERROR(__xludf.DUMMYFUNCTION("(COUNT(filter('ILC1211'!$D:$D,month('ILC1211'!$B:$B)=month(B20),year('ILC1211'!$B:$B)=year(B20))))/A20"),0.0)</f>
        <v>0</v>
      </c>
      <c r="F20" s="114"/>
      <c r="G20" s="114"/>
      <c r="H20" s="114">
        <f>IFERROR(__xludf.DUMMYFUNCTION("(COUNT(filter('ILC1404'!$D:$D,month('ILC1404'!$B:$B)=month(B20),year('ILC1404'!$B:$B)=year(B20))))/A20"),0.0)</f>
        <v>0</v>
      </c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</row>
    <row r="21" hidden="1">
      <c r="A21" s="115">
        <v>31.0</v>
      </c>
      <c r="B21" s="116">
        <v>42583.0</v>
      </c>
      <c r="C21" s="109">
        <v>0.6</v>
      </c>
      <c r="D21" s="117">
        <v>211.79</v>
      </c>
      <c r="E21" s="114">
        <f>IFERROR(__xludf.DUMMYFUNCTION("(COUNT(filter('ILC1211'!$D:$D,month('ILC1211'!$B:$B)=month(B21),year('ILC1211'!$B:$B)=year(B21))))/A21"),0.0)</f>
        <v>0</v>
      </c>
      <c r="F21" s="114"/>
      <c r="G21" s="114"/>
      <c r="H21" s="114">
        <f>IFERROR(__xludf.DUMMYFUNCTION("(COUNT(filter('ILC1404'!$D:$D,month('ILC1404'!$B:$B)=month(B21),year('ILC1404'!$B:$B)=year(B21))))/A21"),0.0)</f>
        <v>0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</row>
    <row r="22" hidden="1">
      <c r="A22" s="115">
        <v>30.0</v>
      </c>
      <c r="B22" s="116">
        <v>42614.0</v>
      </c>
      <c r="C22" s="109">
        <v>0.6</v>
      </c>
      <c r="D22" s="117">
        <v>242.72</v>
      </c>
      <c r="E22" s="114">
        <f>IFERROR(__xludf.DUMMYFUNCTION("(COUNT(filter('ILC1211'!$D:$D,month('ILC1211'!$B:$B)=month(B22),year('ILC1211'!$B:$B)=year(B22))))/A22"),0.0)</f>
        <v>0</v>
      </c>
      <c r="F22" s="114"/>
      <c r="G22" s="114"/>
      <c r="H22" s="114">
        <f>IFERROR(__xludf.DUMMYFUNCTION("(COUNT(filter('ILC1404'!$D:$D,month('ILC1404'!$B:$B)=month(B22),year('ILC1404'!$B:$B)=year(B22))))/A22"),0.16666666666666666)</f>
        <v>0.1666666667</v>
      </c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</row>
    <row r="23" hidden="1">
      <c r="A23" s="115">
        <v>31.0</v>
      </c>
      <c r="B23" s="116">
        <v>42644.0</v>
      </c>
      <c r="C23" s="109">
        <v>0.81</v>
      </c>
      <c r="D23" s="117">
        <v>253.45</v>
      </c>
      <c r="E23" s="114">
        <f>IFERROR(__xludf.DUMMYFUNCTION("(COUNT(filter('ILC1211'!$D:$D,month('ILC1211'!$B:$B)=month(B23),year('ILC1211'!$B:$B)=year(B23))))/A23"),0.0)</f>
        <v>0</v>
      </c>
      <c r="F23" s="114"/>
      <c r="G23" s="114"/>
      <c r="H23" s="114">
        <f>IFERROR(__xludf.DUMMYFUNCTION("(COUNT(filter('ILC1404'!$D:$D,month('ILC1404'!$B:$B)=month(B23),year('ILC1404'!$B:$B)=year(B23))))/A23"),0.4838709677419355)</f>
        <v>0.4838709677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</row>
    <row r="24" hidden="1">
      <c r="A24" s="115">
        <v>30.0</v>
      </c>
      <c r="B24" s="116">
        <v>42675.0</v>
      </c>
      <c r="C24" s="109">
        <v>0.83</v>
      </c>
      <c r="D24" s="117">
        <v>305.71</v>
      </c>
      <c r="E24" s="114">
        <f>IFERROR(__xludf.DUMMYFUNCTION("(COUNT(filter('ILC1211'!$D:$D,month('ILC1211'!$B:$B)=month(B24),year('ILC1211'!$B:$B)=year(B24))))/A24"),0.0)</f>
        <v>0</v>
      </c>
      <c r="F24" s="114"/>
      <c r="G24" s="114"/>
      <c r="H24" s="114">
        <f>IFERROR(__xludf.DUMMYFUNCTION("(COUNT(filter('ILC1404'!$D:$D,month('ILC1404'!$B:$B)=month(B24),year('ILC1404'!$B:$B)=year(B24))))/A24"),0.4)</f>
        <v>0.4</v>
      </c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</row>
    <row r="25" hidden="1">
      <c r="A25" s="115">
        <v>31.0</v>
      </c>
      <c r="B25" s="116">
        <v>42705.0</v>
      </c>
      <c r="C25" s="109">
        <v>0.9</v>
      </c>
      <c r="D25" s="117">
        <v>469.4</v>
      </c>
      <c r="E25" s="114">
        <f>IFERROR(__xludf.DUMMYFUNCTION("(COUNT(filter('ILC1211'!$D:$D,month('ILC1211'!$B:$B)=month(B25),year('ILC1211'!$B:$B)=year(B25))))/A25"),0.0)</f>
        <v>0</v>
      </c>
      <c r="F25" s="114"/>
      <c r="G25" s="114"/>
      <c r="H25" s="114">
        <f>IFERROR(__xludf.DUMMYFUNCTION("(COUNT(filter('ILC1404'!$D:$D,month('ILC1404'!$B:$B)=month(B25),year('ILC1404'!$B:$B)=year(B25))))/A25"),0.8387096774193549)</f>
        <v>0.8387096774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</row>
    <row r="26" hidden="1">
      <c r="A26" s="115">
        <v>31.0</v>
      </c>
      <c r="B26" s="116">
        <v>42736.0</v>
      </c>
      <c r="C26" s="109">
        <v>0.9</v>
      </c>
      <c r="D26" s="117">
        <v>747.72</v>
      </c>
      <c r="E26" s="114">
        <f>IFERROR(__xludf.DUMMYFUNCTION("(COUNT(filter('ILC1211'!$D:$D,month('ILC1211'!$B:$B)=month(B26),year('ILC1211'!$B:$B)=year(B26))))/A26"),0.0)</f>
        <v>0</v>
      </c>
      <c r="F26" s="114"/>
      <c r="G26" s="114"/>
      <c r="H26" s="114">
        <f>IFERROR(__xludf.DUMMYFUNCTION("(COUNT(filter('ILC1404'!$D:$D,month('ILC1404'!$B:$B)=month(B26),year('ILC1404'!$B:$B)=year(B26))))/A26"),0.9354838709677419)</f>
        <v>0.935483871</v>
      </c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</row>
    <row r="27" hidden="1">
      <c r="A27" s="115">
        <v>28.0</v>
      </c>
      <c r="B27" s="116">
        <v>42767.0</v>
      </c>
      <c r="C27" s="109">
        <v>0.88</v>
      </c>
      <c r="D27" s="117">
        <v>638.18</v>
      </c>
      <c r="E27" s="114">
        <f>IFERROR(__xludf.DUMMYFUNCTION("(COUNT(filter('ILC1211'!$D:$D,month('ILC1211'!$B:$B)=month(B27),year('ILC1211'!$B:$B)=year(B27))))/A27"),0.0)</f>
        <v>0</v>
      </c>
      <c r="F27" s="114"/>
      <c r="G27" s="114"/>
      <c r="H27" s="114">
        <f>IFERROR(__xludf.DUMMYFUNCTION("(COUNT(filter('ILC1404'!$D:$D,month('ILC1404'!$B:$B)=month(B27),year('ILC1404'!$B:$B)=year(B27))))/A27"),0.7857142857142857)</f>
        <v>0.7857142857</v>
      </c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</row>
    <row r="28" hidden="1">
      <c r="A28" s="115">
        <v>31.0</v>
      </c>
      <c r="B28" s="116">
        <v>42795.0</v>
      </c>
      <c r="C28" s="109">
        <v>0.76</v>
      </c>
      <c r="D28" s="117">
        <v>323.29</v>
      </c>
      <c r="E28" s="114">
        <f>IFERROR(__xludf.DUMMYFUNCTION("(COUNT(filter('ILC1211'!$D:$D,month('ILC1211'!$B:$B)=month(B28),year('ILC1211'!$B:$B)=year(B28))))/A28"),0.0)</f>
        <v>0</v>
      </c>
      <c r="F28" s="114"/>
      <c r="G28" s="114"/>
      <c r="H28" s="114">
        <f>IFERROR(__xludf.DUMMYFUNCTION("(COUNT(filter('ILC1404'!$D:$D,month('ILC1404'!$B:$B)=month(B28),year('ILC1404'!$B:$B)=year(B28))))/A28"),0.25806451612903225)</f>
        <v>0.2580645161</v>
      </c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</row>
    <row r="29" hidden="1">
      <c r="A29" s="115">
        <v>30.0</v>
      </c>
      <c r="B29" s="116">
        <v>42826.0</v>
      </c>
      <c r="C29" s="109">
        <v>0.77</v>
      </c>
      <c r="D29" s="117">
        <v>244.72</v>
      </c>
      <c r="E29" s="114">
        <f>IFERROR(__xludf.DUMMYFUNCTION("(COUNT(filter('ILC1211'!$D:$D,month('ILC1211'!$B:$B)=month(B29),year('ILC1211'!$B:$B)=year(B29))))/A29"),0.0)</f>
        <v>0</v>
      </c>
      <c r="F29" s="114"/>
      <c r="G29" s="114"/>
      <c r="H29" s="114">
        <f>IFERROR(__xludf.DUMMYFUNCTION("(COUNT(filter('ILC1404'!$D:$D,month('ILC1404'!$B:$B)=month(B29),year('ILC1404'!$B:$B)=year(B29))))/A29"),0.43333333333333335)</f>
        <v>0.4333333333</v>
      </c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</row>
    <row r="30" hidden="1">
      <c r="A30" s="115">
        <v>31.0</v>
      </c>
      <c r="B30" s="116">
        <v>42856.0</v>
      </c>
      <c r="C30" s="109">
        <v>0.74</v>
      </c>
      <c r="D30" s="117">
        <v>285.91</v>
      </c>
      <c r="E30" s="114">
        <f>IFERROR(__xludf.DUMMYFUNCTION("(COUNT(filter('ILC1211'!$D:$D,month('ILC1211'!$B:$B)=month(B30),year('ILC1211'!$B:$B)=year(B30))))/A30"),0.0)</f>
        <v>0</v>
      </c>
      <c r="F30" s="114"/>
      <c r="G30" s="114"/>
      <c r="H30" s="114">
        <f>IFERROR(__xludf.DUMMYFUNCTION("(COUNT(filter('ILC1404'!$D:$D,month('ILC1404'!$B:$B)=month(B30),year('ILC1404'!$B:$B)=year(B30))))/A30"),0.45161290322580644)</f>
        <v>0.4516129032</v>
      </c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</row>
    <row r="31" hidden="1">
      <c r="A31" s="115">
        <v>30.0</v>
      </c>
      <c r="B31" s="116">
        <v>42887.0</v>
      </c>
      <c r="C31" s="109">
        <v>0.6</v>
      </c>
      <c r="D31" s="117">
        <v>172.89</v>
      </c>
      <c r="E31" s="114">
        <f>IFERROR(__xludf.DUMMYFUNCTION("(COUNT(filter('ILC1211'!$D:$D,month('ILC1211'!$B:$B)=month(B31),year('ILC1211'!$B:$B)=year(B31))))/A31"),0.0)</f>
        <v>0</v>
      </c>
      <c r="F31" s="114"/>
      <c r="G31" s="114"/>
      <c r="H31" s="114">
        <f>IFERROR(__xludf.DUMMYFUNCTION("(COUNT(filter('ILC1404'!$D:$D,month('ILC1404'!$B:$B)=month(B31),year('ILC1404'!$B:$B)=year(B31))))/A31"),0.13333333333333333)</f>
        <v>0.1333333333</v>
      </c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</row>
    <row r="32" hidden="1">
      <c r="A32" s="115">
        <v>31.0</v>
      </c>
      <c r="B32" s="116">
        <v>42917.0</v>
      </c>
      <c r="C32" s="109">
        <v>0.65</v>
      </c>
      <c r="D32" s="117">
        <v>254.21</v>
      </c>
      <c r="E32" s="114">
        <f>IFERROR(__xludf.DUMMYFUNCTION("(COUNT(filter('ILC1211'!$D:$D,month('ILC1211'!$B:$B)=month(B32),year('ILC1211'!$B:$B)=year(B32))))/A32"),0.0)</f>
        <v>0</v>
      </c>
      <c r="F32" s="114"/>
      <c r="G32" s="114"/>
      <c r="H32" s="114">
        <f>IFERROR(__xludf.DUMMYFUNCTION("(COUNT(filter('ILC1404'!$D:$D,month('ILC1404'!$B:$B)=month(B32),year('ILC1404'!$B:$B)=year(B32))))/A32"),0.5806451612903226)</f>
        <v>0.5806451613</v>
      </c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</row>
    <row r="33" hidden="1">
      <c r="A33" s="115">
        <v>31.0</v>
      </c>
      <c r="B33" s="116">
        <v>42948.0</v>
      </c>
      <c r="C33" s="109">
        <v>0.6</v>
      </c>
      <c r="D33" s="117">
        <v>211.79</v>
      </c>
      <c r="E33" s="114">
        <f>IFERROR(__xludf.DUMMYFUNCTION("(COUNT(filter('ILC1211'!$D:$D,month('ILC1211'!$B:$B)=month(B33),year('ILC1211'!$B:$B)=year(B33))))/A33"),0.0)</f>
        <v>0</v>
      </c>
      <c r="F33" s="114"/>
      <c r="G33" s="114"/>
      <c r="H33" s="114">
        <f>IFERROR(__xludf.DUMMYFUNCTION("(COUNT(filter('ILC1404'!$D:$D,month('ILC1404'!$B:$B)=month(B33),year('ILC1404'!$B:$B)=year(B33))))/A33"),0.0967741935483871)</f>
        <v>0.09677419355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</row>
    <row r="34" hidden="1">
      <c r="A34" s="115">
        <v>30.0</v>
      </c>
      <c r="B34" s="116">
        <v>42979.0</v>
      </c>
      <c r="C34" s="109">
        <v>0.6</v>
      </c>
      <c r="D34" s="117">
        <v>242.72</v>
      </c>
      <c r="E34" s="114">
        <f>IFERROR(__xludf.DUMMYFUNCTION("(COUNT(filter('ILC1211'!$D:$D,month('ILC1211'!$B:$B)=month(B34),year('ILC1211'!$B:$B)=year(B34))))/A34"),0.0)</f>
        <v>0</v>
      </c>
      <c r="F34" s="114"/>
      <c r="G34" s="114"/>
      <c r="H34" s="114">
        <f>IFERROR(__xludf.DUMMYFUNCTION("(COUNT(filter('ILC1404'!$D:$D,month('ILC1404'!$B:$B)=month(B34),year('ILC1404'!$B:$B)=year(B34))))/A34"),0.2)</f>
        <v>0.2</v>
      </c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</row>
    <row r="35" hidden="1">
      <c r="A35" s="115">
        <v>31.0</v>
      </c>
      <c r="B35" s="116">
        <v>43009.0</v>
      </c>
      <c r="C35" s="109">
        <v>0.81</v>
      </c>
      <c r="D35" s="117">
        <v>253.45</v>
      </c>
      <c r="E35" s="114">
        <f>IFERROR(__xludf.DUMMYFUNCTION("(COUNT(filter('ILC1211'!$D:$D,month('ILC1211'!$B:$B)=month(B35),year('ILC1211'!$B:$B)=year(B35))))/A35"),0.0)</f>
        <v>0</v>
      </c>
      <c r="F35" s="114"/>
      <c r="G35" s="114"/>
      <c r="H35" s="114">
        <f>IFERROR(__xludf.DUMMYFUNCTION("(COUNT(filter('ILC1404'!$D:$D,month('ILC1404'!$B:$B)=month(B35),year('ILC1404'!$B:$B)=year(B35))))/A35"),0.5806451612903226)</f>
        <v>0.5806451613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</row>
    <row r="36" hidden="1">
      <c r="A36" s="115">
        <v>30.0</v>
      </c>
      <c r="B36" s="116">
        <v>43040.0</v>
      </c>
      <c r="C36" s="109">
        <v>0.83</v>
      </c>
      <c r="D36" s="117">
        <v>305.71</v>
      </c>
      <c r="E36" s="114">
        <f>IFERROR(__xludf.DUMMYFUNCTION("(COUNT(filter('ILC1211'!$D:$D,month('ILC1211'!$B:$B)=month(B36),year('ILC1211'!$B:$B)=year(B36))))/A36"),0.0)</f>
        <v>0</v>
      </c>
      <c r="F36" s="114"/>
      <c r="G36" s="114"/>
      <c r="H36" s="114">
        <f>IFERROR(__xludf.DUMMYFUNCTION("(COUNT(filter('ILC1404'!$D:$D,month('ILC1404'!$B:$B)=month(B36),year('ILC1404'!$B:$B)=year(B36))))/A36"),0.6666666666666666)</f>
        <v>0.6666666667</v>
      </c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</row>
    <row r="37" hidden="1">
      <c r="A37" s="115">
        <v>31.0</v>
      </c>
      <c r="B37" s="116">
        <v>43070.0</v>
      </c>
      <c r="C37" s="109">
        <v>0.9</v>
      </c>
      <c r="D37" s="117">
        <v>469.4</v>
      </c>
      <c r="E37" s="114">
        <f>IFERROR(__xludf.DUMMYFUNCTION("(COUNT(filter('ILC1211'!$D:$D,month('ILC1211'!$B:$B)=month(B37),year('ILC1211'!$B:$B)=year(B37))))/A37"),0.0)</f>
        <v>0</v>
      </c>
      <c r="F37" s="114"/>
      <c r="G37" s="114"/>
      <c r="H37" s="114">
        <f>IFERROR(__xludf.DUMMYFUNCTION("(COUNT(filter('ILC1404'!$D:$D,month('ILC1404'!$B:$B)=month(B37),year('ILC1404'!$B:$B)=year(B37))))/A37"),0.8709677419354839)</f>
        <v>0.8709677419</v>
      </c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</row>
    <row r="38" hidden="1">
      <c r="A38" s="115">
        <v>31.0</v>
      </c>
      <c r="B38" s="116">
        <v>43101.0</v>
      </c>
      <c r="C38" s="109">
        <v>0.9</v>
      </c>
      <c r="D38" s="117">
        <v>747.72</v>
      </c>
      <c r="E38" s="114">
        <f>IFERROR(__xludf.DUMMYFUNCTION("(COUNT(filter('ILC1211'!$D:$D,month('ILC1211'!$B:$B)=month(B38),year('ILC1211'!$B:$B)=year(B38))))/A38"),0.0)</f>
        <v>0</v>
      </c>
      <c r="F38" s="114"/>
      <c r="G38" s="114"/>
      <c r="H38" s="114">
        <f>IFERROR(__xludf.DUMMYFUNCTION("(COUNT(filter('ILC1404'!$D:$D,month('ILC1404'!$B:$B)=month(B38),year('ILC1404'!$B:$B)=year(B38))))/A38"),0.8709677419354839)</f>
        <v>0.8709677419</v>
      </c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</row>
    <row r="39" hidden="1">
      <c r="A39" s="115">
        <v>28.0</v>
      </c>
      <c r="B39" s="116">
        <v>43132.0</v>
      </c>
      <c r="C39" s="109">
        <v>0.88</v>
      </c>
      <c r="D39" s="117">
        <v>638.18</v>
      </c>
      <c r="E39" s="114">
        <f>IFERROR(__xludf.DUMMYFUNCTION("(COUNT(filter('ILC1211'!$D:$D,month('ILC1211'!$B:$B)=month(B39),year('ILC1211'!$B:$B)=year(B39))))/A39"),0.0)</f>
        <v>0</v>
      </c>
      <c r="F39" s="114"/>
      <c r="G39" s="114"/>
      <c r="H39" s="114">
        <f>IFERROR(__xludf.DUMMYFUNCTION("(COUNT(filter('ILC1404'!$D:$D,month('ILC1404'!$B:$B)=month(B39),year('ILC1404'!$B:$B)=year(B39))))/A39"),0.8571428571428571)</f>
        <v>0.8571428571</v>
      </c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</row>
    <row r="40" hidden="1">
      <c r="A40" s="115">
        <v>31.0</v>
      </c>
      <c r="B40" s="116">
        <v>43160.0</v>
      </c>
      <c r="C40" s="109">
        <v>0.76</v>
      </c>
      <c r="D40" s="117">
        <v>323.29</v>
      </c>
      <c r="E40" s="114">
        <f>IFERROR(__xludf.DUMMYFUNCTION("(COUNT(filter('ILC1211'!$D:$D,month('ILC1211'!$B:$B)=month(B40),year('ILC1211'!$B:$B)=year(B40))))/A40"),0.0)</f>
        <v>0</v>
      </c>
      <c r="F40" s="114"/>
      <c r="G40" s="114"/>
      <c r="H40" s="114">
        <f>IFERROR(__xludf.DUMMYFUNCTION("(COUNT(filter('ILC1404'!$D:$D,month('ILC1404'!$B:$B)=month(B40),year('ILC1404'!$B:$B)=year(B40))))/A40"),0.6774193548387096)</f>
        <v>0.6774193548</v>
      </c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</row>
    <row r="41" hidden="1">
      <c r="A41" s="115">
        <v>30.0</v>
      </c>
      <c r="B41" s="116">
        <v>43191.0</v>
      </c>
      <c r="C41" s="109">
        <v>0.77</v>
      </c>
      <c r="D41" s="117">
        <v>244.72</v>
      </c>
      <c r="E41" s="114">
        <f>IFERROR(__xludf.DUMMYFUNCTION("(COUNT(filter('ILC1211'!$D:$D,month('ILC1211'!$B:$B)=month(B41),year('ILC1211'!$B:$B)=year(B41))))/A41"),0.0)</f>
        <v>0</v>
      </c>
      <c r="F41" s="114"/>
      <c r="G41" s="114"/>
      <c r="H41" s="114">
        <f>IFERROR(__xludf.DUMMYFUNCTION("(COUNT(filter('ILC1404'!$D:$D,month('ILC1404'!$B:$B)=month(B41),year('ILC1404'!$B:$B)=year(B41))))/A41"),0.6333333333333333)</f>
        <v>0.6333333333</v>
      </c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</row>
    <row r="42" hidden="1">
      <c r="A42" s="115">
        <v>31.0</v>
      </c>
      <c r="B42" s="116">
        <v>43221.0</v>
      </c>
      <c r="C42" s="109">
        <v>0.74</v>
      </c>
      <c r="D42" s="117">
        <v>285.91</v>
      </c>
      <c r="E42" s="114">
        <f>IFERROR(__xludf.DUMMYFUNCTION("(COUNT(filter('ILC1211'!$D:$D,month('ILC1211'!$B:$B)=month(B42),year('ILC1211'!$B:$B)=year(B42))))/A42"),0.0)</f>
        <v>0</v>
      </c>
      <c r="F42" s="114"/>
      <c r="G42" s="114"/>
      <c r="H42" s="114">
        <f>IFERROR(__xludf.DUMMYFUNCTION("(COUNT(filter('ILC1404'!$D:$D,month('ILC1404'!$B:$B)=month(B42),year('ILC1404'!$B:$B)=year(B42))))/A42"),0.7419354838709677)</f>
        <v>0.7419354839</v>
      </c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</row>
    <row r="43" hidden="1">
      <c r="A43" s="115">
        <v>30.0</v>
      </c>
      <c r="B43" s="116">
        <v>43252.0</v>
      </c>
      <c r="C43" s="109">
        <v>0.6</v>
      </c>
      <c r="D43" s="117">
        <v>172.89</v>
      </c>
      <c r="E43" s="114">
        <f>IFERROR(__xludf.DUMMYFUNCTION("(COUNT(filter('ILC1211'!$D:$D,month('ILC1211'!$B:$B)=month(B43),year('ILC1211'!$B:$B)=year(B43))))/A43"),0.0)</f>
        <v>0</v>
      </c>
      <c r="F43" s="114"/>
      <c r="G43" s="114"/>
      <c r="H43" s="114">
        <f>IFERROR(__xludf.DUMMYFUNCTION("(COUNT(filter('ILC1404'!$D:$D,month('ILC1404'!$B:$B)=month(B43),year('ILC1404'!$B:$B)=year(B43))))/A43"),0.23333333333333334)</f>
        <v>0.2333333333</v>
      </c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</row>
    <row r="44" hidden="1">
      <c r="A44" s="115">
        <v>31.0</v>
      </c>
      <c r="B44" s="116">
        <v>43282.0</v>
      </c>
      <c r="C44" s="109">
        <v>0.65</v>
      </c>
      <c r="D44" s="117">
        <v>254.21</v>
      </c>
      <c r="E44" s="114">
        <f>IFERROR(__xludf.DUMMYFUNCTION("(COUNT(filter('ILC1211'!$D:$D,month('ILC1211'!$B:$B)=month(B44),year('ILC1211'!$B:$B)=year(B44))))/A44"),0.0)</f>
        <v>0</v>
      </c>
      <c r="F44" s="114"/>
      <c r="G44" s="114"/>
      <c r="H44" s="114">
        <f>IFERROR(__xludf.DUMMYFUNCTION("(COUNT(filter('ILC1404'!$D:$D,month('ILC1404'!$B:$B)=month(B44),year('ILC1404'!$B:$B)=year(B44))))/A44"),0.7741935483870968)</f>
        <v>0.7741935484</v>
      </c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</row>
    <row r="45" hidden="1">
      <c r="A45" s="115">
        <v>31.0</v>
      </c>
      <c r="B45" s="116">
        <v>43313.0</v>
      </c>
      <c r="C45" s="109">
        <v>0.6</v>
      </c>
      <c r="D45" s="117">
        <v>211.79</v>
      </c>
      <c r="E45" s="114">
        <f>IFERROR(__xludf.DUMMYFUNCTION("(COUNT(filter('ILC1211'!$D:$D,month('ILC1211'!$B:$B)=month(B45),year('ILC1211'!$B:$B)=year(B45))))/A45"),0.0)</f>
        <v>0</v>
      </c>
      <c r="F45" s="114"/>
      <c r="G45" s="114"/>
      <c r="H45" s="114">
        <f>IFERROR(__xludf.DUMMYFUNCTION("(COUNT(filter('ILC1404'!$D:$D,month('ILC1404'!$B:$B)=month(B45),year('ILC1404'!$B:$B)=year(B45))))/A45"),0.6129032258064516)</f>
        <v>0.6129032258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</row>
    <row r="46" hidden="1">
      <c r="A46" s="115">
        <v>30.0</v>
      </c>
      <c r="B46" s="116">
        <v>43344.0</v>
      </c>
      <c r="C46" s="109">
        <v>0.6</v>
      </c>
      <c r="D46" s="117">
        <v>242.72</v>
      </c>
      <c r="E46" s="114">
        <f>IFERROR(__xludf.DUMMYFUNCTION("(COUNT(filter('ILC1211'!$D:$D,month('ILC1211'!$B:$B)=month(B46),year('ILC1211'!$B:$B)=year(B46))))/A46"),0.0)</f>
        <v>0</v>
      </c>
      <c r="F46" s="114"/>
      <c r="G46" s="114"/>
      <c r="H46" s="114">
        <f>IFERROR(__xludf.DUMMYFUNCTION("(COUNT(filter('ILC1404'!$D:$D,month('ILC1404'!$B:$B)=month(B46),year('ILC1404'!$B:$B)=year(B46))))/A46"),0.6333333333333333)</f>
        <v>0.6333333333</v>
      </c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</row>
    <row r="47" hidden="1">
      <c r="A47" s="115">
        <v>31.0</v>
      </c>
      <c r="B47" s="116">
        <v>43374.0</v>
      </c>
      <c r="C47" s="109">
        <v>0.81</v>
      </c>
      <c r="D47" s="117">
        <v>253.45</v>
      </c>
      <c r="E47" s="114">
        <f>IFERROR(__xludf.DUMMYFUNCTION("(COUNT(filter('ILC1211'!$D:$D,month('ILC1211'!$B:$B)=month(B47),year('ILC1211'!$B:$B)=year(B47))))/A47"),0.0)</f>
        <v>0</v>
      </c>
      <c r="F47" s="114"/>
      <c r="G47" s="114"/>
      <c r="H47" s="114">
        <f>IFERROR(__xludf.DUMMYFUNCTION("(COUNT(filter('ILC1404'!$D:$D,month('ILC1404'!$B:$B)=month(B47),year('ILC1404'!$B:$B)=year(B47))))/A47"),0.9354838709677419)</f>
        <v>0.935483871</v>
      </c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</row>
    <row r="48" hidden="1">
      <c r="A48" s="115">
        <v>30.0</v>
      </c>
      <c r="B48" s="116">
        <v>43405.0</v>
      </c>
      <c r="C48" s="109">
        <v>0.83</v>
      </c>
      <c r="D48" s="117">
        <v>305.71</v>
      </c>
      <c r="E48" s="114">
        <f>IFERROR(__xludf.DUMMYFUNCTION("(COUNT(filter('ILC1211'!$D:$D,month('ILC1211'!$B:$B)=month(B48),year('ILC1211'!$B:$B)=year(B48))))/A48"),0.0)</f>
        <v>0</v>
      </c>
      <c r="F48" s="114"/>
      <c r="G48" s="114"/>
      <c r="H48" s="114">
        <f>IFERROR(__xludf.DUMMYFUNCTION("(COUNT(filter('ILC1404'!$D:$D,month('ILC1404'!$B:$B)=month(B48),year('ILC1404'!$B:$B)=year(B48))))/A48"),0.9333333333333333)</f>
        <v>0.9333333333</v>
      </c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</row>
    <row r="49">
      <c r="A49" s="115">
        <v>31.0</v>
      </c>
      <c r="B49" s="116">
        <v>43435.0</v>
      </c>
      <c r="C49" s="109">
        <v>0.9</v>
      </c>
      <c r="D49" s="117">
        <v>469.4</v>
      </c>
      <c r="E49" s="114">
        <f>IFERROR(__xludf.DUMMYFUNCTION("(COUNT(filter('ILC1211'!$D:$D,month('ILC1211'!$B:$B)=month(B49),year('ILC1211'!$B:$B)=year(B49))))/A49"),0.41935483870967744)</f>
        <v>0.4193548387</v>
      </c>
      <c r="F49" s="114">
        <f>IFERROR(__xludf.DUMMYFUNCTION("(COUNT(filter('ILC1213'!$D:$D,month('ILC1213'!$B:$B)=month(B49),year('ILC1213'!$B:$B)=year(B49))))/A49"),0.0)</f>
        <v>0</v>
      </c>
      <c r="G49" s="114">
        <f>IFERROR(__xludf.DUMMYFUNCTION("(COUNT(filter('ILC1314'!$D:$D,month('ILC1314'!$B:$B)=month(B49),year('ILC1314'!$B:$B)=year(B49))))/A49"),0.0)</f>
        <v>0</v>
      </c>
      <c r="H49" s="114">
        <f>IFERROR(__xludf.DUMMYFUNCTION("(COUNT(filter('ILC1404'!$D:$D,month('ILC1404'!$B:$B)=month(B49),year('ILC1404'!$B:$B)=year(B49))))/A49"),0.967741935483871)</f>
        <v>0.9677419355</v>
      </c>
      <c r="I49" s="114">
        <f>IFERROR(__xludf.DUMMYFUNCTION("(COUNT(filter('ILC2206'!$D:$D,month('ILC2206'!$B:$B)=month(B49),year('ILC2206'!$B:$B)=year(B49))))/A49"),0.0)</f>
        <v>0</v>
      </c>
      <c r="J49" s="114">
        <f>IFERROR(__xludf.DUMMYFUNCTION("(COUNT(filter('ILC2203'!$D:$D,month('ILC2203'!$B:$B)=month(B49),year('ILC2203'!$B:$B)=year(B49))))/A49"),0.0)</f>
        <v>0</v>
      </c>
      <c r="K49" s="114">
        <f>IFERROR(__xludf.DUMMYFUNCTION("(COUNT(filter('ILC2303'!$D:$D,month('ILC2303'!$B:$B)=month(B49),year('ILC2303'!$B:$B)=year(B49))))/A49"),0.12903225806451613)</f>
        <v>0.1290322581</v>
      </c>
      <c r="L49" s="114">
        <f>IFERROR(__xludf.DUMMYFUNCTION("(COUNT(filter('ILC2307'!$D:$D,month('ILC2307'!$B:$B)=month(B49),year('ILC2307'!$B:$B)=year(B49))))/A49"),0.5806451612903226)</f>
        <v>0.5806451613</v>
      </c>
      <c r="M49" s="114">
        <f>IFERROR(__xludf.DUMMYFUNCTION("(COUNT(filter('ILC2313'!$D:$D,month('ILC2313'!$B:$B)=month(B49),year('ILC2313'!$B:$B)=year(B49))))/A49"),1.0)</f>
        <v>1</v>
      </c>
      <c r="N49" s="114">
        <f>IFERROR(__xludf.DUMMYFUNCTION("(COUNT(filter('ILC2412'!$D:$D,month('ILC2412'!$B:$B)=month(B49),year('ILC2412'!$B:$B)=year(B49))))/A49"),0.967741935483871)</f>
        <v>0.9677419355</v>
      </c>
      <c r="O49" s="114">
        <f>IFERROR(__xludf.DUMMYFUNCTION("(COUNT(filter('ILC2413'!$D:$D,month('ILC2413'!$B:$B)=month(B49),year('ILC2413'!$B:$B)=year(B49))))/A49"),1.0)</f>
        <v>1</v>
      </c>
      <c r="P49" s="114">
        <f>IFERROR(__xludf.DUMMYFUNCTION("(COUNT(filter('ILC3104'!$D:$D,month('ILC3104'!$B:$B)=month(B49),year('ILC3104'!$B:$B)=year(B49))))/A49"),0.5483870967741935)</f>
        <v>0.5483870968</v>
      </c>
      <c r="Q49" s="114">
        <f>IFERROR(__xludf.DUMMYFUNCTION("(COUNT(filter('ILC3310'!$D:$D,month('ILC3310'!$B:$B)=month(B49),year('ILC3310'!$B:$B)=year(B49))))/A49"),0.0)</f>
        <v>0</v>
      </c>
      <c r="R49" s="114">
        <f>IFERROR(__xludf.DUMMYFUNCTION("(COUNT(filter('ILC3312'!$D:$D,month('ILC3312'!$B:$B)=month(B49),year('ILC3312'!$B:$B)=year(B49))))/A49"),0.0)</f>
        <v>0</v>
      </c>
      <c r="S49" s="114">
        <f t="shared" ref="S49:S61" si="4">IFERROR(__xludf.DUMMYFUNCTION("((COUNT(filter(ILC3413Texte!$D:$D,month(ILC3413Texte!$B:$B)=month(B49),year(ILC3413Texte!$B:$B)=year(B49))))/A49) +((COUNT(filter('ILC3413&amp;3415'!$D:$D,month('ILC3413&amp;3415'!$B:$B)=month(B49),year('ILC3413&amp;3415'!$B:$B)=year(B49))))/A49)"),0.0)</f>
        <v>0</v>
      </c>
      <c r="T49" s="114">
        <f>IFERROR(__xludf.DUMMYFUNCTION("(COUNT(filter('ILC3415'!$D:$D,month('ILC3415'!$B:$B)=month(B49),year('ILC3415'!$B:$B)=year(B49))))/A49"),0.0)</f>
        <v>0</v>
      </c>
      <c r="U49" s="114">
        <f t="shared" ref="U49:U61" si="5">IFERROR(__xludf.DUMMYFUNCTION("(((COUNT(filter('ILC3415'!$D:$D,month('ILC3415'!$B:$B)=month(B49),year('ILC3415'!$B:$B)=year(B49))))/A49) + ((COUNT(filter('ILC3413&amp;3415'!$D:$D,month('ILC3413&amp;3415'!$B:$B)=month(B49),year('ILC3413&amp;3415'!$B:$B)=year(B49))))/A49))"),0.0)</f>
        <v>0</v>
      </c>
      <c r="V49" s="114">
        <f>IFERROR(__xludf.DUMMYFUNCTION("(COUNT(filter('ILC4406'!$D:$D,month('ILC4406'!$B:$B)=month(B49),year('ILC4406'!$B:$B)=year(B49))))/A49"),0.0)</f>
        <v>0</v>
      </c>
      <c r="W49" s="114">
        <f>IFERROR(__xludf.DUMMYFUNCTION("(COUNT(filter('ILC4410'!$D:$D,month('ILC4410'!$B:$B)=month(B49),year('ILC4410'!$B:$B)=year(B49))))/A49"),0.0)</f>
        <v>0</v>
      </c>
      <c r="X49" s="114">
        <f>IFERROR(__xludf.DUMMYFUNCTION("(COUNT(filter('JBV455'!$D:$D,month('JBV455'!$B:$B)=month(B49),year('JBV455'!$B:$B)=year(B49))))/A49"),0.967741935483871)</f>
        <v>0.9677419355</v>
      </c>
      <c r="Y49" s="114">
        <f>IFERROR(__xludf.DUMMYFUNCTION("((COUNT(filter('JBV462'!$D:$D,month('JBV462'!$B:$B)=month(B49),year('JBV462'!$B:$B)=year(B49))))/A49 )+ ((COUNT(filter('JBV462&amp;464'!$D:$D,month('JBV462&amp;464'!$B:$B)=month(B49),year('JBV462&amp;464'!$B:$B)=year(B49))))/A49)"),0.3548387096774194)</f>
        <v>0.3548387097</v>
      </c>
      <c r="Z49" s="114">
        <f>IFERROR(__xludf.DUMMYFUNCTION("(COUNT(filter('JBV464'!$D:$D,month('JBV464'!$B:$B)=month(B49),year('JBV464'!$B:$B)=year(B49))))/A49"),0.41935483870967744)</f>
        <v>0.4193548387</v>
      </c>
      <c r="AA49" s="114">
        <f>IFERROR(__xludf.DUMMYFUNCTION("(COUNT(filter('JBV464'!$D:$D,month('JBV464'!$B:$B)=month(B49),year('JBV464'!$B:$B)=year(B49))))/A49 + (COUNT(filter('JBV462&amp;464'!$D:$D,month('JBV462&amp;464'!$B:$B)=month(B49),year('JBV462&amp;464'!$B:$B)=year(B49))))/A49"),0.41935483870967744)</f>
        <v>0.4193548387</v>
      </c>
      <c r="AB49" s="114">
        <f>IFERROR(__xludf.DUMMYFUNCTION("(COUNT(filter('VDI208'!$D:$D,month('VDI208'!$B:$B)=month(B49),year('VDI208'!$B:$B)=year(B49))))/A49"),0.0)</f>
        <v>0</v>
      </c>
      <c r="AC49" s="114">
        <f>IFERROR(__xludf.DUMMYFUNCTION("(COUNT(filter('STO2206'!$D:$D,month('STO2206'!$B:$B)=month(B49),year('STO2206'!$B:$B)=year(B49))))/A49"),0.0)</f>
        <v>0</v>
      </c>
    </row>
    <row r="50">
      <c r="A50" s="115">
        <v>31.0</v>
      </c>
      <c r="B50" s="116">
        <v>43466.0</v>
      </c>
      <c r="C50" s="109">
        <v>0.9</v>
      </c>
      <c r="D50" s="117">
        <v>747.72</v>
      </c>
      <c r="E50" s="114">
        <f>IFERROR(__xludf.DUMMYFUNCTION("(COUNT(filter('ILC1211'!$D:$D,month('ILC1211'!$B:$B)=month(B50),year('ILC1211'!$B:$B)=year(B50))))/A50"),1.0)</f>
        <v>1</v>
      </c>
      <c r="F50" s="114">
        <f>IFERROR(__xludf.DUMMYFUNCTION("(COUNT(filter('ILC1213'!$D:$D,month('ILC1213'!$B:$B)=month(B50),year('ILC1213'!$B:$B)=year(B50))))/A50"),0.0)</f>
        <v>0</v>
      </c>
      <c r="G50" s="114">
        <f>IFERROR(__xludf.DUMMYFUNCTION("(COUNT(filter('ILC1314'!$D:$D,month('ILC1314'!$B:$B)=month(B50),year('ILC1314'!$B:$B)=year(B50))))/A50"),0.0)</f>
        <v>0</v>
      </c>
      <c r="H50" s="114">
        <f>IFERROR(__xludf.DUMMYFUNCTION("(COUNT(filter('ILC1404'!$D:$D,month('ILC1404'!$B:$B)=month(B50),year('ILC1404'!$B:$B)=year(B50))))/A50"),0.967741935483871)</f>
        <v>0.9677419355</v>
      </c>
      <c r="I50" s="114">
        <f>IFERROR(__xludf.DUMMYFUNCTION("(COUNT(filter('ILC2206'!$D:$D,month('ILC2206'!$B:$B)=month(B50),year('ILC2206'!$B:$B)=year(B50))))/A50"),0.0)</f>
        <v>0</v>
      </c>
      <c r="J50" s="114">
        <f>IFERROR(__xludf.DUMMYFUNCTION("(COUNT(filter('ILC2203'!$D:$D,month('ILC2203'!$B:$B)=month(B50),year('ILC2203'!$B:$B)=year(B50))))/A50"),0.0)</f>
        <v>0</v>
      </c>
      <c r="K50" s="114">
        <f>IFERROR(__xludf.DUMMYFUNCTION("(COUNT(filter('ILC2303'!$D:$D,month('ILC2303'!$B:$B)=month(B50),year('ILC2303'!$B:$B)=year(B50))))/A50"),0.03225806451612903)</f>
        <v>0.03225806452</v>
      </c>
      <c r="L50" s="114">
        <f>IFERROR(__xludf.DUMMYFUNCTION("(COUNT(filter('ILC2307'!$D:$D,month('ILC2307'!$B:$B)=month(B50),year('ILC2307'!$B:$B)=year(B50))))/A50"),1.0)</f>
        <v>1</v>
      </c>
      <c r="M50" s="114">
        <f>IFERROR(__xludf.DUMMYFUNCTION("(COUNT(filter('ILC2313'!$D:$D,month('ILC2313'!$B:$B)=month(B50),year('ILC2313'!$B:$B)=year(B50))))/A50"),0.967741935483871)</f>
        <v>0.9677419355</v>
      </c>
      <c r="N50" s="114">
        <f>IFERROR(__xludf.DUMMYFUNCTION("(COUNT(filter('ILC2412'!$D:$D,month('ILC2412'!$B:$B)=month(B50),year('ILC2412'!$B:$B)=year(B50))))/A50"),1.0)</f>
        <v>1</v>
      </c>
      <c r="O50" s="114">
        <f>IFERROR(__xludf.DUMMYFUNCTION("(COUNT(filter('ILC2413'!$D:$D,month('ILC2413'!$B:$B)=month(B50),year('ILC2413'!$B:$B)=year(B50))))/A50"),1.0)</f>
        <v>1</v>
      </c>
      <c r="P50" s="114">
        <f>IFERROR(__xludf.DUMMYFUNCTION("(COUNT(filter('ILC3104'!$D:$D,month('ILC3104'!$B:$B)=month(B50),year('ILC3104'!$B:$B)=year(B50))))/A50"),0.967741935483871)</f>
        <v>0.9677419355</v>
      </c>
      <c r="Q50" s="114">
        <f>IFERROR(__xludf.DUMMYFUNCTION("(COUNT(filter('ILC3310'!$D:$D,month('ILC3310'!$B:$B)=month(B50),year('ILC3310'!$B:$B)=year(B50))))/A50"),0.0)</f>
        <v>0</v>
      </c>
      <c r="R50" s="114">
        <f>IFERROR(__xludf.DUMMYFUNCTION("(COUNT(filter('ILC3312'!$D:$D,month('ILC3312'!$B:$B)=month(B50),year('ILC3312'!$B:$B)=year(B50))))/A50"),0.0)</f>
        <v>0</v>
      </c>
      <c r="S50" s="114">
        <f t="shared" si="4"/>
        <v>0</v>
      </c>
      <c r="T50" s="114">
        <f>IFERROR(__xludf.DUMMYFUNCTION("(COUNT(filter('ILC3415'!$D:$D,month('ILC3415'!$B:$B)=month(B50),year('ILC3415'!$B:$B)=year(B50))))/A50"),0.0)</f>
        <v>0</v>
      </c>
      <c r="U50" s="114">
        <f t="shared" si="5"/>
        <v>0</v>
      </c>
      <c r="V50" s="114">
        <f>IFERROR(__xludf.DUMMYFUNCTION("(COUNT(filter('ILC4406'!$D:$D,month('ILC4406'!$B:$B)=month(B50),year('ILC4406'!$B:$B)=year(B50))))/A50"),0.0)</f>
        <v>0</v>
      </c>
      <c r="W50" s="114">
        <f>IFERROR(__xludf.DUMMYFUNCTION("(COUNT(filter('ILC4410'!$D:$D,month('ILC4410'!$B:$B)=month(B50),year('ILC4410'!$B:$B)=year(B50))))/A50"),0.0)</f>
        <v>0</v>
      </c>
      <c r="X50" s="114">
        <f>IFERROR(__xludf.DUMMYFUNCTION("(COUNT(filter('JBV455'!$D:$D,month('JBV455'!$B:$B)=month(B50),year('JBV455'!$B:$B)=year(B50))))/A50"),1.0)</f>
        <v>1</v>
      </c>
      <c r="Y50" s="114">
        <f>IFERROR(__xludf.DUMMYFUNCTION("((COUNT(filter('JBV462'!$D:$D,month('JBV462'!$B:$B)=month(B50),year('JBV462'!$B:$B)=year(B50))))/A50 )+ ((COUNT(filter('JBV462&amp;464'!$D:$D,month('JBV462&amp;464'!$B:$B)=month(B50),year('JBV462&amp;464'!$B:$B)=year(B50))))/A50)"),0.9032258064516129)</f>
        <v>0.9032258065</v>
      </c>
      <c r="Z50" s="114">
        <f>IFERROR(__xludf.DUMMYFUNCTION("(COUNT(filter('JBV464'!$D:$D,month('JBV464'!$B:$B)=month(B50),year('JBV464'!$B:$B)=year(B50))))/A50"),1.0)</f>
        <v>1</v>
      </c>
      <c r="AA50" s="114">
        <f>IFERROR(__xludf.DUMMYFUNCTION("(COUNT(filter('JBV464'!$D:$D,month('JBV464'!$B:$B)=month(B50),year('JBV464'!$B:$B)=year(B50))))/A50 + (COUNT(filter('JBV462&amp;464'!$D:$D,month('JBV462&amp;464'!$B:$B)=month(B50),year('JBV462&amp;464'!$B:$B)=year(B50))))/A50"),1.0)</f>
        <v>1</v>
      </c>
      <c r="AB50" s="114">
        <f>IFERROR(__xludf.DUMMYFUNCTION("(COUNT(filter('VDI208'!$D:$D,month('VDI208'!$B:$B)=month(B50),year('VDI208'!$B:$B)=year(B50))))/A50"),0.0)</f>
        <v>0</v>
      </c>
      <c r="AC50" s="114">
        <f>IFERROR(__xludf.DUMMYFUNCTION("(COUNT(filter('STO2206'!$D:$D,month('STO2206'!$B:$B)=month(B50),year('STO2206'!$B:$B)=year(B50))))/A50"),0.0)</f>
        <v>0</v>
      </c>
    </row>
    <row r="51">
      <c r="A51" s="115">
        <v>28.0</v>
      </c>
      <c r="B51" s="116">
        <v>43497.0</v>
      </c>
      <c r="C51" s="109">
        <v>0.88</v>
      </c>
      <c r="D51" s="117">
        <v>638.18</v>
      </c>
      <c r="E51" s="114">
        <f>IFERROR(__xludf.DUMMYFUNCTION("(COUNT(filter('ILC1211'!$D:$D,month('ILC1211'!$B:$B)=month(B51),year('ILC1211'!$B:$B)=year(B51))))/A51"),1.0)</f>
        <v>1</v>
      </c>
      <c r="F51" s="114">
        <f>IFERROR(__xludf.DUMMYFUNCTION("(COUNT(filter('ILC1213'!$D:$D,month('ILC1213'!$B:$B)=month(B51),year('ILC1213'!$B:$B)=year(B51))))/A51"),0.0)</f>
        <v>0</v>
      </c>
      <c r="G51" s="114">
        <f>IFERROR(__xludf.DUMMYFUNCTION("(COUNT(filter('ILC1314'!$D:$D,month('ILC1314'!$B:$B)=month(B51),year('ILC1314'!$B:$B)=year(B51))))/A51"),0.0)</f>
        <v>0</v>
      </c>
      <c r="H51" s="114">
        <f>IFERROR(__xludf.DUMMYFUNCTION("(COUNT(filter('ILC1404'!$D:$D,month('ILC1404'!$B:$B)=month(B51),year('ILC1404'!$B:$B)=year(B51))))/A51"),0.8571428571428571)</f>
        <v>0.8571428571</v>
      </c>
      <c r="I51" s="114">
        <f>IFERROR(__xludf.DUMMYFUNCTION("(COUNT(filter('ILC2206'!$D:$D,month('ILC2206'!$B:$B)=month(B51),year('ILC2206'!$B:$B)=year(B51))))/A51"),0.0)</f>
        <v>0</v>
      </c>
      <c r="J51" s="114">
        <f>IFERROR(__xludf.DUMMYFUNCTION("(COUNT(filter('ILC2203'!$D:$D,month('ILC2203'!$B:$B)=month(B51),year('ILC2203'!$B:$B)=year(B51))))/A51"),0.10714285714285714)</f>
        <v>0.1071428571</v>
      </c>
      <c r="K51" s="114">
        <f>IFERROR(__xludf.DUMMYFUNCTION("(COUNT(filter('ILC2303'!$D:$D,month('ILC2303'!$B:$B)=month(B51),year('ILC2303'!$B:$B)=year(B51))))/A51"),0.0)</f>
        <v>0</v>
      </c>
      <c r="L51" s="114">
        <f>IFERROR(__xludf.DUMMYFUNCTION("(COUNT(filter('ILC2307'!$D:$D,month('ILC2307'!$B:$B)=month(B51),year('ILC2307'!$B:$B)=year(B51))))/A51"),0.7857142857142857)</f>
        <v>0.7857142857</v>
      </c>
      <c r="M51" s="114">
        <f>IFERROR(__xludf.DUMMYFUNCTION("(COUNT(filter('ILC2313'!$D:$D,month('ILC2313'!$B:$B)=month(B51),year('ILC2313'!$B:$B)=year(B51))))/A51"),0.8928571428571429)</f>
        <v>0.8928571429</v>
      </c>
      <c r="N51" s="114">
        <f>IFERROR(__xludf.DUMMYFUNCTION("(COUNT(filter('ILC2412'!$D:$D,month('ILC2412'!$B:$B)=month(B51),year('ILC2412'!$B:$B)=year(B51))))/A51"),0.8928571428571429)</f>
        <v>0.8928571429</v>
      </c>
      <c r="O51" s="114">
        <f>IFERROR(__xludf.DUMMYFUNCTION("(COUNT(filter('ILC2413'!$D:$D,month('ILC2413'!$B:$B)=month(B51),year('ILC2413'!$B:$B)=year(B51))))/A51"),0.8928571428571429)</f>
        <v>0.8928571429</v>
      </c>
      <c r="P51" s="114">
        <f>IFERROR(__xludf.DUMMYFUNCTION("(COUNT(filter('ILC3104'!$D:$D,month('ILC3104'!$B:$B)=month(B51),year('ILC3104'!$B:$B)=year(B51))))/A51"),1.0)</f>
        <v>1</v>
      </c>
      <c r="Q51" s="114">
        <f>IFERROR(__xludf.DUMMYFUNCTION("(COUNT(filter('ILC3310'!$D:$D,month('ILC3310'!$B:$B)=month(B51),year('ILC3310'!$B:$B)=year(B51))))/A51"),0.0)</f>
        <v>0</v>
      </c>
      <c r="R51" s="114">
        <f>IFERROR(__xludf.DUMMYFUNCTION("(COUNT(filter('ILC3312'!$D:$D,month('ILC3312'!$B:$B)=month(B51),year('ILC3312'!$B:$B)=year(B51))))/A51"),0.0)</f>
        <v>0</v>
      </c>
      <c r="S51" s="114">
        <f t="shared" si="4"/>
        <v>0</v>
      </c>
      <c r="T51" s="114">
        <f>IFERROR(__xludf.DUMMYFUNCTION("(COUNT(filter('ILC3415'!$D:$D,month('ILC3415'!$B:$B)=month(B51),year('ILC3415'!$B:$B)=year(B51))))/A51"),0.0)</f>
        <v>0</v>
      </c>
      <c r="U51" s="114">
        <f t="shared" si="5"/>
        <v>0</v>
      </c>
      <c r="V51" s="114">
        <f>IFERROR(__xludf.DUMMYFUNCTION("(COUNT(filter('ILC4406'!$D:$D,month('ILC4406'!$B:$B)=month(B51),year('ILC4406'!$B:$B)=year(B51))))/A51"),0.03571428571428571)</f>
        <v>0.03571428571</v>
      </c>
      <c r="W51" s="114">
        <f>IFERROR(__xludf.DUMMYFUNCTION("(COUNT(filter('ILC4410'!$D:$D,month('ILC4410'!$B:$B)=month(B51),year('ILC4410'!$B:$B)=year(B51))))/A51"),0.0)</f>
        <v>0</v>
      </c>
      <c r="X51" s="114">
        <f>IFERROR(__xludf.DUMMYFUNCTION("(COUNT(filter('JBV455'!$D:$D,month('JBV455'!$B:$B)=month(B51),year('JBV455'!$B:$B)=year(B51))))/A51"),1.0)</f>
        <v>1</v>
      </c>
      <c r="Y51" s="114">
        <f>IFERROR(__xludf.DUMMYFUNCTION("((COUNT(filter('JBV462'!$D:$D,month('JBV462'!$B:$B)=month(B51),year('JBV462'!$B:$B)=year(B51))))/A51 )+ ((COUNT(filter('JBV462&amp;464'!$D:$D,month('JBV462&amp;464'!$B:$B)=month(B51),year('JBV462&amp;464'!$B:$B)=year(B51))))/A51)"),0.9285714285714286)</f>
        <v>0.9285714286</v>
      </c>
      <c r="Z51" s="114">
        <f>IFERROR(__xludf.DUMMYFUNCTION("(COUNT(filter('JBV464'!$D:$D,month('JBV464'!$B:$B)=month(B51),year('JBV464'!$B:$B)=year(B51))))/A51"),1.0)</f>
        <v>1</v>
      </c>
      <c r="AA51" s="114">
        <f>IFERROR(__xludf.DUMMYFUNCTION("(COUNT(filter('JBV464'!$D:$D,month('JBV464'!$B:$B)=month(B51),year('JBV464'!$B:$B)=year(B51))))/A51 + (COUNT(filter('JBV462&amp;464'!$D:$D,month('JBV462&amp;464'!$B:$B)=month(B51),year('JBV462&amp;464'!$B:$B)=year(B51))))/A51"),1.0)</f>
        <v>1</v>
      </c>
      <c r="AB51" s="114">
        <f>IFERROR(__xludf.DUMMYFUNCTION("(COUNT(filter('VDI208'!$D:$D,month('VDI208'!$B:$B)=month(B51),year('VDI208'!$B:$B)=year(B51))))/A51"),0.03571428571428571)</f>
        <v>0.03571428571</v>
      </c>
      <c r="AC51" s="114">
        <f>IFERROR(__xludf.DUMMYFUNCTION("(COUNT(filter('STO2206'!$D:$D,month('STO2206'!$B:$B)=month(B51),year('STO2206'!$B:$B)=year(B51))))/A51"),0.0)</f>
        <v>0</v>
      </c>
    </row>
    <row r="52">
      <c r="A52" s="115">
        <v>31.0</v>
      </c>
      <c r="B52" s="116">
        <v>43525.0</v>
      </c>
      <c r="C52" s="109">
        <v>0.76</v>
      </c>
      <c r="D52" s="117">
        <v>323.29</v>
      </c>
      <c r="E52" s="114">
        <f>IFERROR(__xludf.DUMMYFUNCTION("(COUNT(filter('ILC1211'!$D:$D,month('ILC1211'!$B:$B)=month(B52),year('ILC1211'!$B:$B)=year(B52))))/A52"),0.967741935483871)</f>
        <v>0.9677419355</v>
      </c>
      <c r="F52" s="114">
        <f>IFERROR(__xludf.DUMMYFUNCTION("(COUNT(filter('ILC1213'!$D:$D,month('ILC1213'!$B:$B)=month(B52),year('ILC1213'!$B:$B)=year(B52))))/A52"),0.0)</f>
        <v>0</v>
      </c>
      <c r="G52" s="114">
        <f>IFERROR(__xludf.DUMMYFUNCTION("(COUNT(filter('ILC1314'!$D:$D,month('ILC1314'!$B:$B)=month(B52),year('ILC1314'!$B:$B)=year(B52))))/A52"),0.12903225806451613)</f>
        <v>0.1290322581</v>
      </c>
      <c r="H52" s="114">
        <f>IFERROR(__xludf.DUMMYFUNCTION("(COUNT(filter('ILC1404'!$D:$D,month('ILC1404'!$B:$B)=month(B52),year('ILC1404'!$B:$B)=year(B52))))/A52"),0.9032258064516129)</f>
        <v>0.9032258065</v>
      </c>
      <c r="I52" s="114">
        <f>IFERROR(__xludf.DUMMYFUNCTION("(COUNT(filter('ILC2206'!$D:$D,month('ILC2206'!$B:$B)=month(B52),year('ILC2206'!$B:$B)=year(B52))))/A52"),0.9354838709677419)</f>
        <v>0.935483871</v>
      </c>
      <c r="J52" s="114">
        <f>IFERROR(__xludf.DUMMYFUNCTION("(COUNT(filter('ILC2203'!$D:$D,month('ILC2203'!$B:$B)=month(B52),year('ILC2203'!$B:$B)=year(B52))))/A52"),0.7419354838709677)</f>
        <v>0.7419354839</v>
      </c>
      <c r="K52" s="114">
        <f>IFERROR(__xludf.DUMMYFUNCTION("(COUNT(filter('ILC2303'!$D:$D,month('ILC2303'!$B:$B)=month(B52),year('ILC2303'!$B:$B)=year(B52))))/A52"),0.0)</f>
        <v>0</v>
      </c>
      <c r="L52" s="114">
        <f>IFERROR(__xludf.DUMMYFUNCTION("(COUNT(filter('ILC2307'!$D:$D,month('ILC2307'!$B:$B)=month(B52),year('ILC2307'!$B:$B)=year(B52))))/A52"),0.8387096774193549)</f>
        <v>0.8387096774</v>
      </c>
      <c r="M52" s="114">
        <f>IFERROR(__xludf.DUMMYFUNCTION("(COUNT(filter('ILC2313'!$D:$D,month('ILC2313'!$B:$B)=month(B52),year('ILC2313'!$B:$B)=year(B52))))/A52"),0.967741935483871)</f>
        <v>0.9677419355</v>
      </c>
      <c r="N52" s="114">
        <f>IFERROR(__xludf.DUMMYFUNCTION("(COUNT(filter('ILC2412'!$D:$D,month('ILC2412'!$B:$B)=month(B52),year('ILC2412'!$B:$B)=year(B52))))/A52"),1.0)</f>
        <v>1</v>
      </c>
      <c r="O52" s="114">
        <f>IFERROR(__xludf.DUMMYFUNCTION("(COUNT(filter('ILC2413'!$D:$D,month('ILC2413'!$B:$B)=month(B52),year('ILC2413'!$B:$B)=year(B52))))/A52"),0.9354838709677419)</f>
        <v>0.935483871</v>
      </c>
      <c r="P52" s="114">
        <f>IFERROR(__xludf.DUMMYFUNCTION("(COUNT(filter('ILC3104'!$D:$D,month('ILC3104'!$B:$B)=month(B52),year('ILC3104'!$B:$B)=year(B52))))/A52"),0.9354838709677419)</f>
        <v>0.935483871</v>
      </c>
      <c r="Q52" s="114">
        <f>IFERROR(__xludf.DUMMYFUNCTION("(COUNT(filter('ILC3310'!$D:$D,month('ILC3310'!$B:$B)=month(B52),year('ILC3310'!$B:$B)=year(B52))))/A52"),0.0)</f>
        <v>0</v>
      </c>
      <c r="R52" s="114">
        <f>IFERROR(__xludf.DUMMYFUNCTION("(COUNT(filter('ILC3312'!$D:$D,month('ILC3312'!$B:$B)=month(B52),year('ILC3312'!$B:$B)=year(B52))))/A52"),0.967741935483871)</f>
        <v>0.9677419355</v>
      </c>
      <c r="S52" s="114">
        <f t="shared" si="4"/>
        <v>0</v>
      </c>
      <c r="T52" s="114">
        <f>IFERROR(__xludf.DUMMYFUNCTION("(COUNT(filter('ILC3415'!$D:$D,month('ILC3415'!$B:$B)=month(B52),year('ILC3415'!$B:$B)=year(B52))))/A52"),0.0)</f>
        <v>0</v>
      </c>
      <c r="U52" s="114">
        <f t="shared" si="5"/>
        <v>0</v>
      </c>
      <c r="V52" s="114">
        <f>IFERROR(__xludf.DUMMYFUNCTION("(COUNT(filter('ILC4406'!$D:$D,month('ILC4406'!$B:$B)=month(B52),year('ILC4406'!$B:$B)=year(B52))))/A52"),0.3548387096774194)</f>
        <v>0.3548387097</v>
      </c>
      <c r="W52" s="114">
        <f>IFERROR(__xludf.DUMMYFUNCTION("(COUNT(filter('ILC4410'!$D:$D,month('ILC4410'!$B:$B)=month(B52),year('ILC4410'!$B:$B)=year(B52))))/A52"),1.0)</f>
        <v>1</v>
      </c>
      <c r="X52" s="114">
        <f>IFERROR(__xludf.DUMMYFUNCTION("(COUNT(filter('JBV455'!$D:$D,month('JBV455'!$B:$B)=month(B52),year('JBV455'!$B:$B)=year(B52))))/A52"),0.9354838709677419)</f>
        <v>0.935483871</v>
      </c>
      <c r="Y52" s="114">
        <f>IFERROR(__xludf.DUMMYFUNCTION("((COUNT(filter('JBV462'!$D:$D,month('JBV462'!$B:$B)=month(B52),year('JBV462'!$B:$B)=year(B52))))/A52 )+ ((COUNT(filter('JBV462&amp;464'!$D:$D,month('JBV462&amp;464'!$B:$B)=month(B52),year('JBV462&amp;464'!$B:$B)=year(B52))))/A52)"),1.0)</f>
        <v>1</v>
      </c>
      <c r="Z52" s="114">
        <f>IFERROR(__xludf.DUMMYFUNCTION("(COUNT(filter('JBV464'!$D:$D,month('JBV464'!$B:$B)=month(B52),year('JBV464'!$B:$B)=year(B52))))/A52"),0.9354838709677419)</f>
        <v>0.935483871</v>
      </c>
      <c r="AA52" s="114">
        <f>IFERROR(__xludf.DUMMYFUNCTION("(COUNT(filter('JBV464'!$D:$D,month('JBV464'!$B:$B)=month(B52),year('JBV464'!$B:$B)=year(B52))))/A52 + (COUNT(filter('JBV462&amp;464'!$D:$D,month('JBV462&amp;464'!$B:$B)=month(B52),year('JBV462&amp;464'!$B:$B)=year(B52))))/A52"),0.9354838709677419)</f>
        <v>0.935483871</v>
      </c>
      <c r="AB52" s="114">
        <f>IFERROR(__xludf.DUMMYFUNCTION("(COUNT(filter('VDI208'!$D:$D,month('VDI208'!$B:$B)=month(B52),year('VDI208'!$B:$B)=year(B52))))/A52"),0.6774193548387096)</f>
        <v>0.6774193548</v>
      </c>
      <c r="AC52" s="114">
        <f>IFERROR(__xludf.DUMMYFUNCTION("(COUNT(filter('STO2206'!$D:$D,month('STO2206'!$B:$B)=month(B52),year('STO2206'!$B:$B)=year(B52))))/A52"),0.0)</f>
        <v>0</v>
      </c>
    </row>
    <row r="53">
      <c r="A53" s="115">
        <v>30.0</v>
      </c>
      <c r="B53" s="116">
        <v>43556.0</v>
      </c>
      <c r="C53" s="109">
        <v>0.77</v>
      </c>
      <c r="D53" s="117">
        <v>244.72</v>
      </c>
      <c r="E53" s="114">
        <f>IFERROR(__xludf.DUMMYFUNCTION("(COUNT(filter('ILC1211'!$D:$D,month('ILC1211'!$B:$B)=month(B53),year('ILC1211'!$B:$B)=year(B53))))/A53"),0.9)</f>
        <v>0.9</v>
      </c>
      <c r="F53" s="114">
        <f>IFERROR(__xludf.DUMMYFUNCTION("(COUNT(filter('ILC1213'!$D:$D,month('ILC1213'!$B:$B)=month(B53),year('ILC1213'!$B:$B)=year(B53))))/A53"),0.0)</f>
        <v>0</v>
      </c>
      <c r="G53" s="114">
        <f>IFERROR(__xludf.DUMMYFUNCTION("(COUNT(filter('ILC1314'!$D:$D,month('ILC1314'!$B:$B)=month(B53),year('ILC1314'!$B:$B)=year(B53))))/A53"),0.0)</f>
        <v>0</v>
      </c>
      <c r="H53" s="114">
        <f>IFERROR(__xludf.DUMMYFUNCTION("(COUNT(filter('ILC1404'!$D:$D,month('ILC1404'!$B:$B)=month(B53),year('ILC1404'!$B:$B)=year(B53))))/A53"),0.7)</f>
        <v>0.7</v>
      </c>
      <c r="I53" s="114">
        <f>IFERROR(__xludf.DUMMYFUNCTION("(COUNT(filter('ILC2206'!$D:$D,month('ILC2206'!$B:$B)=month(B53),year('ILC2206'!$B:$B)=year(B53))))/A53"),0.7333333333333333)</f>
        <v>0.7333333333</v>
      </c>
      <c r="J53" s="114">
        <f>IFERROR(__xludf.DUMMYFUNCTION("(COUNT(filter('ILC2203'!$D:$D,month('ILC2203'!$B:$B)=month(B53),year('ILC2203'!$B:$B)=year(B53))))/A53"),0.6333333333333333)</f>
        <v>0.6333333333</v>
      </c>
      <c r="K53" s="114">
        <f>IFERROR(__xludf.DUMMYFUNCTION("(COUNT(filter('ILC2303'!$D:$D,month('ILC2303'!$B:$B)=month(B53),year('ILC2303'!$B:$B)=year(B53))))/A53"),0.0)</f>
        <v>0</v>
      </c>
      <c r="L53" s="114">
        <f>IFERROR(__xludf.DUMMYFUNCTION("(COUNT(filter('ILC2307'!$D:$D,month('ILC2307'!$B:$B)=month(B53),year('ILC2307'!$B:$B)=year(B53))))/A53"),0.7666666666666667)</f>
        <v>0.7666666667</v>
      </c>
      <c r="M53" s="114">
        <f>IFERROR(__xludf.DUMMYFUNCTION("(COUNT(filter('ILC2313'!$D:$D,month('ILC2313'!$B:$B)=month(B53),year('ILC2313'!$B:$B)=year(B53))))/A53"),0.9333333333333333)</f>
        <v>0.9333333333</v>
      </c>
      <c r="N53" s="114">
        <f>IFERROR(__xludf.DUMMYFUNCTION("(COUNT(filter('ILC2412'!$D:$D,month('ILC2412'!$B:$B)=month(B53),year('ILC2412'!$B:$B)=year(B53))))/A53"),0.8)</f>
        <v>0.8</v>
      </c>
      <c r="O53" s="114">
        <f>IFERROR(__xludf.DUMMYFUNCTION("(COUNT(filter('ILC2413'!$D:$D,month('ILC2413'!$B:$B)=month(B53),year('ILC2413'!$B:$B)=year(B53))))/A53"),0.6666666666666666)</f>
        <v>0.6666666667</v>
      </c>
      <c r="P53" s="114">
        <f>IFERROR(__xludf.DUMMYFUNCTION("(COUNT(filter('ILC3104'!$D:$D,month('ILC3104'!$B:$B)=month(B53),year('ILC3104'!$B:$B)=year(B53))))/A53"),0.7)</f>
        <v>0.7</v>
      </c>
      <c r="Q53" s="114">
        <f>IFERROR(__xludf.DUMMYFUNCTION("(COUNT(filter('ILC3310'!$D:$D,month('ILC3310'!$B:$B)=month(B53),year('ILC3310'!$B:$B)=year(B53))))/A53"),0.0)</f>
        <v>0</v>
      </c>
      <c r="R53" s="114">
        <f>IFERROR(__xludf.DUMMYFUNCTION("(COUNT(filter('ILC3312'!$D:$D,month('ILC3312'!$B:$B)=month(B53),year('ILC3312'!$B:$B)=year(B53))))/A53"),0.6666666666666666)</f>
        <v>0.6666666667</v>
      </c>
      <c r="S53" s="114">
        <f t="shared" si="4"/>
        <v>0</v>
      </c>
      <c r="T53" s="114">
        <f>IFERROR(__xludf.DUMMYFUNCTION("(COUNT(filter('ILC3415'!$D:$D,month('ILC3415'!$B:$B)=month(B53),year('ILC3415'!$B:$B)=year(B53))))/A53"),0.3333333333333333)</f>
        <v>0.3333333333</v>
      </c>
      <c r="U53" s="114">
        <f t="shared" si="5"/>
        <v>0</v>
      </c>
      <c r="V53" s="114">
        <f>IFERROR(__xludf.DUMMYFUNCTION("(COUNT(filter('ILC4406'!$D:$D,month('ILC4406'!$B:$B)=month(B53),year('ILC4406'!$B:$B)=year(B53))))/A53"),0.5)</f>
        <v>0.5</v>
      </c>
      <c r="W53" s="114">
        <f>IFERROR(__xludf.DUMMYFUNCTION("(COUNT(filter('ILC4410'!$D:$D,month('ILC4410'!$B:$B)=month(B53),year('ILC4410'!$B:$B)=year(B53))))/A53"),0.7333333333333333)</f>
        <v>0.7333333333</v>
      </c>
      <c r="X53" s="114">
        <f>IFERROR(__xludf.DUMMYFUNCTION("(COUNT(filter('JBV455'!$D:$D,month('JBV455'!$B:$B)=month(B53),year('JBV455'!$B:$B)=year(B53))))/A53"),0.9333333333333333)</f>
        <v>0.9333333333</v>
      </c>
      <c r="Y53" s="114">
        <f>IFERROR(__xludf.DUMMYFUNCTION("((COUNT(filter('JBV462'!$D:$D,month('JBV462'!$B:$B)=month(B53),year('JBV462'!$B:$B)=year(B53))))/A53 )+ ((COUNT(filter('JBV462&amp;464'!$D:$D,month('JBV462&amp;464'!$B:$B)=month(B53),year('JBV462&amp;464'!$B:$B)=year(B53))))/A53)"),0.8)</f>
        <v>0.8</v>
      </c>
      <c r="Z53" s="114">
        <f>IFERROR(__xludf.DUMMYFUNCTION("(COUNT(filter('JBV464'!$D:$D,month('JBV464'!$B:$B)=month(B53),year('JBV464'!$B:$B)=year(B53))))/A53"),0.8666666666666667)</f>
        <v>0.8666666667</v>
      </c>
      <c r="AA53" s="114">
        <f>IFERROR(__xludf.DUMMYFUNCTION("(COUNT(filter('JBV464'!$D:$D,month('JBV464'!$B:$B)=month(B53),year('JBV464'!$B:$B)=year(B53))))/A53 + (COUNT(filter('JBV462&amp;464'!$D:$D,month('JBV462&amp;464'!$B:$B)=month(B53),year('JBV462&amp;464'!$B:$B)=year(B53))))/A53"),0.8666666666666667)</f>
        <v>0.8666666667</v>
      </c>
      <c r="AB53" s="114">
        <f>IFERROR(__xludf.DUMMYFUNCTION("(COUNT(filter('VDI208'!$D:$D,month('VDI208'!$B:$B)=month(B53),year('VDI208'!$B:$B)=year(B53))))/A53"),0.3)</f>
        <v>0.3</v>
      </c>
      <c r="AC53" s="114">
        <f>IFERROR(__xludf.DUMMYFUNCTION("(COUNT(filter('STO2206'!$D:$D,month('STO2206'!$B:$B)=month(B53),year('STO2206'!$B:$B)=year(B53))))/A53"),0.0)</f>
        <v>0</v>
      </c>
    </row>
    <row r="54">
      <c r="A54" s="115">
        <v>31.0</v>
      </c>
      <c r="B54" s="116">
        <v>43586.0</v>
      </c>
      <c r="C54" s="109">
        <v>0.74</v>
      </c>
      <c r="D54" s="117">
        <v>285.91</v>
      </c>
      <c r="E54" s="114">
        <f>IFERROR(__xludf.DUMMYFUNCTION("(COUNT(filter('ILC1211'!$D:$D,month('ILC1211'!$B:$B)=month(B54),year('ILC1211'!$B:$B)=year(B54))))/A54"),0.6774193548387096)</f>
        <v>0.6774193548</v>
      </c>
      <c r="F54" s="114">
        <f>IFERROR(__xludf.DUMMYFUNCTION("(COUNT(filter('ILC1213'!$D:$D,month('ILC1213'!$B:$B)=month(B54),year('ILC1213'!$B:$B)=year(B54))))/A54"),0.0)</f>
        <v>0</v>
      </c>
      <c r="G54" s="114">
        <f>IFERROR(__xludf.DUMMYFUNCTION("(COUNT(filter('ILC1314'!$D:$D,month('ILC1314'!$B:$B)=month(B54),year('ILC1314'!$B:$B)=year(B54))))/A54"),0.0)</f>
        <v>0</v>
      </c>
      <c r="H54" s="114">
        <f>IFERROR(__xludf.DUMMYFUNCTION("(COUNT(filter('ILC1404'!$D:$D,month('ILC1404'!$B:$B)=month(B54),year('ILC1404'!$B:$B)=year(B54))))/A54"),0.5483870967741935)</f>
        <v>0.5483870968</v>
      </c>
      <c r="I54" s="114">
        <f>IFERROR(__xludf.DUMMYFUNCTION("(COUNT(filter('ILC2206'!$D:$D,month('ILC2206'!$B:$B)=month(B54),year('ILC2206'!$B:$B)=year(B54))))/A54"),0.4838709677419355)</f>
        <v>0.4838709677</v>
      </c>
      <c r="J54" s="114">
        <f>IFERROR(__xludf.DUMMYFUNCTION("(COUNT(filter('ILC2203'!$D:$D,month('ILC2203'!$B:$B)=month(B54),year('ILC2203'!$B:$B)=year(B54))))/A54"),0.16129032258064516)</f>
        <v>0.1612903226</v>
      </c>
      <c r="K54" s="114">
        <f>IFERROR(__xludf.DUMMYFUNCTION("(COUNT(filter('ILC2303'!$D:$D,month('ILC2303'!$B:$B)=month(B54),year('ILC2303'!$B:$B)=year(B54))))/A54"),0.0)</f>
        <v>0</v>
      </c>
      <c r="L54" s="114">
        <f>IFERROR(__xludf.DUMMYFUNCTION("(COUNT(filter('ILC2307'!$D:$D,month('ILC2307'!$B:$B)=month(B54),year('ILC2307'!$B:$B)=year(B54))))/A54"),0.8709677419354839)</f>
        <v>0.8709677419</v>
      </c>
      <c r="M54" s="114">
        <f>IFERROR(__xludf.DUMMYFUNCTION("(COUNT(filter('ILC2313'!$D:$D,month('ILC2313'!$B:$B)=month(B54),year('ILC2313'!$B:$B)=year(B54))))/A54"),0.5806451612903226)</f>
        <v>0.5806451613</v>
      </c>
      <c r="N54" s="114">
        <f>IFERROR(__xludf.DUMMYFUNCTION("(COUNT(filter('ILC2412'!$D:$D,month('ILC2412'!$B:$B)=month(B54),year('ILC2412'!$B:$B)=year(B54))))/A54"),0.5483870967741935)</f>
        <v>0.5483870968</v>
      </c>
      <c r="O54" s="114">
        <f>IFERROR(__xludf.DUMMYFUNCTION("(COUNT(filter('ILC2413'!$D:$D,month('ILC2413'!$B:$B)=month(B54),year('ILC2413'!$B:$B)=year(B54))))/A54"),0.3548387096774194)</f>
        <v>0.3548387097</v>
      </c>
      <c r="P54" s="114">
        <f>IFERROR(__xludf.DUMMYFUNCTION("(COUNT(filter('ILC3104'!$D:$D,month('ILC3104'!$B:$B)=month(B54),year('ILC3104'!$B:$B)=year(B54))))/A54"),0.5483870967741935)</f>
        <v>0.5483870968</v>
      </c>
      <c r="Q54" s="114">
        <f>IFERROR(__xludf.DUMMYFUNCTION("(COUNT(filter('ILC3310'!$D:$D,month('ILC3310'!$B:$B)=month(B54),year('ILC3310'!$B:$B)=year(B54))))/A54"),0.4838709677419355)</f>
        <v>0.4838709677</v>
      </c>
      <c r="R54" s="114">
        <f>IFERROR(__xludf.DUMMYFUNCTION("(COUNT(filter('ILC3312'!$D:$D,month('ILC3312'!$B:$B)=month(B54),year('ILC3312'!$B:$B)=year(B54))))/A54"),0.5806451612903226)</f>
        <v>0.5806451613</v>
      </c>
      <c r="S54" s="114">
        <f t="shared" si="4"/>
        <v>0</v>
      </c>
      <c r="T54" s="114">
        <f>IFERROR(__xludf.DUMMYFUNCTION("(COUNT(filter('ILC3415'!$D:$D,month('ILC3415'!$B:$B)=month(B54),year('ILC3415'!$B:$B)=year(B54))))/A54"),0.41935483870967744)</f>
        <v>0.4193548387</v>
      </c>
      <c r="U54" s="114">
        <f t="shared" si="5"/>
        <v>0</v>
      </c>
      <c r="V54" s="114">
        <f>IFERROR(__xludf.DUMMYFUNCTION("(COUNT(filter('ILC4406'!$D:$D,month('ILC4406'!$B:$B)=month(B54),year('ILC4406'!$B:$B)=year(B54))))/A54"),0.5483870967741935)</f>
        <v>0.5483870968</v>
      </c>
      <c r="W54" s="114">
        <f>IFERROR(__xludf.DUMMYFUNCTION("(COUNT(filter('ILC4410'!$D:$D,month('ILC4410'!$B:$B)=month(B54),year('ILC4410'!$B:$B)=year(B54))))/A54"),0.6451612903225806)</f>
        <v>0.6451612903</v>
      </c>
      <c r="X54" s="114">
        <f>IFERROR(__xludf.DUMMYFUNCTION("(COUNT(filter('JBV455'!$D:$D,month('JBV455'!$B:$B)=month(B54),year('JBV455'!$B:$B)=year(B54))))/A54"),0.5806451612903226)</f>
        <v>0.5806451613</v>
      </c>
      <c r="Y54" s="114">
        <f>IFERROR(__xludf.DUMMYFUNCTION("((COUNT(filter('JBV462'!$D:$D,month('JBV462'!$B:$B)=month(B54),year('JBV462'!$B:$B)=year(B54))))/A54 )+ ((COUNT(filter('JBV462&amp;464'!$D:$D,month('JBV462&amp;464'!$B:$B)=month(B54),year('JBV462&amp;464'!$B:$B)=year(B54))))/A54)"),0.7096774193548387)</f>
        <v>0.7096774194</v>
      </c>
      <c r="Z54" s="114">
        <f>IFERROR(__xludf.DUMMYFUNCTION("(COUNT(filter('JBV464'!$D:$D,month('JBV464'!$B:$B)=month(B54),year('JBV464'!$B:$B)=year(B54))))/A54"),0.9032258064516129)</f>
        <v>0.9032258065</v>
      </c>
      <c r="AA54" s="114">
        <f>IFERROR(__xludf.DUMMYFUNCTION("(COUNT(filter('JBV464'!$D:$D,month('JBV464'!$B:$B)=month(B54),year('JBV464'!$B:$B)=year(B54))))/A54 + (COUNT(filter('JBV462&amp;464'!$D:$D,month('JBV462&amp;464'!$B:$B)=month(B54),year('JBV462&amp;464'!$B:$B)=year(B54))))/A54"),0.9032258064516129)</f>
        <v>0.9032258065</v>
      </c>
      <c r="AB54" s="114">
        <f>IFERROR(__xludf.DUMMYFUNCTION("(COUNT(filter('VDI208'!$D:$D,month('VDI208'!$B:$B)=month(B54),year('VDI208'!$B:$B)=year(B54))))/A54"),0.41935483870967744)</f>
        <v>0.4193548387</v>
      </c>
      <c r="AC54" s="114">
        <f>IFERROR(__xludf.DUMMYFUNCTION("(COUNT(filter('STO2206'!$D:$D,month('STO2206'!$B:$B)=month(B54),year('STO2206'!$B:$B)=year(B54))))/A54"),0.0)</f>
        <v>0</v>
      </c>
    </row>
    <row r="55">
      <c r="A55" s="115">
        <v>30.0</v>
      </c>
      <c r="B55" s="116">
        <v>43617.0</v>
      </c>
      <c r="C55" s="109">
        <v>0.6</v>
      </c>
      <c r="D55" s="117">
        <v>172.89</v>
      </c>
      <c r="E55" s="114">
        <f>IFERROR(__xludf.DUMMYFUNCTION("(COUNT(filter('ILC1211'!$D:$D,month('ILC1211'!$B:$B)=month(B55),year('ILC1211'!$B:$B)=year(B55))))/A55"),0.23333333333333334)</f>
        <v>0.2333333333</v>
      </c>
      <c r="F55" s="114">
        <f>IFERROR(__xludf.DUMMYFUNCTION("(COUNT(filter('ILC1213'!$D:$D,month('ILC1213'!$B:$B)=month(B55),year('ILC1213'!$B:$B)=year(B55))))/A55"),0.06666666666666667)</f>
        <v>0.06666666667</v>
      </c>
      <c r="G55" s="114">
        <f>IFERROR(__xludf.DUMMYFUNCTION("(COUNT(filter('ILC1314'!$D:$D,month('ILC1314'!$B:$B)=month(B55),year('ILC1314'!$B:$B)=year(B55))))/A55"),0.13333333333333333)</f>
        <v>0.1333333333</v>
      </c>
      <c r="H55" s="114">
        <f>IFERROR(__xludf.DUMMYFUNCTION("(COUNT(filter('ILC1404'!$D:$D,month('ILC1404'!$B:$B)=month(B55),year('ILC1404'!$B:$B)=year(B55))))/A55"),0.26666666666666666)</f>
        <v>0.2666666667</v>
      </c>
      <c r="I55" s="114">
        <f>IFERROR(__xludf.DUMMYFUNCTION("(COUNT(filter('ILC2206'!$D:$D,month('ILC2206'!$B:$B)=month(B55),year('ILC2206'!$B:$B)=year(B55))))/A55"),0.0)</f>
        <v>0</v>
      </c>
      <c r="J55" s="114">
        <f>IFERROR(__xludf.DUMMYFUNCTION("(COUNT(filter('ILC2203'!$D:$D,month('ILC2203'!$B:$B)=month(B55),year('ILC2203'!$B:$B)=year(B55))))/A55"),0.23333333333333334)</f>
        <v>0.2333333333</v>
      </c>
      <c r="K55" s="114">
        <f>IFERROR(__xludf.DUMMYFUNCTION("(COUNT(filter('ILC2303'!$D:$D,month('ILC2303'!$B:$B)=month(B55),year('ILC2303'!$B:$B)=year(B55))))/A55"),0.0)</f>
        <v>0</v>
      </c>
      <c r="L55" s="114">
        <f>IFERROR(__xludf.DUMMYFUNCTION("(COUNT(filter('ILC2307'!$D:$D,month('ILC2307'!$B:$B)=month(B55),year('ILC2307'!$B:$B)=year(B55))))/A55"),0.13333333333333333)</f>
        <v>0.1333333333</v>
      </c>
      <c r="M55" s="114">
        <f>IFERROR(__xludf.DUMMYFUNCTION("(COUNT(filter('ILC2313'!$D:$D,month('ILC2313'!$B:$B)=month(B55),year('ILC2313'!$B:$B)=year(B55))))/A55"),0.0)</f>
        <v>0</v>
      </c>
      <c r="N55" s="114">
        <f>IFERROR(__xludf.DUMMYFUNCTION("(COUNT(filter('ILC2412'!$D:$D,month('ILC2412'!$B:$B)=month(B55),year('ILC2412'!$B:$B)=year(B55))))/A55"),0.1)</f>
        <v>0.1</v>
      </c>
      <c r="O55" s="114">
        <f>IFERROR(__xludf.DUMMYFUNCTION("(COUNT(filter('ILC2413'!$D:$D,month('ILC2413'!$B:$B)=month(B55),year('ILC2413'!$B:$B)=year(B55))))/A55"),0.06666666666666667)</f>
        <v>0.06666666667</v>
      </c>
      <c r="P55" s="114">
        <f>IFERROR(__xludf.DUMMYFUNCTION("(COUNT(filter('ILC3104'!$D:$D,month('ILC3104'!$B:$B)=month(B55),year('ILC3104'!$B:$B)=year(B55))))/A55"),0.03333333333333333)</f>
        <v>0.03333333333</v>
      </c>
      <c r="Q55" s="114">
        <f>IFERROR(__xludf.DUMMYFUNCTION("(COUNT(filter('ILC3310'!$D:$D,month('ILC3310'!$B:$B)=month(B55),year('ILC3310'!$B:$B)=year(B55))))/A55"),0.1)</f>
        <v>0.1</v>
      </c>
      <c r="R55" s="114">
        <f>IFERROR(__xludf.DUMMYFUNCTION("(COUNT(filter('ILC3312'!$D:$D,month('ILC3312'!$B:$B)=month(B55),year('ILC3312'!$B:$B)=year(B55))))/A55"),0.2)</f>
        <v>0.2</v>
      </c>
      <c r="S55" s="114">
        <f t="shared" si="4"/>
        <v>0</v>
      </c>
      <c r="T55" s="114">
        <f>IFERROR(__xludf.DUMMYFUNCTION("(COUNT(filter('ILC3415'!$D:$D,month('ILC3415'!$B:$B)=month(B55),year('ILC3415'!$B:$B)=year(B55))))/A55"),0.13333333333333333)</f>
        <v>0.1333333333</v>
      </c>
      <c r="U55" s="114">
        <f t="shared" si="5"/>
        <v>0</v>
      </c>
      <c r="V55" s="114">
        <f>IFERROR(__xludf.DUMMYFUNCTION("(COUNT(filter('ILC4406'!$D:$D,month('ILC4406'!$B:$B)=month(B55),year('ILC4406'!$B:$B)=year(B55))))/A55"),0.0)</f>
        <v>0</v>
      </c>
      <c r="W55" s="114">
        <f>IFERROR(__xludf.DUMMYFUNCTION("(COUNT(filter('ILC4410'!$D:$D,month('ILC4410'!$B:$B)=month(B55),year('ILC4410'!$B:$B)=year(B55))))/A55"),0.3333333333333333)</f>
        <v>0.3333333333</v>
      </c>
      <c r="X55" s="114">
        <f>IFERROR(__xludf.DUMMYFUNCTION("(COUNT(filter('JBV455'!$D:$D,month('JBV455'!$B:$B)=month(B55),year('JBV455'!$B:$B)=year(B55))))/A55"),0.36666666666666664)</f>
        <v>0.3666666667</v>
      </c>
      <c r="Y55" s="114">
        <f>IFERROR(__xludf.DUMMYFUNCTION("((COUNT(filter('JBV462'!$D:$D,month('JBV462'!$B:$B)=month(B55),year('JBV462'!$B:$B)=year(B55))))/A55 )+ ((COUNT(filter('JBV462&amp;464'!$D:$D,month('JBV462&amp;464'!$B:$B)=month(B55),year('JBV462&amp;464'!$B:$B)=year(B55))))/A55)"),0.23333333333333334)</f>
        <v>0.2333333333</v>
      </c>
      <c r="Z55" s="114">
        <f>IFERROR(__xludf.DUMMYFUNCTION("(COUNT(filter('JBV464'!$D:$D,month('JBV464'!$B:$B)=month(B55),year('JBV464'!$B:$B)=year(B55))))/A55"),0.6333333333333333)</f>
        <v>0.6333333333</v>
      </c>
      <c r="AA55" s="114">
        <f>IFERROR(__xludf.DUMMYFUNCTION("(COUNT(filter('JBV464'!$D:$D,month('JBV464'!$B:$B)=month(B55),year('JBV464'!$B:$B)=year(B55))))/A55 + (COUNT(filter('JBV462&amp;464'!$D:$D,month('JBV462&amp;464'!$B:$B)=month(B55),year('JBV462&amp;464'!$B:$B)=year(B55))))/A55"),0.6333333333333333)</f>
        <v>0.6333333333</v>
      </c>
      <c r="AB55" s="114">
        <f>IFERROR(__xludf.DUMMYFUNCTION("(COUNT(filter('VDI208'!$D:$D,month('VDI208'!$B:$B)=month(B55),year('VDI208'!$B:$B)=year(B55))))/A55"),0.03333333333333333)</f>
        <v>0.03333333333</v>
      </c>
      <c r="AC55" s="114">
        <f>IFERROR(__xludf.DUMMYFUNCTION("(COUNT(filter('STO2206'!$D:$D,month('STO2206'!$B:$B)=month(B55),year('STO2206'!$B:$B)=year(B55))))/A55"),0.0)</f>
        <v>0</v>
      </c>
    </row>
    <row r="56">
      <c r="A56" s="115">
        <v>31.0</v>
      </c>
      <c r="B56" s="116">
        <v>43647.0</v>
      </c>
      <c r="C56" s="109">
        <v>0.65</v>
      </c>
      <c r="D56" s="117">
        <v>254.21</v>
      </c>
      <c r="E56" s="114">
        <f>IFERROR(__xludf.DUMMYFUNCTION("(COUNT(filter('ILC1211'!$D:$D,month('ILC1211'!$B:$B)=month(B56),year('ILC1211'!$B:$B)=year(B56))))/A56"),0.0)</f>
        <v>0</v>
      </c>
      <c r="F56" s="114">
        <f>IFERROR(__xludf.DUMMYFUNCTION("(COUNT(filter('ILC1213'!$D:$D,month('ILC1213'!$B:$B)=month(B56),year('ILC1213'!$B:$B)=year(B56))))/A56"),0.0)</f>
        <v>0</v>
      </c>
      <c r="G56" s="114">
        <f>IFERROR(__xludf.DUMMYFUNCTION("(COUNT(filter('ILC1314'!$D:$D,month('ILC1314'!$B:$B)=month(B56),year('ILC1314'!$B:$B)=year(B56))))/A56"),0.0)</f>
        <v>0</v>
      </c>
      <c r="H56" s="114">
        <f>IFERROR(__xludf.DUMMYFUNCTION("(COUNT(filter('ILC1404'!$D:$D,month('ILC1404'!$B:$B)=month(B56),year('ILC1404'!$B:$B)=year(B56))))/A56"),0.0967741935483871)</f>
        <v>0.09677419355</v>
      </c>
      <c r="I56" s="114">
        <f>IFERROR(__xludf.DUMMYFUNCTION("(COUNT(filter('ILC2206'!$D:$D,month('ILC2206'!$B:$B)=month(B56),year('ILC2206'!$B:$B)=year(B56))))/A56"),0.0)</f>
        <v>0</v>
      </c>
      <c r="J56" s="114">
        <f>IFERROR(__xludf.DUMMYFUNCTION("(COUNT(filter('ILC2203'!$D:$D,month('ILC2203'!$B:$B)=month(B56),year('ILC2203'!$B:$B)=year(B56))))/A56"),0.0)</f>
        <v>0</v>
      </c>
      <c r="K56" s="114">
        <f>IFERROR(__xludf.DUMMYFUNCTION("(COUNT(filter('ILC2303'!$D:$D,month('ILC2303'!$B:$B)=month(B56),year('ILC2303'!$B:$B)=year(B56))))/A56"),0.0)</f>
        <v>0</v>
      </c>
      <c r="L56" s="114">
        <f>IFERROR(__xludf.DUMMYFUNCTION("(COUNT(filter('ILC2307'!$D:$D,month('ILC2307'!$B:$B)=month(B56),year('ILC2307'!$B:$B)=year(B56))))/A56"),0.0)</f>
        <v>0</v>
      </c>
      <c r="M56" s="114">
        <f>IFERROR(__xludf.DUMMYFUNCTION("(COUNT(filter('ILC2313'!$D:$D,month('ILC2313'!$B:$B)=month(B56),year('ILC2313'!$B:$B)=year(B56))))/A56"),0.25806451612903225)</f>
        <v>0.2580645161</v>
      </c>
      <c r="N56" s="114">
        <f>IFERROR(__xludf.DUMMYFUNCTION("(COUNT(filter('ILC2412'!$D:$D,month('ILC2412'!$B:$B)=month(B56),year('ILC2412'!$B:$B)=year(B56))))/A56"),0.0)</f>
        <v>0</v>
      </c>
      <c r="O56" s="114">
        <f>IFERROR(__xludf.DUMMYFUNCTION("(COUNT(filter('ILC2413'!$D:$D,month('ILC2413'!$B:$B)=month(B56),year('ILC2413'!$B:$B)=year(B56))))/A56"),0.03225806451612903)</f>
        <v>0.03225806452</v>
      </c>
      <c r="P56" s="114">
        <f>IFERROR(__xludf.DUMMYFUNCTION("(COUNT(filter('ILC3104'!$D:$D,month('ILC3104'!$B:$B)=month(B56),year('ILC3104'!$B:$B)=year(B56))))/A56"),0.0)</f>
        <v>0</v>
      </c>
      <c r="Q56" s="114">
        <f>IFERROR(__xludf.DUMMYFUNCTION("(COUNT(filter('ILC3310'!$D:$D,month('ILC3310'!$B:$B)=month(B56),year('ILC3310'!$B:$B)=year(B56))))/A56"),0.3548387096774194)</f>
        <v>0.3548387097</v>
      </c>
      <c r="R56" s="114">
        <f>IFERROR(__xludf.DUMMYFUNCTION("(COUNT(filter('ILC3312'!$D:$D,month('ILC3312'!$B:$B)=month(B56),year('ILC3312'!$B:$B)=year(B56))))/A56"),0.3225806451612903)</f>
        <v>0.3225806452</v>
      </c>
      <c r="S56" s="114">
        <f t="shared" si="4"/>
        <v>0</v>
      </c>
      <c r="T56" s="114">
        <f>IFERROR(__xludf.DUMMYFUNCTION("(COUNT(filter('ILC3415'!$D:$D,month('ILC3415'!$B:$B)=month(B56),year('ILC3415'!$B:$B)=year(B56))))/A56"),0.0)</f>
        <v>0</v>
      </c>
      <c r="U56" s="114">
        <f t="shared" si="5"/>
        <v>0</v>
      </c>
      <c r="V56" s="114">
        <f>IFERROR(__xludf.DUMMYFUNCTION("(COUNT(filter('ILC4406'!$D:$D,month('ILC4406'!$B:$B)=month(B56),year('ILC4406'!$B:$B)=year(B56))))/A56"),0.0)</f>
        <v>0</v>
      </c>
      <c r="W56" s="114">
        <f>IFERROR(__xludf.DUMMYFUNCTION("(COUNT(filter('ILC4410'!$D:$D,month('ILC4410'!$B:$B)=month(B56),year('ILC4410'!$B:$B)=year(B56))))/A56"),0.0)</f>
        <v>0</v>
      </c>
      <c r="X56" s="114">
        <f>IFERROR(__xludf.DUMMYFUNCTION("(COUNT(filter('JBV455'!$D:$D,month('JBV455'!$B:$B)=month(B56),year('JBV455'!$B:$B)=year(B56))))/A56"),0.0)</f>
        <v>0</v>
      </c>
      <c r="Y56" s="114">
        <f>IFERROR(__xludf.DUMMYFUNCTION("((COUNT(filter('JBV462'!$D:$D,month('JBV462'!$B:$B)=month(B56),year('JBV462'!$B:$B)=year(B56))))/A56 )+ ((COUNT(filter('JBV462&amp;464'!$D:$D,month('JBV462&amp;464'!$B:$B)=month(B56),year('JBV462&amp;464'!$B:$B)=year(B56))))/A56)"),0.0)</f>
        <v>0</v>
      </c>
      <c r="Z56" s="114">
        <f>IFERROR(__xludf.DUMMYFUNCTION("(COUNT(filter('JBV464'!$D:$D,month('JBV464'!$B:$B)=month(B56),year('JBV464'!$B:$B)=year(B56))))/A56"),0.0)</f>
        <v>0</v>
      </c>
      <c r="AA56" s="114">
        <f>IFERROR(__xludf.DUMMYFUNCTION("(COUNT(filter('JBV464'!$D:$D,month('JBV464'!$B:$B)=month(B56),year('JBV464'!$B:$B)=year(B56))))/A56 + (COUNT(filter('JBV462&amp;464'!$D:$D,month('JBV462&amp;464'!$B:$B)=month(B56),year('JBV462&amp;464'!$B:$B)=year(B56))))/A56"),0.0)</f>
        <v>0</v>
      </c>
      <c r="AB56" s="114">
        <f>IFERROR(__xludf.DUMMYFUNCTION("(COUNT(filter('VDI208'!$D:$D,month('VDI208'!$B:$B)=month(B56),year('VDI208'!$B:$B)=year(B56))))/A56"),0.0)</f>
        <v>0</v>
      </c>
      <c r="AC56" s="114">
        <f>IFERROR(__xludf.DUMMYFUNCTION("(COUNT(filter('STO2206'!$D:$D,month('STO2206'!$B:$B)=month(B56),year('STO2206'!$B:$B)=year(B56))))/A56"),0.0)</f>
        <v>0</v>
      </c>
    </row>
    <row r="57">
      <c r="A57" s="115">
        <v>31.0</v>
      </c>
      <c r="B57" s="116">
        <v>43678.0</v>
      </c>
      <c r="C57" s="109">
        <v>0.6</v>
      </c>
      <c r="D57" s="117">
        <v>211.79</v>
      </c>
      <c r="E57" s="114">
        <f>IFERROR(__xludf.DUMMYFUNCTION("(COUNT(filter('ILC1211'!$D:$D,month('ILC1211'!$B:$B)=month(B57),year('ILC1211'!$B:$B)=year(B57))))/A57"),0.0)</f>
        <v>0</v>
      </c>
      <c r="F57" s="114">
        <f>IFERROR(__xludf.DUMMYFUNCTION("(COUNT(filter('ILC1213'!$D:$D,month('ILC1213'!$B:$B)=month(B57),year('ILC1213'!$B:$B)=year(B57))))/A57"),0.0)</f>
        <v>0</v>
      </c>
      <c r="G57" s="114">
        <f>IFERROR(__xludf.DUMMYFUNCTION("(COUNT(filter('ILC1314'!$D:$D,month('ILC1314'!$B:$B)=month(B57),year('ILC1314'!$B:$B)=year(B57))))/A57"),0.0)</f>
        <v>0</v>
      </c>
      <c r="H57" s="114">
        <f>IFERROR(__xludf.DUMMYFUNCTION("(COUNT(filter('ILC1404'!$D:$D,month('ILC1404'!$B:$B)=month(B57),year('ILC1404'!$B:$B)=year(B57))))/A57"),0.0967741935483871)</f>
        <v>0.09677419355</v>
      </c>
      <c r="I57" s="114">
        <f>IFERROR(__xludf.DUMMYFUNCTION("(COUNT(filter('ILC2206'!$D:$D,month('ILC2206'!$B:$B)=month(B57),year('ILC2206'!$B:$B)=year(B57))))/A57"),0.0)</f>
        <v>0</v>
      </c>
      <c r="J57" s="114">
        <f>IFERROR(__xludf.DUMMYFUNCTION("(COUNT(filter('ILC2203'!$D:$D,month('ILC2203'!$B:$B)=month(B57),year('ILC2203'!$B:$B)=year(B57))))/A57"),0.0)</f>
        <v>0</v>
      </c>
      <c r="K57" s="114">
        <f>IFERROR(__xludf.DUMMYFUNCTION("(COUNT(filter('ILC2303'!$D:$D,month('ILC2303'!$B:$B)=month(B57),year('ILC2303'!$B:$B)=year(B57))))/A57"),0.0)</f>
        <v>0</v>
      </c>
      <c r="L57" s="114">
        <f>IFERROR(__xludf.DUMMYFUNCTION("(COUNT(filter('ILC2307'!$D:$D,month('ILC2307'!$B:$B)=month(B57),year('ILC2307'!$B:$B)=year(B57))))/A57"),0.0)</f>
        <v>0</v>
      </c>
      <c r="M57" s="114">
        <f>IFERROR(__xludf.DUMMYFUNCTION("(COUNT(filter('ILC2313'!$D:$D,month('ILC2313'!$B:$B)=month(B57),year('ILC2313'!$B:$B)=year(B57))))/A57"),0.0)</f>
        <v>0</v>
      </c>
      <c r="N57" s="114">
        <f>IFERROR(__xludf.DUMMYFUNCTION("(COUNT(filter('ILC2412'!$D:$D,month('ILC2412'!$B:$B)=month(B57),year('ILC2412'!$B:$B)=year(B57))))/A57"),0.06451612903225806)</f>
        <v>0.06451612903</v>
      </c>
      <c r="O57" s="114">
        <f>IFERROR(__xludf.DUMMYFUNCTION("(COUNT(filter('ILC2413'!$D:$D,month('ILC2413'!$B:$B)=month(B57),year('ILC2413'!$B:$B)=year(B57))))/A57"),0.0)</f>
        <v>0</v>
      </c>
      <c r="P57" s="114">
        <f>IFERROR(__xludf.DUMMYFUNCTION("(COUNT(filter('ILC3104'!$D:$D,month('ILC3104'!$B:$B)=month(B57),year('ILC3104'!$B:$B)=year(B57))))/A57"),0.0)</f>
        <v>0</v>
      </c>
      <c r="Q57" s="114">
        <f>IFERROR(__xludf.DUMMYFUNCTION("(COUNT(filter('ILC3310'!$D:$D,month('ILC3310'!$B:$B)=month(B57),year('ILC3310'!$B:$B)=year(B57))))/A57"),0.0)</f>
        <v>0</v>
      </c>
      <c r="R57" s="114">
        <f>IFERROR(__xludf.DUMMYFUNCTION("(COUNT(filter('ILC3312'!$D:$D,month('ILC3312'!$B:$B)=month(B57),year('ILC3312'!$B:$B)=year(B57))))/A57"),0.0967741935483871)</f>
        <v>0.09677419355</v>
      </c>
      <c r="S57" s="114">
        <f t="shared" si="4"/>
        <v>0</v>
      </c>
      <c r="T57" s="114">
        <f>IFERROR(__xludf.DUMMYFUNCTION("(COUNT(filter('ILC3415'!$D:$D,month('ILC3415'!$B:$B)=month(B57),year('ILC3415'!$B:$B)=year(B57))))/A57"),0.0)</f>
        <v>0</v>
      </c>
      <c r="U57" s="114">
        <f t="shared" si="5"/>
        <v>0</v>
      </c>
      <c r="V57" s="114">
        <f>IFERROR(__xludf.DUMMYFUNCTION("(COUNT(filter('ILC4406'!$D:$D,month('ILC4406'!$B:$B)=month(B57),year('ILC4406'!$B:$B)=year(B57))))/A57"),0.0)</f>
        <v>0</v>
      </c>
      <c r="W57" s="114">
        <f>IFERROR(__xludf.DUMMYFUNCTION("(COUNT(filter('ILC4410'!$D:$D,month('ILC4410'!$B:$B)=month(B57),year('ILC4410'!$B:$B)=year(B57))))/A57"),0.0)</f>
        <v>0</v>
      </c>
      <c r="X57" s="114">
        <f>IFERROR(__xludf.DUMMYFUNCTION("(COUNT(filter('JBV455'!$D:$D,month('JBV455'!$B:$B)=month(B57),year('JBV455'!$B:$B)=year(B57))))/A57"),0.0)</f>
        <v>0</v>
      </c>
      <c r="Y57" s="114">
        <f>IFERROR(__xludf.DUMMYFUNCTION("((COUNT(filter('JBV462'!$D:$D,month('JBV462'!$B:$B)=month(B57),year('JBV462'!$B:$B)=year(B57))))/A57 )+ ((COUNT(filter('JBV462&amp;464'!$D:$D,month('JBV462&amp;464'!$B:$B)=month(B57),year('JBV462&amp;464'!$B:$B)=year(B57))))/A57)"),0.0)</f>
        <v>0</v>
      </c>
      <c r="Z57" s="114">
        <f>IFERROR(__xludf.DUMMYFUNCTION("(COUNT(filter('JBV464'!$D:$D,month('JBV464'!$B:$B)=month(B57),year('JBV464'!$B:$B)=year(B57))))/A57"),0.16129032258064516)</f>
        <v>0.1612903226</v>
      </c>
      <c r="AA57" s="114">
        <f>IFERROR(__xludf.DUMMYFUNCTION("(COUNT(filter('JBV464'!$D:$D,month('JBV464'!$B:$B)=month(B57),year('JBV464'!$B:$B)=year(B57))))/A57 + (COUNT(filter('JBV462&amp;464'!$D:$D,month('JBV462&amp;464'!$B:$B)=month(B57),year('JBV462&amp;464'!$B:$B)=year(B57))))/A57"),0.16129032258064516)</f>
        <v>0.1612903226</v>
      </c>
      <c r="AB57" s="114">
        <f>IFERROR(__xludf.DUMMYFUNCTION("(COUNT(filter('VDI208'!$D:$D,month('VDI208'!$B:$B)=month(B57),year('VDI208'!$B:$B)=year(B57))))/A57"),0.0)</f>
        <v>0</v>
      </c>
      <c r="AC57" s="114">
        <f>IFERROR(__xludf.DUMMYFUNCTION("(COUNT(filter('STO2206'!$D:$D,month('STO2206'!$B:$B)=month(B57),year('STO2206'!$B:$B)=year(B57))))/A57"),0.0)</f>
        <v>0</v>
      </c>
    </row>
    <row r="58">
      <c r="A58" s="115">
        <v>30.0</v>
      </c>
      <c r="B58" s="116">
        <v>43709.0</v>
      </c>
      <c r="C58" s="109">
        <v>0.6</v>
      </c>
      <c r="D58" s="117">
        <v>242.72</v>
      </c>
      <c r="E58" s="114">
        <f>IFERROR(__xludf.DUMMYFUNCTION("(COUNT(filter('ILC1211'!$D:$D,month('ILC1211'!$B:$B)=month(B58),year('ILC1211'!$B:$B)=year(B58))))/A58"),0.0)</f>
        <v>0</v>
      </c>
      <c r="F58" s="114">
        <f>IFERROR(__xludf.DUMMYFUNCTION("(COUNT(filter('ILC1213'!$D:$D,month('ILC1213'!$B:$B)=month(B58),year('ILC1213'!$B:$B)=year(B58))))/A58"),0.1)</f>
        <v>0.1</v>
      </c>
      <c r="G58" s="114">
        <f>IFERROR(__xludf.DUMMYFUNCTION("(COUNT(filter('ILC1314'!$D:$D,month('ILC1314'!$B:$B)=month(B58),year('ILC1314'!$B:$B)=year(B58))))/A58"),0.06666666666666667)</f>
        <v>0.06666666667</v>
      </c>
      <c r="H58" s="114">
        <f>IFERROR(__xludf.DUMMYFUNCTION("(COUNT(filter('ILC1404'!$D:$D,month('ILC1404'!$B:$B)=month(B58),year('ILC1404'!$B:$B)=year(B58))))/A58"),0.23333333333333334)</f>
        <v>0.2333333333</v>
      </c>
      <c r="I58" s="114">
        <f>IFERROR(__xludf.DUMMYFUNCTION("(COUNT(filter('ILC2206'!$D:$D,month('ILC2206'!$B:$B)=month(B58),year('ILC2206'!$B:$B)=year(B58))))/A58"),0.0)</f>
        <v>0</v>
      </c>
      <c r="J58" s="114">
        <f>IFERROR(__xludf.DUMMYFUNCTION("(COUNT(filter('ILC2203'!$D:$D,month('ILC2203'!$B:$B)=month(B58),year('ILC2203'!$B:$B)=year(B58))))/A58"),0.16666666666666666)</f>
        <v>0.1666666667</v>
      </c>
      <c r="K58" s="114">
        <f>IFERROR(__xludf.DUMMYFUNCTION("(COUNT(filter('ILC2303'!$D:$D,month('ILC2303'!$B:$B)=month(B58),year('ILC2303'!$B:$B)=year(B58))))/A58"),0.0)</f>
        <v>0</v>
      </c>
      <c r="L58" s="114">
        <f>IFERROR(__xludf.DUMMYFUNCTION("(COUNT(filter('ILC2307'!$D:$D,month('ILC2307'!$B:$B)=month(B58),year('ILC2307'!$B:$B)=year(B58))))/A58"),0.0)</f>
        <v>0</v>
      </c>
      <c r="M58" s="114">
        <f>IFERROR(__xludf.DUMMYFUNCTION("(COUNT(filter('ILC2313'!$D:$D,month('ILC2313'!$B:$B)=month(B58),year('ILC2313'!$B:$B)=year(B58))))/A58"),0.0)</f>
        <v>0</v>
      </c>
      <c r="N58" s="114">
        <f>IFERROR(__xludf.DUMMYFUNCTION("(COUNT(filter('ILC2412'!$D:$D,month('ILC2412'!$B:$B)=month(B58),year('ILC2412'!$B:$B)=year(B58))))/A58"),0.06666666666666667)</f>
        <v>0.06666666667</v>
      </c>
      <c r="O58" s="114">
        <f>IFERROR(__xludf.DUMMYFUNCTION("(COUNT(filter('ILC2413'!$D:$D,month('ILC2413'!$B:$B)=month(B58),year('ILC2413'!$B:$B)=year(B58))))/A58"),0.0)</f>
        <v>0</v>
      </c>
      <c r="P58" s="114">
        <f>IFERROR(__xludf.DUMMYFUNCTION("(COUNT(filter('ILC3104'!$D:$D,month('ILC3104'!$B:$B)=month(B58),year('ILC3104'!$B:$B)=year(B58))))/A58"),0.0)</f>
        <v>0</v>
      </c>
      <c r="Q58" s="114">
        <f>IFERROR(__xludf.DUMMYFUNCTION("(COUNT(filter('ILC3310'!$D:$D,month('ILC3310'!$B:$B)=month(B58),year('ILC3310'!$B:$B)=year(B58))))/A58"),0.0)</f>
        <v>0</v>
      </c>
      <c r="R58" s="114">
        <f>IFERROR(__xludf.DUMMYFUNCTION("(COUNT(filter('ILC3312'!$D:$D,month('ILC3312'!$B:$B)=month(B58),year('ILC3312'!$B:$B)=year(B58))))/A58"),0.0)</f>
        <v>0</v>
      </c>
      <c r="S58" s="114">
        <f t="shared" si="4"/>
        <v>0</v>
      </c>
      <c r="T58" s="114">
        <f>IFERROR(__xludf.DUMMYFUNCTION("(COUNT(filter('ILC3415'!$D:$D,month('ILC3415'!$B:$B)=month(B58),year('ILC3415'!$B:$B)=year(B58))))/A58"),0.0)</f>
        <v>0</v>
      </c>
      <c r="U58" s="114">
        <f t="shared" si="5"/>
        <v>0</v>
      </c>
      <c r="V58" s="114">
        <f>IFERROR(__xludf.DUMMYFUNCTION("(COUNT(filter('ILC4406'!$D:$D,month('ILC4406'!$B:$B)=month(B58),year('ILC4406'!$B:$B)=year(B58))))/A58"),0.0)</f>
        <v>0</v>
      </c>
      <c r="W58" s="114">
        <f>IFERROR(__xludf.DUMMYFUNCTION("(COUNT(filter('ILC4410'!$D:$D,month('ILC4410'!$B:$B)=month(B58),year('ILC4410'!$B:$B)=year(B58))))/A58"),0.06666666666666667)</f>
        <v>0.06666666667</v>
      </c>
      <c r="X58" s="114">
        <f>IFERROR(__xludf.DUMMYFUNCTION("(COUNT(filter('JBV455'!$D:$D,month('JBV455'!$B:$B)=month(B58),year('JBV455'!$B:$B)=year(B58))))/A58"),0.0)</f>
        <v>0</v>
      </c>
      <c r="Y58" s="114">
        <f>IFERROR(__xludf.DUMMYFUNCTION("((COUNT(filter('JBV462'!$D:$D,month('JBV462'!$B:$B)=month(B58),year('JBV462'!$B:$B)=year(B58))))/A58 )+ ((COUNT(filter('JBV462&amp;464'!$D:$D,month('JBV462&amp;464'!$B:$B)=month(B58),year('JBV462&amp;464'!$B:$B)=year(B58))))/A58)"),0.06666666666666667)</f>
        <v>0.06666666667</v>
      </c>
      <c r="Z58" s="114">
        <f>IFERROR(__xludf.DUMMYFUNCTION("(COUNT(filter('JBV464'!$D:$D,month('JBV464'!$B:$B)=month(B58),year('JBV464'!$B:$B)=year(B58))))/A58"),0.0)</f>
        <v>0</v>
      </c>
      <c r="AA58" s="114">
        <f>IFERROR(__xludf.DUMMYFUNCTION("(COUNT(filter('JBV464'!$D:$D,month('JBV464'!$B:$B)=month(B58),year('JBV464'!$B:$B)=year(B58))))/A58 + (COUNT(filter('JBV462&amp;464'!$D:$D,month('JBV462&amp;464'!$B:$B)=month(B58),year('JBV462&amp;464'!$B:$B)=year(B58))))/A58"),0.0)</f>
        <v>0</v>
      </c>
      <c r="AB58" s="114">
        <f>IFERROR(__xludf.DUMMYFUNCTION("(COUNT(filter('VDI208'!$D:$D,month('VDI208'!$B:$B)=month(B58),year('VDI208'!$B:$B)=year(B58))))/A58"),0.0)</f>
        <v>0</v>
      </c>
      <c r="AC58" s="114">
        <f>IFERROR(__xludf.DUMMYFUNCTION("(COUNT(filter('STO2206'!$D:$D,month('STO2206'!$B:$B)=month(B58),year('STO2206'!$B:$B)=year(B58))))/A58"),0.0)</f>
        <v>0</v>
      </c>
    </row>
    <row r="59">
      <c r="A59" s="115">
        <v>31.0</v>
      </c>
      <c r="B59" s="116">
        <v>43739.0</v>
      </c>
      <c r="C59" s="109">
        <v>0.81</v>
      </c>
      <c r="D59" s="117">
        <v>253.45</v>
      </c>
      <c r="E59" s="114">
        <f>IFERROR(__xludf.DUMMYFUNCTION("(COUNT(filter('ILC1211'!$D:$D,month('ILC1211'!$B:$B)=month(B59),year('ILC1211'!$B:$B)=year(B59))))/A59"),0.0)</f>
        <v>0</v>
      </c>
      <c r="F59" s="114">
        <f>IFERROR(__xludf.DUMMYFUNCTION("(COUNT(filter('ILC1213'!$D:$D,month('ILC1213'!$B:$B)=month(B59),year('ILC1213'!$B:$B)=year(B59))))/A59"),0.0)</f>
        <v>0</v>
      </c>
      <c r="G59" s="114">
        <f>IFERROR(__xludf.DUMMYFUNCTION("(COUNT(filter('ILC1314'!$D:$D,month('ILC1314'!$B:$B)=month(B59),year('ILC1314'!$B:$B)=year(B59))))/A59"),0.0)</f>
        <v>0</v>
      </c>
      <c r="H59" s="114">
        <f>IFERROR(__xludf.DUMMYFUNCTION("(COUNT(filter('ILC1404'!$D:$D,month('ILC1404'!$B:$B)=month(B59),year('ILC1404'!$B:$B)=year(B59))))/A59"),0.0)</f>
        <v>0</v>
      </c>
      <c r="I59" s="114">
        <f>IFERROR(__xludf.DUMMYFUNCTION("(COUNT(filter('ILC2206'!$D:$D,month('ILC2206'!$B:$B)=month(B59),year('ILC2206'!$B:$B)=year(B59))))/A59"),0.0967741935483871)</f>
        <v>0.09677419355</v>
      </c>
      <c r="J59" s="114">
        <f>IFERROR(__xludf.DUMMYFUNCTION("(COUNT(filter('ILC2203'!$D:$D,month('ILC2203'!$B:$B)=month(B59),year('ILC2203'!$B:$B)=year(B59))))/A59"),0.0)</f>
        <v>0</v>
      </c>
      <c r="K59" s="114">
        <f>IFERROR(__xludf.DUMMYFUNCTION("(COUNT(filter('ILC2303'!$D:$D,month('ILC2303'!$B:$B)=month(B59),year('ILC2303'!$B:$B)=year(B59))))/A59"),0.0)</f>
        <v>0</v>
      </c>
      <c r="L59" s="114">
        <f>IFERROR(__xludf.DUMMYFUNCTION("(COUNT(filter('ILC2307'!$D:$D,month('ILC2307'!$B:$B)=month(B59),year('ILC2307'!$B:$B)=year(B59))))/A59"),0.0)</f>
        <v>0</v>
      </c>
      <c r="M59" s="114">
        <f>IFERROR(__xludf.DUMMYFUNCTION("(COUNT(filter('ILC2313'!$D:$D,month('ILC2313'!$B:$B)=month(B59),year('ILC2313'!$B:$B)=year(B59))))/A59"),0.0)</f>
        <v>0</v>
      </c>
      <c r="N59" s="114">
        <f>IFERROR(__xludf.DUMMYFUNCTION("(COUNT(filter('ILC2412'!$D:$D,month('ILC2412'!$B:$B)=month(B59),year('ILC2412'!$B:$B)=year(B59))))/A59"),0.0)</f>
        <v>0</v>
      </c>
      <c r="O59" s="114">
        <f>IFERROR(__xludf.DUMMYFUNCTION("(COUNT(filter('ILC2413'!$D:$D,month('ILC2413'!$B:$B)=month(B59),year('ILC2413'!$B:$B)=year(B59))))/A59"),0.0)</f>
        <v>0</v>
      </c>
      <c r="P59" s="114">
        <f>IFERROR(__xludf.DUMMYFUNCTION("(COUNT(filter('ILC3104'!$D:$D,month('ILC3104'!$B:$B)=month(B59),year('ILC3104'!$B:$B)=year(B59))))/A59"),0.0)</f>
        <v>0</v>
      </c>
      <c r="Q59" s="114">
        <f>IFERROR(__xludf.DUMMYFUNCTION("(COUNT(filter('ILC3310'!$D:$D,month('ILC3310'!$B:$B)=month(B59),year('ILC3310'!$B:$B)=year(B59))))/A59"),0.0)</f>
        <v>0</v>
      </c>
      <c r="R59" s="114">
        <f>IFERROR(__xludf.DUMMYFUNCTION("(COUNT(filter('ILC3312'!$D:$D,month('ILC3312'!$B:$B)=month(B59),year('ILC3312'!$B:$B)=year(B59))))/A59"),0.0)</f>
        <v>0</v>
      </c>
      <c r="S59" s="114">
        <f t="shared" si="4"/>
        <v>0</v>
      </c>
      <c r="T59" s="114">
        <f>IFERROR(__xludf.DUMMYFUNCTION("(COUNT(filter('ILC3415'!$D:$D,month('ILC3415'!$B:$B)=month(B59),year('ILC3415'!$B:$B)=year(B59))))/A59"),0.0)</f>
        <v>0</v>
      </c>
      <c r="U59" s="114">
        <f t="shared" si="5"/>
        <v>0</v>
      </c>
      <c r="V59" s="114">
        <f>IFERROR(__xludf.DUMMYFUNCTION("(COUNT(filter('ILC4406'!$D:$D,month('ILC4406'!$B:$B)=month(B59),year('ILC4406'!$B:$B)=year(B59))))/A59"),0.0)</f>
        <v>0</v>
      </c>
      <c r="W59" s="114">
        <f>IFERROR(__xludf.DUMMYFUNCTION("(COUNT(filter('ILC4410'!$D:$D,month('ILC4410'!$B:$B)=month(B59),year('ILC4410'!$B:$B)=year(B59))))/A59"),0.0)</f>
        <v>0</v>
      </c>
      <c r="X59" s="114">
        <f>IFERROR(__xludf.DUMMYFUNCTION("(COUNT(filter('JBV455'!$D:$D,month('JBV455'!$B:$B)=month(B59),year('JBV455'!$B:$B)=year(B59))))/A59"),0.0)</f>
        <v>0</v>
      </c>
      <c r="Y59" s="114">
        <f>IFERROR(__xludf.DUMMYFUNCTION("((COUNT(filter('JBV462'!$D:$D,month('JBV462'!$B:$B)=month(B59),year('JBV462'!$B:$B)=year(B59))))/A59 )+ ((COUNT(filter('JBV462&amp;464'!$D:$D,month('JBV462&amp;464'!$B:$B)=month(B59),year('JBV462&amp;464'!$B:$B)=year(B59))))/A59)"),0.0)</f>
        <v>0</v>
      </c>
      <c r="Z59" s="114">
        <f>IFERROR(__xludf.DUMMYFUNCTION("(COUNT(filter('JBV464'!$D:$D,month('JBV464'!$B:$B)=month(B59),year('JBV464'!$B:$B)=year(B59))))/A59"),0.0)</f>
        <v>0</v>
      </c>
      <c r="AA59" s="114">
        <f>IFERROR(__xludf.DUMMYFUNCTION("(COUNT(filter('JBV464'!$D:$D,month('JBV464'!$B:$B)=month(B59),year('JBV464'!$B:$B)=year(B59))))/A59 + (COUNT(filter('JBV462&amp;464'!$D:$D,month('JBV462&amp;464'!$B:$B)=month(B59),year('JBV462&amp;464'!$B:$B)=year(B59))))/A59"),0.0)</f>
        <v>0</v>
      </c>
      <c r="AB59" s="114">
        <f>IFERROR(__xludf.DUMMYFUNCTION("(COUNT(filter('VDI208'!$D:$D,month('VDI208'!$B:$B)=month(B59),year('VDI208'!$B:$B)=year(B59))))/A59"),0.0)</f>
        <v>0</v>
      </c>
      <c r="AC59" s="114">
        <f>IFERROR(__xludf.DUMMYFUNCTION("(COUNT(filter('STO2206'!$D:$D,month('STO2206'!$B:$B)=month(B59),year('STO2206'!$B:$B)=year(B59))))/A59"),0.0)</f>
        <v>0</v>
      </c>
    </row>
    <row r="60">
      <c r="A60" s="115">
        <v>30.0</v>
      </c>
      <c r="B60" s="116">
        <v>43770.0</v>
      </c>
      <c r="C60" s="109">
        <v>0.83</v>
      </c>
      <c r="D60" s="117">
        <v>305.71</v>
      </c>
      <c r="E60" s="114">
        <f>IFERROR(__xludf.DUMMYFUNCTION("(COUNT(filter('ILC1211'!$D:$D,month('ILC1211'!$B:$B)=month(B60),year('ILC1211'!$B:$B)=year(B60))))/A60"),0.0)</f>
        <v>0</v>
      </c>
      <c r="F60" s="114">
        <f>IFERROR(__xludf.DUMMYFUNCTION("(COUNT(filter('ILC1213'!$D:$D,month('ILC1213'!$B:$B)=month(B60),year('ILC1213'!$B:$B)=year(B60))))/A60"),0.0)</f>
        <v>0</v>
      </c>
      <c r="G60" s="114">
        <f>IFERROR(__xludf.DUMMYFUNCTION("(COUNT(filter('ILC1314'!$D:$D,month('ILC1314'!$B:$B)=month(B60),year('ILC1314'!$B:$B)=year(B60))))/A60"),0.0)</f>
        <v>0</v>
      </c>
      <c r="H60" s="114">
        <f>IFERROR(__xludf.DUMMYFUNCTION("(COUNT(filter('ILC1404'!$D:$D,month('ILC1404'!$B:$B)=month(B60),year('ILC1404'!$B:$B)=year(B60))))/A60"),0.0)</f>
        <v>0</v>
      </c>
      <c r="I60" s="114">
        <f>IFERROR(__xludf.DUMMYFUNCTION("(COUNT(filter('ILC2206'!$D:$D,month('ILC2206'!$B:$B)=month(B60),year('ILC2206'!$B:$B)=year(B60))))/A60"),0.0)</f>
        <v>0</v>
      </c>
      <c r="J60" s="114">
        <f>IFERROR(__xludf.DUMMYFUNCTION("(COUNT(filter('ILC2203'!$D:$D,month('ILC2203'!$B:$B)=month(B60),year('ILC2203'!$B:$B)=year(B60))))/A60"),0.0)</f>
        <v>0</v>
      </c>
      <c r="K60" s="114">
        <f>IFERROR(__xludf.DUMMYFUNCTION("(COUNT(filter('ILC2303'!$D:$D,month('ILC2303'!$B:$B)=month(B60),year('ILC2303'!$B:$B)=year(B60))))/A60"),0.0)</f>
        <v>0</v>
      </c>
      <c r="L60" s="114">
        <f>IFERROR(__xludf.DUMMYFUNCTION("(COUNT(filter('ILC2307'!$D:$D,month('ILC2307'!$B:$B)=month(B60),year('ILC2307'!$B:$B)=year(B60))))/A60"),0.0)</f>
        <v>0</v>
      </c>
      <c r="M60" s="114">
        <f>IFERROR(__xludf.DUMMYFUNCTION("(COUNT(filter('ILC2313'!$D:$D,month('ILC2313'!$B:$B)=month(B60),year('ILC2313'!$B:$B)=year(B60))))/A60"),0.0)</f>
        <v>0</v>
      </c>
      <c r="N60" s="114">
        <f>IFERROR(__xludf.DUMMYFUNCTION("(COUNT(filter('ILC2412'!$D:$D,month('ILC2412'!$B:$B)=month(B60),year('ILC2412'!$B:$B)=year(B60))))/A60"),0.0)</f>
        <v>0</v>
      </c>
      <c r="O60" s="114">
        <f>IFERROR(__xludf.DUMMYFUNCTION("(COUNT(filter('ILC2413'!$D:$D,month('ILC2413'!$B:$B)=month(B60),year('ILC2413'!$B:$B)=year(B60))))/A60"),0.0)</f>
        <v>0</v>
      </c>
      <c r="P60" s="114">
        <f>IFERROR(__xludf.DUMMYFUNCTION("(COUNT(filter('ILC3104'!$D:$D,month('ILC3104'!$B:$B)=month(B60),year('ILC3104'!$B:$B)=year(B60))))/A60"),0.2)</f>
        <v>0.2</v>
      </c>
      <c r="Q60" s="114">
        <f>IFERROR(__xludf.DUMMYFUNCTION("(COUNT(filter('ILC3310'!$D:$D,month('ILC3310'!$B:$B)=month(B60),year('ILC3310'!$B:$B)=year(B60))))/A60"),0.0)</f>
        <v>0</v>
      </c>
      <c r="R60" s="114">
        <f>IFERROR(__xludf.DUMMYFUNCTION("(COUNT(filter('ILC3312'!$D:$D,month('ILC3312'!$B:$B)=month(B60),year('ILC3312'!$B:$B)=year(B60))))/A60"),0.2)</f>
        <v>0.2</v>
      </c>
      <c r="S60" s="114">
        <f t="shared" si="4"/>
        <v>0</v>
      </c>
      <c r="T60" s="114">
        <f>IFERROR(__xludf.DUMMYFUNCTION("(COUNT(filter('ILC3415'!$D:$D,month('ILC3415'!$B:$B)=month(B60),year('ILC3415'!$B:$B)=year(B60))))/A60"),0.0)</f>
        <v>0</v>
      </c>
      <c r="U60" s="114">
        <f t="shared" si="5"/>
        <v>0</v>
      </c>
      <c r="V60" s="114">
        <f>IFERROR(__xludf.DUMMYFUNCTION("(COUNT(filter('ILC4406'!$D:$D,month('ILC4406'!$B:$B)=month(B60),year('ILC4406'!$B:$B)=year(B60))))/A60"),0.0)</f>
        <v>0</v>
      </c>
      <c r="W60" s="114">
        <f>IFERROR(__xludf.DUMMYFUNCTION("(COUNT(filter('ILC4410'!$D:$D,month('ILC4410'!$B:$B)=month(B60),year('ILC4410'!$B:$B)=year(B60))))/A60"),0.0)</f>
        <v>0</v>
      </c>
      <c r="X60" s="114">
        <f>IFERROR(__xludf.DUMMYFUNCTION("(COUNT(filter('JBV455'!$D:$D,month('JBV455'!$B:$B)=month(B60),year('JBV455'!$B:$B)=year(B60))))/A60"),0.0)</f>
        <v>0</v>
      </c>
      <c r="Y60" s="114">
        <f>IFERROR(__xludf.DUMMYFUNCTION("((COUNT(filter('JBV462'!$D:$D,month('JBV462'!$B:$B)=month(B60),year('JBV462'!$B:$B)=year(B60))))/A60 )+ ((COUNT(filter('JBV462&amp;464'!$D:$D,month('JBV462&amp;464'!$B:$B)=month(B60),year('JBV462&amp;464'!$B:$B)=year(B60))))/A60)"),0.0)</f>
        <v>0</v>
      </c>
      <c r="Z60" s="114">
        <f>IFERROR(__xludf.DUMMYFUNCTION("(COUNT(filter('JBV464'!$D:$D,month('JBV464'!$B:$B)=month(B60),year('JBV464'!$B:$B)=year(B60))))/A60"),0.0)</f>
        <v>0</v>
      </c>
      <c r="AA60" s="114">
        <f>IFERROR(__xludf.DUMMYFUNCTION("(COUNT(filter('JBV464'!$D:$D,month('JBV464'!$B:$B)=month(B60),year('JBV464'!$B:$B)=year(B60))))/A60 + (COUNT(filter('JBV462&amp;464'!$D:$D,month('JBV462&amp;464'!$B:$B)=month(B60),year('JBV462&amp;464'!$B:$B)=year(B60))))/A60"),0.0)</f>
        <v>0</v>
      </c>
      <c r="AB60" s="114">
        <f>IFERROR(__xludf.DUMMYFUNCTION("(COUNT(filter('VDI208'!$D:$D,month('VDI208'!$B:$B)=month(B60),year('VDI208'!$B:$B)=year(B60))))/A60"),0.0)</f>
        <v>0</v>
      </c>
      <c r="AC60" s="114">
        <f>IFERROR(__xludf.DUMMYFUNCTION("(COUNT(filter('STO2206'!$D:$D,month('STO2206'!$B:$B)=month(B60),year('STO2206'!$B:$B)=year(B60))))/A60"),0.0)</f>
        <v>0</v>
      </c>
    </row>
    <row r="61">
      <c r="A61" s="115">
        <v>31.0</v>
      </c>
      <c r="B61" s="116">
        <v>43800.0</v>
      </c>
      <c r="C61" s="109">
        <v>0.9</v>
      </c>
      <c r="D61" s="117">
        <v>469.4</v>
      </c>
      <c r="E61" s="114">
        <f>IFERROR(__xludf.DUMMYFUNCTION("(COUNT(filter('ILC1211'!$D:$D,month('ILC1211'!$B:$B)=month(B61),year('ILC1211'!$B:$B)=year(B61))))/A61"),0.16129032258064516)</f>
        <v>0.1612903226</v>
      </c>
      <c r="F61" s="114">
        <f>IFERROR(__xludf.DUMMYFUNCTION("(COUNT(filter('ILC1213'!$D:$D,month('ILC1213'!$B:$B)=month(B61),year('ILC1213'!$B:$B)=year(B61))))/A61"),0.0)</f>
        <v>0</v>
      </c>
      <c r="G61" s="114">
        <f>IFERROR(__xludf.DUMMYFUNCTION("(COUNT(filter('ILC1314'!$D:$D,month('ILC1314'!$B:$B)=month(B61),year('ILC1314'!$B:$B)=year(B61))))/A61"),0.0)</f>
        <v>0</v>
      </c>
      <c r="H61" s="114">
        <f>IFERROR(__xludf.DUMMYFUNCTION("(COUNT(filter('ILC1404'!$D:$D,month('ILC1404'!$B:$B)=month(B61),year('ILC1404'!$B:$B)=year(B61))))/A61"),0.1935483870967742)</f>
        <v>0.1935483871</v>
      </c>
      <c r="I61" s="114">
        <f>IFERROR(__xludf.DUMMYFUNCTION("(COUNT(filter('ILC2206'!$D:$D,month('ILC2206'!$B:$B)=month(B61),year('ILC2206'!$B:$B)=year(B61))))/A61"),0.0)</f>
        <v>0</v>
      </c>
      <c r="J61" s="114">
        <f>IFERROR(__xludf.DUMMYFUNCTION("(COUNT(filter('ILC2203'!$D:$D,month('ILC2203'!$B:$B)=month(B61),year('ILC2203'!$B:$B)=year(B61))))/A61"),0.0)</f>
        <v>0</v>
      </c>
      <c r="K61" s="114">
        <f>IFERROR(__xludf.DUMMYFUNCTION("(COUNT(filter('ILC2303'!$D:$D,month('ILC2303'!$B:$B)=month(B61),year('ILC2303'!$B:$B)=year(B61))))/A61"),0.0)</f>
        <v>0</v>
      </c>
      <c r="L61" s="114">
        <f>IFERROR(__xludf.DUMMYFUNCTION("(COUNT(filter('ILC2307'!$D:$D,month('ILC2307'!$B:$B)=month(B61),year('ILC2307'!$B:$B)=year(B61))))/A61"),0.3225806451612903)</f>
        <v>0.3225806452</v>
      </c>
      <c r="M61" s="114">
        <f>IFERROR(__xludf.DUMMYFUNCTION("(COUNT(filter('ILC2313'!$D:$D,month('ILC2313'!$B:$B)=month(B61),year('ILC2313'!$B:$B)=year(B61))))/A61"),0.0)</f>
        <v>0</v>
      </c>
      <c r="N61" s="114">
        <f>IFERROR(__xludf.DUMMYFUNCTION("(COUNT(filter('ILC2412'!$D:$D,month('ILC2412'!$B:$B)=month(B61),year('ILC2412'!$B:$B)=year(B61))))/A61"),0.0)</f>
        <v>0</v>
      </c>
      <c r="O61" s="114">
        <f>IFERROR(__xludf.DUMMYFUNCTION("(COUNT(filter('ILC2413'!$D:$D,month('ILC2413'!$B:$B)=month(B61),year('ILC2413'!$B:$B)=year(B61))))/A61"),0.0)</f>
        <v>0</v>
      </c>
      <c r="P61" s="114">
        <f>IFERROR(__xludf.DUMMYFUNCTION("(COUNT(filter('ILC3104'!$D:$D,month('ILC3104'!$B:$B)=month(B61),year('ILC3104'!$B:$B)=year(B61))))/A61"),0.22580645161290322)</f>
        <v>0.2258064516</v>
      </c>
      <c r="Q61" s="114">
        <f>IFERROR(__xludf.DUMMYFUNCTION("(COUNT(filter('ILC3310'!$D:$D,month('ILC3310'!$B:$B)=month(B61),year('ILC3310'!$B:$B)=year(B61))))/A61"),0.3225806451612903)</f>
        <v>0.3225806452</v>
      </c>
      <c r="R61" s="114">
        <f>IFERROR(__xludf.DUMMYFUNCTION("(COUNT(filter('ILC3312'!$D:$D,month('ILC3312'!$B:$B)=month(B61),year('ILC3312'!$B:$B)=year(B61))))/A61"),0.2903225806451613)</f>
        <v>0.2903225806</v>
      </c>
      <c r="S61" s="114">
        <f t="shared" si="4"/>
        <v>0</v>
      </c>
      <c r="T61" s="114">
        <f>IFERROR(__xludf.DUMMYFUNCTION("(COUNT(filter('ILC3415'!$D:$D,month('ILC3415'!$B:$B)=month(B61),year('ILC3415'!$B:$B)=year(B61))))/A61"),0.0)</f>
        <v>0</v>
      </c>
      <c r="U61" s="114">
        <f t="shared" si="5"/>
        <v>0</v>
      </c>
      <c r="V61" s="114">
        <f>IFERROR(__xludf.DUMMYFUNCTION("(COUNT(filter('ILC4406'!$D:$D,month('ILC4406'!$B:$B)=month(B61),year('ILC4406'!$B:$B)=year(B61))))/A61"),0.0)</f>
        <v>0</v>
      </c>
      <c r="W61" s="114">
        <f>IFERROR(__xludf.DUMMYFUNCTION("(COUNT(filter('ILC4410'!$D:$D,month('ILC4410'!$B:$B)=month(B61),year('ILC4410'!$B:$B)=year(B61))))/A61"),0.3225806451612903)</f>
        <v>0.3225806452</v>
      </c>
      <c r="X61" s="114">
        <f>IFERROR(__xludf.DUMMYFUNCTION("(COUNT(filter('JBV455'!$D:$D,month('JBV455'!$B:$B)=month(B61),year('JBV455'!$B:$B)=year(B61))))/A61"),0.1935483870967742)</f>
        <v>0.1935483871</v>
      </c>
      <c r="Y61" s="114">
        <f>IFERROR(__xludf.DUMMYFUNCTION("((COUNT(filter('JBV462'!$D:$D,month('JBV462'!$B:$B)=month(B61),year('JBV462'!$B:$B)=year(B61))))/A61 )+ ((COUNT(filter('JBV462&amp;464'!$D:$D,month('JBV462&amp;464'!$B:$B)=month(B61),year('JBV462&amp;464'!$B:$B)=year(B61))))/A61)"),0.0)</f>
        <v>0</v>
      </c>
      <c r="Z61" s="114">
        <f>IFERROR(__xludf.DUMMYFUNCTION("(COUNT(filter('JBV464'!$D:$D,month('JBV464'!$B:$B)=month(B61),year('JBV464'!$B:$B)=year(B61))))/A61"),0.0)</f>
        <v>0</v>
      </c>
      <c r="AA61" s="114">
        <f>IFERROR(__xludf.DUMMYFUNCTION("(COUNT(filter('JBV464'!$D:$D,month('JBV464'!$B:$B)=month(B61),year('JBV464'!$B:$B)=year(B61))))/A61 + (COUNT(filter('JBV462&amp;464'!$D:$D,month('JBV462&amp;464'!$B:$B)=month(B61),year('JBV462&amp;464'!$B:$B)=year(B61))))/A61"),0.0)</f>
        <v>0</v>
      </c>
      <c r="AB61" s="114">
        <f>IFERROR(__xludf.DUMMYFUNCTION("(COUNT(filter('VDI208'!$D:$D,month('VDI208'!$B:$B)=month(B61),year('VDI208'!$B:$B)=year(B61))))/A61"),0.0)</f>
        <v>0</v>
      </c>
      <c r="AC61" s="114">
        <f>IFERROR(__xludf.DUMMYFUNCTION("(COUNT(filter('STO2206'!$D:$D,month('STO2206'!$B:$B)=month(B61),year('STO2206'!$B:$B)=year(B61))))/A61"),0.0)</f>
        <v>0</v>
      </c>
    </row>
    <row r="62">
      <c r="A62" s="13"/>
      <c r="C62" s="12"/>
      <c r="D62" s="12"/>
      <c r="E62" s="114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14"/>
      <c r="U62" s="114"/>
      <c r="V62" s="12"/>
      <c r="W62" s="12"/>
      <c r="X62" s="12"/>
      <c r="Y62" s="12"/>
      <c r="Z62" s="12"/>
      <c r="AA62" s="12"/>
      <c r="AB62" s="12"/>
      <c r="AC62" s="12"/>
    </row>
    <row r="63">
      <c r="A63" s="13"/>
      <c r="C63" s="12"/>
      <c r="D63" s="28"/>
      <c r="E63" s="85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</row>
    <row r="64">
      <c r="A64" s="13"/>
      <c r="C64" s="12"/>
      <c r="D64" s="12"/>
      <c r="E64" s="85"/>
      <c r="F64" s="12"/>
      <c r="G64" s="12"/>
      <c r="H64" s="12"/>
      <c r="I64" s="12"/>
      <c r="J64" s="163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</row>
    <row r="65">
      <c r="A65" s="13"/>
      <c r="C65" s="12"/>
      <c r="D65" s="12"/>
      <c r="E65" s="114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</row>
    <row r="66">
      <c r="A66" s="13"/>
      <c r="C66" s="12"/>
      <c r="D66" s="12"/>
      <c r="E66" s="114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</row>
    <row r="67">
      <c r="A67" s="13"/>
      <c r="C67" s="12"/>
      <c r="D67" s="12"/>
      <c r="E67" s="114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</row>
    <row r="68">
      <c r="A68" s="13"/>
      <c r="C68" s="12"/>
      <c r="D68" s="12"/>
      <c r="E68" s="114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</row>
    <row r="69">
      <c r="A69" s="13"/>
      <c r="C69" s="12"/>
      <c r="D69" s="12"/>
      <c r="E69" s="114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</row>
    <row r="70">
      <c r="A70" s="13"/>
      <c r="C70" s="12"/>
      <c r="D70" s="12"/>
      <c r="E70" s="114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</row>
    <row r="71">
      <c r="A71" s="13"/>
      <c r="C71" s="12"/>
      <c r="D71" s="12"/>
      <c r="E71" s="114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</row>
    <row r="72">
      <c r="A72" s="13"/>
      <c r="C72" s="12"/>
      <c r="D72" s="12"/>
      <c r="E72" s="114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</row>
    <row r="73">
      <c r="A73" s="13"/>
      <c r="C73" s="12"/>
      <c r="D73" s="12"/>
      <c r="E73" s="114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</row>
    <row r="74">
      <c r="A74" s="13"/>
      <c r="C74" s="12"/>
      <c r="D74" s="12"/>
      <c r="E74" s="114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</row>
    <row r="75">
      <c r="A75" s="13"/>
      <c r="C75" s="12"/>
      <c r="D75" s="12"/>
      <c r="E75" s="114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</row>
    <row r="76">
      <c r="A76" s="13"/>
      <c r="C76" s="12"/>
      <c r="D76" s="12"/>
      <c r="E76" s="114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</row>
    <row r="77">
      <c r="A77" s="13"/>
      <c r="C77" s="12"/>
      <c r="D77" s="12"/>
      <c r="E77" s="114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</row>
    <row r="78">
      <c r="A78" s="13"/>
      <c r="C78" s="12"/>
      <c r="D78" s="12"/>
      <c r="E78" s="114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</row>
    <row r="79">
      <c r="A79" s="13"/>
      <c r="C79" s="12"/>
      <c r="D79" s="12"/>
      <c r="E79" s="114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</row>
    <row r="80">
      <c r="A80" s="13"/>
      <c r="C80" s="12"/>
      <c r="D80" s="12"/>
      <c r="E80" s="114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</row>
    <row r="81">
      <c r="A81" s="13"/>
      <c r="C81" s="12"/>
      <c r="D81" s="12"/>
      <c r="E81" s="114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</row>
    <row r="82">
      <c r="A82" s="13"/>
      <c r="C82" s="12"/>
      <c r="D82" s="12"/>
      <c r="E82" s="114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</row>
    <row r="83">
      <c r="A83" s="13"/>
      <c r="C83" s="12"/>
      <c r="D83" s="12"/>
      <c r="E83" s="114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</row>
    <row r="84">
      <c r="A84" s="13"/>
      <c r="C84" s="12"/>
      <c r="D84" s="12"/>
      <c r="E84" s="114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</row>
    <row r="85">
      <c r="A85" s="13"/>
      <c r="C85" s="12"/>
      <c r="D85" s="12"/>
      <c r="E85" s="114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</row>
    <row r="86">
      <c r="A86" s="13"/>
      <c r="C86" s="12"/>
      <c r="D86" s="12"/>
      <c r="E86" s="114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</row>
    <row r="87">
      <c r="A87" s="13"/>
      <c r="C87" s="12"/>
      <c r="D87" s="12"/>
      <c r="E87" s="114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  <c r="AB87" s="12"/>
      <c r="AC87" s="12"/>
    </row>
    <row r="88">
      <c r="A88" s="13"/>
      <c r="C88" s="12"/>
      <c r="D88" s="12"/>
      <c r="E88" s="114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</row>
    <row r="89">
      <c r="A89" s="13"/>
      <c r="C89" s="12"/>
      <c r="D89" s="12"/>
      <c r="E89" s="114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</row>
    <row r="90">
      <c r="A90" s="13"/>
      <c r="C90" s="12"/>
      <c r="D90" s="12"/>
      <c r="E90" s="114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</row>
    <row r="91">
      <c r="A91" s="13"/>
      <c r="C91" s="12"/>
      <c r="D91" s="12"/>
      <c r="E91" s="114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</row>
    <row r="92">
      <c r="A92" s="13"/>
      <c r="C92" s="12"/>
      <c r="D92" s="12"/>
      <c r="E92" s="114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</row>
    <row r="93">
      <c r="A93" s="13"/>
      <c r="C93" s="12"/>
      <c r="D93" s="12"/>
      <c r="E93" s="114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</row>
    <row r="94">
      <c r="A94" s="13"/>
      <c r="C94" s="12"/>
      <c r="D94" s="12"/>
      <c r="E94" s="114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</row>
    <row r="95">
      <c r="A95" s="13"/>
      <c r="C95" s="12"/>
      <c r="D95" s="12"/>
      <c r="E95" s="114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  <c r="AB95" s="12"/>
      <c r="AC95" s="12"/>
    </row>
    <row r="96">
      <c r="A96" s="13"/>
      <c r="C96" s="12"/>
      <c r="D96" s="12"/>
      <c r="E96" s="114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</row>
    <row r="97">
      <c r="A97" s="13"/>
      <c r="C97" s="12"/>
      <c r="D97" s="12"/>
      <c r="E97" s="114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</row>
    <row r="98">
      <c r="A98" s="13"/>
      <c r="C98" s="12"/>
      <c r="D98" s="12"/>
      <c r="E98" s="114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</row>
    <row r="99">
      <c r="A99" s="13"/>
      <c r="C99" s="12"/>
      <c r="D99" s="12"/>
      <c r="E99" s="114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</row>
    <row r="100">
      <c r="A100" s="13"/>
      <c r="C100" s="12"/>
      <c r="D100" s="12"/>
      <c r="E100" s="114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</row>
    <row r="101">
      <c r="A101" s="13"/>
      <c r="C101" s="12"/>
      <c r="D101" s="12"/>
      <c r="E101" s="114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</row>
    <row r="102">
      <c r="A102" s="13"/>
      <c r="C102" s="12"/>
      <c r="D102" s="12"/>
      <c r="E102" s="114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  <c r="AB102" s="12"/>
      <c r="AC102" s="12"/>
    </row>
    <row r="103">
      <c r="A103" s="13"/>
      <c r="C103" s="12"/>
      <c r="D103" s="12"/>
      <c r="E103" s="114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</row>
    <row r="104">
      <c r="A104" s="13"/>
      <c r="C104" s="12"/>
      <c r="D104" s="12"/>
      <c r="E104" s="114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</row>
    <row r="105">
      <c r="A105" s="13"/>
      <c r="C105" s="12"/>
      <c r="D105" s="12"/>
      <c r="E105" s="114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</row>
    <row r="106">
      <c r="A106" s="13"/>
      <c r="C106" s="12"/>
      <c r="D106" s="12"/>
      <c r="E106" s="114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</row>
    <row r="107">
      <c r="A107" s="13"/>
      <c r="C107" s="12"/>
      <c r="D107" s="12"/>
      <c r="E107" s="114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  <c r="AB107" s="12"/>
      <c r="AC107" s="12"/>
    </row>
    <row r="108">
      <c r="A108" s="13"/>
      <c r="C108" s="12"/>
      <c r="D108" s="12"/>
      <c r="E108" s="114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</row>
    <row r="109">
      <c r="A109" s="13"/>
      <c r="C109" s="12"/>
      <c r="D109" s="12"/>
      <c r="E109" s="114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</row>
    <row r="110">
      <c r="A110" s="13"/>
      <c r="C110" s="12"/>
      <c r="D110" s="12"/>
      <c r="E110" s="114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</row>
    <row r="111">
      <c r="A111" s="13"/>
      <c r="C111" s="12"/>
      <c r="D111" s="12"/>
      <c r="E111" s="114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</row>
    <row r="112">
      <c r="A112" s="13"/>
      <c r="C112" s="12"/>
      <c r="D112" s="12"/>
      <c r="E112" s="114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  <c r="AB112" s="12"/>
      <c r="AC112" s="12"/>
    </row>
    <row r="113">
      <c r="A113" s="13"/>
      <c r="C113" s="12"/>
      <c r="D113" s="12"/>
      <c r="E113" s="114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</row>
    <row r="114">
      <c r="A114" s="13"/>
      <c r="C114" s="12"/>
      <c r="D114" s="12"/>
      <c r="E114" s="114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</row>
    <row r="115">
      <c r="A115" s="13"/>
      <c r="C115" s="12"/>
      <c r="D115" s="12"/>
      <c r="E115" s="114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</row>
    <row r="116">
      <c r="A116" s="13"/>
      <c r="C116" s="12"/>
      <c r="D116" s="12"/>
      <c r="E116" s="114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</row>
    <row r="117">
      <c r="A117" s="13"/>
      <c r="C117" s="12"/>
      <c r="D117" s="12"/>
      <c r="E117" s="114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</row>
    <row r="118">
      <c r="A118" s="13"/>
      <c r="C118" s="12"/>
      <c r="D118" s="12"/>
      <c r="E118" s="114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  <c r="AB118" s="12"/>
      <c r="AC118" s="12"/>
    </row>
    <row r="119">
      <c r="A119" s="13"/>
      <c r="C119" s="12"/>
      <c r="D119" s="12"/>
      <c r="E119" s="114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</row>
    <row r="120">
      <c r="A120" s="13"/>
      <c r="C120" s="12"/>
      <c r="D120" s="12"/>
      <c r="E120" s="114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  <c r="AB120" s="12"/>
      <c r="AC120" s="12"/>
    </row>
    <row r="121">
      <c r="A121" s="13"/>
      <c r="C121" s="12"/>
      <c r="D121" s="12"/>
      <c r="E121" s="114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</row>
    <row r="122">
      <c r="A122" s="13"/>
      <c r="C122" s="12"/>
      <c r="D122" s="12"/>
      <c r="E122" s="114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</row>
    <row r="123">
      <c r="A123" s="13"/>
      <c r="C123" s="12"/>
      <c r="D123" s="12"/>
      <c r="E123" s="114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</row>
    <row r="124">
      <c r="A124" s="13"/>
      <c r="C124" s="12"/>
      <c r="D124" s="12"/>
      <c r="E124" s="114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  <c r="AB124" s="12"/>
      <c r="AC124" s="12"/>
    </row>
    <row r="125">
      <c r="A125" s="13"/>
      <c r="C125" s="12"/>
      <c r="D125" s="12"/>
      <c r="E125" s="114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  <c r="AB125" s="12"/>
      <c r="AC125" s="12"/>
    </row>
    <row r="126">
      <c r="A126" s="13"/>
      <c r="C126" s="12"/>
      <c r="D126" s="12"/>
      <c r="E126" s="114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  <c r="AB126" s="12"/>
      <c r="AC126" s="12"/>
    </row>
    <row r="127">
      <c r="A127" s="13"/>
      <c r="C127" s="12"/>
      <c r="D127" s="12"/>
      <c r="E127" s="114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  <c r="AB127" s="12"/>
      <c r="AC127" s="12"/>
    </row>
    <row r="128">
      <c r="A128" s="13"/>
      <c r="C128" s="12"/>
      <c r="D128" s="12"/>
      <c r="E128" s="114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  <c r="AB128" s="12"/>
      <c r="AC128" s="12"/>
    </row>
    <row r="129">
      <c r="A129" s="13"/>
      <c r="C129" s="12"/>
      <c r="D129" s="12"/>
      <c r="E129" s="114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  <c r="AB129" s="12"/>
      <c r="AC129" s="12"/>
    </row>
    <row r="130">
      <c r="A130" s="13"/>
      <c r="C130" s="12"/>
      <c r="D130" s="12"/>
      <c r="E130" s="114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  <c r="AB130" s="12"/>
      <c r="AC130" s="12"/>
    </row>
    <row r="131">
      <c r="A131" s="13"/>
      <c r="C131" s="12"/>
      <c r="D131" s="12"/>
      <c r="E131" s="114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  <c r="AB131" s="12"/>
      <c r="AC131" s="12"/>
    </row>
    <row r="132">
      <c r="A132" s="13"/>
      <c r="C132" s="12"/>
      <c r="D132" s="12"/>
      <c r="E132" s="114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  <c r="AB132" s="12"/>
      <c r="AC132" s="12"/>
    </row>
    <row r="133">
      <c r="A133" s="13"/>
      <c r="C133" s="12"/>
      <c r="D133" s="12"/>
      <c r="E133" s="114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  <c r="AB133" s="12"/>
      <c r="AC133" s="12"/>
    </row>
    <row r="134">
      <c r="A134" s="13"/>
      <c r="C134" s="12"/>
      <c r="D134" s="12"/>
      <c r="E134" s="114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  <c r="AB134" s="12"/>
      <c r="AC134" s="12"/>
    </row>
    <row r="135">
      <c r="A135" s="13"/>
      <c r="C135" s="12"/>
      <c r="D135" s="12"/>
      <c r="E135" s="114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  <c r="AB135" s="12"/>
      <c r="AC135" s="12"/>
    </row>
    <row r="136">
      <c r="A136" s="13"/>
      <c r="C136" s="12"/>
      <c r="D136" s="12"/>
      <c r="E136" s="114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  <c r="AB136" s="12"/>
      <c r="AC136" s="12"/>
    </row>
    <row r="137">
      <c r="A137" s="13"/>
      <c r="C137" s="12"/>
      <c r="D137" s="12"/>
      <c r="E137" s="114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  <c r="AB137" s="12"/>
      <c r="AC137" s="12"/>
    </row>
    <row r="138">
      <c r="A138" s="13"/>
      <c r="C138" s="12"/>
      <c r="D138" s="12"/>
      <c r="E138" s="114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  <c r="AB138" s="12"/>
      <c r="AC138" s="12"/>
    </row>
    <row r="139">
      <c r="A139" s="13"/>
      <c r="C139" s="12"/>
      <c r="D139" s="12"/>
      <c r="E139" s="114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  <c r="AB139" s="12"/>
      <c r="AC139" s="12"/>
    </row>
    <row r="140">
      <c r="A140" s="13"/>
      <c r="C140" s="12"/>
      <c r="D140" s="12"/>
      <c r="E140" s="114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  <c r="AB140" s="12"/>
      <c r="AC140" s="12"/>
    </row>
    <row r="141">
      <c r="A141" s="13"/>
      <c r="C141" s="12"/>
      <c r="D141" s="12"/>
      <c r="E141" s="114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  <c r="AB141" s="12"/>
      <c r="AC141" s="12"/>
    </row>
    <row r="142">
      <c r="A142" s="13"/>
      <c r="C142" s="12"/>
      <c r="D142" s="12"/>
      <c r="E142" s="114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  <c r="AB142" s="12"/>
      <c r="AC142" s="12"/>
    </row>
    <row r="143">
      <c r="A143" s="13"/>
      <c r="C143" s="12"/>
      <c r="D143" s="12"/>
      <c r="E143" s="114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  <c r="AB143" s="12"/>
      <c r="AC143" s="12"/>
    </row>
    <row r="144">
      <c r="A144" s="13"/>
      <c r="C144" s="12"/>
      <c r="D144" s="12"/>
      <c r="E144" s="114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  <c r="AB144" s="12"/>
      <c r="AC144" s="12"/>
    </row>
    <row r="145">
      <c r="A145" s="13"/>
      <c r="C145" s="12"/>
      <c r="D145" s="12"/>
      <c r="E145" s="114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  <c r="AB145" s="12"/>
      <c r="AC145" s="12"/>
    </row>
    <row r="146">
      <c r="A146" s="13"/>
      <c r="C146" s="12"/>
      <c r="D146" s="12"/>
      <c r="E146" s="114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  <c r="AB146" s="12"/>
      <c r="AC146" s="12"/>
    </row>
    <row r="147">
      <c r="A147" s="13"/>
      <c r="C147" s="12"/>
      <c r="D147" s="12"/>
      <c r="E147" s="114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  <c r="AB147" s="12"/>
      <c r="AC147" s="12"/>
    </row>
    <row r="148">
      <c r="A148" s="13"/>
      <c r="C148" s="12"/>
      <c r="D148" s="12"/>
      <c r="E148" s="114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  <c r="AB148" s="12"/>
      <c r="AC148" s="12"/>
    </row>
    <row r="149">
      <c r="A149" s="13"/>
      <c r="C149" s="12"/>
      <c r="D149" s="12"/>
      <c r="E149" s="114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  <c r="AB149" s="12"/>
      <c r="AC149" s="12"/>
    </row>
    <row r="150">
      <c r="A150" s="13"/>
      <c r="C150" s="12"/>
      <c r="D150" s="12"/>
      <c r="E150" s="114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  <c r="AB150" s="12"/>
      <c r="AC150" s="12"/>
    </row>
    <row r="151">
      <c r="A151" s="13"/>
      <c r="C151" s="12"/>
      <c r="D151" s="12"/>
      <c r="E151" s="114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  <c r="AB151" s="12"/>
      <c r="AC151" s="12"/>
    </row>
    <row r="152">
      <c r="A152" s="13"/>
      <c r="C152" s="12"/>
      <c r="D152" s="12"/>
      <c r="E152" s="114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  <c r="AB152" s="12"/>
      <c r="AC152" s="12"/>
    </row>
    <row r="153">
      <c r="A153" s="13"/>
      <c r="C153" s="12"/>
      <c r="D153" s="12"/>
      <c r="E153" s="114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  <c r="AB153" s="12"/>
      <c r="AC153" s="12"/>
    </row>
    <row r="154">
      <c r="A154" s="13"/>
      <c r="C154" s="12"/>
      <c r="D154" s="12"/>
      <c r="E154" s="114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  <c r="AB154" s="12"/>
      <c r="AC154" s="12"/>
    </row>
    <row r="155">
      <c r="A155" s="13"/>
      <c r="C155" s="12"/>
      <c r="D155" s="12"/>
      <c r="E155" s="114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  <c r="AB155" s="12"/>
      <c r="AC155" s="12"/>
    </row>
    <row r="156">
      <c r="A156" s="13"/>
      <c r="C156" s="12"/>
      <c r="D156" s="12"/>
      <c r="E156" s="114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  <c r="AB156" s="12"/>
      <c r="AC156" s="12"/>
    </row>
    <row r="157">
      <c r="A157" s="13"/>
      <c r="C157" s="12"/>
      <c r="D157" s="12"/>
      <c r="E157" s="114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  <c r="AB157" s="12"/>
      <c r="AC157" s="12"/>
    </row>
    <row r="158">
      <c r="A158" s="13"/>
      <c r="C158" s="12"/>
      <c r="D158" s="12"/>
      <c r="E158" s="114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  <c r="AB158" s="12"/>
      <c r="AC158" s="12"/>
    </row>
    <row r="159">
      <c r="A159" s="13"/>
      <c r="C159" s="12"/>
      <c r="D159" s="12"/>
      <c r="E159" s="114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  <c r="AB159" s="12"/>
      <c r="AC159" s="12"/>
    </row>
    <row r="160">
      <c r="A160" s="13"/>
      <c r="C160" s="12"/>
      <c r="D160" s="12"/>
      <c r="E160" s="114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  <c r="AB160" s="12"/>
      <c r="AC160" s="12"/>
    </row>
    <row r="161">
      <c r="A161" s="13"/>
      <c r="C161" s="12"/>
      <c r="D161" s="12"/>
      <c r="E161" s="114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  <c r="AB161" s="12"/>
      <c r="AC161" s="12"/>
    </row>
    <row r="162">
      <c r="A162" s="13"/>
      <c r="C162" s="12"/>
      <c r="D162" s="12"/>
      <c r="E162" s="114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  <c r="AB162" s="12"/>
      <c r="AC162" s="12"/>
    </row>
    <row r="163">
      <c r="A163" s="13"/>
      <c r="C163" s="12"/>
      <c r="D163" s="12"/>
      <c r="E163" s="114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  <c r="AB163" s="12"/>
      <c r="AC163" s="12"/>
    </row>
    <row r="164">
      <c r="A164" s="13"/>
      <c r="C164" s="12"/>
      <c r="D164" s="12"/>
      <c r="E164" s="114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  <c r="AB164" s="12"/>
      <c r="AC164" s="12"/>
    </row>
    <row r="165">
      <c r="A165" s="13"/>
      <c r="C165" s="12"/>
      <c r="D165" s="12"/>
      <c r="E165" s="114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  <c r="AB165" s="12"/>
      <c r="AC165" s="12"/>
    </row>
    <row r="166">
      <c r="A166" s="13"/>
      <c r="C166" s="12"/>
      <c r="D166" s="12"/>
      <c r="E166" s="114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  <c r="AB166" s="12"/>
      <c r="AC166" s="12"/>
    </row>
    <row r="167">
      <c r="A167" s="13"/>
      <c r="C167" s="12"/>
      <c r="D167" s="12"/>
      <c r="E167" s="114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  <c r="AB167" s="12"/>
      <c r="AC167" s="12"/>
    </row>
    <row r="168">
      <c r="A168" s="13"/>
      <c r="C168" s="12"/>
      <c r="D168" s="12"/>
      <c r="E168" s="114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  <c r="AB168" s="12"/>
      <c r="AC168" s="12"/>
    </row>
    <row r="169">
      <c r="A169" s="13"/>
      <c r="C169" s="12"/>
      <c r="D169" s="12"/>
      <c r="E169" s="114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  <c r="AB169" s="12"/>
      <c r="AC169" s="12"/>
    </row>
    <row r="170">
      <c r="A170" s="13"/>
      <c r="C170" s="12"/>
      <c r="D170" s="12"/>
      <c r="E170" s="114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  <c r="AB170" s="12"/>
      <c r="AC170" s="12"/>
    </row>
    <row r="171">
      <c r="A171" s="13"/>
      <c r="C171" s="12"/>
      <c r="D171" s="12"/>
      <c r="E171" s="114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  <c r="AB171" s="12"/>
      <c r="AC171" s="12"/>
    </row>
    <row r="172">
      <c r="A172" s="13"/>
      <c r="C172" s="12"/>
      <c r="D172" s="12"/>
      <c r="E172" s="114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  <c r="AB172" s="12"/>
      <c r="AC172" s="12"/>
    </row>
    <row r="173">
      <c r="A173" s="13"/>
      <c r="C173" s="12"/>
      <c r="D173" s="12"/>
      <c r="E173" s="114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  <c r="AB173" s="12"/>
      <c r="AC173" s="12"/>
    </row>
    <row r="174">
      <c r="A174" s="13"/>
      <c r="C174" s="12"/>
      <c r="D174" s="12"/>
      <c r="E174" s="114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  <c r="AB174" s="12"/>
      <c r="AC174" s="12"/>
    </row>
    <row r="175">
      <c r="A175" s="13"/>
      <c r="C175" s="12"/>
      <c r="D175" s="12"/>
      <c r="E175" s="114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  <c r="AB175" s="12"/>
      <c r="AC175" s="12"/>
    </row>
    <row r="176">
      <c r="A176" s="13"/>
      <c r="C176" s="12"/>
      <c r="D176" s="12"/>
      <c r="E176" s="114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  <c r="AB176" s="12"/>
      <c r="AC176" s="12"/>
    </row>
    <row r="177">
      <c r="A177" s="13"/>
      <c r="C177" s="12"/>
      <c r="D177" s="12"/>
      <c r="E177" s="114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  <c r="AB177" s="12"/>
      <c r="AC177" s="12"/>
    </row>
    <row r="178">
      <c r="A178" s="13"/>
      <c r="C178" s="12"/>
      <c r="D178" s="12"/>
      <c r="E178" s="114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  <c r="AB178" s="12"/>
      <c r="AC178" s="12"/>
    </row>
    <row r="179">
      <c r="A179" s="13"/>
      <c r="C179" s="12"/>
      <c r="D179" s="12"/>
      <c r="E179" s="114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  <c r="AB179" s="12"/>
      <c r="AC179" s="12"/>
    </row>
    <row r="180">
      <c r="A180" s="13"/>
      <c r="C180" s="12"/>
      <c r="D180" s="12"/>
      <c r="E180" s="114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  <c r="AB180" s="12"/>
      <c r="AC180" s="12"/>
    </row>
    <row r="181">
      <c r="A181" s="13"/>
      <c r="C181" s="12"/>
      <c r="D181" s="12"/>
      <c r="E181" s="114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  <c r="AB181" s="12"/>
      <c r="AC181" s="12"/>
    </row>
    <row r="182">
      <c r="A182" s="13"/>
      <c r="C182" s="12"/>
      <c r="D182" s="12"/>
      <c r="E182" s="114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  <c r="AB182" s="12"/>
      <c r="AC182" s="12"/>
    </row>
    <row r="183">
      <c r="A183" s="13"/>
      <c r="C183" s="12"/>
      <c r="D183" s="12"/>
      <c r="E183" s="114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  <c r="AB183" s="12"/>
      <c r="AC183" s="12"/>
    </row>
    <row r="184">
      <c r="A184" s="13"/>
      <c r="C184" s="12"/>
      <c r="D184" s="12"/>
      <c r="E184" s="114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  <c r="AB184" s="12"/>
      <c r="AC184" s="12"/>
    </row>
    <row r="185">
      <c r="A185" s="13"/>
      <c r="C185" s="12"/>
      <c r="D185" s="12"/>
      <c r="E185" s="114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  <c r="AB185" s="12"/>
      <c r="AC185" s="12"/>
    </row>
    <row r="186">
      <c r="A186" s="13"/>
      <c r="C186" s="12"/>
      <c r="D186" s="12"/>
      <c r="E186" s="114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  <c r="AB186" s="12"/>
      <c r="AC186" s="12"/>
    </row>
    <row r="187">
      <c r="A187" s="13"/>
      <c r="C187" s="12"/>
      <c r="D187" s="12"/>
      <c r="E187" s="114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  <c r="AB187" s="12"/>
      <c r="AC187" s="12"/>
    </row>
    <row r="188">
      <c r="A188" s="13"/>
      <c r="C188" s="12"/>
      <c r="D188" s="12"/>
      <c r="E188" s="114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  <c r="AB188" s="12"/>
      <c r="AC188" s="12"/>
    </row>
    <row r="189">
      <c r="A189" s="13"/>
      <c r="C189" s="12"/>
      <c r="D189" s="12"/>
      <c r="E189" s="114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  <c r="AB189" s="12"/>
      <c r="AC189" s="12"/>
    </row>
    <row r="190">
      <c r="A190" s="13"/>
      <c r="C190" s="12"/>
      <c r="D190" s="12"/>
      <c r="E190" s="114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  <c r="AB190" s="12"/>
      <c r="AC190" s="12"/>
    </row>
    <row r="191">
      <c r="A191" s="13"/>
      <c r="C191" s="12"/>
      <c r="D191" s="12"/>
      <c r="E191" s="114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  <c r="AB191" s="12"/>
      <c r="AC191" s="12"/>
    </row>
    <row r="192">
      <c r="A192" s="13"/>
      <c r="C192" s="12"/>
      <c r="D192" s="12"/>
      <c r="E192" s="114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  <c r="AB192" s="12"/>
      <c r="AC192" s="12"/>
    </row>
    <row r="193">
      <c r="A193" s="13"/>
      <c r="C193" s="12"/>
      <c r="D193" s="12"/>
      <c r="E193" s="114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  <c r="AB193" s="12"/>
      <c r="AC193" s="12"/>
    </row>
    <row r="194">
      <c r="A194" s="13"/>
      <c r="C194" s="12"/>
      <c r="D194" s="12"/>
      <c r="E194" s="114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  <c r="AB194" s="12"/>
      <c r="AC194" s="12"/>
    </row>
    <row r="195">
      <c r="A195" s="13"/>
      <c r="C195" s="12"/>
      <c r="D195" s="12"/>
      <c r="E195" s="114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  <c r="AB195" s="12"/>
      <c r="AC195" s="12"/>
    </row>
    <row r="196">
      <c r="A196" s="13"/>
      <c r="C196" s="12"/>
      <c r="D196" s="12"/>
      <c r="E196" s="114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  <c r="AB196" s="12"/>
      <c r="AC196" s="12"/>
    </row>
    <row r="197">
      <c r="A197" s="13"/>
      <c r="C197" s="12"/>
      <c r="D197" s="12"/>
      <c r="E197" s="114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  <c r="AB197" s="12"/>
      <c r="AC197" s="12"/>
    </row>
    <row r="198">
      <c r="A198" s="13"/>
      <c r="C198" s="12"/>
      <c r="D198" s="12"/>
      <c r="E198" s="114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  <c r="AB198" s="12"/>
      <c r="AC198" s="12"/>
    </row>
    <row r="199">
      <c r="A199" s="13"/>
      <c r="C199" s="12"/>
      <c r="D199" s="12"/>
      <c r="E199" s="114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  <c r="AB199" s="12"/>
      <c r="AC199" s="12"/>
    </row>
    <row r="200">
      <c r="A200" s="13"/>
      <c r="C200" s="12"/>
      <c r="D200" s="12"/>
      <c r="E200" s="114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  <c r="AB200" s="12"/>
      <c r="AC200" s="12"/>
    </row>
    <row r="201">
      <c r="A201" s="13"/>
      <c r="C201" s="12"/>
      <c r="D201" s="12"/>
      <c r="E201" s="114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  <c r="AB201" s="12"/>
      <c r="AC201" s="12"/>
    </row>
    <row r="202">
      <c r="A202" s="13"/>
      <c r="C202" s="12"/>
      <c r="D202" s="12"/>
      <c r="E202" s="114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  <c r="AB202" s="12"/>
      <c r="AC202" s="12"/>
    </row>
    <row r="203">
      <c r="A203" s="13"/>
      <c r="C203" s="12"/>
      <c r="D203" s="12"/>
      <c r="E203" s="114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  <c r="AB203" s="12"/>
      <c r="AC203" s="12"/>
    </row>
    <row r="204">
      <c r="A204" s="13"/>
      <c r="C204" s="12"/>
      <c r="D204" s="12"/>
      <c r="E204" s="114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  <c r="AB204" s="12"/>
      <c r="AC204" s="12"/>
    </row>
    <row r="205">
      <c r="A205" s="13"/>
      <c r="C205" s="12"/>
      <c r="D205" s="12"/>
      <c r="E205" s="114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  <c r="AB205" s="12"/>
      <c r="AC205" s="12"/>
    </row>
    <row r="206">
      <c r="A206" s="13"/>
      <c r="C206" s="12"/>
      <c r="D206" s="12"/>
      <c r="E206" s="114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  <c r="AB206" s="12"/>
      <c r="AC206" s="12"/>
    </row>
    <row r="207">
      <c r="A207" s="13"/>
      <c r="C207" s="12"/>
      <c r="D207" s="12"/>
      <c r="E207" s="114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  <c r="AB207" s="12"/>
      <c r="AC207" s="12"/>
    </row>
    <row r="208">
      <c r="A208" s="13"/>
      <c r="C208" s="12"/>
      <c r="D208" s="12"/>
      <c r="E208" s="114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  <c r="AB208" s="12"/>
      <c r="AC208" s="12"/>
    </row>
    <row r="209">
      <c r="A209" s="13"/>
      <c r="C209" s="12"/>
      <c r="D209" s="12"/>
      <c r="E209" s="114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  <c r="AB209" s="12"/>
      <c r="AC209" s="12"/>
    </row>
    <row r="210">
      <c r="A210" s="13"/>
      <c r="C210" s="12"/>
      <c r="D210" s="12"/>
      <c r="E210" s="114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  <c r="AB210" s="12"/>
      <c r="AC210" s="12"/>
    </row>
    <row r="211">
      <c r="A211" s="13"/>
      <c r="C211" s="12"/>
      <c r="D211" s="12"/>
      <c r="E211" s="114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  <c r="AB211" s="12"/>
      <c r="AC211" s="12"/>
    </row>
    <row r="212">
      <c r="A212" s="13"/>
      <c r="C212" s="12"/>
      <c r="D212" s="12"/>
      <c r="E212" s="114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  <c r="AB212" s="12"/>
      <c r="AC212" s="12"/>
    </row>
    <row r="213">
      <c r="A213" s="13"/>
      <c r="C213" s="12"/>
      <c r="D213" s="12"/>
      <c r="E213" s="114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  <c r="AB213" s="12"/>
      <c r="AC213" s="12"/>
    </row>
    <row r="214">
      <c r="A214" s="13"/>
      <c r="C214" s="12"/>
      <c r="D214" s="12"/>
      <c r="E214" s="114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  <c r="AB214" s="12"/>
      <c r="AC214" s="12"/>
    </row>
    <row r="215">
      <c r="A215" s="13"/>
      <c r="C215" s="12"/>
      <c r="D215" s="12"/>
      <c r="E215" s="114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  <c r="AB215" s="12"/>
      <c r="AC215" s="12"/>
    </row>
    <row r="216">
      <c r="A216" s="13"/>
      <c r="C216" s="12"/>
      <c r="D216" s="12"/>
      <c r="E216" s="114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  <c r="AB216" s="12"/>
      <c r="AC216" s="12"/>
    </row>
    <row r="217">
      <c r="A217" s="13"/>
      <c r="C217" s="12"/>
      <c r="D217" s="12"/>
      <c r="E217" s="114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  <c r="AB217" s="12"/>
      <c r="AC217" s="12"/>
    </row>
    <row r="218">
      <c r="A218" s="13"/>
      <c r="C218" s="12"/>
      <c r="D218" s="12"/>
      <c r="E218" s="114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  <c r="AB218" s="12"/>
      <c r="AC218" s="12"/>
    </row>
    <row r="219">
      <c r="A219" s="13"/>
      <c r="C219" s="12"/>
      <c r="D219" s="12"/>
      <c r="E219" s="114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  <c r="AB219" s="12"/>
      <c r="AC219" s="12"/>
    </row>
    <row r="220">
      <c r="A220" s="13"/>
      <c r="C220" s="12"/>
      <c r="D220" s="12"/>
      <c r="E220" s="114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  <c r="AB220" s="12"/>
      <c r="AC220" s="12"/>
    </row>
    <row r="221">
      <c r="A221" s="13"/>
      <c r="C221" s="12"/>
      <c r="D221" s="12"/>
      <c r="E221" s="114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  <c r="AB221" s="12"/>
      <c r="AC221" s="12"/>
    </row>
    <row r="222">
      <c r="A222" s="13"/>
      <c r="C222" s="12"/>
      <c r="D222" s="12"/>
      <c r="E222" s="114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  <c r="AB222" s="12"/>
      <c r="AC222" s="12"/>
    </row>
    <row r="223">
      <c r="A223" s="13"/>
      <c r="C223" s="12"/>
      <c r="D223" s="12"/>
      <c r="E223" s="114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  <c r="AB223" s="12"/>
      <c r="AC223" s="12"/>
    </row>
    <row r="224">
      <c r="A224" s="13"/>
      <c r="C224" s="12"/>
      <c r="D224" s="12"/>
      <c r="E224" s="114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  <c r="AB224" s="12"/>
      <c r="AC224" s="12"/>
    </row>
    <row r="225">
      <c r="A225" s="13"/>
      <c r="C225" s="12"/>
      <c r="D225" s="12"/>
      <c r="E225" s="114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  <c r="AB225" s="12"/>
      <c r="AC225" s="12"/>
    </row>
    <row r="226">
      <c r="A226" s="13"/>
      <c r="C226" s="12"/>
      <c r="D226" s="12"/>
      <c r="E226" s="114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  <c r="AB226" s="12"/>
      <c r="AC226" s="12"/>
    </row>
    <row r="227">
      <c r="A227" s="13"/>
      <c r="C227" s="12"/>
      <c r="D227" s="12"/>
      <c r="E227" s="114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  <c r="AB227" s="12"/>
      <c r="AC227" s="12"/>
    </row>
    <row r="228">
      <c r="A228" s="13"/>
      <c r="C228" s="12"/>
      <c r="D228" s="12"/>
      <c r="E228" s="114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  <c r="AB228" s="12"/>
      <c r="AC228" s="12"/>
    </row>
    <row r="229">
      <c r="A229" s="13"/>
      <c r="C229" s="12"/>
      <c r="D229" s="12"/>
      <c r="E229" s="114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  <c r="AB229" s="12"/>
      <c r="AC229" s="12"/>
    </row>
    <row r="230">
      <c r="A230" s="13"/>
      <c r="C230" s="12"/>
      <c r="D230" s="12"/>
      <c r="E230" s="114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  <c r="AB230" s="12"/>
      <c r="AC230" s="12"/>
    </row>
    <row r="231">
      <c r="A231" s="13"/>
      <c r="C231" s="12"/>
      <c r="D231" s="12"/>
      <c r="E231" s="114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  <c r="AB231" s="12"/>
      <c r="AC231" s="12"/>
    </row>
    <row r="232">
      <c r="A232" s="13"/>
      <c r="C232" s="12"/>
      <c r="D232" s="12"/>
      <c r="E232" s="114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  <c r="AB232" s="12"/>
      <c r="AC232" s="12"/>
    </row>
    <row r="233">
      <c r="A233" s="13"/>
      <c r="C233" s="12"/>
      <c r="D233" s="12"/>
      <c r="E233" s="114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  <c r="AB233" s="12"/>
      <c r="AC233" s="12"/>
    </row>
    <row r="234">
      <c r="A234" s="13"/>
      <c r="C234" s="12"/>
      <c r="D234" s="12"/>
      <c r="E234" s="114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  <c r="AB234" s="12"/>
      <c r="AC234" s="12"/>
    </row>
    <row r="235">
      <c r="A235" s="13"/>
      <c r="C235" s="12"/>
      <c r="D235" s="12"/>
      <c r="E235" s="114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  <c r="AB235" s="12"/>
      <c r="AC235" s="12"/>
    </row>
    <row r="236">
      <c r="A236" s="13"/>
      <c r="C236" s="12"/>
      <c r="D236" s="12"/>
      <c r="E236" s="114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  <c r="AB236" s="12"/>
      <c r="AC236" s="12"/>
    </row>
    <row r="237">
      <c r="A237" s="13"/>
      <c r="C237" s="12"/>
      <c r="D237" s="12"/>
      <c r="E237" s="114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  <c r="AB237" s="12"/>
      <c r="AC237" s="12"/>
    </row>
    <row r="238">
      <c r="A238" s="13"/>
      <c r="C238" s="12"/>
      <c r="D238" s="12"/>
      <c r="E238" s="114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  <c r="AB238" s="12"/>
      <c r="AC238" s="12"/>
    </row>
    <row r="239">
      <c r="A239" s="13"/>
      <c r="C239" s="12"/>
      <c r="D239" s="12"/>
      <c r="E239" s="114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  <c r="AB239" s="12"/>
      <c r="AC239" s="12"/>
    </row>
    <row r="240">
      <c r="A240" s="13"/>
      <c r="C240" s="12"/>
      <c r="D240" s="12"/>
      <c r="E240" s="114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  <c r="AB240" s="12"/>
      <c r="AC240" s="12"/>
    </row>
    <row r="241">
      <c r="A241" s="13"/>
      <c r="C241" s="12"/>
      <c r="D241" s="12"/>
      <c r="E241" s="114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  <c r="AB241" s="12"/>
      <c r="AC241" s="12"/>
    </row>
    <row r="242">
      <c r="A242" s="13"/>
      <c r="C242" s="12"/>
      <c r="D242" s="12"/>
      <c r="E242" s="114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  <c r="AB242" s="12"/>
      <c r="AC242" s="12"/>
    </row>
    <row r="243">
      <c r="A243" s="13"/>
      <c r="C243" s="12"/>
      <c r="D243" s="12"/>
      <c r="E243" s="114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  <c r="AB243" s="12"/>
      <c r="AC243" s="12"/>
    </row>
    <row r="244">
      <c r="A244" s="13"/>
      <c r="C244" s="12"/>
      <c r="D244" s="12"/>
      <c r="E244" s="114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  <c r="AB244" s="12"/>
      <c r="AC244" s="12"/>
    </row>
    <row r="245">
      <c r="A245" s="13"/>
      <c r="C245" s="12"/>
      <c r="D245" s="12"/>
      <c r="E245" s="114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  <c r="AB245" s="12"/>
      <c r="AC245" s="12"/>
    </row>
    <row r="246">
      <c r="A246" s="13"/>
      <c r="C246" s="12"/>
      <c r="D246" s="12"/>
      <c r="E246" s="114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  <c r="AB246" s="12"/>
      <c r="AC246" s="12"/>
    </row>
    <row r="247">
      <c r="A247" s="13"/>
      <c r="C247" s="12"/>
      <c r="D247" s="12"/>
      <c r="E247" s="114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  <c r="AB247" s="12"/>
      <c r="AC247" s="12"/>
    </row>
    <row r="248">
      <c r="A248" s="13"/>
      <c r="C248" s="12"/>
      <c r="D248" s="12"/>
      <c r="E248" s="114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  <c r="AB248" s="12"/>
      <c r="AC248" s="12"/>
    </row>
    <row r="249">
      <c r="A249" s="13"/>
      <c r="C249" s="12"/>
      <c r="D249" s="12"/>
      <c r="E249" s="114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  <c r="AB249" s="12"/>
      <c r="AC249" s="12"/>
    </row>
    <row r="250">
      <c r="A250" s="13"/>
      <c r="C250" s="12"/>
      <c r="D250" s="12"/>
      <c r="E250" s="114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  <c r="AB250" s="12"/>
      <c r="AC250" s="12"/>
    </row>
    <row r="251">
      <c r="A251" s="13"/>
      <c r="C251" s="12"/>
      <c r="D251" s="12"/>
      <c r="E251" s="114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  <c r="AB251" s="12"/>
      <c r="AC251" s="12"/>
    </row>
    <row r="252">
      <c r="A252" s="13"/>
      <c r="C252" s="12"/>
      <c r="D252" s="12"/>
      <c r="E252" s="114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  <c r="AB252" s="12"/>
      <c r="AC252" s="12"/>
    </row>
    <row r="253">
      <c r="A253" s="13"/>
      <c r="C253" s="12"/>
      <c r="D253" s="12"/>
      <c r="E253" s="114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  <c r="AB253" s="12"/>
      <c r="AC253" s="12"/>
    </row>
    <row r="254">
      <c r="A254" s="13"/>
      <c r="C254" s="12"/>
      <c r="D254" s="12"/>
      <c r="E254" s="114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  <c r="AB254" s="12"/>
      <c r="AC254" s="12"/>
    </row>
    <row r="255">
      <c r="A255" s="13"/>
      <c r="C255" s="12"/>
      <c r="D255" s="12"/>
      <c r="E255" s="114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  <c r="AB255" s="12"/>
      <c r="AC255" s="12"/>
    </row>
    <row r="256">
      <c r="A256" s="13"/>
      <c r="C256" s="12"/>
      <c r="D256" s="12"/>
      <c r="E256" s="114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  <c r="AB256" s="12"/>
      <c r="AC256" s="12"/>
    </row>
    <row r="257">
      <c r="A257" s="13"/>
      <c r="C257" s="12"/>
      <c r="D257" s="12"/>
      <c r="E257" s="114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  <c r="AB257" s="12"/>
      <c r="AC257" s="12"/>
    </row>
    <row r="258">
      <c r="A258" s="13"/>
      <c r="C258" s="12"/>
      <c r="D258" s="12"/>
      <c r="E258" s="114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  <c r="AB258" s="12"/>
      <c r="AC258" s="12"/>
    </row>
    <row r="259">
      <c r="A259" s="13"/>
      <c r="C259" s="12"/>
      <c r="D259" s="12"/>
      <c r="E259" s="114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  <c r="AB259" s="12"/>
      <c r="AC259" s="12"/>
    </row>
    <row r="260">
      <c r="A260" s="13"/>
      <c r="C260" s="12"/>
      <c r="D260" s="12"/>
      <c r="E260" s="114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  <c r="AB260" s="12"/>
      <c r="AC260" s="12"/>
    </row>
    <row r="261">
      <c r="A261" s="13"/>
      <c r="C261" s="12"/>
      <c r="D261" s="12"/>
      <c r="E261" s="114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  <c r="AB261" s="12"/>
      <c r="AC261" s="12"/>
    </row>
    <row r="262">
      <c r="A262" s="13"/>
      <c r="C262" s="12"/>
      <c r="D262" s="12"/>
      <c r="E262" s="114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  <c r="AB262" s="12"/>
      <c r="AC262" s="12"/>
    </row>
    <row r="263">
      <c r="A263" s="13"/>
      <c r="C263" s="12"/>
      <c r="D263" s="12"/>
      <c r="E263" s="114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  <c r="AB263" s="12"/>
      <c r="AC263" s="12"/>
    </row>
    <row r="264">
      <c r="A264" s="13"/>
      <c r="C264" s="12"/>
      <c r="D264" s="12"/>
      <c r="E264" s="114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  <c r="AB264" s="12"/>
      <c r="AC264" s="12"/>
    </row>
    <row r="265">
      <c r="A265" s="13"/>
      <c r="C265" s="12"/>
      <c r="D265" s="12"/>
      <c r="E265" s="114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  <c r="AB265" s="12"/>
      <c r="AC265" s="12"/>
    </row>
    <row r="266">
      <c r="A266" s="13"/>
      <c r="C266" s="12"/>
      <c r="D266" s="12"/>
      <c r="E266" s="114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  <c r="AB266" s="12"/>
      <c r="AC266" s="12"/>
    </row>
    <row r="267">
      <c r="A267" s="13"/>
      <c r="C267" s="12"/>
      <c r="D267" s="12"/>
      <c r="E267" s="114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  <c r="AB267" s="12"/>
      <c r="AC267" s="12"/>
    </row>
    <row r="268">
      <c r="A268" s="13"/>
      <c r="C268" s="12"/>
      <c r="D268" s="12"/>
      <c r="E268" s="114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  <c r="AB268" s="12"/>
      <c r="AC268" s="12"/>
    </row>
    <row r="269">
      <c r="A269" s="13"/>
      <c r="C269" s="12"/>
      <c r="D269" s="12"/>
      <c r="E269" s="114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  <c r="AB269" s="12"/>
      <c r="AC269" s="12"/>
    </row>
    <row r="270">
      <c r="A270" s="13"/>
      <c r="C270" s="12"/>
      <c r="D270" s="12"/>
      <c r="E270" s="114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  <c r="AB270" s="12"/>
      <c r="AC270" s="12"/>
    </row>
    <row r="271">
      <c r="A271" s="13"/>
      <c r="C271" s="12"/>
      <c r="D271" s="12"/>
      <c r="E271" s="114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  <c r="AB271" s="12"/>
      <c r="AC271" s="12"/>
    </row>
    <row r="272">
      <c r="A272" s="13"/>
      <c r="C272" s="12"/>
      <c r="D272" s="12"/>
      <c r="E272" s="114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  <c r="AB272" s="12"/>
      <c r="AC272" s="12"/>
    </row>
    <row r="273">
      <c r="A273" s="13"/>
      <c r="C273" s="12"/>
      <c r="D273" s="12"/>
      <c r="E273" s="114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  <c r="AB273" s="12"/>
      <c r="AC273" s="12"/>
    </row>
    <row r="274">
      <c r="A274" s="13"/>
      <c r="C274" s="12"/>
      <c r="D274" s="12"/>
      <c r="E274" s="114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  <c r="AB274" s="12"/>
      <c r="AC274" s="12"/>
    </row>
    <row r="275">
      <c r="A275" s="13"/>
      <c r="C275" s="12"/>
      <c r="D275" s="12"/>
      <c r="E275" s="114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  <c r="AB275" s="12"/>
      <c r="AC275" s="12"/>
    </row>
    <row r="276">
      <c r="A276" s="13"/>
      <c r="C276" s="12"/>
      <c r="D276" s="12"/>
      <c r="E276" s="114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  <c r="AB276" s="12"/>
      <c r="AC276" s="12"/>
    </row>
    <row r="277">
      <c r="A277" s="13"/>
      <c r="C277" s="12"/>
      <c r="D277" s="12"/>
      <c r="E277" s="114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  <c r="AB277" s="12"/>
      <c r="AC277" s="12"/>
    </row>
    <row r="278">
      <c r="A278" s="13"/>
      <c r="C278" s="12"/>
      <c r="D278" s="12"/>
      <c r="E278" s="114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  <c r="AB278" s="12"/>
      <c r="AC278" s="12"/>
    </row>
    <row r="279">
      <c r="A279" s="13"/>
      <c r="C279" s="12"/>
      <c r="D279" s="12"/>
      <c r="E279" s="114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  <c r="AB279" s="12"/>
      <c r="AC279" s="12"/>
    </row>
    <row r="280">
      <c r="A280" s="13"/>
      <c r="C280" s="12"/>
      <c r="D280" s="12"/>
      <c r="E280" s="114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  <c r="AB280" s="12"/>
      <c r="AC280" s="12"/>
    </row>
    <row r="281">
      <c r="A281" s="13"/>
      <c r="C281" s="12"/>
      <c r="D281" s="12"/>
      <c r="E281" s="114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  <c r="AB281" s="12"/>
      <c r="AC281" s="12"/>
    </row>
    <row r="282">
      <c r="A282" s="13"/>
      <c r="C282" s="12"/>
      <c r="D282" s="12"/>
      <c r="E282" s="114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  <c r="AB282" s="12"/>
      <c r="AC282" s="12"/>
    </row>
    <row r="283">
      <c r="A283" s="13"/>
      <c r="C283" s="12"/>
      <c r="D283" s="12"/>
      <c r="E283" s="114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  <c r="AB283" s="12"/>
      <c r="AC283" s="12"/>
    </row>
    <row r="284">
      <c r="A284" s="13"/>
      <c r="C284" s="12"/>
      <c r="D284" s="12"/>
      <c r="E284" s="114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  <c r="AB284" s="12"/>
      <c r="AC284" s="12"/>
    </row>
    <row r="285">
      <c r="A285" s="13"/>
      <c r="C285" s="12"/>
      <c r="D285" s="12"/>
      <c r="E285" s="114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  <c r="AB285" s="12"/>
      <c r="AC285" s="12"/>
    </row>
    <row r="286">
      <c r="A286" s="13"/>
      <c r="C286" s="12"/>
      <c r="D286" s="12"/>
      <c r="E286" s="114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  <c r="AB286" s="12"/>
      <c r="AC286" s="12"/>
    </row>
    <row r="287">
      <c r="A287" s="13"/>
      <c r="C287" s="12"/>
      <c r="D287" s="12"/>
      <c r="E287" s="114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  <c r="AB287" s="12"/>
      <c r="AC287" s="12"/>
    </row>
    <row r="288">
      <c r="A288" s="13"/>
      <c r="C288" s="12"/>
      <c r="D288" s="12"/>
      <c r="E288" s="114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  <c r="AB288" s="12"/>
      <c r="AC288" s="12"/>
    </row>
    <row r="289">
      <c r="A289" s="13"/>
      <c r="C289" s="12"/>
      <c r="D289" s="12"/>
      <c r="E289" s="114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  <c r="AB289" s="12"/>
      <c r="AC289" s="12"/>
    </row>
    <row r="290">
      <c r="A290" s="13"/>
      <c r="C290" s="12"/>
      <c r="D290" s="12"/>
      <c r="E290" s="114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  <c r="AB290" s="12"/>
      <c r="AC290" s="12"/>
    </row>
    <row r="291">
      <c r="A291" s="13"/>
      <c r="C291" s="12"/>
      <c r="D291" s="12"/>
      <c r="E291" s="114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  <c r="AB291" s="12"/>
      <c r="AC291" s="12"/>
    </row>
    <row r="292">
      <c r="A292" s="13"/>
      <c r="C292" s="12"/>
      <c r="D292" s="12"/>
      <c r="E292" s="114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  <c r="AB292" s="12"/>
      <c r="AC292" s="12"/>
    </row>
    <row r="293">
      <c r="A293" s="13"/>
      <c r="C293" s="12"/>
      <c r="D293" s="12"/>
      <c r="E293" s="114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  <c r="AB293" s="12"/>
      <c r="AC293" s="12"/>
    </row>
    <row r="294">
      <c r="A294" s="13"/>
      <c r="C294" s="12"/>
      <c r="D294" s="12"/>
      <c r="E294" s="114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  <c r="AB294" s="12"/>
      <c r="AC294" s="12"/>
    </row>
    <row r="295">
      <c r="A295" s="13"/>
      <c r="C295" s="12"/>
      <c r="D295" s="12"/>
      <c r="E295" s="114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  <c r="AB295" s="12"/>
      <c r="AC295" s="12"/>
    </row>
    <row r="296">
      <c r="A296" s="13"/>
      <c r="C296" s="12"/>
      <c r="D296" s="12"/>
      <c r="E296" s="114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  <c r="AB296" s="12"/>
      <c r="AC296" s="12"/>
    </row>
    <row r="297">
      <c r="A297" s="13"/>
      <c r="C297" s="12"/>
      <c r="D297" s="12"/>
      <c r="E297" s="114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  <c r="AB297" s="12"/>
      <c r="AC297" s="12"/>
    </row>
    <row r="298">
      <c r="A298" s="13"/>
      <c r="C298" s="12"/>
      <c r="D298" s="12"/>
      <c r="E298" s="114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  <c r="AB298" s="12"/>
      <c r="AC298" s="12"/>
    </row>
    <row r="299">
      <c r="A299" s="13"/>
      <c r="C299" s="12"/>
      <c r="D299" s="12"/>
      <c r="E299" s="114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  <c r="AB299" s="12"/>
      <c r="AC299" s="12"/>
    </row>
    <row r="300">
      <c r="A300" s="13"/>
      <c r="C300" s="12"/>
      <c r="D300" s="12"/>
      <c r="E300" s="114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  <c r="AB300" s="12"/>
      <c r="AC300" s="12"/>
    </row>
    <row r="301">
      <c r="A301" s="13"/>
      <c r="C301" s="12"/>
      <c r="D301" s="12"/>
      <c r="E301" s="114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  <c r="AB301" s="12"/>
      <c r="AC301" s="12"/>
    </row>
    <row r="302">
      <c r="A302" s="13"/>
      <c r="C302" s="12"/>
      <c r="D302" s="12"/>
      <c r="E302" s="114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  <c r="AB302" s="12"/>
      <c r="AC302" s="12"/>
    </row>
    <row r="303">
      <c r="A303" s="13"/>
      <c r="C303" s="12"/>
      <c r="D303" s="12"/>
      <c r="E303" s="114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  <c r="AB303" s="12"/>
      <c r="AC303" s="12"/>
    </row>
    <row r="304">
      <c r="A304" s="13"/>
      <c r="C304" s="12"/>
      <c r="D304" s="12"/>
      <c r="E304" s="114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  <c r="AB304" s="12"/>
      <c r="AC304" s="12"/>
    </row>
    <row r="305">
      <c r="A305" s="13"/>
      <c r="C305" s="12"/>
      <c r="D305" s="12"/>
      <c r="E305" s="114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  <c r="AB305" s="12"/>
      <c r="AC305" s="12"/>
    </row>
    <row r="306">
      <c r="A306" s="13"/>
      <c r="C306" s="12"/>
      <c r="D306" s="12"/>
      <c r="E306" s="114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  <c r="AB306" s="12"/>
      <c r="AC306" s="12"/>
    </row>
    <row r="307">
      <c r="A307" s="13"/>
      <c r="C307" s="12"/>
      <c r="D307" s="12"/>
      <c r="E307" s="114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  <c r="AB307" s="12"/>
      <c r="AC307" s="12"/>
    </row>
    <row r="308">
      <c r="A308" s="13"/>
      <c r="C308" s="12"/>
      <c r="D308" s="12"/>
      <c r="E308" s="114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  <c r="AB308" s="12"/>
      <c r="AC308" s="12"/>
    </row>
    <row r="309">
      <c r="A309" s="13"/>
      <c r="C309" s="12"/>
      <c r="D309" s="12"/>
      <c r="E309" s="114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</row>
    <row r="310">
      <c r="A310" s="13"/>
      <c r="C310" s="12"/>
      <c r="D310" s="12"/>
      <c r="E310" s="114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</row>
    <row r="311">
      <c r="A311" s="13"/>
      <c r="C311" s="12"/>
      <c r="D311" s="12"/>
      <c r="E311" s="114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</row>
    <row r="312">
      <c r="A312" s="13"/>
      <c r="C312" s="12"/>
      <c r="D312" s="12"/>
      <c r="E312" s="114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  <c r="AB312" s="12"/>
      <c r="AC312" s="12"/>
    </row>
    <row r="313">
      <c r="A313" s="13"/>
      <c r="C313" s="12"/>
      <c r="D313" s="12"/>
      <c r="E313" s="114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  <c r="AB313" s="12"/>
      <c r="AC313" s="12"/>
    </row>
    <row r="314">
      <c r="A314" s="13"/>
      <c r="C314" s="12"/>
      <c r="D314" s="12"/>
      <c r="E314" s="114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  <c r="AB314" s="12"/>
      <c r="AC314" s="12"/>
    </row>
    <row r="315">
      <c r="A315" s="13"/>
      <c r="C315" s="12"/>
      <c r="D315" s="12"/>
      <c r="E315" s="114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  <c r="AB315" s="12"/>
      <c r="AC315" s="12"/>
    </row>
    <row r="316">
      <c r="A316" s="13"/>
      <c r="C316" s="12"/>
      <c r="D316" s="12"/>
      <c r="E316" s="114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  <c r="AB316" s="12"/>
      <c r="AC316" s="12"/>
    </row>
    <row r="317">
      <c r="A317" s="13"/>
      <c r="C317" s="12"/>
      <c r="D317" s="12"/>
      <c r="E317" s="114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  <c r="AB317" s="12"/>
      <c r="AC317" s="12"/>
    </row>
    <row r="318">
      <c r="A318" s="13"/>
      <c r="C318" s="12"/>
      <c r="D318" s="12"/>
      <c r="E318" s="114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  <c r="AB318" s="12"/>
      <c r="AC318" s="12"/>
    </row>
    <row r="319">
      <c r="A319" s="13"/>
      <c r="C319" s="12"/>
      <c r="D319" s="12"/>
      <c r="E319" s="114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  <c r="AB319" s="12"/>
      <c r="AC319" s="12"/>
    </row>
    <row r="320">
      <c r="A320" s="13"/>
      <c r="C320" s="12"/>
      <c r="D320" s="12"/>
      <c r="E320" s="114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  <c r="AB320" s="12"/>
      <c r="AC320" s="12"/>
    </row>
    <row r="321">
      <c r="A321" s="13"/>
      <c r="C321" s="12"/>
      <c r="D321" s="12"/>
      <c r="E321" s="114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  <c r="AB321" s="12"/>
      <c r="AC321" s="12"/>
    </row>
    <row r="322">
      <c r="A322" s="13"/>
      <c r="C322" s="12"/>
      <c r="D322" s="12"/>
      <c r="E322" s="114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  <c r="AB322" s="12"/>
      <c r="AC322" s="12"/>
    </row>
    <row r="323">
      <c r="A323" s="13"/>
      <c r="C323" s="12"/>
      <c r="D323" s="12"/>
      <c r="E323" s="114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  <c r="AB323" s="12"/>
      <c r="AC323" s="12"/>
    </row>
    <row r="324">
      <c r="A324" s="13"/>
      <c r="C324" s="12"/>
      <c r="D324" s="12"/>
      <c r="E324" s="114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  <c r="AB324" s="12"/>
      <c r="AC324" s="12"/>
    </row>
    <row r="325">
      <c r="A325" s="13"/>
      <c r="C325" s="12"/>
      <c r="D325" s="12"/>
      <c r="E325" s="114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  <c r="AB325" s="12"/>
      <c r="AC325" s="12"/>
    </row>
    <row r="326">
      <c r="A326" s="13"/>
      <c r="C326" s="12"/>
      <c r="D326" s="12"/>
      <c r="E326" s="114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  <c r="AB326" s="12"/>
      <c r="AC326" s="12"/>
    </row>
    <row r="327">
      <c r="A327" s="13"/>
      <c r="C327" s="12"/>
      <c r="D327" s="12"/>
      <c r="E327" s="114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  <c r="AB327" s="12"/>
      <c r="AC327" s="12"/>
    </row>
    <row r="328">
      <c r="A328" s="13"/>
      <c r="C328" s="12"/>
      <c r="D328" s="12"/>
      <c r="E328" s="114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  <c r="AB328" s="12"/>
      <c r="AC328" s="12"/>
    </row>
    <row r="329">
      <c r="A329" s="13"/>
      <c r="C329" s="12"/>
      <c r="D329" s="12"/>
      <c r="E329" s="114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  <c r="AB329" s="12"/>
      <c r="AC329" s="12"/>
    </row>
    <row r="330">
      <c r="A330" s="13"/>
      <c r="C330" s="12"/>
      <c r="D330" s="12"/>
      <c r="E330" s="114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  <c r="AB330" s="12"/>
      <c r="AC330" s="12"/>
    </row>
    <row r="331">
      <c r="A331" s="13"/>
      <c r="C331" s="12"/>
      <c r="D331" s="12"/>
      <c r="E331" s="114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  <c r="AB331" s="12"/>
      <c r="AC331" s="12"/>
    </row>
    <row r="332">
      <c r="A332" s="13"/>
      <c r="C332" s="12"/>
      <c r="D332" s="12"/>
      <c r="E332" s="114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  <c r="AB332" s="12"/>
      <c r="AC332" s="12"/>
    </row>
    <row r="333">
      <c r="A333" s="13"/>
      <c r="C333" s="12"/>
      <c r="D333" s="12"/>
      <c r="E333" s="114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  <c r="AB333" s="12"/>
      <c r="AC333" s="12"/>
    </row>
    <row r="334">
      <c r="A334" s="13"/>
      <c r="C334" s="12"/>
      <c r="D334" s="12"/>
      <c r="E334" s="114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  <c r="AB334" s="12"/>
      <c r="AC334" s="12"/>
    </row>
    <row r="335">
      <c r="A335" s="13"/>
      <c r="C335" s="12"/>
      <c r="D335" s="12"/>
      <c r="E335" s="114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  <c r="AB335" s="12"/>
      <c r="AC335" s="12"/>
    </row>
    <row r="336">
      <c r="A336" s="13"/>
      <c r="C336" s="12"/>
      <c r="D336" s="12"/>
      <c r="E336" s="114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  <c r="AB336" s="12"/>
      <c r="AC336" s="12"/>
    </row>
    <row r="337">
      <c r="A337" s="13"/>
      <c r="C337" s="12"/>
      <c r="D337" s="12"/>
      <c r="E337" s="114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  <c r="AB337" s="12"/>
      <c r="AC337" s="12"/>
    </row>
    <row r="338">
      <c r="A338" s="13"/>
      <c r="C338" s="12"/>
      <c r="D338" s="12"/>
      <c r="E338" s="114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  <c r="AB338" s="12"/>
      <c r="AC338" s="12"/>
    </row>
    <row r="339">
      <c r="A339" s="13"/>
      <c r="C339" s="12"/>
      <c r="D339" s="12"/>
      <c r="E339" s="114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  <c r="AB339" s="12"/>
      <c r="AC339" s="12"/>
    </row>
    <row r="340">
      <c r="A340" s="13"/>
      <c r="C340" s="12"/>
      <c r="D340" s="12"/>
      <c r="E340" s="114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  <c r="AB340" s="12"/>
      <c r="AC340" s="12"/>
    </row>
    <row r="341">
      <c r="A341" s="13"/>
      <c r="C341" s="12"/>
      <c r="D341" s="12"/>
      <c r="E341" s="114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  <c r="AB341" s="12"/>
      <c r="AC341" s="12"/>
    </row>
    <row r="342">
      <c r="A342" s="13"/>
      <c r="C342" s="12"/>
      <c r="D342" s="12"/>
      <c r="E342" s="114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  <c r="AB342" s="12"/>
      <c r="AC342" s="12"/>
    </row>
    <row r="343">
      <c r="A343" s="13"/>
      <c r="C343" s="12"/>
      <c r="D343" s="12"/>
      <c r="E343" s="114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  <c r="AB343" s="12"/>
      <c r="AC343" s="12"/>
    </row>
    <row r="344">
      <c r="A344" s="13"/>
      <c r="C344" s="12"/>
      <c r="D344" s="12"/>
      <c r="E344" s="114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  <c r="AB344" s="12"/>
      <c r="AC344" s="12"/>
    </row>
    <row r="345">
      <c r="A345" s="13"/>
      <c r="C345" s="12"/>
      <c r="D345" s="12"/>
      <c r="E345" s="114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  <c r="AB345" s="12"/>
      <c r="AC345" s="12"/>
    </row>
    <row r="346">
      <c r="A346" s="13"/>
      <c r="C346" s="12"/>
      <c r="D346" s="12"/>
      <c r="E346" s="114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  <c r="AB346" s="12"/>
      <c r="AC346" s="12"/>
    </row>
    <row r="347">
      <c r="A347" s="13"/>
      <c r="C347" s="12"/>
      <c r="D347" s="12"/>
      <c r="E347" s="114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  <c r="AB347" s="12"/>
      <c r="AC347" s="12"/>
    </row>
    <row r="348">
      <c r="A348" s="13"/>
      <c r="C348" s="12"/>
      <c r="D348" s="12"/>
      <c r="E348" s="114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  <c r="AB348" s="12"/>
      <c r="AC348" s="12"/>
    </row>
    <row r="349">
      <c r="A349" s="13"/>
      <c r="C349" s="12"/>
      <c r="D349" s="12"/>
      <c r="E349" s="114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  <c r="AB349" s="12"/>
      <c r="AC349" s="12"/>
    </row>
    <row r="350">
      <c r="A350" s="13"/>
      <c r="C350" s="12"/>
      <c r="D350" s="12"/>
      <c r="E350" s="114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  <c r="AB350" s="12"/>
      <c r="AC350" s="12"/>
    </row>
    <row r="351">
      <c r="A351" s="13"/>
      <c r="C351" s="12"/>
      <c r="D351" s="12"/>
      <c r="E351" s="114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  <c r="AB351" s="12"/>
      <c r="AC351" s="12"/>
    </row>
    <row r="352">
      <c r="A352" s="13"/>
      <c r="C352" s="12"/>
      <c r="D352" s="12"/>
      <c r="E352" s="114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  <c r="AB352" s="12"/>
      <c r="AC352" s="12"/>
    </row>
    <row r="353">
      <c r="A353" s="13"/>
      <c r="C353" s="12"/>
      <c r="D353" s="12"/>
      <c r="E353" s="114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  <c r="AB353" s="12"/>
      <c r="AC353" s="12"/>
    </row>
    <row r="354">
      <c r="A354" s="13"/>
      <c r="C354" s="12"/>
      <c r="D354" s="12"/>
      <c r="E354" s="114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  <c r="AB354" s="12"/>
      <c r="AC354" s="12"/>
    </row>
    <row r="355">
      <c r="A355" s="13"/>
      <c r="C355" s="12"/>
      <c r="D355" s="12"/>
      <c r="E355" s="114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  <c r="AB355" s="12"/>
      <c r="AC355" s="12"/>
    </row>
    <row r="356">
      <c r="A356" s="13"/>
      <c r="C356" s="12"/>
      <c r="D356" s="12"/>
      <c r="E356" s="114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  <c r="AB356" s="12"/>
      <c r="AC356" s="12"/>
    </row>
    <row r="357">
      <c r="A357" s="13"/>
      <c r="C357" s="12"/>
      <c r="D357" s="12"/>
      <c r="E357" s="114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  <c r="AB357" s="12"/>
      <c r="AC357" s="12"/>
    </row>
    <row r="358">
      <c r="A358" s="13"/>
      <c r="C358" s="12"/>
      <c r="D358" s="12"/>
      <c r="E358" s="114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  <c r="AB358" s="12"/>
      <c r="AC358" s="12"/>
    </row>
    <row r="359">
      <c r="A359" s="13"/>
      <c r="C359" s="12"/>
      <c r="D359" s="12"/>
      <c r="E359" s="114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  <c r="AB359" s="12"/>
      <c r="AC359" s="12"/>
    </row>
    <row r="360">
      <c r="A360" s="13"/>
      <c r="C360" s="12"/>
      <c r="D360" s="12"/>
      <c r="E360" s="114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  <c r="AB360" s="12"/>
      <c r="AC360" s="12"/>
    </row>
    <row r="361">
      <c r="A361" s="13"/>
      <c r="C361" s="12"/>
      <c r="D361" s="12"/>
      <c r="E361" s="114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  <c r="AB361" s="12"/>
      <c r="AC361" s="12"/>
    </row>
    <row r="362">
      <c r="A362" s="13"/>
      <c r="C362" s="12"/>
      <c r="D362" s="12"/>
      <c r="E362" s="114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  <c r="AB362" s="12"/>
      <c r="AC362" s="12"/>
    </row>
    <row r="363">
      <c r="A363" s="13"/>
      <c r="C363" s="12"/>
      <c r="D363" s="12"/>
      <c r="E363" s="114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  <c r="AB363" s="12"/>
      <c r="AC363" s="12"/>
    </row>
    <row r="364">
      <c r="A364" s="13"/>
      <c r="C364" s="12"/>
      <c r="D364" s="12"/>
      <c r="E364" s="114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  <c r="AB364" s="12"/>
      <c r="AC364" s="12"/>
    </row>
    <row r="365">
      <c r="A365" s="13"/>
      <c r="C365" s="12"/>
      <c r="D365" s="12"/>
      <c r="E365" s="114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  <c r="AB365" s="12"/>
      <c r="AC365" s="12"/>
    </row>
    <row r="366">
      <c r="A366" s="13"/>
      <c r="C366" s="12"/>
      <c r="D366" s="12"/>
      <c r="E366" s="114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  <c r="AB366" s="12"/>
      <c r="AC366" s="12"/>
    </row>
    <row r="367">
      <c r="A367" s="13"/>
      <c r="C367" s="12"/>
      <c r="D367" s="12"/>
      <c r="E367" s="114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  <c r="AB367" s="12"/>
      <c r="AC367" s="12"/>
    </row>
    <row r="368">
      <c r="A368" s="13"/>
      <c r="C368" s="12"/>
      <c r="D368" s="12"/>
      <c r="E368" s="114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  <c r="AB368" s="12"/>
      <c r="AC368" s="12"/>
    </row>
    <row r="369">
      <c r="A369" s="13"/>
      <c r="C369" s="12"/>
      <c r="D369" s="12"/>
      <c r="E369" s="114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  <c r="AB369" s="12"/>
      <c r="AC369" s="12"/>
    </row>
    <row r="370">
      <c r="A370" s="13"/>
      <c r="C370" s="12"/>
      <c r="D370" s="12"/>
      <c r="E370" s="114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  <c r="AB370" s="12"/>
      <c r="AC370" s="12"/>
    </row>
    <row r="371">
      <c r="A371" s="13"/>
      <c r="C371" s="12"/>
      <c r="D371" s="12"/>
      <c r="E371" s="114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  <c r="AB371" s="12"/>
      <c r="AC371" s="12"/>
    </row>
    <row r="372">
      <c r="A372" s="13"/>
      <c r="C372" s="12"/>
      <c r="D372" s="12"/>
      <c r="E372" s="114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  <c r="AB372" s="12"/>
      <c r="AC372" s="12"/>
    </row>
    <row r="373">
      <c r="A373" s="13"/>
      <c r="C373" s="12"/>
      <c r="D373" s="12"/>
      <c r="E373" s="114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  <c r="AB373" s="12"/>
      <c r="AC373" s="12"/>
    </row>
    <row r="374">
      <c r="A374" s="13"/>
      <c r="C374" s="12"/>
      <c r="D374" s="12"/>
      <c r="E374" s="114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  <c r="AB374" s="12"/>
      <c r="AC374" s="12"/>
    </row>
    <row r="375">
      <c r="A375" s="13"/>
      <c r="C375" s="12"/>
      <c r="D375" s="12"/>
      <c r="E375" s="114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  <c r="AB375" s="12"/>
      <c r="AC375" s="12"/>
    </row>
    <row r="376">
      <c r="A376" s="13"/>
      <c r="C376" s="12"/>
      <c r="D376" s="12"/>
      <c r="E376" s="114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  <c r="AB376" s="12"/>
      <c r="AC376" s="12"/>
    </row>
    <row r="377">
      <c r="A377" s="13"/>
      <c r="C377" s="12"/>
      <c r="D377" s="12"/>
      <c r="E377" s="114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  <c r="AB377" s="12"/>
      <c r="AC377" s="12"/>
    </row>
    <row r="378">
      <c r="A378" s="13"/>
      <c r="C378" s="12"/>
      <c r="D378" s="12"/>
      <c r="E378" s="114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  <c r="AB378" s="12"/>
      <c r="AC378" s="12"/>
    </row>
    <row r="379">
      <c r="A379" s="13"/>
      <c r="C379" s="12"/>
      <c r="D379" s="12"/>
      <c r="E379" s="114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  <c r="AB379" s="12"/>
      <c r="AC379" s="12"/>
    </row>
    <row r="380">
      <c r="A380" s="13"/>
      <c r="C380" s="12"/>
      <c r="D380" s="12"/>
      <c r="E380" s="114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  <c r="AB380" s="12"/>
      <c r="AC380" s="12"/>
    </row>
    <row r="381">
      <c r="A381" s="13"/>
      <c r="C381" s="12"/>
      <c r="D381" s="12"/>
      <c r="E381" s="114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  <c r="AB381" s="12"/>
      <c r="AC381" s="12"/>
    </row>
    <row r="382">
      <c r="A382" s="13"/>
      <c r="C382" s="12"/>
      <c r="D382" s="12"/>
      <c r="E382" s="114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  <c r="AB382" s="12"/>
      <c r="AC382" s="12"/>
    </row>
    <row r="383">
      <c r="A383" s="13"/>
      <c r="C383" s="12"/>
      <c r="D383" s="12"/>
      <c r="E383" s="114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  <c r="AB383" s="12"/>
      <c r="AC383" s="12"/>
    </row>
    <row r="384">
      <c r="A384" s="13"/>
      <c r="C384" s="12"/>
      <c r="D384" s="12"/>
      <c r="E384" s="114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  <c r="AB384" s="12"/>
      <c r="AC384" s="12"/>
    </row>
    <row r="385">
      <c r="A385" s="13"/>
      <c r="C385" s="12"/>
      <c r="D385" s="12"/>
      <c r="E385" s="114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  <c r="AB385" s="12"/>
      <c r="AC385" s="12"/>
    </row>
    <row r="386">
      <c r="A386" s="13"/>
      <c r="C386" s="12"/>
      <c r="D386" s="12"/>
      <c r="E386" s="114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  <c r="AB386" s="12"/>
      <c r="AC386" s="12"/>
    </row>
    <row r="387">
      <c r="A387" s="13"/>
      <c r="C387" s="12"/>
      <c r="D387" s="12"/>
      <c r="E387" s="114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  <c r="AB387" s="12"/>
      <c r="AC387" s="12"/>
    </row>
    <row r="388">
      <c r="A388" s="13"/>
      <c r="C388" s="12"/>
      <c r="D388" s="12"/>
      <c r="E388" s="114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  <c r="AB388" s="12"/>
      <c r="AC388" s="12"/>
    </row>
    <row r="389">
      <c r="A389" s="13"/>
      <c r="C389" s="12"/>
      <c r="D389" s="12"/>
      <c r="E389" s="114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  <c r="AB389" s="12"/>
      <c r="AC389" s="12"/>
    </row>
    <row r="390">
      <c r="A390" s="13"/>
      <c r="C390" s="12"/>
      <c r="D390" s="12"/>
      <c r="E390" s="114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  <c r="AB390" s="12"/>
      <c r="AC390" s="12"/>
    </row>
    <row r="391">
      <c r="A391" s="13"/>
      <c r="C391" s="12"/>
      <c r="D391" s="12"/>
      <c r="E391" s="114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  <c r="AB391" s="12"/>
      <c r="AC391" s="12"/>
    </row>
    <row r="392">
      <c r="A392" s="13"/>
      <c r="C392" s="12"/>
      <c r="D392" s="12"/>
      <c r="E392" s="114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  <c r="AB392" s="12"/>
      <c r="AC392" s="12"/>
    </row>
    <row r="393">
      <c r="A393" s="13"/>
      <c r="C393" s="12"/>
      <c r="D393" s="12"/>
      <c r="E393" s="114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  <c r="AB393" s="12"/>
      <c r="AC393" s="12"/>
    </row>
    <row r="394">
      <c r="A394" s="13"/>
      <c r="C394" s="12"/>
      <c r="D394" s="12"/>
      <c r="E394" s="114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  <c r="AB394" s="12"/>
      <c r="AC394" s="12"/>
    </row>
    <row r="395">
      <c r="A395" s="13"/>
      <c r="C395" s="12"/>
      <c r="D395" s="12"/>
      <c r="E395" s="114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  <c r="AB395" s="12"/>
      <c r="AC395" s="12"/>
    </row>
    <row r="396">
      <c r="A396" s="13"/>
      <c r="C396" s="12"/>
      <c r="D396" s="12"/>
      <c r="E396" s="114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  <c r="AB396" s="12"/>
      <c r="AC396" s="12"/>
    </row>
    <row r="397">
      <c r="A397" s="13"/>
      <c r="C397" s="12"/>
      <c r="D397" s="12"/>
      <c r="E397" s="114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  <c r="AB397" s="12"/>
      <c r="AC397" s="12"/>
    </row>
    <row r="398">
      <c r="A398" s="13"/>
      <c r="C398" s="12"/>
      <c r="D398" s="12"/>
      <c r="E398" s="114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  <c r="AB398" s="12"/>
      <c r="AC398" s="12"/>
    </row>
    <row r="399">
      <c r="A399" s="13"/>
      <c r="C399" s="12"/>
      <c r="D399" s="12"/>
      <c r="E399" s="114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  <c r="AB399" s="12"/>
      <c r="AC399" s="12"/>
    </row>
    <row r="400">
      <c r="A400" s="13"/>
      <c r="C400" s="12"/>
      <c r="D400" s="12"/>
      <c r="E400" s="114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  <c r="AB400" s="12"/>
      <c r="AC400" s="12"/>
    </row>
    <row r="401">
      <c r="A401" s="13"/>
      <c r="C401" s="12"/>
      <c r="D401" s="12"/>
      <c r="E401" s="114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  <c r="AB401" s="12"/>
      <c r="AC401" s="12"/>
    </row>
    <row r="402">
      <c r="A402" s="13"/>
      <c r="C402" s="12"/>
      <c r="D402" s="12"/>
      <c r="E402" s="114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  <c r="AB402" s="12"/>
      <c r="AC402" s="12"/>
    </row>
    <row r="403">
      <c r="A403" s="13"/>
      <c r="C403" s="12"/>
      <c r="D403" s="12"/>
      <c r="E403" s="114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  <c r="AB403" s="12"/>
      <c r="AC403" s="12"/>
    </row>
    <row r="404">
      <c r="A404" s="13"/>
      <c r="C404" s="12"/>
      <c r="D404" s="12"/>
      <c r="E404" s="114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  <c r="AB404" s="12"/>
      <c r="AC404" s="12"/>
    </row>
    <row r="405">
      <c r="A405" s="13"/>
      <c r="C405" s="12"/>
      <c r="D405" s="12"/>
      <c r="E405" s="114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  <c r="AB405" s="12"/>
      <c r="AC405" s="12"/>
    </row>
    <row r="406">
      <c r="A406" s="13"/>
      <c r="C406" s="12"/>
      <c r="D406" s="12"/>
      <c r="E406" s="114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  <c r="AB406" s="12"/>
      <c r="AC406" s="12"/>
    </row>
    <row r="407">
      <c r="A407" s="13"/>
      <c r="C407" s="12"/>
      <c r="D407" s="12"/>
      <c r="E407" s="114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  <c r="AB407" s="12"/>
      <c r="AC407" s="12"/>
    </row>
    <row r="408">
      <c r="A408" s="13"/>
      <c r="C408" s="12"/>
      <c r="D408" s="12"/>
      <c r="E408" s="114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  <c r="AB408" s="12"/>
      <c r="AC408" s="12"/>
    </row>
    <row r="409">
      <c r="A409" s="13"/>
      <c r="C409" s="12"/>
      <c r="D409" s="12"/>
      <c r="E409" s="114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  <c r="AB409" s="12"/>
      <c r="AC409" s="12"/>
    </row>
    <row r="410">
      <c r="A410" s="13"/>
      <c r="C410" s="12"/>
      <c r="D410" s="12"/>
      <c r="E410" s="114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  <c r="AB410" s="12"/>
      <c r="AC410" s="12"/>
    </row>
    <row r="411">
      <c r="A411" s="13"/>
      <c r="C411" s="12"/>
      <c r="D411" s="12"/>
      <c r="E411" s="114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  <c r="AB411" s="12"/>
      <c r="AC411" s="12"/>
    </row>
    <row r="412">
      <c r="A412" s="13"/>
      <c r="C412" s="12"/>
      <c r="D412" s="12"/>
      <c r="E412" s="114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  <c r="AB412" s="12"/>
      <c r="AC412" s="12"/>
    </row>
    <row r="413">
      <c r="A413" s="13"/>
      <c r="C413" s="12"/>
      <c r="D413" s="12"/>
      <c r="E413" s="114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  <c r="AB413" s="12"/>
      <c r="AC413" s="12"/>
    </row>
    <row r="414">
      <c r="A414" s="13"/>
      <c r="C414" s="12"/>
      <c r="D414" s="12"/>
      <c r="E414" s="114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  <c r="AB414" s="12"/>
      <c r="AC414" s="12"/>
    </row>
    <row r="415">
      <c r="A415" s="13"/>
      <c r="C415" s="12"/>
      <c r="D415" s="12"/>
      <c r="E415" s="114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  <c r="AB415" s="12"/>
      <c r="AC415" s="12"/>
    </row>
    <row r="416">
      <c r="A416" s="13"/>
      <c r="C416" s="12"/>
      <c r="D416" s="12"/>
      <c r="E416" s="114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  <c r="AB416" s="12"/>
      <c r="AC416" s="12"/>
    </row>
    <row r="417">
      <c r="A417" s="13"/>
      <c r="C417" s="12"/>
      <c r="D417" s="12"/>
      <c r="E417" s="114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  <c r="AB417" s="12"/>
      <c r="AC417" s="12"/>
    </row>
    <row r="418">
      <c r="A418" s="13"/>
      <c r="C418" s="12"/>
      <c r="D418" s="12"/>
      <c r="E418" s="114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  <c r="AB418" s="12"/>
      <c r="AC418" s="12"/>
    </row>
    <row r="419">
      <c r="A419" s="13"/>
      <c r="C419" s="12"/>
      <c r="D419" s="12"/>
      <c r="E419" s="114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  <c r="AB419" s="12"/>
      <c r="AC419" s="12"/>
    </row>
    <row r="420">
      <c r="A420" s="13"/>
      <c r="C420" s="12"/>
      <c r="D420" s="12"/>
      <c r="E420" s="114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  <c r="AB420" s="12"/>
      <c r="AC420" s="12"/>
    </row>
    <row r="421">
      <c r="A421" s="13"/>
      <c r="C421" s="12"/>
      <c r="D421" s="12"/>
      <c r="E421" s="114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  <c r="AB421" s="12"/>
      <c r="AC421" s="12"/>
    </row>
    <row r="422">
      <c r="A422" s="13"/>
      <c r="C422" s="12"/>
      <c r="D422" s="12"/>
      <c r="E422" s="114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  <c r="AB422" s="12"/>
      <c r="AC422" s="12"/>
    </row>
    <row r="423">
      <c r="A423" s="13"/>
      <c r="C423" s="12"/>
      <c r="D423" s="12"/>
      <c r="E423" s="114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  <c r="AB423" s="12"/>
      <c r="AC423" s="12"/>
    </row>
    <row r="424">
      <c r="A424" s="13"/>
      <c r="C424" s="12"/>
      <c r="D424" s="12"/>
      <c r="E424" s="114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  <c r="AB424" s="12"/>
      <c r="AC424" s="12"/>
    </row>
    <row r="425">
      <c r="A425" s="13"/>
      <c r="C425" s="12"/>
      <c r="D425" s="12"/>
      <c r="E425" s="114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  <c r="AB425" s="12"/>
      <c r="AC425" s="12"/>
    </row>
    <row r="426">
      <c r="A426" s="13"/>
      <c r="C426" s="12"/>
      <c r="D426" s="12"/>
      <c r="E426" s="114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  <c r="AB426" s="12"/>
      <c r="AC426" s="12"/>
    </row>
    <row r="427">
      <c r="A427" s="13"/>
      <c r="C427" s="12"/>
      <c r="D427" s="12"/>
      <c r="E427" s="114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  <c r="AB427" s="12"/>
      <c r="AC427" s="12"/>
    </row>
    <row r="428">
      <c r="A428" s="13"/>
      <c r="C428" s="12"/>
      <c r="D428" s="12"/>
      <c r="E428" s="114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  <c r="AB428" s="12"/>
      <c r="AC428" s="12"/>
    </row>
    <row r="429">
      <c r="A429" s="13"/>
      <c r="C429" s="12"/>
      <c r="D429" s="12"/>
      <c r="E429" s="114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  <c r="AB429" s="12"/>
      <c r="AC429" s="12"/>
    </row>
    <row r="430">
      <c r="A430" s="13"/>
      <c r="C430" s="12"/>
      <c r="D430" s="12"/>
      <c r="E430" s="114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  <c r="AB430" s="12"/>
      <c r="AC430" s="12"/>
    </row>
    <row r="431">
      <c r="A431" s="13"/>
      <c r="C431" s="12"/>
      <c r="D431" s="12"/>
      <c r="E431" s="114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  <c r="AB431" s="12"/>
      <c r="AC431" s="12"/>
    </row>
    <row r="432">
      <c r="A432" s="13"/>
      <c r="C432" s="12"/>
      <c r="D432" s="12"/>
      <c r="E432" s="114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  <c r="AB432" s="12"/>
      <c r="AC432" s="12"/>
    </row>
    <row r="433">
      <c r="A433" s="13"/>
      <c r="C433" s="12"/>
      <c r="D433" s="12"/>
      <c r="E433" s="114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  <c r="AB433" s="12"/>
      <c r="AC433" s="12"/>
    </row>
    <row r="434">
      <c r="A434" s="13"/>
      <c r="C434" s="12"/>
      <c r="D434" s="12"/>
      <c r="E434" s="114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  <c r="AB434" s="12"/>
      <c r="AC434" s="12"/>
    </row>
    <row r="435">
      <c r="A435" s="13"/>
      <c r="C435" s="12"/>
      <c r="D435" s="12"/>
      <c r="E435" s="114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  <c r="AB435" s="12"/>
      <c r="AC435" s="12"/>
    </row>
    <row r="436">
      <c r="A436" s="13"/>
      <c r="C436" s="12"/>
      <c r="D436" s="12"/>
      <c r="E436" s="114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  <c r="AB436" s="12"/>
      <c r="AC436" s="12"/>
    </row>
    <row r="437">
      <c r="A437" s="13"/>
      <c r="C437" s="12"/>
      <c r="D437" s="12"/>
      <c r="E437" s="114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  <c r="AB437" s="12"/>
      <c r="AC437" s="12"/>
    </row>
    <row r="438">
      <c r="A438" s="13"/>
      <c r="C438" s="12"/>
      <c r="D438" s="12"/>
      <c r="E438" s="114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  <c r="AB438" s="12"/>
      <c r="AC438" s="12"/>
    </row>
    <row r="439">
      <c r="A439" s="13"/>
      <c r="C439" s="12"/>
      <c r="D439" s="12"/>
      <c r="E439" s="114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  <c r="AB439" s="12"/>
      <c r="AC439" s="12"/>
    </row>
    <row r="440">
      <c r="A440" s="13"/>
      <c r="C440" s="12"/>
      <c r="D440" s="12"/>
      <c r="E440" s="114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  <c r="AB440" s="12"/>
      <c r="AC440" s="12"/>
    </row>
    <row r="441">
      <c r="A441" s="13"/>
      <c r="C441" s="12"/>
      <c r="D441" s="12"/>
      <c r="E441" s="114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  <c r="AB441" s="12"/>
      <c r="AC441" s="12"/>
    </row>
    <row r="442">
      <c r="A442" s="13"/>
      <c r="C442" s="12"/>
      <c r="D442" s="12"/>
      <c r="E442" s="114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  <c r="AB442" s="12"/>
      <c r="AC442" s="12"/>
    </row>
    <row r="443">
      <c r="A443" s="13"/>
      <c r="C443" s="12"/>
      <c r="D443" s="12"/>
      <c r="E443" s="114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  <c r="AB443" s="12"/>
      <c r="AC443" s="12"/>
    </row>
    <row r="444">
      <c r="A444" s="13"/>
      <c r="C444" s="12"/>
      <c r="D444" s="12"/>
      <c r="E444" s="114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  <c r="AB444" s="12"/>
      <c r="AC444" s="12"/>
    </row>
    <row r="445">
      <c r="A445" s="13"/>
      <c r="C445" s="12"/>
      <c r="D445" s="12"/>
      <c r="E445" s="114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  <c r="AB445" s="12"/>
      <c r="AC445" s="12"/>
    </row>
    <row r="446">
      <c r="A446" s="13"/>
      <c r="C446" s="12"/>
      <c r="D446" s="12"/>
      <c r="E446" s="114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  <c r="AB446" s="12"/>
      <c r="AC446" s="12"/>
    </row>
    <row r="447">
      <c r="A447" s="13"/>
      <c r="C447" s="12"/>
      <c r="D447" s="12"/>
      <c r="E447" s="114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  <c r="AB447" s="12"/>
      <c r="AC447" s="12"/>
    </row>
    <row r="448">
      <c r="A448" s="13"/>
      <c r="C448" s="12"/>
      <c r="D448" s="12"/>
      <c r="E448" s="114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  <c r="AB448" s="12"/>
      <c r="AC448" s="12"/>
    </row>
    <row r="449">
      <c r="A449" s="13"/>
      <c r="C449" s="12"/>
      <c r="D449" s="12"/>
      <c r="E449" s="114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  <c r="AB449" s="12"/>
      <c r="AC449" s="12"/>
    </row>
    <row r="450">
      <c r="A450" s="13"/>
      <c r="C450" s="12"/>
      <c r="D450" s="12"/>
      <c r="E450" s="114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  <c r="AB450" s="12"/>
      <c r="AC450" s="12"/>
    </row>
    <row r="451">
      <c r="A451" s="13"/>
      <c r="C451" s="12"/>
      <c r="D451" s="12"/>
      <c r="E451" s="114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  <c r="AB451" s="12"/>
      <c r="AC451" s="12"/>
    </row>
    <row r="452">
      <c r="A452" s="13"/>
      <c r="C452" s="12"/>
      <c r="D452" s="12"/>
      <c r="E452" s="114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  <c r="AB452" s="12"/>
      <c r="AC452" s="12"/>
    </row>
    <row r="453">
      <c r="A453" s="13"/>
      <c r="C453" s="12"/>
      <c r="D453" s="12"/>
      <c r="E453" s="114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  <c r="AB453" s="12"/>
      <c r="AC453" s="12"/>
    </row>
    <row r="454">
      <c r="A454" s="13"/>
      <c r="C454" s="12"/>
      <c r="D454" s="12"/>
      <c r="E454" s="114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  <c r="AB454" s="12"/>
      <c r="AC454" s="12"/>
    </row>
    <row r="455">
      <c r="A455" s="13"/>
      <c r="C455" s="12"/>
      <c r="D455" s="12"/>
      <c r="E455" s="114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  <c r="AB455" s="12"/>
      <c r="AC455" s="12"/>
    </row>
    <row r="456">
      <c r="A456" s="13"/>
      <c r="C456" s="12"/>
      <c r="D456" s="12"/>
      <c r="E456" s="114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  <c r="AB456" s="12"/>
      <c r="AC456" s="12"/>
    </row>
    <row r="457">
      <c r="A457" s="13"/>
      <c r="C457" s="12"/>
      <c r="D457" s="12"/>
      <c r="E457" s="114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  <c r="AB457" s="12"/>
      <c r="AC457" s="12"/>
    </row>
    <row r="458">
      <c r="A458" s="13"/>
      <c r="C458" s="12"/>
      <c r="D458" s="12"/>
      <c r="E458" s="114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  <c r="AB458" s="12"/>
      <c r="AC458" s="12"/>
    </row>
    <row r="459">
      <c r="A459" s="13"/>
      <c r="C459" s="12"/>
      <c r="D459" s="12"/>
      <c r="E459" s="114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  <c r="AB459" s="12"/>
      <c r="AC459" s="12"/>
    </row>
    <row r="460">
      <c r="A460" s="13"/>
      <c r="C460" s="12"/>
      <c r="D460" s="12"/>
      <c r="E460" s="114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  <c r="AB460" s="12"/>
      <c r="AC460" s="12"/>
    </row>
    <row r="461">
      <c r="A461" s="13"/>
      <c r="C461" s="12"/>
      <c r="D461" s="12"/>
      <c r="E461" s="114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  <c r="AB461" s="12"/>
      <c r="AC461" s="12"/>
    </row>
    <row r="462">
      <c r="A462" s="13"/>
      <c r="C462" s="12"/>
      <c r="D462" s="12"/>
      <c r="E462" s="114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  <c r="AB462" s="12"/>
      <c r="AC462" s="12"/>
    </row>
    <row r="463">
      <c r="A463" s="13"/>
      <c r="C463" s="12"/>
      <c r="D463" s="12"/>
      <c r="E463" s="114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  <c r="AB463" s="12"/>
      <c r="AC463" s="12"/>
    </row>
    <row r="464">
      <c r="A464" s="13"/>
      <c r="C464" s="12"/>
      <c r="D464" s="12"/>
      <c r="E464" s="114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  <c r="AB464" s="12"/>
      <c r="AC464" s="12"/>
    </row>
    <row r="465">
      <c r="A465" s="13"/>
      <c r="C465" s="12"/>
      <c r="D465" s="12"/>
      <c r="E465" s="114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  <c r="AB465" s="12"/>
      <c r="AC465" s="12"/>
    </row>
    <row r="466">
      <c r="A466" s="13"/>
      <c r="C466" s="12"/>
      <c r="D466" s="12"/>
      <c r="E466" s="114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  <c r="AB466" s="12"/>
      <c r="AC466" s="12"/>
    </row>
    <row r="467">
      <c r="A467" s="13"/>
      <c r="C467" s="12"/>
      <c r="D467" s="12"/>
      <c r="E467" s="114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  <c r="AB467" s="12"/>
      <c r="AC467" s="12"/>
    </row>
    <row r="468">
      <c r="A468" s="13"/>
      <c r="C468" s="12"/>
      <c r="D468" s="12"/>
      <c r="E468" s="114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  <c r="AB468" s="12"/>
      <c r="AC468" s="12"/>
    </row>
    <row r="469">
      <c r="A469" s="13"/>
      <c r="C469" s="12"/>
      <c r="D469" s="12"/>
      <c r="E469" s="114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  <c r="AB469" s="12"/>
      <c r="AC469" s="12"/>
    </row>
    <row r="470">
      <c r="A470" s="13"/>
      <c r="C470" s="12"/>
      <c r="D470" s="12"/>
      <c r="E470" s="114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  <c r="AB470" s="12"/>
      <c r="AC470" s="12"/>
    </row>
    <row r="471">
      <c r="A471" s="13"/>
      <c r="C471" s="12"/>
      <c r="D471" s="12"/>
      <c r="E471" s="114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  <c r="AB471" s="12"/>
      <c r="AC471" s="12"/>
    </row>
    <row r="472">
      <c r="A472" s="13"/>
      <c r="C472" s="12"/>
      <c r="D472" s="12"/>
      <c r="E472" s="114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  <c r="AB472" s="12"/>
      <c r="AC472" s="12"/>
    </row>
    <row r="473">
      <c r="A473" s="13"/>
      <c r="C473" s="12"/>
      <c r="D473" s="12"/>
      <c r="E473" s="114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  <c r="AB473" s="12"/>
      <c r="AC473" s="12"/>
    </row>
    <row r="474">
      <c r="A474" s="13"/>
      <c r="C474" s="12"/>
      <c r="D474" s="12"/>
      <c r="E474" s="114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  <c r="AB474" s="12"/>
      <c r="AC474" s="12"/>
    </row>
    <row r="475">
      <c r="A475" s="13"/>
      <c r="C475" s="12"/>
      <c r="D475" s="12"/>
      <c r="E475" s="114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  <c r="AB475" s="12"/>
      <c r="AC475" s="12"/>
    </row>
    <row r="476">
      <c r="A476" s="13"/>
      <c r="C476" s="12"/>
      <c r="D476" s="12"/>
      <c r="E476" s="114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  <c r="AB476" s="12"/>
      <c r="AC476" s="12"/>
    </row>
    <row r="477">
      <c r="A477" s="13"/>
      <c r="C477" s="12"/>
      <c r="D477" s="12"/>
      <c r="E477" s="114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  <c r="AB477" s="12"/>
      <c r="AC477" s="12"/>
    </row>
    <row r="478">
      <c r="A478" s="13"/>
      <c r="C478" s="12"/>
      <c r="D478" s="12"/>
      <c r="E478" s="114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  <c r="AB478" s="12"/>
      <c r="AC478" s="12"/>
    </row>
    <row r="479">
      <c r="A479" s="13"/>
      <c r="C479" s="12"/>
      <c r="D479" s="12"/>
      <c r="E479" s="114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  <c r="AB479" s="12"/>
      <c r="AC479" s="12"/>
    </row>
    <row r="480">
      <c r="A480" s="13"/>
      <c r="C480" s="12"/>
      <c r="D480" s="12"/>
      <c r="E480" s="114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  <c r="AB480" s="12"/>
      <c r="AC480" s="12"/>
    </row>
    <row r="481">
      <c r="A481" s="13"/>
      <c r="C481" s="12"/>
      <c r="D481" s="12"/>
      <c r="E481" s="114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  <c r="AB481" s="12"/>
      <c r="AC481" s="12"/>
    </row>
    <row r="482">
      <c r="A482" s="13"/>
      <c r="C482" s="12"/>
      <c r="D482" s="12"/>
      <c r="E482" s="114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  <c r="AB482" s="12"/>
      <c r="AC482" s="12"/>
    </row>
    <row r="483">
      <c r="A483" s="13"/>
      <c r="C483" s="12"/>
      <c r="D483" s="12"/>
      <c r="E483" s="114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  <c r="AB483" s="12"/>
      <c r="AC483" s="12"/>
    </row>
    <row r="484">
      <c r="A484" s="13"/>
      <c r="C484" s="12"/>
      <c r="D484" s="12"/>
      <c r="E484" s="114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  <c r="AB484" s="12"/>
      <c r="AC484" s="12"/>
    </row>
    <row r="485">
      <c r="A485" s="13"/>
      <c r="C485" s="12"/>
      <c r="D485" s="12"/>
      <c r="E485" s="114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  <c r="AB485" s="12"/>
      <c r="AC485" s="12"/>
    </row>
    <row r="486">
      <c r="A486" s="13"/>
      <c r="C486" s="12"/>
      <c r="D486" s="12"/>
      <c r="E486" s="114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  <c r="AB486" s="12"/>
      <c r="AC486" s="12"/>
    </row>
    <row r="487">
      <c r="A487" s="13"/>
      <c r="C487" s="12"/>
      <c r="D487" s="12"/>
      <c r="E487" s="114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  <c r="AB487" s="12"/>
      <c r="AC487" s="12"/>
    </row>
    <row r="488">
      <c r="A488" s="13"/>
      <c r="C488" s="12"/>
      <c r="D488" s="12"/>
      <c r="E488" s="114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  <c r="AB488" s="12"/>
      <c r="AC488" s="12"/>
    </row>
    <row r="489">
      <c r="A489" s="13"/>
      <c r="C489" s="12"/>
      <c r="D489" s="12"/>
      <c r="E489" s="114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  <c r="AB489" s="12"/>
      <c r="AC489" s="12"/>
    </row>
    <row r="490">
      <c r="A490" s="13"/>
      <c r="C490" s="12"/>
      <c r="D490" s="12"/>
      <c r="E490" s="114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  <c r="AB490" s="12"/>
      <c r="AC490" s="12"/>
    </row>
    <row r="491">
      <c r="A491" s="13"/>
      <c r="C491" s="12"/>
      <c r="D491" s="12"/>
      <c r="E491" s="114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  <c r="AB491" s="12"/>
      <c r="AC491" s="12"/>
    </row>
    <row r="492">
      <c r="A492" s="13"/>
      <c r="C492" s="12"/>
      <c r="D492" s="12"/>
      <c r="E492" s="114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  <c r="AB492" s="12"/>
      <c r="AC492" s="12"/>
    </row>
    <row r="493">
      <c r="A493" s="13"/>
      <c r="C493" s="12"/>
      <c r="D493" s="12"/>
      <c r="E493" s="114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  <c r="AB493" s="12"/>
      <c r="AC493" s="12"/>
    </row>
    <row r="494">
      <c r="A494" s="13"/>
      <c r="C494" s="12"/>
      <c r="D494" s="12"/>
      <c r="E494" s="114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  <c r="AB494" s="12"/>
      <c r="AC494" s="12"/>
    </row>
    <row r="495">
      <c r="A495" s="13"/>
      <c r="C495" s="12"/>
      <c r="D495" s="12"/>
      <c r="E495" s="114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  <c r="AB495" s="12"/>
      <c r="AC495" s="12"/>
    </row>
    <row r="496">
      <c r="A496" s="13"/>
      <c r="C496" s="12"/>
      <c r="D496" s="12"/>
      <c r="E496" s="114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  <c r="AB496" s="12"/>
      <c r="AC496" s="12"/>
    </row>
    <row r="497">
      <c r="A497" s="13"/>
      <c r="C497" s="12"/>
      <c r="D497" s="12"/>
      <c r="E497" s="114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  <c r="AB497" s="12"/>
      <c r="AC497" s="12"/>
    </row>
    <row r="498">
      <c r="A498" s="13"/>
      <c r="C498" s="12"/>
      <c r="D498" s="12"/>
      <c r="E498" s="114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  <c r="AB498" s="12"/>
      <c r="AC498" s="12"/>
    </row>
    <row r="499">
      <c r="A499" s="13"/>
      <c r="C499" s="12"/>
      <c r="D499" s="12"/>
      <c r="E499" s="114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  <c r="AB499" s="12"/>
      <c r="AC499" s="12"/>
    </row>
    <row r="500">
      <c r="A500" s="13"/>
      <c r="C500" s="12"/>
      <c r="D500" s="12"/>
      <c r="E500" s="114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  <c r="AB500" s="12"/>
      <c r="AC500" s="12"/>
    </row>
    <row r="501">
      <c r="A501" s="13"/>
      <c r="C501" s="12"/>
      <c r="D501" s="12"/>
      <c r="E501" s="114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  <c r="AB501" s="12"/>
      <c r="AC501" s="12"/>
    </row>
    <row r="502">
      <c r="A502" s="13"/>
      <c r="C502" s="12"/>
      <c r="D502" s="12"/>
      <c r="E502" s="114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  <c r="AB502" s="12"/>
      <c r="AC502" s="12"/>
    </row>
    <row r="503">
      <c r="A503" s="13"/>
      <c r="C503" s="12"/>
      <c r="D503" s="12"/>
      <c r="E503" s="114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  <c r="AB503" s="12"/>
      <c r="AC503" s="12"/>
    </row>
    <row r="504">
      <c r="A504" s="13"/>
      <c r="C504" s="12"/>
      <c r="D504" s="12"/>
      <c r="E504" s="114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  <c r="AB504" s="12"/>
      <c r="AC504" s="12"/>
    </row>
    <row r="505">
      <c r="A505" s="13"/>
      <c r="C505" s="12"/>
      <c r="D505" s="12"/>
      <c r="E505" s="114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  <c r="AB505" s="12"/>
      <c r="AC505" s="12"/>
    </row>
    <row r="506">
      <c r="A506" s="13"/>
      <c r="C506" s="12"/>
      <c r="D506" s="12"/>
      <c r="E506" s="114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  <c r="AB506" s="12"/>
      <c r="AC506" s="12"/>
    </row>
    <row r="507">
      <c r="A507" s="13"/>
      <c r="C507" s="12"/>
      <c r="D507" s="12"/>
      <c r="E507" s="114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  <c r="AB507" s="12"/>
      <c r="AC507" s="12"/>
    </row>
    <row r="508">
      <c r="A508" s="13"/>
      <c r="C508" s="12"/>
      <c r="D508" s="12"/>
      <c r="E508" s="114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  <c r="AB508" s="12"/>
      <c r="AC508" s="12"/>
    </row>
    <row r="509">
      <c r="A509" s="13"/>
      <c r="C509" s="12"/>
      <c r="D509" s="12"/>
      <c r="E509" s="114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  <c r="AB509" s="12"/>
      <c r="AC509" s="12"/>
    </row>
    <row r="510">
      <c r="A510" s="13"/>
      <c r="C510" s="12"/>
      <c r="D510" s="12"/>
      <c r="E510" s="114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  <c r="AB510" s="12"/>
      <c r="AC510" s="12"/>
    </row>
    <row r="511">
      <c r="A511" s="13"/>
      <c r="C511" s="12"/>
      <c r="D511" s="12"/>
      <c r="E511" s="114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  <c r="AB511" s="12"/>
      <c r="AC511" s="12"/>
    </row>
    <row r="512">
      <c r="A512" s="13"/>
      <c r="C512" s="12"/>
      <c r="D512" s="12"/>
      <c r="E512" s="114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  <c r="AB512" s="12"/>
      <c r="AC512" s="12"/>
    </row>
    <row r="513">
      <c r="A513" s="13"/>
      <c r="C513" s="12"/>
      <c r="D513" s="12"/>
      <c r="E513" s="114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  <c r="AB513" s="12"/>
      <c r="AC513" s="12"/>
    </row>
    <row r="514">
      <c r="A514" s="13"/>
      <c r="C514" s="12"/>
      <c r="D514" s="12"/>
      <c r="E514" s="114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  <c r="AB514" s="12"/>
      <c r="AC514" s="12"/>
    </row>
    <row r="515">
      <c r="A515" s="13"/>
      <c r="C515" s="12"/>
      <c r="D515" s="12"/>
      <c r="E515" s="114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  <c r="AB515" s="12"/>
      <c r="AC515" s="12"/>
    </row>
    <row r="516">
      <c r="A516" s="13"/>
      <c r="C516" s="12"/>
      <c r="D516" s="12"/>
      <c r="E516" s="114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  <c r="AB516" s="12"/>
      <c r="AC516" s="12"/>
    </row>
    <row r="517">
      <c r="A517" s="13"/>
      <c r="C517" s="12"/>
      <c r="D517" s="12"/>
      <c r="E517" s="114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  <c r="AB517" s="12"/>
      <c r="AC517" s="12"/>
    </row>
    <row r="518">
      <c r="A518" s="13"/>
      <c r="C518" s="12"/>
      <c r="D518" s="12"/>
      <c r="E518" s="114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  <c r="AB518" s="12"/>
      <c r="AC518" s="12"/>
    </row>
    <row r="519">
      <c r="A519" s="13"/>
      <c r="C519" s="12"/>
      <c r="D519" s="12"/>
      <c r="E519" s="114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  <c r="AB519" s="12"/>
      <c r="AC519" s="12"/>
    </row>
    <row r="520">
      <c r="A520" s="13"/>
      <c r="C520" s="12"/>
      <c r="D520" s="12"/>
      <c r="E520" s="114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  <c r="AB520" s="12"/>
      <c r="AC520" s="12"/>
    </row>
    <row r="521">
      <c r="A521" s="13"/>
      <c r="C521" s="12"/>
      <c r="D521" s="12"/>
      <c r="E521" s="114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  <c r="AB521" s="12"/>
      <c r="AC521" s="12"/>
    </row>
    <row r="522">
      <c r="A522" s="13"/>
      <c r="C522" s="12"/>
      <c r="D522" s="12"/>
      <c r="E522" s="114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  <c r="AB522" s="12"/>
      <c r="AC522" s="12"/>
    </row>
    <row r="523">
      <c r="A523" s="13"/>
      <c r="C523" s="12"/>
      <c r="D523" s="12"/>
      <c r="E523" s="114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  <c r="AB523" s="12"/>
      <c r="AC523" s="12"/>
    </row>
    <row r="524">
      <c r="A524" s="13"/>
      <c r="C524" s="12"/>
      <c r="D524" s="12"/>
      <c r="E524" s="114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  <c r="AB524" s="12"/>
      <c r="AC524" s="12"/>
    </row>
    <row r="525">
      <c r="A525" s="13"/>
      <c r="C525" s="12"/>
      <c r="D525" s="12"/>
      <c r="E525" s="114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  <c r="AB525" s="12"/>
      <c r="AC525" s="12"/>
    </row>
    <row r="526">
      <c r="A526" s="13"/>
      <c r="C526" s="12"/>
      <c r="D526" s="12"/>
      <c r="E526" s="114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  <c r="AB526" s="12"/>
      <c r="AC526" s="12"/>
    </row>
    <row r="527">
      <c r="A527" s="13"/>
      <c r="C527" s="12"/>
      <c r="D527" s="12"/>
      <c r="E527" s="114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  <c r="AB527" s="12"/>
      <c r="AC527" s="12"/>
    </row>
    <row r="528">
      <c r="A528" s="13"/>
      <c r="C528" s="12"/>
      <c r="D528" s="12"/>
      <c r="E528" s="114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  <c r="AB528" s="12"/>
      <c r="AC528" s="12"/>
    </row>
    <row r="529">
      <c r="A529" s="13"/>
      <c r="C529" s="12"/>
      <c r="D529" s="12"/>
      <c r="E529" s="114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  <c r="AB529" s="12"/>
      <c r="AC529" s="12"/>
    </row>
    <row r="530">
      <c r="A530" s="13"/>
      <c r="C530" s="12"/>
      <c r="D530" s="12"/>
      <c r="E530" s="114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  <c r="AB530" s="12"/>
      <c r="AC530" s="12"/>
    </row>
    <row r="531">
      <c r="A531" s="13"/>
      <c r="C531" s="12"/>
      <c r="D531" s="12"/>
      <c r="E531" s="114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  <c r="AB531" s="12"/>
      <c r="AC531" s="12"/>
    </row>
    <row r="532">
      <c r="A532" s="13"/>
      <c r="C532" s="12"/>
      <c r="D532" s="12"/>
      <c r="E532" s="114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  <c r="AB532" s="12"/>
      <c r="AC532" s="12"/>
    </row>
    <row r="533">
      <c r="A533" s="13"/>
      <c r="C533" s="12"/>
      <c r="D533" s="12"/>
      <c r="E533" s="114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  <c r="AB533" s="12"/>
      <c r="AC533" s="12"/>
    </row>
    <row r="534">
      <c r="A534" s="13"/>
      <c r="C534" s="12"/>
      <c r="D534" s="12"/>
      <c r="E534" s="114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  <c r="AB534" s="12"/>
      <c r="AC534" s="12"/>
    </row>
    <row r="535">
      <c r="A535" s="13"/>
      <c r="C535" s="12"/>
      <c r="D535" s="12"/>
      <c r="E535" s="114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  <c r="AB535" s="12"/>
      <c r="AC535" s="12"/>
    </row>
    <row r="536">
      <c r="A536" s="13"/>
      <c r="C536" s="12"/>
      <c r="D536" s="12"/>
      <c r="E536" s="114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  <c r="AB536" s="12"/>
      <c r="AC536" s="12"/>
    </row>
    <row r="537">
      <c r="A537" s="13"/>
      <c r="C537" s="12"/>
      <c r="D537" s="12"/>
      <c r="E537" s="114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  <c r="AB537" s="12"/>
      <c r="AC537" s="12"/>
    </row>
    <row r="538">
      <c r="A538" s="13"/>
      <c r="C538" s="12"/>
      <c r="D538" s="12"/>
      <c r="E538" s="114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  <c r="AB538" s="12"/>
      <c r="AC538" s="12"/>
    </row>
    <row r="539">
      <c r="A539" s="13"/>
      <c r="C539" s="12"/>
      <c r="D539" s="12"/>
      <c r="E539" s="114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  <c r="AB539" s="12"/>
      <c r="AC539" s="12"/>
    </row>
    <row r="540">
      <c r="A540" s="13"/>
      <c r="C540" s="12"/>
      <c r="D540" s="12"/>
      <c r="E540" s="114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  <c r="AB540" s="12"/>
      <c r="AC540" s="12"/>
    </row>
    <row r="541">
      <c r="A541" s="13"/>
      <c r="C541" s="12"/>
      <c r="D541" s="12"/>
      <c r="E541" s="114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  <c r="AB541" s="12"/>
      <c r="AC541" s="12"/>
    </row>
    <row r="542">
      <c r="A542" s="13"/>
      <c r="C542" s="12"/>
      <c r="D542" s="12"/>
      <c r="E542" s="114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  <c r="AB542" s="12"/>
      <c r="AC542" s="12"/>
    </row>
    <row r="543">
      <c r="A543" s="13"/>
      <c r="C543" s="12"/>
      <c r="D543" s="12"/>
      <c r="E543" s="114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  <c r="AB543" s="12"/>
      <c r="AC543" s="12"/>
    </row>
    <row r="544">
      <c r="A544" s="13"/>
      <c r="C544" s="12"/>
      <c r="D544" s="12"/>
      <c r="E544" s="114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  <c r="AB544" s="12"/>
      <c r="AC544" s="12"/>
    </row>
    <row r="545">
      <c r="A545" s="13"/>
      <c r="C545" s="12"/>
      <c r="D545" s="12"/>
      <c r="E545" s="114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  <c r="AB545" s="12"/>
      <c r="AC545" s="12"/>
    </row>
    <row r="546">
      <c r="A546" s="13"/>
      <c r="C546" s="12"/>
      <c r="D546" s="12"/>
      <c r="E546" s="114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  <c r="AB546" s="12"/>
      <c r="AC546" s="12"/>
    </row>
    <row r="547">
      <c r="A547" s="13"/>
      <c r="C547" s="12"/>
      <c r="D547" s="12"/>
      <c r="E547" s="114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  <c r="AB547" s="12"/>
      <c r="AC547" s="12"/>
    </row>
    <row r="548">
      <c r="A548" s="13"/>
      <c r="C548" s="12"/>
      <c r="D548" s="12"/>
      <c r="E548" s="114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  <c r="AB548" s="12"/>
      <c r="AC548" s="12"/>
    </row>
    <row r="549">
      <c r="A549" s="13"/>
      <c r="C549" s="12"/>
      <c r="D549" s="12"/>
      <c r="E549" s="114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  <c r="AB549" s="12"/>
      <c r="AC549" s="12"/>
    </row>
    <row r="550">
      <c r="A550" s="13"/>
      <c r="C550" s="12"/>
      <c r="D550" s="12"/>
      <c r="E550" s="114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  <c r="AB550" s="12"/>
      <c r="AC550" s="12"/>
    </row>
    <row r="551">
      <c r="A551" s="13"/>
      <c r="C551" s="12"/>
      <c r="D551" s="12"/>
      <c r="E551" s="114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  <c r="AB551" s="12"/>
      <c r="AC551" s="12"/>
    </row>
    <row r="552">
      <c r="A552" s="13"/>
      <c r="C552" s="12"/>
      <c r="D552" s="12"/>
      <c r="E552" s="114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  <c r="AB552" s="12"/>
      <c r="AC552" s="12"/>
    </row>
    <row r="553">
      <c r="A553" s="13"/>
      <c r="C553" s="12"/>
      <c r="D553" s="12"/>
      <c r="E553" s="114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  <c r="AB553" s="12"/>
      <c r="AC553" s="12"/>
    </row>
    <row r="554">
      <c r="A554" s="13"/>
      <c r="C554" s="12"/>
      <c r="D554" s="12"/>
      <c r="E554" s="114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  <c r="AB554" s="12"/>
      <c r="AC554" s="12"/>
    </row>
    <row r="555">
      <c r="A555" s="13"/>
      <c r="C555" s="12"/>
      <c r="D555" s="12"/>
      <c r="E555" s="114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  <c r="AB555" s="12"/>
      <c r="AC555" s="12"/>
    </row>
    <row r="556">
      <c r="A556" s="13"/>
      <c r="C556" s="12"/>
      <c r="D556" s="12"/>
      <c r="E556" s="114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  <c r="AB556" s="12"/>
      <c r="AC556" s="12"/>
    </row>
    <row r="557">
      <c r="A557" s="13"/>
      <c r="C557" s="12"/>
      <c r="D557" s="12"/>
      <c r="E557" s="114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  <c r="AB557" s="12"/>
      <c r="AC557" s="12"/>
    </row>
    <row r="558">
      <c r="A558" s="13"/>
      <c r="C558" s="12"/>
      <c r="D558" s="12"/>
      <c r="E558" s="114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  <c r="AB558" s="12"/>
      <c r="AC558" s="12"/>
    </row>
    <row r="559">
      <c r="A559" s="13"/>
      <c r="C559" s="12"/>
      <c r="D559" s="12"/>
      <c r="E559" s="114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  <c r="AB559" s="12"/>
      <c r="AC559" s="12"/>
    </row>
    <row r="560">
      <c r="A560" s="13"/>
      <c r="C560" s="12"/>
      <c r="D560" s="12"/>
      <c r="E560" s="114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  <c r="AB560" s="12"/>
      <c r="AC560" s="12"/>
    </row>
    <row r="561">
      <c r="A561" s="13"/>
      <c r="C561" s="12"/>
      <c r="D561" s="12"/>
      <c r="E561" s="114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  <c r="AB561" s="12"/>
      <c r="AC561" s="12"/>
    </row>
    <row r="562">
      <c r="A562" s="13"/>
      <c r="C562" s="12"/>
      <c r="D562" s="12"/>
      <c r="E562" s="114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  <c r="AB562" s="12"/>
      <c r="AC562" s="12"/>
    </row>
    <row r="563">
      <c r="A563" s="13"/>
      <c r="C563" s="12"/>
      <c r="D563" s="12"/>
      <c r="E563" s="114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  <c r="AB563" s="12"/>
      <c r="AC563" s="12"/>
    </row>
    <row r="564">
      <c r="A564" s="13"/>
      <c r="C564" s="12"/>
      <c r="D564" s="12"/>
      <c r="E564" s="114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  <c r="AB564" s="12"/>
      <c r="AC564" s="12"/>
    </row>
    <row r="565">
      <c r="A565" s="13"/>
      <c r="C565" s="12"/>
      <c r="D565" s="12"/>
      <c r="E565" s="114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  <c r="AB565" s="12"/>
      <c r="AC565" s="12"/>
    </row>
    <row r="566">
      <c r="A566" s="13"/>
      <c r="C566" s="12"/>
      <c r="D566" s="12"/>
      <c r="E566" s="114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  <c r="AB566" s="12"/>
      <c r="AC566" s="12"/>
    </row>
    <row r="567">
      <c r="A567" s="13"/>
      <c r="C567" s="12"/>
      <c r="D567" s="12"/>
      <c r="E567" s="114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  <c r="AB567" s="12"/>
      <c r="AC567" s="12"/>
    </row>
    <row r="568">
      <c r="A568" s="13"/>
      <c r="C568" s="12"/>
      <c r="D568" s="12"/>
      <c r="E568" s="114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  <c r="AB568" s="12"/>
      <c r="AC568" s="12"/>
    </row>
    <row r="569">
      <c r="A569" s="13"/>
      <c r="C569" s="12"/>
      <c r="D569" s="12"/>
      <c r="E569" s="114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  <c r="AB569" s="12"/>
      <c r="AC569" s="12"/>
    </row>
    <row r="570">
      <c r="A570" s="13"/>
      <c r="C570" s="12"/>
      <c r="D570" s="12"/>
      <c r="E570" s="114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  <c r="AB570" s="12"/>
      <c r="AC570" s="12"/>
    </row>
    <row r="571">
      <c r="A571" s="13"/>
      <c r="C571" s="12"/>
      <c r="D571" s="12"/>
      <c r="E571" s="114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  <c r="AB571" s="12"/>
      <c r="AC571" s="12"/>
    </row>
    <row r="572">
      <c r="A572" s="13"/>
      <c r="C572" s="12"/>
      <c r="D572" s="12"/>
      <c r="E572" s="114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  <c r="AB572" s="12"/>
      <c r="AC572" s="12"/>
    </row>
    <row r="573">
      <c r="A573" s="13"/>
      <c r="C573" s="12"/>
      <c r="D573" s="12"/>
      <c r="E573" s="114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  <c r="AB573" s="12"/>
      <c r="AC573" s="12"/>
    </row>
    <row r="574">
      <c r="A574" s="13"/>
      <c r="C574" s="12"/>
      <c r="D574" s="12"/>
      <c r="E574" s="114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  <c r="AB574" s="12"/>
      <c r="AC574" s="12"/>
    </row>
    <row r="575">
      <c r="A575" s="13"/>
      <c r="C575" s="12"/>
      <c r="D575" s="12"/>
      <c r="E575" s="114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  <c r="AB575" s="12"/>
      <c r="AC575" s="12"/>
    </row>
    <row r="576">
      <c r="A576" s="13"/>
      <c r="C576" s="12"/>
      <c r="D576" s="12"/>
      <c r="E576" s="114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  <c r="AB576" s="12"/>
      <c r="AC576" s="12"/>
    </row>
    <row r="577">
      <c r="A577" s="13"/>
      <c r="C577" s="12"/>
      <c r="D577" s="12"/>
      <c r="E577" s="114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  <c r="AB577" s="12"/>
      <c r="AC577" s="12"/>
    </row>
    <row r="578">
      <c r="A578" s="13"/>
      <c r="C578" s="12"/>
      <c r="D578" s="12"/>
      <c r="E578" s="114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  <c r="AB578" s="12"/>
      <c r="AC578" s="12"/>
    </row>
    <row r="579">
      <c r="A579" s="13"/>
      <c r="C579" s="12"/>
      <c r="D579" s="12"/>
      <c r="E579" s="114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  <c r="AB579" s="12"/>
      <c r="AC579" s="12"/>
    </row>
    <row r="580">
      <c r="A580" s="13"/>
      <c r="C580" s="12"/>
      <c r="D580" s="12"/>
      <c r="E580" s="114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  <c r="AB580" s="12"/>
      <c r="AC580" s="12"/>
    </row>
    <row r="581">
      <c r="A581" s="13"/>
      <c r="C581" s="12"/>
      <c r="D581" s="12"/>
      <c r="E581" s="114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  <c r="AB581" s="12"/>
      <c r="AC581" s="12"/>
    </row>
    <row r="582">
      <c r="A582" s="17"/>
      <c r="B582" s="19"/>
      <c r="C582" s="31"/>
      <c r="D582" s="31"/>
      <c r="E582" s="165"/>
      <c r="F582" s="31"/>
      <c r="G582" s="31"/>
      <c r="H582" s="31"/>
      <c r="I582" s="31"/>
      <c r="J582" s="31"/>
      <c r="K582" s="31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12"/>
      <c r="Z582" s="12"/>
      <c r="AA582" s="12"/>
      <c r="AB582" s="12"/>
      <c r="AC582" s="12"/>
    </row>
    <row r="583">
      <c r="E583" s="83"/>
    </row>
    <row r="584">
      <c r="E584" s="83"/>
    </row>
    <row r="585">
      <c r="E585" s="83"/>
    </row>
    <row r="586">
      <c r="E586" s="83"/>
    </row>
    <row r="587">
      <c r="E587" s="83"/>
    </row>
    <row r="588">
      <c r="E588" s="83"/>
    </row>
    <row r="589">
      <c r="E589" s="83"/>
    </row>
    <row r="590">
      <c r="E590" s="83"/>
    </row>
    <row r="591">
      <c r="E591" s="83"/>
    </row>
    <row r="592">
      <c r="E592" s="83"/>
    </row>
    <row r="593">
      <c r="E593" s="83"/>
    </row>
    <row r="594">
      <c r="E594" s="83"/>
    </row>
    <row r="595">
      <c r="E595" s="83"/>
    </row>
    <row r="596">
      <c r="E596" s="83"/>
    </row>
    <row r="597">
      <c r="E597" s="83"/>
    </row>
    <row r="598">
      <c r="E598" s="83"/>
    </row>
    <row r="599">
      <c r="E599" s="83"/>
    </row>
    <row r="600">
      <c r="E600" s="83"/>
    </row>
    <row r="601">
      <c r="E601" s="83"/>
    </row>
    <row r="602">
      <c r="E602" s="83"/>
    </row>
    <row r="603">
      <c r="E603" s="83"/>
    </row>
    <row r="604">
      <c r="E604" s="83"/>
    </row>
    <row r="605">
      <c r="E605" s="83"/>
    </row>
    <row r="606">
      <c r="E606" s="83"/>
    </row>
    <row r="607">
      <c r="E607" s="83"/>
    </row>
    <row r="608">
      <c r="E608" s="83"/>
    </row>
    <row r="609">
      <c r="E609" s="83"/>
    </row>
    <row r="610">
      <c r="E610" s="83"/>
    </row>
    <row r="611">
      <c r="E611" s="83"/>
    </row>
    <row r="612">
      <c r="E612" s="83"/>
    </row>
    <row r="613">
      <c r="E613" s="83"/>
    </row>
    <row r="614">
      <c r="E614" s="83"/>
    </row>
    <row r="615">
      <c r="E615" s="83"/>
    </row>
    <row r="616">
      <c r="E616" s="83"/>
    </row>
    <row r="617">
      <c r="E617" s="83"/>
    </row>
    <row r="618">
      <c r="E618" s="83"/>
    </row>
    <row r="619">
      <c r="E619" s="83"/>
    </row>
    <row r="620">
      <c r="E620" s="83"/>
    </row>
    <row r="621">
      <c r="E621" s="83"/>
    </row>
    <row r="622">
      <c r="E622" s="83"/>
    </row>
    <row r="623">
      <c r="E623" s="83"/>
    </row>
    <row r="624">
      <c r="E624" s="83"/>
    </row>
    <row r="625">
      <c r="E625" s="83"/>
    </row>
    <row r="626">
      <c r="E626" s="83"/>
    </row>
    <row r="627">
      <c r="E627" s="83"/>
    </row>
    <row r="628">
      <c r="E628" s="83"/>
    </row>
    <row r="629">
      <c r="E629" s="83"/>
    </row>
    <row r="630">
      <c r="E630" s="83"/>
    </row>
    <row r="631">
      <c r="E631" s="83"/>
    </row>
    <row r="632">
      <c r="E632" s="83"/>
    </row>
    <row r="633">
      <c r="E633" s="83"/>
    </row>
    <row r="634">
      <c r="E634" s="83"/>
    </row>
    <row r="635">
      <c r="E635" s="83"/>
    </row>
    <row r="636">
      <c r="E636" s="83"/>
    </row>
    <row r="637">
      <c r="E637" s="83"/>
    </row>
    <row r="638">
      <c r="E638" s="83"/>
    </row>
    <row r="639">
      <c r="E639" s="83"/>
    </row>
    <row r="640">
      <c r="E640" s="83"/>
    </row>
    <row r="641">
      <c r="E641" s="83"/>
    </row>
    <row r="642">
      <c r="E642" s="83"/>
    </row>
  </sheetData>
  <conditionalFormatting sqref="E49 F49:G61 H49:AC49">
    <cfRule type="cellIs" dxfId="1" priority="1" operator="greaterThan">
      <formula>"90%"</formula>
    </cfRule>
  </conditionalFormatting>
  <conditionalFormatting sqref="E50:AC50">
    <cfRule type="cellIs" dxfId="1" priority="2" operator="greaterThan">
      <formula>"90%"</formula>
    </cfRule>
  </conditionalFormatting>
  <conditionalFormatting sqref="E51:AC51">
    <cfRule type="cellIs" dxfId="1" priority="3" operator="greaterThan">
      <formula>"88%"</formula>
    </cfRule>
  </conditionalFormatting>
  <conditionalFormatting sqref="E52:AC52">
    <cfRule type="cellIs" dxfId="1" priority="4" operator="greaterThan">
      <formula>"76%"</formula>
    </cfRule>
  </conditionalFormatting>
  <conditionalFormatting sqref="E53:AC53">
    <cfRule type="cellIs" dxfId="1" priority="5" operator="greaterThan">
      <formula>"77%"</formula>
    </cfRule>
  </conditionalFormatting>
  <hyperlinks>
    <hyperlink display="ILC1211" location="ILC1211!A1" ref="E5"/>
    <hyperlink display="ILC1404" location="ILC1404!A1" ref="H5"/>
    <hyperlink display="ILC2206" location="ILC2206!A1" ref="I5"/>
    <hyperlink display="ILC2203" location="ILC2203!A1" ref="J5"/>
    <hyperlink display="ILC2303" location="ILC2303!A1" ref="K5"/>
    <hyperlink display="ILC2307" location="ILC2307!A1" ref="L5"/>
    <hyperlink display="ILC2313" location="ILC2313!A1" ref="M5"/>
    <hyperlink display="ILC2412" location="ILC2412!A1" ref="N5"/>
    <hyperlink display="ILC2413" location="ILC2413!A1" ref="O5"/>
    <hyperlink display="ILC3104" location="ILC3104!A1" ref="P5"/>
    <hyperlink display="ILC3310" location="ILC3310!A1" ref="Q5"/>
    <hyperlink display="ILC3312" location="ILC3312!A1" ref="R5"/>
    <hyperlink display="ILC3413" location="null!A1" ref="S5"/>
    <hyperlink display="ILC3415" location="null!A1" ref="T5"/>
    <hyperlink display="ILC4406" location="ILC4406!A1" ref="V5"/>
    <hyperlink display="ILC4410" location="ILC4410!A1" ref="W5"/>
    <hyperlink display="JBV455" location="JBV455!A1" ref="X5"/>
    <hyperlink display="JBV462" location="JBV462!A1" ref="Y5"/>
    <hyperlink display="JBV464" location="JBV464!A1" ref="Z5"/>
    <hyperlink display="VDI208" location="VDI208!A1" ref="AB5"/>
    <hyperlink display="STO2206" location="STO2206!A1" ref="AC5"/>
  </hyperlink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1.29"/>
    <col customWidth="1" min="3" max="4" width="45.57"/>
    <col customWidth="1" min="5" max="5" width="18.43"/>
    <col customWidth="1" min="7" max="7" width="43.43"/>
    <col customWidth="1" min="8" max="8" width="37.14"/>
  </cols>
  <sheetData>
    <row r="1">
      <c r="B1" s="118"/>
      <c r="H1" s="119"/>
    </row>
    <row r="2">
      <c r="B2" s="120" t="s">
        <v>159</v>
      </c>
      <c r="C2" s="121"/>
      <c r="D2" s="122"/>
      <c r="F2" s="120" t="s">
        <v>159</v>
      </c>
      <c r="G2" s="121"/>
      <c r="H2" s="122"/>
    </row>
    <row r="3">
      <c r="B3" s="123"/>
      <c r="C3" s="124" t="s">
        <v>160</v>
      </c>
      <c r="D3" s="125" t="s">
        <v>161</v>
      </c>
      <c r="F3" s="123"/>
      <c r="G3" s="124" t="s">
        <v>160</v>
      </c>
      <c r="H3" s="126" t="s">
        <v>161</v>
      </c>
    </row>
    <row r="4">
      <c r="B4" s="127" t="s">
        <v>162</v>
      </c>
      <c r="C4" s="128">
        <v>224.68</v>
      </c>
      <c r="D4" s="129">
        <v>274.63</v>
      </c>
      <c r="F4" s="127" t="s">
        <v>162</v>
      </c>
      <c r="G4" s="128">
        <v>300.0</v>
      </c>
      <c r="H4" s="130">
        <v>360.0</v>
      </c>
    </row>
    <row r="5">
      <c r="B5" s="131">
        <v>43635.0</v>
      </c>
      <c r="C5" s="132">
        <v>223.02</v>
      </c>
      <c r="D5" s="129">
        <v>255.53</v>
      </c>
      <c r="F5" s="131">
        <v>43635.0</v>
      </c>
      <c r="G5" s="132">
        <v>290.0</v>
      </c>
      <c r="H5" s="130">
        <v>340.0</v>
      </c>
    </row>
    <row r="6">
      <c r="B6" s="131">
        <v>43665.0</v>
      </c>
      <c r="C6" s="132">
        <v>248.77</v>
      </c>
      <c r="D6" s="129">
        <v>291.36</v>
      </c>
      <c r="F6" s="131">
        <v>43665.0</v>
      </c>
      <c r="G6" s="132">
        <v>330.0</v>
      </c>
      <c r="H6" s="130">
        <v>380.0</v>
      </c>
    </row>
    <row r="7">
      <c r="B7" s="127" t="s">
        <v>163</v>
      </c>
      <c r="C7" s="132">
        <v>250.58</v>
      </c>
      <c r="D7" s="129">
        <v>298.35</v>
      </c>
      <c r="F7" s="127" t="s">
        <v>163</v>
      </c>
      <c r="G7" s="132">
        <v>330.0</v>
      </c>
      <c r="H7" s="130">
        <v>390.0</v>
      </c>
    </row>
    <row r="8">
      <c r="B8" s="127" t="s">
        <v>164</v>
      </c>
      <c r="C8" s="132">
        <v>263.31</v>
      </c>
      <c r="D8" s="129">
        <v>310.48</v>
      </c>
      <c r="F8" s="127" t="s">
        <v>164</v>
      </c>
      <c r="G8" s="132">
        <v>350.0</v>
      </c>
      <c r="H8" s="130">
        <v>410.0</v>
      </c>
    </row>
    <row r="9">
      <c r="B9" s="127" t="s">
        <v>165</v>
      </c>
      <c r="C9" s="132">
        <v>267.41</v>
      </c>
      <c r="D9" s="129">
        <v>370.74</v>
      </c>
      <c r="F9" s="127" t="s">
        <v>165</v>
      </c>
      <c r="G9" s="132">
        <v>350.0</v>
      </c>
      <c r="H9" s="130">
        <v>490.0</v>
      </c>
    </row>
    <row r="10">
      <c r="B10" s="131">
        <v>43788.0</v>
      </c>
      <c r="C10" s="132">
        <v>293.43</v>
      </c>
      <c r="D10" s="129">
        <v>414.29</v>
      </c>
      <c r="F10" s="131">
        <v>43788.0</v>
      </c>
      <c r="G10" s="132">
        <v>390.0</v>
      </c>
      <c r="H10" s="130">
        <v>540.0</v>
      </c>
    </row>
    <row r="11">
      <c r="B11" s="133" t="s">
        <v>166</v>
      </c>
      <c r="C11" s="134">
        <v>312.47</v>
      </c>
      <c r="D11" s="135">
        <v>425.1</v>
      </c>
      <c r="F11" s="133" t="s">
        <v>166</v>
      </c>
      <c r="G11" s="134">
        <v>410.0</v>
      </c>
      <c r="H11" s="136">
        <v>560.0</v>
      </c>
    </row>
    <row r="12">
      <c r="B12" s="137"/>
      <c r="C12" s="138"/>
      <c r="D12" s="138"/>
      <c r="H12" s="119"/>
    </row>
    <row r="13">
      <c r="B13" s="139" t="s">
        <v>167</v>
      </c>
      <c r="C13" s="140"/>
      <c r="D13" s="141">
        <v>30.0</v>
      </c>
      <c r="H13" s="119"/>
    </row>
    <row r="14">
      <c r="B14" s="137"/>
      <c r="C14" s="138"/>
      <c r="D14" s="138"/>
      <c r="H14" s="119"/>
    </row>
    <row r="15">
      <c r="B15" s="142" t="s">
        <v>168</v>
      </c>
      <c r="C15" s="121"/>
      <c r="D15" s="122"/>
      <c r="E15" s="4" t="s">
        <v>169</v>
      </c>
      <c r="F15" s="142" t="s">
        <v>168</v>
      </c>
      <c r="G15" s="121"/>
      <c r="H15" s="122"/>
    </row>
    <row r="16">
      <c r="B16" s="143" t="s">
        <v>170</v>
      </c>
      <c r="C16" s="144" t="s">
        <v>171</v>
      </c>
      <c r="D16" s="145">
        <v>350.0</v>
      </c>
      <c r="E16" s="82">
        <f>D16*1.5</f>
        <v>525</v>
      </c>
      <c r="F16" s="143" t="s">
        <v>170</v>
      </c>
      <c r="G16" s="144" t="s">
        <v>171</v>
      </c>
      <c r="H16" s="146">
        <v>450.0</v>
      </c>
    </row>
    <row r="17">
      <c r="B17" s="127" t="s">
        <v>172</v>
      </c>
      <c r="C17" s="147" t="s">
        <v>173</v>
      </c>
      <c r="D17" s="148">
        <v>600.0</v>
      </c>
      <c r="E17" s="82">
        <v>750.0</v>
      </c>
      <c r="F17" s="127" t="s">
        <v>172</v>
      </c>
      <c r="G17" s="147" t="s">
        <v>173</v>
      </c>
      <c r="H17" s="146">
        <f>D17*1.3</f>
        <v>780</v>
      </c>
    </row>
    <row r="18">
      <c r="B18" s="149">
        <v>43628.0</v>
      </c>
      <c r="C18" s="147" t="s">
        <v>174</v>
      </c>
      <c r="D18" s="129">
        <v>350.0</v>
      </c>
      <c r="E18" s="82">
        <f>D18*1.5</f>
        <v>525</v>
      </c>
      <c r="F18" s="149">
        <v>43628.0</v>
      </c>
      <c r="G18" s="147" t="s">
        <v>174</v>
      </c>
      <c r="H18" s="146">
        <v>450.0</v>
      </c>
    </row>
    <row r="19">
      <c r="B19" s="149">
        <v>43636.0</v>
      </c>
      <c r="C19" s="147" t="s">
        <v>175</v>
      </c>
      <c r="D19" s="129">
        <v>650.0</v>
      </c>
      <c r="E19" s="82">
        <v>850.0</v>
      </c>
      <c r="F19" s="149">
        <v>43636.0</v>
      </c>
      <c r="G19" s="147" t="s">
        <v>175</v>
      </c>
      <c r="H19" s="146">
        <v>890.0</v>
      </c>
    </row>
    <row r="20">
      <c r="B20" s="150">
        <v>43655.0</v>
      </c>
      <c r="C20" s="147" t="s">
        <v>176</v>
      </c>
      <c r="D20" s="129" t="s">
        <v>177</v>
      </c>
      <c r="E20" s="82"/>
      <c r="F20" s="150">
        <v>43655.0</v>
      </c>
      <c r="G20" s="147" t="s">
        <v>176</v>
      </c>
      <c r="H20" s="130" t="s">
        <v>177</v>
      </c>
    </row>
    <row r="21">
      <c r="B21" s="127" t="s">
        <v>178</v>
      </c>
      <c r="C21" s="147" t="s">
        <v>179</v>
      </c>
      <c r="D21" s="129" t="s">
        <v>177</v>
      </c>
      <c r="E21" s="82"/>
      <c r="F21" s="127" t="s">
        <v>178</v>
      </c>
      <c r="G21" s="147" t="s">
        <v>179</v>
      </c>
      <c r="H21" s="130" t="s">
        <v>177</v>
      </c>
    </row>
    <row r="22">
      <c r="B22" s="127" t="s">
        <v>180</v>
      </c>
      <c r="C22" s="147" t="s">
        <v>181</v>
      </c>
      <c r="D22" s="129">
        <v>450.0</v>
      </c>
      <c r="E22" s="82">
        <f>D22*1.5</f>
        <v>675</v>
      </c>
      <c r="F22" s="127" t="s">
        <v>180</v>
      </c>
      <c r="G22" s="147" t="s">
        <v>181</v>
      </c>
      <c r="H22" s="146">
        <v>560.0</v>
      </c>
    </row>
    <row r="23">
      <c r="B23" s="127" t="s">
        <v>182</v>
      </c>
      <c r="C23" s="147" t="s">
        <v>183</v>
      </c>
      <c r="D23" s="129" t="s">
        <v>177</v>
      </c>
      <c r="E23" s="82"/>
      <c r="F23" s="127" t="s">
        <v>182</v>
      </c>
      <c r="G23" s="147" t="s">
        <v>183</v>
      </c>
      <c r="H23" s="130" t="s">
        <v>177</v>
      </c>
    </row>
    <row r="24">
      <c r="B24" s="127" t="s">
        <v>184</v>
      </c>
      <c r="C24" s="147" t="s">
        <v>185</v>
      </c>
      <c r="D24" s="129">
        <v>450.0</v>
      </c>
      <c r="E24" s="82">
        <f t="shared" ref="E24:E28" si="1">D24*1.5</f>
        <v>675</v>
      </c>
      <c r="F24" s="127" t="s">
        <v>184</v>
      </c>
      <c r="G24" s="147" t="s">
        <v>185</v>
      </c>
      <c r="H24" s="146">
        <v>560.0</v>
      </c>
    </row>
    <row r="25">
      <c r="B25" s="127" t="s">
        <v>186</v>
      </c>
      <c r="C25" s="147" t="s">
        <v>187</v>
      </c>
      <c r="D25" s="129">
        <v>450.0</v>
      </c>
      <c r="E25" s="82">
        <f t="shared" si="1"/>
        <v>675</v>
      </c>
      <c r="F25" s="127" t="s">
        <v>186</v>
      </c>
      <c r="G25" s="147" t="s">
        <v>187</v>
      </c>
      <c r="H25" s="146">
        <v>560.0</v>
      </c>
    </row>
    <row r="26">
      <c r="B26" s="127" t="s">
        <v>188</v>
      </c>
      <c r="C26" s="147" t="s">
        <v>189</v>
      </c>
      <c r="D26" s="129">
        <v>450.0</v>
      </c>
      <c r="E26" s="82">
        <f t="shared" si="1"/>
        <v>675</v>
      </c>
      <c r="F26" s="127" t="s">
        <v>188</v>
      </c>
      <c r="G26" s="147" t="s">
        <v>189</v>
      </c>
      <c r="H26" s="146">
        <v>560.0</v>
      </c>
    </row>
    <row r="27">
      <c r="B27" s="127" t="s">
        <v>190</v>
      </c>
      <c r="C27" s="147" t="s">
        <v>191</v>
      </c>
      <c r="D27" s="129">
        <v>450.0</v>
      </c>
      <c r="E27" s="82">
        <f t="shared" si="1"/>
        <v>675</v>
      </c>
      <c r="F27" s="127" t="s">
        <v>190</v>
      </c>
      <c r="G27" s="147" t="s">
        <v>191</v>
      </c>
      <c r="H27" s="146">
        <v>560.0</v>
      </c>
    </row>
    <row r="28">
      <c r="B28" s="150">
        <v>43771.0</v>
      </c>
      <c r="C28" s="147" t="s">
        <v>192</v>
      </c>
      <c r="D28" s="129">
        <v>450.0</v>
      </c>
      <c r="E28" s="82">
        <f t="shared" si="1"/>
        <v>675</v>
      </c>
      <c r="F28" s="150">
        <v>43771.0</v>
      </c>
      <c r="G28" s="147" t="s">
        <v>192</v>
      </c>
      <c r="H28" s="146">
        <v>560.0</v>
      </c>
    </row>
    <row r="29">
      <c r="B29" s="149">
        <v>43784.0</v>
      </c>
      <c r="C29" s="147" t="s">
        <v>193</v>
      </c>
      <c r="D29" s="129">
        <v>600.0</v>
      </c>
      <c r="E29" s="82">
        <v>850.0</v>
      </c>
      <c r="F29" s="149">
        <v>43784.0</v>
      </c>
      <c r="G29" s="147" t="s">
        <v>193</v>
      </c>
      <c r="H29" s="146">
        <f>D29*1.3</f>
        <v>780</v>
      </c>
    </row>
    <row r="30">
      <c r="B30" s="149">
        <v>43789.0</v>
      </c>
      <c r="C30" s="147" t="s">
        <v>194</v>
      </c>
      <c r="D30" s="129">
        <v>450.0</v>
      </c>
      <c r="E30" s="82">
        <f t="shared" ref="E30:E31" si="2">D30*1.5</f>
        <v>675</v>
      </c>
      <c r="F30" s="149">
        <v>43789.0</v>
      </c>
      <c r="G30" s="147" t="s">
        <v>194</v>
      </c>
      <c r="H30" s="146">
        <v>560.0</v>
      </c>
    </row>
    <row r="31">
      <c r="B31" s="127" t="s">
        <v>195</v>
      </c>
      <c r="C31" s="147" t="s">
        <v>196</v>
      </c>
      <c r="D31" s="129">
        <v>700.0</v>
      </c>
      <c r="E31" s="82">
        <f t="shared" si="2"/>
        <v>1050</v>
      </c>
      <c r="F31" s="127" t="s">
        <v>195</v>
      </c>
      <c r="G31" s="147" t="s">
        <v>196</v>
      </c>
      <c r="H31" s="146">
        <f t="shared" ref="H31:H32" si="3">D31*1.3</f>
        <v>910</v>
      </c>
    </row>
    <row r="32">
      <c r="B32" s="151">
        <v>43831.0</v>
      </c>
      <c r="C32" s="152" t="s">
        <v>197</v>
      </c>
      <c r="D32" s="135">
        <v>1700.0</v>
      </c>
      <c r="E32" s="82">
        <v>2300.0</v>
      </c>
      <c r="F32" s="151">
        <v>43831.0</v>
      </c>
      <c r="G32" s="152" t="s">
        <v>197</v>
      </c>
      <c r="H32" s="146">
        <f t="shared" si="3"/>
        <v>2210</v>
      </c>
    </row>
    <row r="33">
      <c r="B33" s="118"/>
      <c r="H33" s="119"/>
    </row>
    <row r="34">
      <c r="B34" s="118"/>
      <c r="H34" s="119"/>
    </row>
    <row r="35">
      <c r="B35" s="118"/>
      <c r="H35" s="119"/>
    </row>
    <row r="36">
      <c r="B36" s="118"/>
      <c r="H36" s="119"/>
    </row>
    <row r="37">
      <c r="B37" s="118"/>
      <c r="H37" s="119"/>
    </row>
    <row r="38">
      <c r="B38" s="118"/>
      <c r="H38" s="119"/>
    </row>
    <row r="39">
      <c r="B39" s="118"/>
      <c r="H39" s="119"/>
    </row>
    <row r="40">
      <c r="B40" s="118"/>
      <c r="H40" s="119"/>
    </row>
    <row r="41">
      <c r="B41" s="118"/>
      <c r="H41" s="119"/>
    </row>
    <row r="42">
      <c r="B42" s="118"/>
      <c r="H42" s="119"/>
    </row>
    <row r="43">
      <c r="B43" s="118"/>
      <c r="H43" s="119"/>
    </row>
    <row r="44">
      <c r="B44" s="118"/>
      <c r="H44" s="119"/>
    </row>
    <row r="45">
      <c r="B45" s="118"/>
      <c r="H45" s="119"/>
    </row>
    <row r="46">
      <c r="B46" s="118"/>
      <c r="H46" s="119"/>
    </row>
    <row r="47">
      <c r="B47" s="118"/>
      <c r="H47" s="119"/>
    </row>
    <row r="48">
      <c r="B48" s="118"/>
      <c r="H48" s="119"/>
    </row>
    <row r="49">
      <c r="B49" s="118"/>
      <c r="H49" s="119"/>
    </row>
    <row r="50">
      <c r="B50" s="118"/>
      <c r="H50" s="119"/>
    </row>
    <row r="51">
      <c r="B51" s="118"/>
      <c r="H51" s="119"/>
    </row>
    <row r="52">
      <c r="B52" s="118"/>
      <c r="H52" s="119"/>
    </row>
    <row r="53">
      <c r="B53" s="118"/>
      <c r="H53" s="119"/>
    </row>
    <row r="54">
      <c r="B54" s="118"/>
      <c r="H54" s="119"/>
    </row>
    <row r="55">
      <c r="B55" s="118"/>
      <c r="H55" s="119"/>
    </row>
    <row r="56">
      <c r="B56" s="118"/>
      <c r="H56" s="119"/>
    </row>
    <row r="57">
      <c r="B57" s="118"/>
      <c r="H57" s="119"/>
    </row>
    <row r="58">
      <c r="B58" s="118"/>
      <c r="H58" s="119"/>
    </row>
    <row r="59">
      <c r="B59" s="118"/>
      <c r="H59" s="119"/>
    </row>
    <row r="60">
      <c r="B60" s="118"/>
      <c r="H60" s="119"/>
    </row>
    <row r="61">
      <c r="B61" s="118"/>
      <c r="H61" s="119"/>
    </row>
    <row r="62">
      <c r="B62" s="118"/>
      <c r="H62" s="119"/>
    </row>
    <row r="63">
      <c r="B63" s="118"/>
      <c r="H63" s="119"/>
    </row>
    <row r="64">
      <c r="B64" s="118"/>
      <c r="H64" s="119"/>
    </row>
    <row r="65">
      <c r="B65" s="118"/>
      <c r="H65" s="119"/>
    </row>
    <row r="66">
      <c r="B66" s="118"/>
      <c r="H66" s="119"/>
    </row>
    <row r="67">
      <c r="B67" s="118"/>
      <c r="H67" s="119"/>
    </row>
    <row r="68">
      <c r="B68" s="118"/>
      <c r="H68" s="119"/>
    </row>
    <row r="69">
      <c r="B69" s="118"/>
      <c r="H69" s="119"/>
    </row>
    <row r="70">
      <c r="B70" s="118"/>
      <c r="H70" s="119"/>
    </row>
    <row r="71">
      <c r="B71" s="118"/>
      <c r="H71" s="119"/>
    </row>
    <row r="72">
      <c r="B72" s="118"/>
      <c r="H72" s="119"/>
    </row>
    <row r="73">
      <c r="B73" s="118"/>
      <c r="H73" s="119"/>
    </row>
    <row r="74">
      <c r="B74" s="118"/>
      <c r="H74" s="119"/>
    </row>
    <row r="75">
      <c r="B75" s="118"/>
      <c r="H75" s="119"/>
    </row>
    <row r="76">
      <c r="B76" s="118"/>
      <c r="H76" s="119"/>
    </row>
    <row r="77">
      <c r="B77" s="118"/>
      <c r="H77" s="119"/>
    </row>
    <row r="78">
      <c r="B78" s="118"/>
      <c r="H78" s="119"/>
    </row>
    <row r="79">
      <c r="B79" s="118"/>
      <c r="H79" s="119"/>
    </row>
    <row r="80">
      <c r="B80" s="118"/>
      <c r="H80" s="119"/>
    </row>
    <row r="81">
      <c r="B81" s="118"/>
      <c r="H81" s="119"/>
    </row>
    <row r="82">
      <c r="B82" s="118"/>
      <c r="H82" s="119"/>
    </row>
    <row r="83">
      <c r="B83" s="118"/>
      <c r="H83" s="119"/>
    </row>
    <row r="84">
      <c r="B84" s="118"/>
      <c r="H84" s="119"/>
    </row>
    <row r="85">
      <c r="B85" s="118"/>
      <c r="H85" s="119"/>
    </row>
    <row r="86">
      <c r="B86" s="118"/>
      <c r="H86" s="119"/>
    </row>
    <row r="87">
      <c r="B87" s="118"/>
      <c r="H87" s="119"/>
    </row>
    <row r="88">
      <c r="B88" s="118"/>
      <c r="H88" s="119"/>
    </row>
    <row r="89">
      <c r="B89" s="118"/>
      <c r="H89" s="119"/>
    </row>
    <row r="90">
      <c r="B90" s="118"/>
      <c r="H90" s="119"/>
    </row>
    <row r="91">
      <c r="B91" s="118"/>
      <c r="H91" s="119"/>
    </row>
    <row r="92">
      <c r="B92" s="118"/>
      <c r="H92" s="119"/>
    </row>
    <row r="93">
      <c r="B93" s="118"/>
      <c r="H93" s="119"/>
    </row>
    <row r="94">
      <c r="B94" s="118"/>
      <c r="H94" s="119"/>
    </row>
    <row r="95">
      <c r="B95" s="118"/>
      <c r="H95" s="119"/>
    </row>
    <row r="96">
      <c r="B96" s="118"/>
      <c r="H96" s="119"/>
    </row>
    <row r="97">
      <c r="B97" s="118"/>
      <c r="H97" s="119"/>
    </row>
    <row r="98">
      <c r="B98" s="118"/>
      <c r="H98" s="119"/>
    </row>
    <row r="99">
      <c r="B99" s="118"/>
      <c r="H99" s="119"/>
    </row>
    <row r="100">
      <c r="B100" s="118"/>
      <c r="H100" s="119"/>
    </row>
    <row r="101">
      <c r="B101" s="118"/>
      <c r="H101" s="119"/>
    </row>
    <row r="102">
      <c r="B102" s="118"/>
      <c r="H102" s="119"/>
    </row>
    <row r="103">
      <c r="B103" s="118"/>
      <c r="H103" s="119"/>
    </row>
    <row r="104">
      <c r="B104" s="118"/>
      <c r="H104" s="119"/>
    </row>
    <row r="105">
      <c r="B105" s="118"/>
      <c r="H105" s="119"/>
    </row>
    <row r="106">
      <c r="B106" s="118"/>
      <c r="H106" s="119"/>
    </row>
    <row r="107">
      <c r="B107" s="118"/>
      <c r="H107" s="119"/>
    </row>
    <row r="108">
      <c r="B108" s="118"/>
      <c r="H108" s="119"/>
    </row>
    <row r="109">
      <c r="B109" s="118"/>
      <c r="H109" s="119"/>
    </row>
    <row r="110">
      <c r="B110" s="118"/>
      <c r="H110" s="119"/>
    </row>
    <row r="111">
      <c r="B111" s="118"/>
      <c r="H111" s="119"/>
    </row>
    <row r="112">
      <c r="B112" s="118"/>
      <c r="H112" s="119"/>
    </row>
    <row r="113">
      <c r="B113" s="118"/>
      <c r="H113" s="119"/>
    </row>
    <row r="114">
      <c r="B114" s="118"/>
      <c r="H114" s="119"/>
    </row>
    <row r="115">
      <c r="B115" s="118"/>
      <c r="H115" s="119"/>
    </row>
    <row r="116">
      <c r="B116" s="118"/>
      <c r="H116" s="119"/>
    </row>
    <row r="117">
      <c r="B117" s="118"/>
      <c r="H117" s="119"/>
    </row>
    <row r="118">
      <c r="B118" s="118"/>
      <c r="H118" s="119"/>
    </row>
    <row r="119">
      <c r="B119" s="118"/>
      <c r="H119" s="119"/>
    </row>
    <row r="120">
      <c r="B120" s="118"/>
      <c r="H120" s="119"/>
    </row>
    <row r="121">
      <c r="B121" s="118"/>
      <c r="H121" s="119"/>
    </row>
    <row r="122">
      <c r="B122" s="118"/>
      <c r="H122" s="119"/>
    </row>
    <row r="123">
      <c r="B123" s="118"/>
      <c r="H123" s="119"/>
    </row>
    <row r="124">
      <c r="B124" s="118"/>
      <c r="H124" s="119"/>
    </row>
    <row r="125">
      <c r="B125" s="118"/>
      <c r="H125" s="119"/>
    </row>
    <row r="126">
      <c r="B126" s="118"/>
      <c r="H126" s="119"/>
    </row>
    <row r="127">
      <c r="B127" s="118"/>
      <c r="H127" s="119"/>
    </row>
    <row r="128">
      <c r="B128" s="118"/>
      <c r="H128" s="119"/>
    </row>
    <row r="129">
      <c r="B129" s="118"/>
      <c r="H129" s="119"/>
    </row>
    <row r="130">
      <c r="B130" s="118"/>
      <c r="H130" s="119"/>
    </row>
    <row r="131">
      <c r="B131" s="118"/>
      <c r="H131" s="119"/>
    </row>
    <row r="132">
      <c r="B132" s="118"/>
      <c r="H132" s="119"/>
    </row>
    <row r="133">
      <c r="B133" s="118"/>
      <c r="H133" s="119"/>
    </row>
    <row r="134">
      <c r="B134" s="118"/>
      <c r="H134" s="119"/>
    </row>
    <row r="135">
      <c r="B135" s="118"/>
      <c r="H135" s="119"/>
    </row>
    <row r="136">
      <c r="B136" s="118"/>
      <c r="H136" s="119"/>
    </row>
    <row r="137">
      <c r="B137" s="118"/>
      <c r="H137" s="119"/>
    </row>
    <row r="138">
      <c r="B138" s="118"/>
      <c r="H138" s="119"/>
    </row>
    <row r="139">
      <c r="B139" s="118"/>
      <c r="H139" s="119"/>
    </row>
    <row r="140">
      <c r="B140" s="118"/>
      <c r="H140" s="119"/>
    </row>
    <row r="141">
      <c r="B141" s="118"/>
      <c r="H141" s="119"/>
    </row>
    <row r="142">
      <c r="B142" s="118"/>
      <c r="H142" s="119"/>
    </row>
    <row r="143">
      <c r="B143" s="118"/>
      <c r="H143" s="119"/>
    </row>
    <row r="144">
      <c r="B144" s="118"/>
      <c r="H144" s="119"/>
    </row>
    <row r="145">
      <c r="B145" s="118"/>
      <c r="H145" s="119"/>
    </row>
    <row r="146">
      <c r="B146" s="118"/>
      <c r="H146" s="119"/>
    </row>
    <row r="147">
      <c r="B147" s="118"/>
      <c r="H147" s="119"/>
    </row>
    <row r="148">
      <c r="B148" s="118"/>
      <c r="H148" s="119"/>
    </row>
    <row r="149">
      <c r="B149" s="118"/>
      <c r="H149" s="119"/>
    </row>
    <row r="150">
      <c r="B150" s="118"/>
      <c r="H150" s="119"/>
    </row>
    <row r="151">
      <c r="B151" s="118"/>
      <c r="H151" s="119"/>
    </row>
    <row r="152">
      <c r="B152" s="118"/>
      <c r="H152" s="119"/>
    </row>
    <row r="153">
      <c r="B153" s="118"/>
      <c r="H153" s="119"/>
    </row>
    <row r="154">
      <c r="B154" s="118"/>
      <c r="H154" s="119"/>
    </row>
    <row r="155">
      <c r="B155" s="118"/>
      <c r="H155" s="119"/>
    </row>
    <row r="156">
      <c r="B156" s="118"/>
      <c r="H156" s="119"/>
    </row>
    <row r="157">
      <c r="B157" s="118"/>
      <c r="H157" s="119"/>
    </row>
    <row r="158">
      <c r="B158" s="118"/>
      <c r="H158" s="119"/>
    </row>
    <row r="159">
      <c r="B159" s="118"/>
      <c r="H159" s="119"/>
    </row>
    <row r="160">
      <c r="B160" s="118"/>
      <c r="H160" s="119"/>
    </row>
    <row r="161">
      <c r="B161" s="118"/>
      <c r="H161" s="119"/>
    </row>
    <row r="162">
      <c r="B162" s="118"/>
      <c r="H162" s="119"/>
    </row>
    <row r="163">
      <c r="B163" s="118"/>
      <c r="H163" s="119"/>
    </row>
    <row r="164">
      <c r="B164" s="118"/>
      <c r="H164" s="119"/>
    </row>
    <row r="165">
      <c r="B165" s="118"/>
      <c r="H165" s="119"/>
    </row>
    <row r="166">
      <c r="B166" s="118"/>
      <c r="H166" s="119"/>
    </row>
    <row r="167">
      <c r="B167" s="118"/>
      <c r="H167" s="119"/>
    </row>
    <row r="168">
      <c r="B168" s="118"/>
      <c r="H168" s="119"/>
    </row>
    <row r="169">
      <c r="B169" s="118"/>
      <c r="H169" s="119"/>
    </row>
    <row r="170">
      <c r="B170" s="118"/>
      <c r="H170" s="119"/>
    </row>
    <row r="171">
      <c r="B171" s="118"/>
      <c r="H171" s="119"/>
    </row>
    <row r="172">
      <c r="B172" s="118"/>
      <c r="H172" s="119"/>
    </row>
    <row r="173">
      <c r="B173" s="118"/>
      <c r="H173" s="119"/>
    </row>
    <row r="174">
      <c r="B174" s="118"/>
      <c r="H174" s="119"/>
    </row>
    <row r="175">
      <c r="B175" s="118"/>
      <c r="H175" s="119"/>
    </row>
    <row r="176">
      <c r="B176" s="118"/>
      <c r="H176" s="119"/>
    </row>
    <row r="177">
      <c r="B177" s="118"/>
      <c r="H177" s="119"/>
    </row>
    <row r="178">
      <c r="B178" s="118"/>
      <c r="H178" s="119"/>
    </row>
    <row r="179">
      <c r="B179" s="118"/>
      <c r="H179" s="119"/>
    </row>
    <row r="180">
      <c r="B180" s="118"/>
      <c r="H180" s="119"/>
    </row>
    <row r="181">
      <c r="B181" s="118"/>
      <c r="H181" s="119"/>
    </row>
    <row r="182">
      <c r="B182" s="118"/>
      <c r="H182" s="119"/>
    </row>
    <row r="183">
      <c r="B183" s="118"/>
      <c r="H183" s="119"/>
    </row>
    <row r="184">
      <c r="B184" s="118"/>
      <c r="H184" s="119"/>
    </row>
    <row r="185">
      <c r="B185" s="118"/>
      <c r="H185" s="119"/>
    </row>
    <row r="186">
      <c r="B186" s="118"/>
      <c r="H186" s="119"/>
    </row>
    <row r="187">
      <c r="B187" s="118"/>
      <c r="H187" s="119"/>
    </row>
    <row r="188">
      <c r="B188" s="118"/>
      <c r="H188" s="119"/>
    </row>
    <row r="189">
      <c r="B189" s="118"/>
      <c r="H189" s="119"/>
    </row>
    <row r="190">
      <c r="B190" s="118"/>
      <c r="H190" s="119"/>
    </row>
    <row r="191">
      <c r="B191" s="118"/>
      <c r="H191" s="119"/>
    </row>
    <row r="192">
      <c r="B192" s="118"/>
      <c r="H192" s="119"/>
    </row>
    <row r="193">
      <c r="B193" s="118"/>
      <c r="H193" s="119"/>
    </row>
    <row r="194">
      <c r="B194" s="118"/>
      <c r="H194" s="119"/>
    </row>
    <row r="195">
      <c r="B195" s="118"/>
      <c r="H195" s="119"/>
    </row>
    <row r="196">
      <c r="B196" s="118"/>
      <c r="H196" s="119"/>
    </row>
    <row r="197">
      <c r="B197" s="118"/>
      <c r="H197" s="119"/>
    </row>
    <row r="198">
      <c r="B198" s="118"/>
      <c r="H198" s="119"/>
    </row>
    <row r="199">
      <c r="B199" s="118"/>
      <c r="H199" s="119"/>
    </row>
    <row r="200">
      <c r="B200" s="118"/>
      <c r="H200" s="119"/>
    </row>
    <row r="201">
      <c r="B201" s="118"/>
      <c r="H201" s="119"/>
    </row>
    <row r="202">
      <c r="B202" s="118"/>
      <c r="H202" s="119"/>
    </row>
    <row r="203">
      <c r="B203" s="118"/>
      <c r="H203" s="119"/>
    </row>
    <row r="204">
      <c r="B204" s="118"/>
      <c r="H204" s="119"/>
    </row>
    <row r="205">
      <c r="B205" s="118"/>
      <c r="H205" s="119"/>
    </row>
    <row r="206">
      <c r="B206" s="118"/>
      <c r="H206" s="119"/>
    </row>
    <row r="207">
      <c r="B207" s="118"/>
      <c r="H207" s="119"/>
    </row>
    <row r="208">
      <c r="B208" s="118"/>
      <c r="H208" s="119"/>
    </row>
    <row r="209">
      <c r="B209" s="118"/>
      <c r="H209" s="119"/>
    </row>
    <row r="210">
      <c r="B210" s="118"/>
      <c r="H210" s="119"/>
    </row>
    <row r="211">
      <c r="B211" s="118"/>
      <c r="H211" s="119"/>
    </row>
    <row r="212">
      <c r="B212" s="118"/>
      <c r="H212" s="119"/>
    </row>
    <row r="213">
      <c r="B213" s="118"/>
      <c r="H213" s="119"/>
    </row>
    <row r="214">
      <c r="B214" s="118"/>
      <c r="H214" s="119"/>
    </row>
    <row r="215">
      <c r="B215" s="118"/>
      <c r="H215" s="119"/>
    </row>
    <row r="216">
      <c r="B216" s="118"/>
      <c r="H216" s="119"/>
    </row>
    <row r="217">
      <c r="B217" s="118"/>
      <c r="H217" s="119"/>
    </row>
    <row r="218">
      <c r="B218" s="118"/>
      <c r="H218" s="119"/>
    </row>
    <row r="219">
      <c r="B219" s="118"/>
      <c r="H219" s="119"/>
    </row>
    <row r="220">
      <c r="B220" s="118"/>
      <c r="H220" s="119"/>
    </row>
    <row r="221">
      <c r="B221" s="118"/>
      <c r="H221" s="119"/>
    </row>
    <row r="222">
      <c r="B222" s="118"/>
      <c r="H222" s="119"/>
    </row>
    <row r="223">
      <c r="B223" s="118"/>
      <c r="H223" s="119"/>
    </row>
    <row r="224">
      <c r="B224" s="118"/>
      <c r="H224" s="119"/>
    </row>
    <row r="225">
      <c r="B225" s="118"/>
      <c r="H225" s="119"/>
    </row>
    <row r="226">
      <c r="B226" s="118"/>
      <c r="H226" s="119"/>
    </row>
    <row r="227">
      <c r="B227" s="118"/>
      <c r="H227" s="119"/>
    </row>
    <row r="228">
      <c r="B228" s="118"/>
      <c r="H228" s="119"/>
    </row>
    <row r="229">
      <c r="B229" s="118"/>
      <c r="H229" s="119"/>
    </row>
    <row r="230">
      <c r="B230" s="118"/>
      <c r="H230" s="119"/>
    </row>
    <row r="231">
      <c r="B231" s="118"/>
      <c r="H231" s="119"/>
    </row>
    <row r="232">
      <c r="B232" s="118"/>
      <c r="H232" s="119"/>
    </row>
    <row r="233">
      <c r="B233" s="118"/>
      <c r="H233" s="119"/>
    </row>
    <row r="234">
      <c r="B234" s="118"/>
      <c r="H234" s="119"/>
    </row>
    <row r="235">
      <c r="B235" s="118"/>
      <c r="H235" s="119"/>
    </row>
    <row r="236">
      <c r="B236" s="118"/>
      <c r="H236" s="119"/>
    </row>
    <row r="237">
      <c r="B237" s="118"/>
      <c r="H237" s="119"/>
    </row>
    <row r="238">
      <c r="B238" s="118"/>
      <c r="H238" s="119"/>
    </row>
    <row r="239">
      <c r="B239" s="118"/>
      <c r="H239" s="119"/>
    </row>
    <row r="240">
      <c r="B240" s="118"/>
      <c r="H240" s="119"/>
    </row>
    <row r="241">
      <c r="B241" s="118"/>
      <c r="H241" s="119"/>
    </row>
    <row r="242">
      <c r="B242" s="118"/>
      <c r="H242" s="119"/>
    </row>
    <row r="243">
      <c r="B243" s="118"/>
      <c r="H243" s="119"/>
    </row>
    <row r="244">
      <c r="B244" s="118"/>
      <c r="H244" s="119"/>
    </row>
    <row r="245">
      <c r="B245" s="118"/>
      <c r="H245" s="119"/>
    </row>
    <row r="246">
      <c r="B246" s="118"/>
      <c r="H246" s="119"/>
    </row>
    <row r="247">
      <c r="B247" s="118"/>
      <c r="H247" s="119"/>
    </row>
    <row r="248">
      <c r="B248" s="118"/>
      <c r="H248" s="119"/>
    </row>
    <row r="249">
      <c r="B249" s="118"/>
      <c r="H249" s="119"/>
    </row>
    <row r="250">
      <c r="B250" s="118"/>
      <c r="H250" s="119"/>
    </row>
    <row r="251">
      <c r="B251" s="118"/>
      <c r="H251" s="119"/>
    </row>
    <row r="252">
      <c r="B252" s="118"/>
      <c r="H252" s="119"/>
    </row>
    <row r="253">
      <c r="B253" s="118"/>
      <c r="H253" s="119"/>
    </row>
    <row r="254">
      <c r="B254" s="118"/>
      <c r="H254" s="119"/>
    </row>
    <row r="255">
      <c r="B255" s="118"/>
      <c r="H255" s="119"/>
    </row>
    <row r="256">
      <c r="B256" s="118"/>
      <c r="H256" s="119"/>
    </row>
    <row r="257">
      <c r="B257" s="118"/>
      <c r="H257" s="119"/>
    </row>
    <row r="258">
      <c r="B258" s="118"/>
      <c r="H258" s="119"/>
    </row>
    <row r="259">
      <c r="B259" s="118"/>
      <c r="H259" s="119"/>
    </row>
    <row r="260">
      <c r="B260" s="118"/>
      <c r="H260" s="119"/>
    </row>
    <row r="261">
      <c r="B261" s="118"/>
      <c r="H261" s="119"/>
    </row>
    <row r="262">
      <c r="B262" s="118"/>
      <c r="H262" s="119"/>
    </row>
    <row r="263">
      <c r="B263" s="118"/>
      <c r="H263" s="119"/>
    </row>
    <row r="264">
      <c r="B264" s="118"/>
      <c r="H264" s="119"/>
    </row>
    <row r="265">
      <c r="B265" s="118"/>
      <c r="H265" s="119"/>
    </row>
    <row r="266">
      <c r="B266" s="118"/>
      <c r="H266" s="119"/>
    </row>
    <row r="267">
      <c r="B267" s="118"/>
      <c r="H267" s="119"/>
    </row>
    <row r="268">
      <c r="B268" s="118"/>
      <c r="H268" s="119"/>
    </row>
    <row r="269">
      <c r="B269" s="118"/>
      <c r="H269" s="119"/>
    </row>
    <row r="270">
      <c r="B270" s="118"/>
      <c r="H270" s="119"/>
    </row>
    <row r="271">
      <c r="B271" s="118"/>
      <c r="H271" s="119"/>
    </row>
    <row r="272">
      <c r="B272" s="118"/>
      <c r="H272" s="119"/>
    </row>
    <row r="273">
      <c r="B273" s="118"/>
      <c r="H273" s="119"/>
    </row>
    <row r="274">
      <c r="B274" s="118"/>
      <c r="H274" s="119"/>
    </row>
    <row r="275">
      <c r="B275" s="118"/>
      <c r="H275" s="119"/>
    </row>
    <row r="276">
      <c r="B276" s="118"/>
      <c r="H276" s="119"/>
    </row>
    <row r="277">
      <c r="B277" s="118"/>
      <c r="H277" s="119"/>
    </row>
    <row r="278">
      <c r="B278" s="118"/>
      <c r="H278" s="119"/>
    </row>
    <row r="279">
      <c r="B279" s="118"/>
      <c r="H279" s="119"/>
    </row>
    <row r="280">
      <c r="B280" s="118"/>
      <c r="H280" s="119"/>
    </row>
    <row r="281">
      <c r="B281" s="118"/>
      <c r="H281" s="119"/>
    </row>
    <row r="282">
      <c r="B282" s="118"/>
      <c r="H282" s="119"/>
    </row>
    <row r="283">
      <c r="B283" s="118"/>
      <c r="H283" s="119"/>
    </row>
    <row r="284">
      <c r="B284" s="118"/>
      <c r="H284" s="119"/>
    </row>
    <row r="285">
      <c r="B285" s="118"/>
      <c r="H285" s="119"/>
    </row>
    <row r="286">
      <c r="B286" s="118"/>
      <c r="H286" s="119"/>
    </row>
    <row r="287">
      <c r="B287" s="118"/>
      <c r="H287" s="119"/>
    </row>
    <row r="288">
      <c r="B288" s="118"/>
      <c r="H288" s="119"/>
    </row>
    <row r="289">
      <c r="B289" s="118"/>
      <c r="H289" s="119"/>
    </row>
    <row r="290">
      <c r="B290" s="118"/>
      <c r="H290" s="119"/>
    </row>
    <row r="291">
      <c r="B291" s="118"/>
      <c r="H291" s="119"/>
    </row>
    <row r="292">
      <c r="B292" s="118"/>
      <c r="H292" s="119"/>
    </row>
    <row r="293">
      <c r="B293" s="118"/>
      <c r="H293" s="119"/>
    </row>
    <row r="294">
      <c r="B294" s="118"/>
      <c r="H294" s="119"/>
    </row>
    <row r="295">
      <c r="B295" s="118"/>
      <c r="H295" s="119"/>
    </row>
    <row r="296">
      <c r="B296" s="118"/>
      <c r="H296" s="119"/>
    </row>
    <row r="297">
      <c r="B297" s="118"/>
      <c r="H297" s="119"/>
    </row>
    <row r="298">
      <c r="B298" s="118"/>
      <c r="H298" s="119"/>
    </row>
    <row r="299">
      <c r="B299" s="118"/>
      <c r="H299" s="119"/>
    </row>
    <row r="300">
      <c r="B300" s="118"/>
      <c r="H300" s="119"/>
    </row>
    <row r="301">
      <c r="B301" s="118"/>
      <c r="H301" s="119"/>
    </row>
    <row r="302">
      <c r="B302" s="118"/>
      <c r="H302" s="119"/>
    </row>
    <row r="303">
      <c r="B303" s="118"/>
      <c r="H303" s="119"/>
    </row>
    <row r="304">
      <c r="B304" s="118"/>
      <c r="H304" s="119"/>
    </row>
    <row r="305">
      <c r="B305" s="118"/>
      <c r="H305" s="119"/>
    </row>
    <row r="306">
      <c r="B306" s="118"/>
      <c r="H306" s="119"/>
    </row>
    <row r="307">
      <c r="B307" s="118"/>
      <c r="H307" s="119"/>
    </row>
    <row r="308">
      <c r="B308" s="118"/>
      <c r="H308" s="119"/>
    </row>
    <row r="309">
      <c r="B309" s="118"/>
      <c r="H309" s="119"/>
    </row>
    <row r="310">
      <c r="B310" s="118"/>
      <c r="H310" s="119"/>
    </row>
    <row r="311">
      <c r="B311" s="118"/>
      <c r="H311" s="119"/>
    </row>
    <row r="312">
      <c r="B312" s="118"/>
      <c r="H312" s="119"/>
    </row>
    <row r="313">
      <c r="B313" s="118"/>
      <c r="H313" s="119"/>
    </row>
    <row r="314">
      <c r="B314" s="118"/>
      <c r="H314" s="119"/>
    </row>
    <row r="315">
      <c r="B315" s="118"/>
      <c r="H315" s="119"/>
    </row>
    <row r="316">
      <c r="B316" s="118"/>
      <c r="H316" s="119"/>
    </row>
    <row r="317">
      <c r="B317" s="118"/>
      <c r="H317" s="119"/>
    </row>
    <row r="318">
      <c r="B318" s="118"/>
      <c r="H318" s="119"/>
    </row>
    <row r="319">
      <c r="B319" s="118"/>
      <c r="H319" s="119"/>
    </row>
    <row r="320">
      <c r="B320" s="118"/>
      <c r="H320" s="119"/>
    </row>
    <row r="321">
      <c r="B321" s="118"/>
      <c r="H321" s="119"/>
    </row>
    <row r="322">
      <c r="B322" s="118"/>
      <c r="H322" s="119"/>
    </row>
    <row r="323">
      <c r="B323" s="118"/>
      <c r="H323" s="119"/>
    </row>
    <row r="324">
      <c r="B324" s="118"/>
      <c r="H324" s="119"/>
    </row>
    <row r="325">
      <c r="B325" s="118"/>
      <c r="H325" s="119"/>
    </row>
    <row r="326">
      <c r="B326" s="118"/>
      <c r="H326" s="119"/>
    </row>
    <row r="327">
      <c r="B327" s="118"/>
      <c r="H327" s="119"/>
    </row>
    <row r="328">
      <c r="B328" s="118"/>
      <c r="H328" s="119"/>
    </row>
    <row r="329">
      <c r="B329" s="118"/>
      <c r="H329" s="119"/>
    </row>
    <row r="330">
      <c r="B330" s="118"/>
      <c r="H330" s="119"/>
    </row>
    <row r="331">
      <c r="B331" s="118"/>
      <c r="H331" s="119"/>
    </row>
    <row r="332">
      <c r="B332" s="118"/>
      <c r="H332" s="119"/>
    </row>
    <row r="333">
      <c r="B333" s="118"/>
      <c r="H333" s="119"/>
    </row>
    <row r="334">
      <c r="B334" s="118"/>
      <c r="H334" s="119"/>
    </row>
    <row r="335">
      <c r="B335" s="118"/>
      <c r="H335" s="119"/>
    </row>
    <row r="336">
      <c r="B336" s="118"/>
      <c r="H336" s="119"/>
    </row>
    <row r="337">
      <c r="B337" s="118"/>
      <c r="H337" s="119"/>
    </row>
    <row r="338">
      <c r="B338" s="118"/>
      <c r="H338" s="119"/>
    </row>
    <row r="339">
      <c r="B339" s="118"/>
      <c r="H339" s="119"/>
    </row>
    <row r="340">
      <c r="B340" s="118"/>
      <c r="H340" s="119"/>
    </row>
    <row r="341">
      <c r="B341" s="118"/>
      <c r="H341" s="119"/>
    </row>
    <row r="342">
      <c r="B342" s="118"/>
      <c r="H342" s="119"/>
    </row>
    <row r="343">
      <c r="B343" s="118"/>
      <c r="H343" s="119"/>
    </row>
    <row r="344">
      <c r="B344" s="118"/>
      <c r="H344" s="119"/>
    </row>
    <row r="345">
      <c r="B345" s="118"/>
      <c r="H345" s="119"/>
    </row>
    <row r="346">
      <c r="B346" s="118"/>
      <c r="H346" s="119"/>
    </row>
    <row r="347">
      <c r="B347" s="118"/>
      <c r="H347" s="119"/>
    </row>
    <row r="348">
      <c r="B348" s="118"/>
      <c r="H348" s="119"/>
    </row>
    <row r="349">
      <c r="B349" s="118"/>
      <c r="H349" s="119"/>
    </row>
    <row r="350">
      <c r="B350" s="118"/>
      <c r="H350" s="119"/>
    </row>
    <row r="351">
      <c r="B351" s="118"/>
      <c r="H351" s="119"/>
    </row>
    <row r="352">
      <c r="B352" s="118"/>
      <c r="H352" s="119"/>
    </row>
    <row r="353">
      <c r="B353" s="118"/>
      <c r="H353" s="119"/>
    </row>
    <row r="354">
      <c r="B354" s="118"/>
      <c r="H354" s="119"/>
    </row>
    <row r="355">
      <c r="B355" s="118"/>
      <c r="H355" s="119"/>
    </row>
    <row r="356">
      <c r="B356" s="118"/>
      <c r="H356" s="119"/>
    </row>
    <row r="357">
      <c r="B357" s="118"/>
      <c r="H357" s="119"/>
    </row>
    <row r="358">
      <c r="B358" s="118"/>
      <c r="H358" s="119"/>
    </row>
    <row r="359">
      <c r="B359" s="118"/>
      <c r="H359" s="119"/>
    </row>
    <row r="360">
      <c r="B360" s="118"/>
      <c r="H360" s="119"/>
    </row>
    <row r="361">
      <c r="B361" s="118"/>
      <c r="H361" s="119"/>
    </row>
    <row r="362">
      <c r="B362" s="118"/>
      <c r="H362" s="119"/>
    </row>
    <row r="363">
      <c r="B363" s="118"/>
      <c r="H363" s="119"/>
    </row>
    <row r="364">
      <c r="B364" s="118"/>
      <c r="H364" s="119"/>
    </row>
    <row r="365">
      <c r="B365" s="118"/>
      <c r="H365" s="119"/>
    </row>
    <row r="366">
      <c r="B366" s="118"/>
      <c r="H366" s="119"/>
    </row>
    <row r="367">
      <c r="B367" s="118"/>
      <c r="H367" s="119"/>
    </row>
    <row r="368">
      <c r="B368" s="118"/>
      <c r="H368" s="119"/>
    </row>
    <row r="369">
      <c r="B369" s="118"/>
      <c r="H369" s="119"/>
    </row>
    <row r="370">
      <c r="B370" s="118"/>
      <c r="H370" s="119"/>
    </row>
    <row r="371">
      <c r="B371" s="118"/>
      <c r="H371" s="119"/>
    </row>
    <row r="372">
      <c r="B372" s="118"/>
      <c r="H372" s="119"/>
    </row>
    <row r="373">
      <c r="B373" s="118"/>
      <c r="H373" s="119"/>
    </row>
    <row r="374">
      <c r="B374" s="118"/>
      <c r="H374" s="119"/>
    </row>
    <row r="375">
      <c r="B375" s="118"/>
      <c r="H375" s="119"/>
    </row>
    <row r="376">
      <c r="B376" s="118"/>
      <c r="H376" s="119"/>
    </row>
    <row r="377">
      <c r="B377" s="118"/>
      <c r="H377" s="119"/>
    </row>
    <row r="378">
      <c r="B378" s="118"/>
      <c r="H378" s="119"/>
    </row>
    <row r="379">
      <c r="B379" s="118"/>
      <c r="H379" s="119"/>
    </row>
    <row r="380">
      <c r="B380" s="118"/>
      <c r="H380" s="119"/>
    </row>
    <row r="381">
      <c r="B381" s="118"/>
      <c r="H381" s="119"/>
    </row>
    <row r="382">
      <c r="B382" s="118"/>
      <c r="H382" s="119"/>
    </row>
    <row r="383">
      <c r="B383" s="118"/>
      <c r="H383" s="119"/>
    </row>
    <row r="384">
      <c r="B384" s="118"/>
      <c r="H384" s="119"/>
    </row>
    <row r="385">
      <c r="B385" s="118"/>
      <c r="H385" s="119"/>
    </row>
    <row r="386">
      <c r="B386" s="118"/>
      <c r="H386" s="119"/>
    </row>
    <row r="387">
      <c r="B387" s="118"/>
      <c r="H387" s="119"/>
    </row>
    <row r="388">
      <c r="B388" s="118"/>
      <c r="H388" s="119"/>
    </row>
    <row r="389">
      <c r="B389" s="118"/>
      <c r="H389" s="119"/>
    </row>
    <row r="390">
      <c r="B390" s="118"/>
      <c r="H390" s="119"/>
    </row>
    <row r="391">
      <c r="B391" s="118"/>
      <c r="H391" s="119"/>
    </row>
    <row r="392">
      <c r="B392" s="118"/>
      <c r="H392" s="119"/>
    </row>
    <row r="393">
      <c r="B393" s="118"/>
      <c r="H393" s="119"/>
    </row>
    <row r="394">
      <c r="B394" s="118"/>
      <c r="H394" s="119"/>
    </row>
    <row r="395">
      <c r="B395" s="118"/>
      <c r="H395" s="119"/>
    </row>
    <row r="396">
      <c r="B396" s="118"/>
      <c r="H396" s="119"/>
    </row>
    <row r="397">
      <c r="B397" s="118"/>
      <c r="H397" s="119"/>
    </row>
    <row r="398">
      <c r="B398" s="118"/>
      <c r="H398" s="119"/>
    </row>
    <row r="399">
      <c r="B399" s="118"/>
      <c r="H399" s="119"/>
    </row>
    <row r="400">
      <c r="B400" s="118"/>
      <c r="H400" s="119"/>
    </row>
    <row r="401">
      <c r="B401" s="118"/>
      <c r="H401" s="119"/>
    </row>
    <row r="402">
      <c r="B402" s="118"/>
      <c r="H402" s="119"/>
    </row>
    <row r="403">
      <c r="B403" s="118"/>
      <c r="H403" s="119"/>
    </row>
    <row r="404">
      <c r="B404" s="118"/>
      <c r="H404" s="119"/>
    </row>
    <row r="405">
      <c r="B405" s="118"/>
      <c r="H405" s="119"/>
    </row>
    <row r="406">
      <c r="B406" s="118"/>
      <c r="H406" s="119"/>
    </row>
    <row r="407">
      <c r="B407" s="118"/>
      <c r="H407" s="119"/>
    </row>
    <row r="408">
      <c r="B408" s="118"/>
      <c r="H408" s="119"/>
    </row>
    <row r="409">
      <c r="B409" s="118"/>
      <c r="H409" s="119"/>
    </row>
    <row r="410">
      <c r="B410" s="118"/>
      <c r="H410" s="119"/>
    </row>
    <row r="411">
      <c r="B411" s="118"/>
      <c r="H411" s="119"/>
    </row>
    <row r="412">
      <c r="B412" s="118"/>
      <c r="H412" s="119"/>
    </row>
    <row r="413">
      <c r="B413" s="118"/>
      <c r="H413" s="119"/>
    </row>
    <row r="414">
      <c r="B414" s="118"/>
      <c r="H414" s="119"/>
    </row>
    <row r="415">
      <c r="B415" s="118"/>
      <c r="H415" s="119"/>
    </row>
    <row r="416">
      <c r="B416" s="118"/>
      <c r="H416" s="119"/>
    </row>
    <row r="417">
      <c r="B417" s="118"/>
      <c r="H417" s="119"/>
    </row>
    <row r="418">
      <c r="B418" s="118"/>
      <c r="H418" s="119"/>
    </row>
    <row r="419">
      <c r="B419" s="118"/>
      <c r="H419" s="119"/>
    </row>
    <row r="420">
      <c r="B420" s="118"/>
      <c r="H420" s="119"/>
    </row>
    <row r="421">
      <c r="B421" s="118"/>
      <c r="H421" s="119"/>
    </row>
    <row r="422">
      <c r="B422" s="118"/>
      <c r="H422" s="119"/>
    </row>
    <row r="423">
      <c r="B423" s="118"/>
      <c r="H423" s="119"/>
    </row>
    <row r="424">
      <c r="B424" s="118"/>
      <c r="H424" s="119"/>
    </row>
    <row r="425">
      <c r="B425" s="118"/>
      <c r="H425" s="119"/>
    </row>
    <row r="426">
      <c r="B426" s="118"/>
      <c r="H426" s="119"/>
    </row>
    <row r="427">
      <c r="B427" s="118"/>
      <c r="H427" s="119"/>
    </row>
    <row r="428">
      <c r="B428" s="118"/>
      <c r="H428" s="119"/>
    </row>
    <row r="429">
      <c r="B429" s="118"/>
      <c r="H429" s="119"/>
    </row>
    <row r="430">
      <c r="B430" s="118"/>
      <c r="H430" s="119"/>
    </row>
    <row r="431">
      <c r="B431" s="118"/>
      <c r="H431" s="119"/>
    </row>
    <row r="432">
      <c r="B432" s="118"/>
      <c r="H432" s="119"/>
    </row>
    <row r="433">
      <c r="B433" s="118"/>
      <c r="H433" s="119"/>
    </row>
    <row r="434">
      <c r="B434" s="118"/>
      <c r="H434" s="119"/>
    </row>
    <row r="435">
      <c r="B435" s="118"/>
      <c r="H435" s="119"/>
    </row>
    <row r="436">
      <c r="B436" s="118"/>
      <c r="H436" s="119"/>
    </row>
    <row r="437">
      <c r="B437" s="118"/>
      <c r="H437" s="119"/>
    </row>
    <row r="438">
      <c r="B438" s="118"/>
      <c r="H438" s="119"/>
    </row>
    <row r="439">
      <c r="B439" s="118"/>
      <c r="H439" s="119"/>
    </row>
    <row r="440">
      <c r="B440" s="118"/>
      <c r="H440" s="119"/>
    </row>
    <row r="441">
      <c r="B441" s="118"/>
      <c r="H441" s="119"/>
    </row>
    <row r="442">
      <c r="B442" s="118"/>
      <c r="H442" s="119"/>
    </row>
    <row r="443">
      <c r="B443" s="118"/>
      <c r="H443" s="119"/>
    </row>
    <row r="444">
      <c r="B444" s="118"/>
      <c r="H444" s="119"/>
    </row>
    <row r="445">
      <c r="B445" s="118"/>
      <c r="H445" s="119"/>
    </row>
    <row r="446">
      <c r="B446" s="118"/>
      <c r="H446" s="119"/>
    </row>
    <row r="447">
      <c r="B447" s="118"/>
      <c r="H447" s="119"/>
    </row>
    <row r="448">
      <c r="B448" s="118"/>
      <c r="H448" s="119"/>
    </row>
    <row r="449">
      <c r="B449" s="118"/>
      <c r="H449" s="119"/>
    </row>
    <row r="450">
      <c r="B450" s="118"/>
      <c r="H450" s="119"/>
    </row>
    <row r="451">
      <c r="B451" s="118"/>
      <c r="H451" s="119"/>
    </row>
    <row r="452">
      <c r="B452" s="118"/>
      <c r="H452" s="119"/>
    </row>
    <row r="453">
      <c r="B453" s="118"/>
      <c r="H453" s="119"/>
    </row>
    <row r="454">
      <c r="B454" s="118"/>
      <c r="H454" s="119"/>
    </row>
    <row r="455">
      <c r="B455" s="118"/>
      <c r="H455" s="119"/>
    </row>
    <row r="456">
      <c r="B456" s="118"/>
      <c r="H456" s="119"/>
    </row>
    <row r="457">
      <c r="B457" s="118"/>
      <c r="H457" s="119"/>
    </row>
    <row r="458">
      <c r="B458" s="118"/>
      <c r="H458" s="119"/>
    </row>
    <row r="459">
      <c r="B459" s="118"/>
      <c r="H459" s="119"/>
    </row>
    <row r="460">
      <c r="B460" s="118"/>
      <c r="H460" s="119"/>
    </row>
    <row r="461">
      <c r="B461" s="118"/>
      <c r="H461" s="119"/>
    </row>
    <row r="462">
      <c r="B462" s="118"/>
      <c r="H462" s="119"/>
    </row>
    <row r="463">
      <c r="B463" s="118"/>
      <c r="H463" s="119"/>
    </row>
    <row r="464">
      <c r="B464" s="118"/>
      <c r="H464" s="119"/>
    </row>
    <row r="465">
      <c r="B465" s="118"/>
      <c r="H465" s="119"/>
    </row>
    <row r="466">
      <c r="B466" s="118"/>
      <c r="H466" s="119"/>
    </row>
    <row r="467">
      <c r="B467" s="118"/>
      <c r="H467" s="119"/>
    </row>
    <row r="468">
      <c r="B468" s="118"/>
      <c r="H468" s="119"/>
    </row>
    <row r="469">
      <c r="B469" s="118"/>
      <c r="H469" s="119"/>
    </row>
    <row r="470">
      <c r="B470" s="118"/>
      <c r="H470" s="119"/>
    </row>
    <row r="471">
      <c r="B471" s="118"/>
      <c r="H471" s="119"/>
    </row>
    <row r="472">
      <c r="B472" s="118"/>
      <c r="H472" s="119"/>
    </row>
    <row r="473">
      <c r="B473" s="118"/>
      <c r="H473" s="119"/>
    </row>
    <row r="474">
      <c r="B474" s="118"/>
      <c r="H474" s="119"/>
    </row>
    <row r="475">
      <c r="B475" s="118"/>
      <c r="H475" s="119"/>
    </row>
    <row r="476">
      <c r="B476" s="118"/>
      <c r="H476" s="119"/>
    </row>
    <row r="477">
      <c r="B477" s="118"/>
      <c r="H477" s="119"/>
    </row>
    <row r="478">
      <c r="B478" s="118"/>
      <c r="H478" s="119"/>
    </row>
    <row r="479">
      <c r="B479" s="118"/>
      <c r="H479" s="119"/>
    </row>
    <row r="480">
      <c r="B480" s="118"/>
      <c r="H480" s="119"/>
    </row>
    <row r="481">
      <c r="B481" s="118"/>
      <c r="H481" s="119"/>
    </row>
    <row r="482">
      <c r="B482" s="118"/>
      <c r="H482" s="119"/>
    </row>
    <row r="483">
      <c r="B483" s="118"/>
      <c r="H483" s="119"/>
    </row>
    <row r="484">
      <c r="B484" s="118"/>
      <c r="H484" s="119"/>
    </row>
    <row r="485">
      <c r="B485" s="118"/>
      <c r="H485" s="119"/>
    </row>
    <row r="486">
      <c r="B486" s="118"/>
      <c r="H486" s="119"/>
    </row>
    <row r="487">
      <c r="B487" s="118"/>
      <c r="H487" s="119"/>
    </row>
    <row r="488">
      <c r="B488" s="118"/>
      <c r="H488" s="119"/>
    </row>
    <row r="489">
      <c r="B489" s="118"/>
      <c r="H489" s="119"/>
    </row>
    <row r="490">
      <c r="B490" s="118"/>
      <c r="H490" s="119"/>
    </row>
    <row r="491">
      <c r="B491" s="118"/>
      <c r="H491" s="119"/>
    </row>
    <row r="492">
      <c r="B492" s="118"/>
      <c r="H492" s="119"/>
    </row>
    <row r="493">
      <c r="B493" s="118"/>
      <c r="H493" s="119"/>
    </row>
    <row r="494">
      <c r="B494" s="118"/>
      <c r="H494" s="119"/>
    </row>
    <row r="495">
      <c r="B495" s="118"/>
      <c r="H495" s="119"/>
    </row>
    <row r="496">
      <c r="B496" s="118"/>
      <c r="H496" s="119"/>
    </row>
    <row r="497">
      <c r="B497" s="118"/>
      <c r="H497" s="119"/>
    </row>
    <row r="498">
      <c r="B498" s="118"/>
      <c r="H498" s="119"/>
    </row>
    <row r="499">
      <c r="B499" s="118"/>
      <c r="H499" s="119"/>
    </row>
    <row r="500">
      <c r="B500" s="118"/>
      <c r="H500" s="119"/>
    </row>
    <row r="501">
      <c r="B501" s="118"/>
      <c r="H501" s="119"/>
    </row>
    <row r="502">
      <c r="B502" s="118"/>
      <c r="H502" s="119"/>
    </row>
    <row r="503">
      <c r="B503" s="118"/>
      <c r="H503" s="119"/>
    </row>
    <row r="504">
      <c r="B504" s="118"/>
      <c r="H504" s="119"/>
    </row>
    <row r="505">
      <c r="B505" s="118"/>
      <c r="H505" s="119"/>
    </row>
    <row r="506">
      <c r="B506" s="118"/>
      <c r="H506" s="119"/>
    </row>
    <row r="507">
      <c r="B507" s="118"/>
      <c r="H507" s="119"/>
    </row>
    <row r="508">
      <c r="B508" s="118"/>
      <c r="H508" s="119"/>
    </row>
    <row r="509">
      <c r="B509" s="118"/>
      <c r="H509" s="119"/>
    </row>
    <row r="510">
      <c r="B510" s="118"/>
      <c r="H510" s="119"/>
    </row>
    <row r="511">
      <c r="B511" s="118"/>
      <c r="H511" s="119"/>
    </row>
    <row r="512">
      <c r="B512" s="118"/>
      <c r="H512" s="119"/>
    </row>
    <row r="513">
      <c r="B513" s="118"/>
      <c r="H513" s="119"/>
    </row>
    <row r="514">
      <c r="B514" s="118"/>
      <c r="H514" s="119"/>
    </row>
    <row r="515">
      <c r="B515" s="118"/>
      <c r="H515" s="119"/>
    </row>
    <row r="516">
      <c r="B516" s="118"/>
      <c r="H516" s="119"/>
    </row>
    <row r="517">
      <c r="B517" s="118"/>
      <c r="H517" s="119"/>
    </row>
    <row r="518">
      <c r="B518" s="118"/>
      <c r="H518" s="119"/>
    </row>
    <row r="519">
      <c r="B519" s="118"/>
      <c r="H519" s="119"/>
    </row>
    <row r="520">
      <c r="B520" s="118"/>
      <c r="H520" s="119"/>
    </row>
    <row r="521">
      <c r="B521" s="118"/>
      <c r="H521" s="119"/>
    </row>
    <row r="522">
      <c r="B522" s="118"/>
      <c r="H522" s="119"/>
    </row>
    <row r="523">
      <c r="B523" s="118"/>
      <c r="H523" s="119"/>
    </row>
    <row r="524">
      <c r="B524" s="118"/>
      <c r="H524" s="119"/>
    </row>
    <row r="525">
      <c r="B525" s="118"/>
      <c r="H525" s="119"/>
    </row>
    <row r="526">
      <c r="B526" s="118"/>
      <c r="H526" s="119"/>
    </row>
    <row r="527">
      <c r="B527" s="118"/>
      <c r="H527" s="119"/>
    </row>
    <row r="528">
      <c r="B528" s="118"/>
      <c r="H528" s="119"/>
    </row>
    <row r="529">
      <c r="B529" s="118"/>
      <c r="H529" s="119"/>
    </row>
    <row r="530">
      <c r="B530" s="118"/>
      <c r="H530" s="119"/>
    </row>
    <row r="531">
      <c r="B531" s="118"/>
      <c r="H531" s="119"/>
    </row>
    <row r="532">
      <c r="B532" s="118"/>
      <c r="H532" s="119"/>
    </row>
    <row r="533">
      <c r="B533" s="118"/>
      <c r="H533" s="119"/>
    </row>
    <row r="534">
      <c r="B534" s="118"/>
      <c r="H534" s="119"/>
    </row>
    <row r="535">
      <c r="B535" s="118"/>
      <c r="H535" s="119"/>
    </row>
    <row r="536">
      <c r="B536" s="118"/>
      <c r="H536" s="119"/>
    </row>
    <row r="537">
      <c r="B537" s="118"/>
      <c r="H537" s="119"/>
    </row>
    <row r="538">
      <c r="B538" s="118"/>
      <c r="H538" s="119"/>
    </row>
    <row r="539">
      <c r="B539" s="118"/>
      <c r="H539" s="119"/>
    </row>
    <row r="540">
      <c r="B540" s="118"/>
      <c r="H540" s="119"/>
    </row>
    <row r="541">
      <c r="B541" s="118"/>
      <c r="H541" s="119"/>
    </row>
    <row r="542">
      <c r="B542" s="118"/>
      <c r="H542" s="119"/>
    </row>
    <row r="543">
      <c r="B543" s="118"/>
      <c r="H543" s="119"/>
    </row>
    <row r="544">
      <c r="B544" s="118"/>
      <c r="H544" s="119"/>
    </row>
    <row r="545">
      <c r="B545" s="118"/>
      <c r="H545" s="119"/>
    </row>
    <row r="546">
      <c r="B546" s="118"/>
      <c r="H546" s="119"/>
    </row>
    <row r="547">
      <c r="B547" s="118"/>
      <c r="H547" s="119"/>
    </row>
    <row r="548">
      <c r="B548" s="118"/>
      <c r="H548" s="119"/>
    </row>
    <row r="549">
      <c r="B549" s="118"/>
      <c r="H549" s="119"/>
    </row>
    <row r="550">
      <c r="B550" s="118"/>
      <c r="H550" s="119"/>
    </row>
    <row r="551">
      <c r="B551" s="118"/>
      <c r="H551" s="119"/>
    </row>
    <row r="552">
      <c r="B552" s="118"/>
      <c r="H552" s="119"/>
    </row>
    <row r="553">
      <c r="B553" s="118"/>
      <c r="H553" s="119"/>
    </row>
    <row r="554">
      <c r="B554" s="118"/>
      <c r="H554" s="119"/>
    </row>
    <row r="555">
      <c r="B555" s="118"/>
      <c r="H555" s="119"/>
    </row>
    <row r="556">
      <c r="B556" s="118"/>
      <c r="H556" s="119"/>
    </row>
    <row r="557">
      <c r="B557" s="118"/>
      <c r="H557" s="119"/>
    </row>
    <row r="558">
      <c r="B558" s="118"/>
      <c r="H558" s="119"/>
    </row>
    <row r="559">
      <c r="B559" s="118"/>
      <c r="H559" s="119"/>
    </row>
    <row r="560">
      <c r="B560" s="118"/>
      <c r="H560" s="119"/>
    </row>
    <row r="561">
      <c r="B561" s="118"/>
      <c r="H561" s="119"/>
    </row>
    <row r="562">
      <c r="B562" s="118"/>
      <c r="H562" s="119"/>
    </row>
    <row r="563">
      <c r="B563" s="118"/>
      <c r="H563" s="119"/>
    </row>
    <row r="564">
      <c r="B564" s="118"/>
      <c r="H564" s="119"/>
    </row>
    <row r="565">
      <c r="B565" s="118"/>
      <c r="H565" s="119"/>
    </row>
    <row r="566">
      <c r="B566" s="118"/>
      <c r="H566" s="119"/>
    </row>
    <row r="567">
      <c r="B567" s="118"/>
      <c r="H567" s="119"/>
    </row>
    <row r="568">
      <c r="B568" s="118"/>
      <c r="H568" s="119"/>
    </row>
    <row r="569">
      <c r="B569" s="118"/>
      <c r="H569" s="119"/>
    </row>
    <row r="570">
      <c r="B570" s="118"/>
      <c r="H570" s="119"/>
    </row>
    <row r="571">
      <c r="B571" s="118"/>
      <c r="H571" s="119"/>
    </row>
    <row r="572">
      <c r="B572" s="118"/>
      <c r="H572" s="119"/>
    </row>
    <row r="573">
      <c r="B573" s="118"/>
      <c r="H573" s="119"/>
    </row>
    <row r="574">
      <c r="B574" s="118"/>
      <c r="H574" s="119"/>
    </row>
    <row r="575">
      <c r="B575" s="118"/>
      <c r="H575" s="119"/>
    </row>
    <row r="576">
      <c r="B576" s="118"/>
      <c r="H576" s="119"/>
    </row>
    <row r="577">
      <c r="B577" s="118"/>
      <c r="H577" s="119"/>
    </row>
    <row r="578">
      <c r="B578" s="118"/>
      <c r="H578" s="119"/>
    </row>
    <row r="579">
      <c r="B579" s="118"/>
      <c r="H579" s="119"/>
    </row>
    <row r="580">
      <c r="B580" s="118"/>
      <c r="H580" s="119"/>
    </row>
    <row r="581">
      <c r="B581" s="118"/>
      <c r="H581" s="119"/>
    </row>
    <row r="582">
      <c r="B582" s="118"/>
      <c r="H582" s="119"/>
    </row>
    <row r="583">
      <c r="B583" s="118"/>
      <c r="H583" s="119"/>
    </row>
    <row r="584">
      <c r="B584" s="118"/>
      <c r="H584" s="119"/>
    </row>
    <row r="585">
      <c r="B585" s="118"/>
      <c r="H585" s="119"/>
    </row>
    <row r="586">
      <c r="B586" s="118"/>
      <c r="H586" s="119"/>
    </row>
    <row r="587">
      <c r="B587" s="118"/>
      <c r="H587" s="119"/>
    </row>
    <row r="588">
      <c r="B588" s="118"/>
      <c r="H588" s="119"/>
    </row>
    <row r="589">
      <c r="B589" s="118"/>
      <c r="H589" s="119"/>
    </row>
    <row r="590">
      <c r="B590" s="118"/>
      <c r="H590" s="119"/>
    </row>
    <row r="591">
      <c r="B591" s="118"/>
      <c r="H591" s="119"/>
    </row>
    <row r="592">
      <c r="B592" s="118"/>
      <c r="H592" s="119"/>
    </row>
    <row r="593">
      <c r="B593" s="118"/>
      <c r="H593" s="119"/>
    </row>
    <row r="594">
      <c r="B594" s="118"/>
      <c r="H594" s="119"/>
    </row>
    <row r="595">
      <c r="B595" s="118"/>
      <c r="H595" s="119"/>
    </row>
    <row r="596">
      <c r="B596" s="118"/>
      <c r="H596" s="119"/>
    </row>
    <row r="597">
      <c r="B597" s="118"/>
      <c r="H597" s="119"/>
    </row>
    <row r="598">
      <c r="B598" s="118"/>
      <c r="H598" s="119"/>
    </row>
    <row r="599">
      <c r="B599" s="118"/>
      <c r="H599" s="119"/>
    </row>
    <row r="600">
      <c r="B600" s="118"/>
      <c r="H600" s="119"/>
    </row>
    <row r="601">
      <c r="B601" s="118"/>
      <c r="H601" s="119"/>
    </row>
    <row r="602">
      <c r="B602" s="118"/>
      <c r="H602" s="119"/>
    </row>
    <row r="603">
      <c r="B603" s="118"/>
      <c r="H603" s="119"/>
    </row>
    <row r="604">
      <c r="B604" s="118"/>
      <c r="H604" s="119"/>
    </row>
    <row r="605">
      <c r="B605" s="118"/>
      <c r="H605" s="119"/>
    </row>
    <row r="606">
      <c r="B606" s="118"/>
      <c r="H606" s="119"/>
    </row>
    <row r="607">
      <c r="B607" s="118"/>
      <c r="H607" s="119"/>
    </row>
    <row r="608">
      <c r="B608" s="118"/>
      <c r="H608" s="119"/>
    </row>
    <row r="609">
      <c r="B609" s="118"/>
      <c r="H609" s="119"/>
    </row>
    <row r="610">
      <c r="B610" s="118"/>
      <c r="H610" s="119"/>
    </row>
    <row r="611">
      <c r="B611" s="118"/>
      <c r="H611" s="119"/>
    </row>
    <row r="612">
      <c r="B612" s="118"/>
      <c r="H612" s="119"/>
    </row>
    <row r="613">
      <c r="B613" s="118"/>
      <c r="H613" s="119"/>
    </row>
    <row r="614">
      <c r="B614" s="118"/>
      <c r="H614" s="119"/>
    </row>
    <row r="615">
      <c r="B615" s="118"/>
      <c r="H615" s="119"/>
    </row>
    <row r="616">
      <c r="B616" s="118"/>
      <c r="H616" s="119"/>
    </row>
    <row r="617">
      <c r="B617" s="118"/>
      <c r="H617" s="119"/>
    </row>
    <row r="618">
      <c r="B618" s="118"/>
      <c r="H618" s="119"/>
    </row>
    <row r="619">
      <c r="B619" s="118"/>
      <c r="H619" s="119"/>
    </row>
    <row r="620">
      <c r="B620" s="118"/>
      <c r="H620" s="119"/>
    </row>
    <row r="621">
      <c r="B621" s="118"/>
      <c r="H621" s="119"/>
    </row>
    <row r="622">
      <c r="B622" s="118"/>
      <c r="H622" s="119"/>
    </row>
    <row r="623">
      <c r="B623" s="118"/>
      <c r="H623" s="119"/>
    </row>
    <row r="624">
      <c r="B624" s="118"/>
      <c r="H624" s="119"/>
    </row>
    <row r="625">
      <c r="B625" s="118"/>
      <c r="H625" s="119"/>
    </row>
    <row r="626">
      <c r="B626" s="118"/>
      <c r="H626" s="119"/>
    </row>
    <row r="627">
      <c r="B627" s="118"/>
      <c r="H627" s="119"/>
    </row>
    <row r="628">
      <c r="B628" s="118"/>
      <c r="H628" s="119"/>
    </row>
    <row r="629">
      <c r="B629" s="118"/>
      <c r="H629" s="119"/>
    </row>
    <row r="630">
      <c r="B630" s="118"/>
      <c r="H630" s="119"/>
    </row>
    <row r="631">
      <c r="B631" s="118"/>
      <c r="H631" s="119"/>
    </row>
    <row r="632">
      <c r="B632" s="118"/>
      <c r="H632" s="119"/>
    </row>
    <row r="633">
      <c r="B633" s="118"/>
      <c r="H633" s="119"/>
    </row>
    <row r="634">
      <c r="B634" s="118"/>
      <c r="H634" s="119"/>
    </row>
    <row r="635">
      <c r="B635" s="118"/>
      <c r="H635" s="119"/>
    </row>
    <row r="636">
      <c r="B636" s="118"/>
      <c r="H636" s="119"/>
    </row>
    <row r="637">
      <c r="B637" s="118"/>
      <c r="H637" s="119"/>
    </row>
    <row r="638">
      <c r="B638" s="118"/>
      <c r="H638" s="119"/>
    </row>
    <row r="639">
      <c r="B639" s="118"/>
      <c r="H639" s="119"/>
    </row>
    <row r="640">
      <c r="B640" s="118"/>
      <c r="H640" s="119"/>
    </row>
    <row r="641">
      <c r="B641" s="118"/>
      <c r="H641" s="119"/>
    </row>
    <row r="642">
      <c r="B642" s="118"/>
      <c r="H642" s="119"/>
    </row>
    <row r="643">
      <c r="B643" s="118"/>
      <c r="H643" s="119"/>
    </row>
    <row r="644">
      <c r="B644" s="118"/>
      <c r="H644" s="119"/>
    </row>
    <row r="645">
      <c r="B645" s="118"/>
      <c r="H645" s="119"/>
    </row>
    <row r="646">
      <c r="B646" s="118"/>
      <c r="H646" s="119"/>
    </row>
    <row r="647">
      <c r="B647" s="118"/>
      <c r="H647" s="119"/>
    </row>
    <row r="648">
      <c r="B648" s="118"/>
      <c r="H648" s="119"/>
    </row>
    <row r="649">
      <c r="B649" s="118"/>
      <c r="H649" s="119"/>
    </row>
    <row r="650">
      <c r="B650" s="118"/>
      <c r="H650" s="119"/>
    </row>
    <row r="651">
      <c r="B651" s="118"/>
      <c r="H651" s="119"/>
    </row>
    <row r="652">
      <c r="B652" s="118"/>
      <c r="H652" s="119"/>
    </row>
    <row r="653">
      <c r="B653" s="118"/>
      <c r="H653" s="119"/>
    </row>
    <row r="654">
      <c r="B654" s="118"/>
      <c r="H654" s="119"/>
    </row>
    <row r="655">
      <c r="B655" s="118"/>
      <c r="H655" s="119"/>
    </row>
    <row r="656">
      <c r="B656" s="118"/>
      <c r="H656" s="119"/>
    </row>
    <row r="657">
      <c r="B657" s="118"/>
      <c r="H657" s="119"/>
    </row>
    <row r="658">
      <c r="B658" s="118"/>
      <c r="H658" s="119"/>
    </row>
    <row r="659">
      <c r="B659" s="118"/>
      <c r="H659" s="119"/>
    </row>
    <row r="660">
      <c r="B660" s="118"/>
      <c r="H660" s="119"/>
    </row>
    <row r="661">
      <c r="B661" s="118"/>
      <c r="H661" s="119"/>
    </row>
    <row r="662">
      <c r="B662" s="118"/>
      <c r="H662" s="119"/>
    </row>
    <row r="663">
      <c r="B663" s="118"/>
      <c r="H663" s="119"/>
    </row>
    <row r="664">
      <c r="B664" s="118"/>
      <c r="H664" s="119"/>
    </row>
    <row r="665">
      <c r="B665" s="118"/>
      <c r="H665" s="119"/>
    </row>
    <row r="666">
      <c r="B666" s="118"/>
      <c r="H666" s="119"/>
    </row>
    <row r="667">
      <c r="B667" s="118"/>
      <c r="H667" s="119"/>
    </row>
    <row r="668">
      <c r="B668" s="118"/>
      <c r="H668" s="119"/>
    </row>
    <row r="669">
      <c r="B669" s="118"/>
      <c r="H669" s="119"/>
    </row>
    <row r="670">
      <c r="B670" s="118"/>
      <c r="H670" s="119"/>
    </row>
    <row r="671">
      <c r="B671" s="118"/>
      <c r="H671" s="119"/>
    </row>
    <row r="672">
      <c r="B672" s="118"/>
      <c r="H672" s="119"/>
    </row>
    <row r="673">
      <c r="B673" s="118"/>
      <c r="H673" s="119"/>
    </row>
    <row r="674">
      <c r="B674" s="118"/>
      <c r="H674" s="119"/>
    </row>
    <row r="675">
      <c r="B675" s="118"/>
      <c r="H675" s="119"/>
    </row>
    <row r="676">
      <c r="B676" s="118"/>
      <c r="H676" s="119"/>
    </row>
    <row r="677">
      <c r="B677" s="118"/>
      <c r="H677" s="119"/>
    </row>
    <row r="678">
      <c r="B678" s="118"/>
      <c r="H678" s="119"/>
    </row>
    <row r="679">
      <c r="B679" s="118"/>
      <c r="H679" s="119"/>
    </row>
    <row r="680">
      <c r="B680" s="118"/>
      <c r="H680" s="119"/>
    </row>
    <row r="681">
      <c r="B681" s="118"/>
      <c r="H681" s="119"/>
    </row>
    <row r="682">
      <c r="B682" s="118"/>
      <c r="H682" s="119"/>
    </row>
    <row r="683">
      <c r="B683" s="118"/>
      <c r="H683" s="119"/>
    </row>
    <row r="684">
      <c r="B684" s="118"/>
      <c r="H684" s="119"/>
    </row>
    <row r="685">
      <c r="B685" s="118"/>
      <c r="H685" s="119"/>
    </row>
    <row r="686">
      <c r="B686" s="118"/>
      <c r="H686" s="119"/>
    </row>
    <row r="687">
      <c r="B687" s="118"/>
      <c r="H687" s="119"/>
    </row>
    <row r="688">
      <c r="B688" s="118"/>
      <c r="H688" s="119"/>
    </row>
    <row r="689">
      <c r="B689" s="118"/>
      <c r="H689" s="119"/>
    </row>
    <row r="690">
      <c r="B690" s="118"/>
      <c r="H690" s="119"/>
    </row>
    <row r="691">
      <c r="B691" s="118"/>
      <c r="H691" s="119"/>
    </row>
    <row r="692">
      <c r="B692" s="118"/>
      <c r="H692" s="119"/>
    </row>
    <row r="693">
      <c r="B693" s="118"/>
      <c r="H693" s="119"/>
    </row>
    <row r="694">
      <c r="B694" s="118"/>
      <c r="H694" s="119"/>
    </row>
    <row r="695">
      <c r="B695" s="118"/>
      <c r="H695" s="119"/>
    </row>
    <row r="696">
      <c r="B696" s="118"/>
      <c r="H696" s="119"/>
    </row>
    <row r="697">
      <c r="B697" s="118"/>
      <c r="H697" s="119"/>
    </row>
    <row r="698">
      <c r="B698" s="118"/>
      <c r="H698" s="119"/>
    </row>
    <row r="699">
      <c r="B699" s="118"/>
      <c r="H699" s="119"/>
    </row>
    <row r="700">
      <c r="B700" s="118"/>
      <c r="H700" s="119"/>
    </row>
    <row r="701">
      <c r="B701" s="118"/>
      <c r="H701" s="119"/>
    </row>
    <row r="702">
      <c r="B702" s="118"/>
      <c r="H702" s="119"/>
    </row>
    <row r="703">
      <c r="B703" s="118"/>
      <c r="H703" s="119"/>
    </row>
    <row r="704">
      <c r="B704" s="118"/>
      <c r="H704" s="119"/>
    </row>
    <row r="705">
      <c r="B705" s="118"/>
      <c r="H705" s="119"/>
    </row>
    <row r="706">
      <c r="B706" s="118"/>
      <c r="H706" s="119"/>
    </row>
    <row r="707">
      <c r="B707" s="118"/>
      <c r="H707" s="119"/>
    </row>
    <row r="708">
      <c r="B708" s="118"/>
      <c r="H708" s="119"/>
    </row>
    <row r="709">
      <c r="B709" s="118"/>
      <c r="H709" s="119"/>
    </row>
    <row r="710">
      <c r="B710" s="118"/>
      <c r="H710" s="119"/>
    </row>
    <row r="711">
      <c r="B711" s="118"/>
      <c r="H711" s="119"/>
    </row>
    <row r="712">
      <c r="B712" s="118"/>
      <c r="H712" s="119"/>
    </row>
    <row r="713">
      <c r="B713" s="118"/>
      <c r="H713" s="119"/>
    </row>
    <row r="714">
      <c r="B714" s="118"/>
      <c r="H714" s="119"/>
    </row>
    <row r="715">
      <c r="B715" s="118"/>
      <c r="H715" s="119"/>
    </row>
    <row r="716">
      <c r="B716" s="118"/>
      <c r="H716" s="119"/>
    </row>
    <row r="717">
      <c r="B717" s="118"/>
      <c r="H717" s="119"/>
    </row>
    <row r="718">
      <c r="B718" s="118"/>
      <c r="H718" s="119"/>
    </row>
    <row r="719">
      <c r="B719" s="118"/>
      <c r="H719" s="119"/>
    </row>
    <row r="720">
      <c r="B720" s="118"/>
      <c r="H720" s="119"/>
    </row>
    <row r="721">
      <c r="B721" s="118"/>
      <c r="H721" s="119"/>
    </row>
    <row r="722">
      <c r="B722" s="118"/>
      <c r="H722" s="119"/>
    </row>
    <row r="723">
      <c r="B723" s="118"/>
      <c r="H723" s="119"/>
    </row>
    <row r="724">
      <c r="B724" s="118"/>
      <c r="H724" s="119"/>
    </row>
    <row r="725">
      <c r="B725" s="118"/>
      <c r="H725" s="119"/>
    </row>
    <row r="726">
      <c r="B726" s="118"/>
      <c r="H726" s="119"/>
    </row>
    <row r="727">
      <c r="B727" s="118"/>
      <c r="H727" s="119"/>
    </row>
    <row r="728">
      <c r="B728" s="118"/>
      <c r="H728" s="119"/>
    </row>
    <row r="729">
      <c r="B729" s="118"/>
      <c r="H729" s="119"/>
    </row>
    <row r="730">
      <c r="B730" s="118"/>
      <c r="H730" s="119"/>
    </row>
    <row r="731">
      <c r="B731" s="118"/>
      <c r="H731" s="119"/>
    </row>
    <row r="732">
      <c r="B732" s="118"/>
      <c r="H732" s="119"/>
    </row>
    <row r="733">
      <c r="B733" s="118"/>
      <c r="H733" s="119"/>
    </row>
    <row r="734">
      <c r="B734" s="118"/>
      <c r="H734" s="119"/>
    </row>
    <row r="735">
      <c r="B735" s="118"/>
      <c r="H735" s="119"/>
    </row>
    <row r="736">
      <c r="B736" s="118"/>
      <c r="H736" s="119"/>
    </row>
    <row r="737">
      <c r="B737" s="118"/>
      <c r="H737" s="119"/>
    </row>
    <row r="738">
      <c r="B738" s="118"/>
      <c r="H738" s="119"/>
    </row>
    <row r="739">
      <c r="B739" s="118"/>
      <c r="H739" s="119"/>
    </row>
    <row r="740">
      <c r="B740" s="118"/>
      <c r="H740" s="119"/>
    </row>
    <row r="741">
      <c r="B741" s="118"/>
      <c r="H741" s="119"/>
    </row>
    <row r="742">
      <c r="B742" s="118"/>
      <c r="H742" s="119"/>
    </row>
    <row r="743">
      <c r="B743" s="118"/>
      <c r="H743" s="119"/>
    </row>
    <row r="744">
      <c r="B744" s="118"/>
      <c r="H744" s="119"/>
    </row>
    <row r="745">
      <c r="B745" s="118"/>
      <c r="H745" s="119"/>
    </row>
    <row r="746">
      <c r="B746" s="118"/>
      <c r="H746" s="119"/>
    </row>
    <row r="747">
      <c r="B747" s="118"/>
      <c r="H747" s="119"/>
    </row>
    <row r="748">
      <c r="B748" s="118"/>
      <c r="H748" s="119"/>
    </row>
    <row r="749">
      <c r="B749" s="118"/>
      <c r="H749" s="119"/>
    </row>
    <row r="750">
      <c r="B750" s="118"/>
      <c r="H750" s="119"/>
    </row>
    <row r="751">
      <c r="B751" s="118"/>
      <c r="H751" s="119"/>
    </row>
    <row r="752">
      <c r="B752" s="118"/>
      <c r="H752" s="119"/>
    </row>
    <row r="753">
      <c r="B753" s="118"/>
      <c r="H753" s="119"/>
    </row>
    <row r="754">
      <c r="B754" s="118"/>
      <c r="H754" s="119"/>
    </row>
    <row r="755">
      <c r="B755" s="118"/>
      <c r="H755" s="119"/>
    </row>
    <row r="756">
      <c r="B756" s="118"/>
      <c r="H756" s="119"/>
    </row>
    <row r="757">
      <c r="B757" s="118"/>
      <c r="H757" s="119"/>
    </row>
    <row r="758">
      <c r="B758" s="118"/>
      <c r="H758" s="119"/>
    </row>
    <row r="759">
      <c r="B759" s="118"/>
      <c r="H759" s="119"/>
    </row>
    <row r="760">
      <c r="B760" s="118"/>
      <c r="H760" s="119"/>
    </row>
    <row r="761">
      <c r="B761" s="118"/>
      <c r="H761" s="119"/>
    </row>
    <row r="762">
      <c r="B762" s="118"/>
      <c r="H762" s="119"/>
    </row>
    <row r="763">
      <c r="B763" s="118"/>
      <c r="H763" s="119"/>
    </row>
    <row r="764">
      <c r="B764" s="118"/>
      <c r="H764" s="119"/>
    </row>
    <row r="765">
      <c r="B765" s="118"/>
      <c r="H765" s="119"/>
    </row>
    <row r="766">
      <c r="B766" s="118"/>
      <c r="H766" s="119"/>
    </row>
    <row r="767">
      <c r="B767" s="118"/>
      <c r="H767" s="119"/>
    </row>
    <row r="768">
      <c r="B768" s="118"/>
      <c r="H768" s="119"/>
    </row>
    <row r="769">
      <c r="B769" s="118"/>
      <c r="H769" s="119"/>
    </row>
    <row r="770">
      <c r="B770" s="118"/>
      <c r="H770" s="119"/>
    </row>
    <row r="771">
      <c r="B771" s="118"/>
      <c r="H771" s="119"/>
    </row>
    <row r="772">
      <c r="B772" s="118"/>
      <c r="H772" s="119"/>
    </row>
    <row r="773">
      <c r="B773" s="118"/>
      <c r="H773" s="119"/>
    </row>
    <row r="774">
      <c r="B774" s="118"/>
      <c r="H774" s="119"/>
    </row>
    <row r="775">
      <c r="B775" s="118"/>
      <c r="H775" s="119"/>
    </row>
    <row r="776">
      <c r="B776" s="118"/>
      <c r="H776" s="119"/>
    </row>
    <row r="777">
      <c r="B777" s="118"/>
      <c r="H777" s="119"/>
    </row>
    <row r="778">
      <c r="B778" s="118"/>
      <c r="H778" s="119"/>
    </row>
    <row r="779">
      <c r="B779" s="118"/>
      <c r="H779" s="119"/>
    </row>
    <row r="780">
      <c r="B780" s="118"/>
      <c r="H780" s="119"/>
    </row>
    <row r="781">
      <c r="B781" s="118"/>
      <c r="H781" s="119"/>
    </row>
    <row r="782">
      <c r="B782" s="118"/>
      <c r="H782" s="119"/>
    </row>
    <row r="783">
      <c r="B783" s="118"/>
      <c r="H783" s="119"/>
    </row>
    <row r="784">
      <c r="B784" s="118"/>
      <c r="H784" s="119"/>
    </row>
    <row r="785">
      <c r="B785" s="118"/>
      <c r="H785" s="119"/>
    </row>
    <row r="786">
      <c r="B786" s="118"/>
      <c r="H786" s="119"/>
    </row>
    <row r="787">
      <c r="B787" s="118"/>
      <c r="H787" s="119"/>
    </row>
    <row r="788">
      <c r="B788" s="118"/>
      <c r="H788" s="119"/>
    </row>
    <row r="789">
      <c r="B789" s="118"/>
      <c r="H789" s="119"/>
    </row>
    <row r="790">
      <c r="B790" s="118"/>
      <c r="H790" s="119"/>
    </row>
    <row r="791">
      <c r="B791" s="118"/>
      <c r="H791" s="119"/>
    </row>
    <row r="792">
      <c r="B792" s="118"/>
      <c r="H792" s="119"/>
    </row>
    <row r="793">
      <c r="B793" s="118"/>
      <c r="H793" s="119"/>
    </row>
    <row r="794">
      <c r="B794" s="118"/>
      <c r="H794" s="119"/>
    </row>
    <row r="795">
      <c r="B795" s="118"/>
      <c r="H795" s="119"/>
    </row>
    <row r="796">
      <c r="B796" s="118"/>
      <c r="H796" s="119"/>
    </row>
    <row r="797">
      <c r="B797" s="118"/>
      <c r="H797" s="119"/>
    </row>
    <row r="798">
      <c r="B798" s="118"/>
      <c r="H798" s="119"/>
    </row>
    <row r="799">
      <c r="B799" s="118"/>
      <c r="H799" s="119"/>
    </row>
    <row r="800">
      <c r="B800" s="118"/>
      <c r="H800" s="119"/>
    </row>
    <row r="801">
      <c r="B801" s="118"/>
      <c r="H801" s="119"/>
    </row>
    <row r="802">
      <c r="B802" s="118"/>
      <c r="H802" s="119"/>
    </row>
    <row r="803">
      <c r="B803" s="118"/>
      <c r="H803" s="119"/>
    </row>
    <row r="804">
      <c r="B804" s="118"/>
      <c r="H804" s="119"/>
    </row>
    <row r="805">
      <c r="B805" s="118"/>
      <c r="H805" s="119"/>
    </row>
    <row r="806">
      <c r="B806" s="118"/>
      <c r="H806" s="119"/>
    </row>
    <row r="807">
      <c r="B807" s="118"/>
      <c r="H807" s="119"/>
    </row>
    <row r="808">
      <c r="B808" s="118"/>
      <c r="H808" s="119"/>
    </row>
    <row r="809">
      <c r="B809" s="118"/>
      <c r="H809" s="119"/>
    </row>
    <row r="810">
      <c r="B810" s="118"/>
      <c r="H810" s="119"/>
    </row>
    <row r="811">
      <c r="B811" s="118"/>
      <c r="H811" s="119"/>
    </row>
    <row r="812">
      <c r="B812" s="118"/>
      <c r="H812" s="119"/>
    </row>
    <row r="813">
      <c r="B813" s="118"/>
      <c r="H813" s="119"/>
    </row>
    <row r="814">
      <c r="B814" s="118"/>
      <c r="H814" s="119"/>
    </row>
    <row r="815">
      <c r="B815" s="118"/>
      <c r="H815" s="119"/>
    </row>
    <row r="816">
      <c r="B816" s="118"/>
      <c r="H816" s="119"/>
    </row>
    <row r="817">
      <c r="B817" s="118"/>
      <c r="H817" s="119"/>
    </row>
    <row r="818">
      <c r="B818" s="118"/>
      <c r="H818" s="119"/>
    </row>
    <row r="819">
      <c r="B819" s="118"/>
      <c r="H819" s="119"/>
    </row>
    <row r="820">
      <c r="B820" s="118"/>
      <c r="H820" s="119"/>
    </row>
    <row r="821">
      <c r="B821" s="118"/>
      <c r="H821" s="119"/>
    </row>
    <row r="822">
      <c r="B822" s="118"/>
      <c r="H822" s="119"/>
    </row>
    <row r="823">
      <c r="B823" s="118"/>
      <c r="H823" s="119"/>
    </row>
    <row r="824">
      <c r="B824" s="118"/>
      <c r="H824" s="119"/>
    </row>
    <row r="825">
      <c r="B825" s="118"/>
      <c r="H825" s="119"/>
    </row>
    <row r="826">
      <c r="B826" s="118"/>
      <c r="H826" s="119"/>
    </row>
    <row r="827">
      <c r="B827" s="118"/>
      <c r="H827" s="119"/>
    </row>
    <row r="828">
      <c r="B828" s="118"/>
      <c r="H828" s="119"/>
    </row>
    <row r="829">
      <c r="B829" s="118"/>
      <c r="H829" s="119"/>
    </row>
    <row r="830">
      <c r="B830" s="118"/>
      <c r="H830" s="119"/>
    </row>
    <row r="831">
      <c r="B831" s="118"/>
      <c r="H831" s="119"/>
    </row>
    <row r="832">
      <c r="B832" s="118"/>
      <c r="H832" s="119"/>
    </row>
    <row r="833">
      <c r="B833" s="118"/>
      <c r="H833" s="119"/>
    </row>
    <row r="834">
      <c r="B834" s="118"/>
      <c r="H834" s="119"/>
    </row>
    <row r="835">
      <c r="B835" s="118"/>
      <c r="H835" s="119"/>
    </row>
    <row r="836">
      <c r="B836" s="118"/>
      <c r="H836" s="119"/>
    </row>
    <row r="837">
      <c r="B837" s="118"/>
      <c r="H837" s="119"/>
    </row>
    <row r="838">
      <c r="B838" s="118"/>
      <c r="H838" s="119"/>
    </row>
    <row r="839">
      <c r="B839" s="118"/>
      <c r="H839" s="119"/>
    </row>
    <row r="840">
      <c r="B840" s="118"/>
      <c r="H840" s="119"/>
    </row>
    <row r="841">
      <c r="B841" s="118"/>
      <c r="H841" s="119"/>
    </row>
    <row r="842">
      <c r="B842" s="118"/>
      <c r="H842" s="119"/>
    </row>
    <row r="843">
      <c r="B843" s="118"/>
      <c r="H843" s="119"/>
    </row>
    <row r="844">
      <c r="B844" s="118"/>
      <c r="H844" s="119"/>
    </row>
    <row r="845">
      <c r="B845" s="118"/>
      <c r="H845" s="119"/>
    </row>
    <row r="846">
      <c r="B846" s="118"/>
      <c r="H846" s="119"/>
    </row>
    <row r="847">
      <c r="B847" s="118"/>
      <c r="H847" s="119"/>
    </row>
    <row r="848">
      <c r="B848" s="118"/>
      <c r="H848" s="119"/>
    </row>
    <row r="849">
      <c r="B849" s="118"/>
      <c r="H849" s="119"/>
    </row>
    <row r="850">
      <c r="B850" s="118"/>
      <c r="H850" s="119"/>
    </row>
    <row r="851">
      <c r="B851" s="118"/>
      <c r="H851" s="119"/>
    </row>
    <row r="852">
      <c r="B852" s="118"/>
      <c r="H852" s="119"/>
    </row>
    <row r="853">
      <c r="B853" s="118"/>
      <c r="H853" s="119"/>
    </row>
    <row r="854">
      <c r="B854" s="118"/>
      <c r="H854" s="119"/>
    </row>
    <row r="855">
      <c r="B855" s="118"/>
      <c r="H855" s="119"/>
    </row>
    <row r="856">
      <c r="B856" s="118"/>
      <c r="H856" s="119"/>
    </row>
    <row r="857">
      <c r="B857" s="118"/>
      <c r="H857" s="119"/>
    </row>
    <row r="858">
      <c r="B858" s="118"/>
      <c r="H858" s="119"/>
    </row>
    <row r="859">
      <c r="B859" s="118"/>
      <c r="H859" s="119"/>
    </row>
    <row r="860">
      <c r="B860" s="118"/>
      <c r="H860" s="119"/>
    </row>
    <row r="861">
      <c r="B861" s="118"/>
      <c r="H861" s="119"/>
    </row>
    <row r="862">
      <c r="B862" s="118"/>
      <c r="H862" s="119"/>
    </row>
    <row r="863">
      <c r="B863" s="118"/>
      <c r="H863" s="119"/>
    </row>
    <row r="864">
      <c r="B864" s="118"/>
      <c r="H864" s="119"/>
    </row>
    <row r="865">
      <c r="B865" s="118"/>
      <c r="H865" s="119"/>
    </row>
    <row r="866">
      <c r="B866" s="118"/>
      <c r="H866" s="119"/>
    </row>
    <row r="867">
      <c r="B867" s="118"/>
      <c r="H867" s="119"/>
    </row>
    <row r="868">
      <c r="B868" s="118"/>
      <c r="H868" s="119"/>
    </row>
    <row r="869">
      <c r="B869" s="118"/>
      <c r="H869" s="119"/>
    </row>
    <row r="870">
      <c r="B870" s="118"/>
      <c r="H870" s="119"/>
    </row>
    <row r="871">
      <c r="B871" s="118"/>
      <c r="H871" s="119"/>
    </row>
    <row r="872">
      <c r="B872" s="118"/>
      <c r="H872" s="119"/>
    </row>
    <row r="873">
      <c r="B873" s="118"/>
      <c r="H873" s="119"/>
    </row>
    <row r="874">
      <c r="B874" s="118"/>
      <c r="H874" s="119"/>
    </row>
    <row r="875">
      <c r="B875" s="118"/>
      <c r="H875" s="119"/>
    </row>
    <row r="876">
      <c r="B876" s="118"/>
      <c r="H876" s="119"/>
    </row>
    <row r="877">
      <c r="B877" s="118"/>
      <c r="H877" s="119"/>
    </row>
    <row r="878">
      <c r="B878" s="118"/>
      <c r="H878" s="119"/>
    </row>
    <row r="879">
      <c r="B879" s="118"/>
      <c r="H879" s="119"/>
    </row>
    <row r="880">
      <c r="B880" s="118"/>
      <c r="H880" s="119"/>
    </row>
    <row r="881">
      <c r="B881" s="118"/>
      <c r="H881" s="119"/>
    </row>
    <row r="882">
      <c r="B882" s="118"/>
      <c r="H882" s="119"/>
    </row>
    <row r="883">
      <c r="B883" s="118"/>
      <c r="H883" s="119"/>
    </row>
    <row r="884">
      <c r="B884" s="118"/>
      <c r="H884" s="119"/>
    </row>
    <row r="885">
      <c r="B885" s="118"/>
      <c r="H885" s="119"/>
    </row>
    <row r="886">
      <c r="B886" s="118"/>
      <c r="H886" s="119"/>
    </row>
    <row r="887">
      <c r="B887" s="118"/>
      <c r="H887" s="119"/>
    </row>
    <row r="888">
      <c r="B888" s="118"/>
      <c r="H888" s="119"/>
    </row>
    <row r="889">
      <c r="B889" s="118"/>
      <c r="H889" s="119"/>
    </row>
    <row r="890">
      <c r="B890" s="118"/>
      <c r="H890" s="119"/>
    </row>
    <row r="891">
      <c r="B891" s="118"/>
      <c r="H891" s="119"/>
    </row>
    <row r="892">
      <c r="B892" s="118"/>
      <c r="H892" s="119"/>
    </row>
    <row r="893">
      <c r="B893" s="118"/>
      <c r="H893" s="119"/>
    </row>
    <row r="894">
      <c r="B894" s="118"/>
      <c r="H894" s="119"/>
    </row>
    <row r="895">
      <c r="B895" s="118"/>
      <c r="H895" s="119"/>
    </row>
    <row r="896">
      <c r="B896" s="118"/>
      <c r="H896" s="119"/>
    </row>
    <row r="897">
      <c r="B897" s="118"/>
      <c r="H897" s="119"/>
    </row>
    <row r="898">
      <c r="B898" s="118"/>
      <c r="H898" s="119"/>
    </row>
    <row r="899">
      <c r="B899" s="118"/>
      <c r="H899" s="119"/>
    </row>
    <row r="900">
      <c r="B900" s="118"/>
      <c r="H900" s="119"/>
    </row>
    <row r="901">
      <c r="B901" s="118"/>
      <c r="H901" s="119"/>
    </row>
    <row r="902">
      <c r="B902" s="118"/>
      <c r="H902" s="119"/>
    </row>
    <row r="903">
      <c r="B903" s="118"/>
      <c r="H903" s="119"/>
    </row>
    <row r="904">
      <c r="B904" s="118"/>
      <c r="H904" s="119"/>
    </row>
    <row r="905">
      <c r="B905" s="118"/>
      <c r="H905" s="119"/>
    </row>
    <row r="906">
      <c r="B906" s="118"/>
      <c r="H906" s="119"/>
    </row>
    <row r="907">
      <c r="B907" s="118"/>
      <c r="H907" s="119"/>
    </row>
    <row r="908">
      <c r="B908" s="118"/>
      <c r="H908" s="119"/>
    </row>
    <row r="909">
      <c r="B909" s="118"/>
      <c r="H909" s="119"/>
    </row>
    <row r="910">
      <c r="B910" s="118"/>
      <c r="H910" s="119"/>
    </row>
    <row r="911">
      <c r="B911" s="118"/>
      <c r="H911" s="119"/>
    </row>
    <row r="912">
      <c r="B912" s="118"/>
      <c r="H912" s="119"/>
    </row>
    <row r="913">
      <c r="B913" s="118"/>
      <c r="H913" s="119"/>
    </row>
    <row r="914">
      <c r="B914" s="118"/>
      <c r="H914" s="119"/>
    </row>
    <row r="915">
      <c r="B915" s="118"/>
      <c r="H915" s="119"/>
    </row>
    <row r="916">
      <c r="B916" s="118"/>
      <c r="H916" s="119"/>
    </row>
    <row r="917">
      <c r="B917" s="118"/>
      <c r="H917" s="119"/>
    </row>
    <row r="918">
      <c r="B918" s="118"/>
      <c r="H918" s="119"/>
    </row>
    <row r="919">
      <c r="B919" s="118"/>
      <c r="H919" s="119"/>
    </row>
    <row r="920">
      <c r="B920" s="118"/>
      <c r="H920" s="119"/>
    </row>
    <row r="921">
      <c r="B921" s="118"/>
      <c r="H921" s="119"/>
    </row>
    <row r="922">
      <c r="B922" s="118"/>
      <c r="H922" s="119"/>
    </row>
    <row r="923">
      <c r="B923" s="118"/>
      <c r="H923" s="119"/>
    </row>
    <row r="924">
      <c r="B924" s="118"/>
      <c r="H924" s="119"/>
    </row>
    <row r="925">
      <c r="B925" s="118"/>
      <c r="H925" s="119"/>
    </row>
    <row r="926">
      <c r="B926" s="118"/>
      <c r="H926" s="119"/>
    </row>
    <row r="927">
      <c r="B927" s="118"/>
      <c r="H927" s="119"/>
    </row>
    <row r="928">
      <c r="B928" s="118"/>
      <c r="H928" s="119"/>
    </row>
    <row r="929">
      <c r="B929" s="118"/>
      <c r="H929" s="119"/>
    </row>
    <row r="930">
      <c r="B930" s="118"/>
      <c r="H930" s="119"/>
    </row>
    <row r="931">
      <c r="B931" s="118"/>
      <c r="H931" s="119"/>
    </row>
    <row r="932">
      <c r="B932" s="118"/>
      <c r="H932" s="119"/>
    </row>
    <row r="933">
      <c r="B933" s="118"/>
      <c r="H933" s="119"/>
    </row>
    <row r="934">
      <c r="B934" s="118"/>
      <c r="H934" s="119"/>
    </row>
    <row r="935">
      <c r="B935" s="118"/>
      <c r="H935" s="119"/>
    </row>
    <row r="936">
      <c r="B936" s="118"/>
      <c r="H936" s="119"/>
    </row>
    <row r="937">
      <c r="B937" s="118"/>
      <c r="H937" s="119"/>
    </row>
    <row r="938">
      <c r="B938" s="118"/>
      <c r="H938" s="119"/>
    </row>
    <row r="939">
      <c r="B939" s="118"/>
      <c r="H939" s="119"/>
    </row>
    <row r="940">
      <c r="B940" s="118"/>
      <c r="H940" s="119"/>
    </row>
    <row r="941">
      <c r="B941" s="118"/>
      <c r="H941" s="119"/>
    </row>
    <row r="942">
      <c r="B942" s="118"/>
      <c r="H942" s="119"/>
    </row>
    <row r="943">
      <c r="B943" s="118"/>
      <c r="H943" s="119"/>
    </row>
    <row r="944">
      <c r="B944" s="118"/>
      <c r="H944" s="119"/>
    </row>
    <row r="945">
      <c r="B945" s="118"/>
      <c r="H945" s="119"/>
    </row>
    <row r="946">
      <c r="B946" s="118"/>
      <c r="H946" s="119"/>
    </row>
    <row r="947">
      <c r="B947" s="118"/>
      <c r="H947" s="119"/>
    </row>
    <row r="948">
      <c r="B948" s="118"/>
      <c r="H948" s="119"/>
    </row>
    <row r="949">
      <c r="B949" s="118"/>
      <c r="H949" s="119"/>
    </row>
    <row r="950">
      <c r="B950" s="118"/>
      <c r="H950" s="119"/>
    </row>
    <row r="951">
      <c r="B951" s="118"/>
      <c r="H951" s="119"/>
    </row>
    <row r="952">
      <c r="B952" s="118"/>
      <c r="H952" s="119"/>
    </row>
    <row r="953">
      <c r="B953" s="118"/>
      <c r="H953" s="119"/>
    </row>
    <row r="954">
      <c r="B954" s="118"/>
      <c r="H954" s="119"/>
    </row>
    <row r="955">
      <c r="B955" s="118"/>
      <c r="H955" s="119"/>
    </row>
    <row r="956">
      <c r="B956" s="118"/>
      <c r="H956" s="119"/>
    </row>
    <row r="957">
      <c r="B957" s="118"/>
      <c r="H957" s="119"/>
    </row>
    <row r="958">
      <c r="B958" s="118"/>
      <c r="H958" s="119"/>
    </row>
    <row r="959">
      <c r="B959" s="118"/>
      <c r="H959" s="119"/>
    </row>
    <row r="960">
      <c r="B960" s="118"/>
      <c r="H960" s="119"/>
    </row>
    <row r="961">
      <c r="B961" s="118"/>
      <c r="H961" s="119"/>
    </row>
    <row r="962">
      <c r="B962" s="118"/>
      <c r="H962" s="119"/>
    </row>
    <row r="963">
      <c r="B963" s="118"/>
      <c r="H963" s="119"/>
    </row>
    <row r="964">
      <c r="B964" s="118"/>
      <c r="H964" s="119"/>
    </row>
    <row r="965">
      <c r="B965" s="118"/>
      <c r="H965" s="119"/>
    </row>
    <row r="966">
      <c r="B966" s="118"/>
      <c r="H966" s="119"/>
    </row>
    <row r="967">
      <c r="B967" s="118"/>
      <c r="H967" s="119"/>
    </row>
    <row r="968">
      <c r="B968" s="118"/>
      <c r="H968" s="119"/>
    </row>
    <row r="969">
      <c r="B969" s="118"/>
      <c r="H969" s="119"/>
    </row>
    <row r="970">
      <c r="B970" s="118"/>
      <c r="H970" s="119"/>
    </row>
    <row r="971">
      <c r="B971" s="118"/>
      <c r="H971" s="119"/>
    </row>
    <row r="972">
      <c r="B972" s="118"/>
      <c r="H972" s="119"/>
    </row>
    <row r="973">
      <c r="B973" s="118"/>
      <c r="H973" s="119"/>
    </row>
    <row r="974">
      <c r="B974" s="118"/>
      <c r="H974" s="119"/>
    </row>
    <row r="975">
      <c r="B975" s="118"/>
      <c r="H975" s="119"/>
    </row>
    <row r="976">
      <c r="B976" s="118"/>
      <c r="H976" s="119"/>
    </row>
    <row r="977">
      <c r="B977" s="118"/>
      <c r="H977" s="119"/>
    </row>
    <row r="978">
      <c r="B978" s="118"/>
      <c r="H978" s="119"/>
    </row>
    <row r="979">
      <c r="B979" s="118"/>
      <c r="H979" s="119"/>
    </row>
    <row r="980">
      <c r="B980" s="118"/>
      <c r="H980" s="119"/>
    </row>
    <row r="981">
      <c r="B981" s="118"/>
      <c r="H981" s="119"/>
    </row>
    <row r="982">
      <c r="B982" s="118"/>
      <c r="H982" s="119"/>
    </row>
    <row r="983">
      <c r="B983" s="118"/>
      <c r="H983" s="119"/>
    </row>
    <row r="984">
      <c r="B984" s="118"/>
      <c r="H984" s="119"/>
    </row>
    <row r="985">
      <c r="B985" s="118"/>
      <c r="H985" s="119"/>
    </row>
    <row r="986">
      <c r="B986" s="118"/>
      <c r="H986" s="119"/>
    </row>
    <row r="987">
      <c r="B987" s="118"/>
      <c r="H987" s="119"/>
    </row>
    <row r="988">
      <c r="B988" s="118"/>
      <c r="H988" s="119"/>
    </row>
    <row r="989">
      <c r="B989" s="118"/>
      <c r="H989" s="119"/>
    </row>
    <row r="990">
      <c r="B990" s="118"/>
      <c r="H990" s="119"/>
    </row>
    <row r="991">
      <c r="B991" s="118"/>
      <c r="H991" s="119"/>
    </row>
    <row r="992">
      <c r="B992" s="118"/>
      <c r="H992" s="119"/>
    </row>
    <row r="993">
      <c r="B993" s="118"/>
      <c r="H993" s="119"/>
    </row>
    <row r="994">
      <c r="B994" s="118"/>
      <c r="H994" s="119"/>
    </row>
    <row r="995">
      <c r="B995" s="118"/>
      <c r="H995" s="119"/>
    </row>
    <row r="996">
      <c r="B996" s="118"/>
      <c r="H996" s="119"/>
    </row>
    <row r="997">
      <c r="B997" s="118"/>
      <c r="H997" s="119"/>
    </row>
    <row r="998">
      <c r="B998" s="118"/>
      <c r="H998" s="119"/>
    </row>
    <row r="999">
      <c r="B999" s="118"/>
      <c r="H999" s="119"/>
    </row>
    <row r="1000">
      <c r="B1000" s="118"/>
      <c r="H1000" s="119"/>
    </row>
    <row r="1001">
      <c r="B1001" s="118"/>
      <c r="H1001" s="119"/>
    </row>
  </sheetData>
  <mergeCells count="5">
    <mergeCell ref="B13:C13"/>
    <mergeCell ref="B15:D15"/>
    <mergeCell ref="B2:D2"/>
    <mergeCell ref="F2:H2"/>
    <mergeCell ref="F15:H15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13.57"/>
    <col customWidth="1" min="4" max="4" width="17.0"/>
    <col customWidth="1" min="13" max="13" width="16.43"/>
    <col customWidth="1" min="24" max="24" width="15.86"/>
  </cols>
  <sheetData>
    <row r="1">
      <c r="A1" s="1"/>
      <c r="B1" s="2"/>
      <c r="C1" s="3"/>
      <c r="D1" s="11" t="s">
        <v>198</v>
      </c>
      <c r="E1" s="153" t="s">
        <v>199</v>
      </c>
      <c r="F1" s="3"/>
      <c r="G1" s="154" t="s">
        <v>200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155"/>
    </row>
    <row r="2">
      <c r="A2" s="13"/>
      <c r="C2" s="15"/>
      <c r="D2" s="9" t="s">
        <v>201</v>
      </c>
      <c r="E2" s="156">
        <v>1110.0</v>
      </c>
      <c r="F2" s="15"/>
      <c r="S2" s="15"/>
      <c r="T2" s="155"/>
    </row>
    <row r="3">
      <c r="A3" s="17"/>
      <c r="B3" s="19"/>
      <c r="C3" s="21"/>
      <c r="D3" s="26" t="s">
        <v>202</v>
      </c>
      <c r="E3" s="157" t="s">
        <v>40</v>
      </c>
      <c r="F3" s="21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21"/>
      <c r="T3" s="155"/>
    </row>
    <row r="4">
      <c r="A4" s="158" t="s">
        <v>203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N4" s="30"/>
      <c r="O4" s="30"/>
      <c r="P4" s="30"/>
      <c r="Q4" s="30"/>
      <c r="R4" s="30"/>
      <c r="S4" s="30"/>
      <c r="T4" s="30"/>
      <c r="U4" s="30"/>
      <c r="V4" s="30"/>
    </row>
    <row r="5">
      <c r="A5" s="42" t="s">
        <v>204</v>
      </c>
      <c r="B5" s="45" t="s">
        <v>33</v>
      </c>
      <c r="C5" s="45" t="s">
        <v>205</v>
      </c>
      <c r="D5" s="45" t="s">
        <v>206</v>
      </c>
      <c r="E5" s="45" t="s">
        <v>207</v>
      </c>
      <c r="F5" s="45" t="s">
        <v>208</v>
      </c>
      <c r="G5" s="45" t="s">
        <v>209</v>
      </c>
      <c r="H5" s="45" t="s">
        <v>210</v>
      </c>
      <c r="I5" s="45" t="s">
        <v>211</v>
      </c>
      <c r="J5" s="45" t="s">
        <v>212</v>
      </c>
      <c r="K5" s="45" t="s">
        <v>213</v>
      </c>
      <c r="L5" s="45" t="s">
        <v>214</v>
      </c>
      <c r="M5" s="45" t="s">
        <v>215</v>
      </c>
      <c r="N5" s="45" t="s">
        <v>216</v>
      </c>
      <c r="O5" s="45" t="s">
        <v>217</v>
      </c>
      <c r="P5" s="45" t="s">
        <v>218</v>
      </c>
      <c r="Q5" s="45" t="s">
        <v>219</v>
      </c>
      <c r="R5" s="45" t="s">
        <v>220</v>
      </c>
      <c r="S5" s="159" t="s">
        <v>221</v>
      </c>
      <c r="T5" s="160"/>
    </row>
    <row r="6">
      <c r="A6" s="67" t="str">
        <f t="shared" ref="A6:A250" si="1">CHOOSE(weekday(B6),"Sun","Mon","Tue","Wed","Thu","Fri","Sat")</f>
        <v>Wed</v>
      </c>
      <c r="B6" s="69">
        <v>43586.0</v>
      </c>
      <c r="S6" s="15"/>
    </row>
    <row r="7">
      <c r="A7" s="67" t="str">
        <f t="shared" si="1"/>
        <v>Thu</v>
      </c>
      <c r="B7" s="69">
        <v>43587.0</v>
      </c>
      <c r="S7" s="15"/>
    </row>
    <row r="8">
      <c r="A8" s="67" t="str">
        <f t="shared" si="1"/>
        <v>Fri</v>
      </c>
      <c r="B8" s="69">
        <v>43588.0</v>
      </c>
      <c r="S8" s="15"/>
    </row>
    <row r="9">
      <c r="A9" s="67" t="str">
        <f t="shared" si="1"/>
        <v>Sat</v>
      </c>
      <c r="B9" s="69">
        <v>43589.0</v>
      </c>
      <c r="S9" s="15"/>
    </row>
    <row r="10">
      <c r="A10" s="67" t="str">
        <f t="shared" si="1"/>
        <v>Sun</v>
      </c>
      <c r="B10" s="69">
        <v>43590.0</v>
      </c>
      <c r="S10" s="15"/>
    </row>
    <row r="11">
      <c r="A11" s="67" t="str">
        <f t="shared" si="1"/>
        <v>Mon</v>
      </c>
      <c r="B11" s="69">
        <v>43591.0</v>
      </c>
      <c r="S11" s="15"/>
    </row>
    <row r="12">
      <c r="A12" s="67" t="str">
        <f t="shared" si="1"/>
        <v>Tue</v>
      </c>
      <c r="B12" s="69">
        <v>43592.0</v>
      </c>
      <c r="S12" s="15"/>
    </row>
    <row r="13">
      <c r="A13" s="67" t="str">
        <f t="shared" si="1"/>
        <v>Wed</v>
      </c>
      <c r="B13" s="69">
        <v>43593.0</v>
      </c>
      <c r="S13" s="15"/>
    </row>
    <row r="14">
      <c r="A14" s="67" t="str">
        <f t="shared" si="1"/>
        <v>Thu</v>
      </c>
      <c r="B14" s="69">
        <v>43594.0</v>
      </c>
      <c r="S14" s="15"/>
    </row>
    <row r="15">
      <c r="A15" s="67" t="str">
        <f t="shared" si="1"/>
        <v>Fri</v>
      </c>
      <c r="B15" s="69">
        <v>43595.0</v>
      </c>
      <c r="S15" s="15"/>
    </row>
    <row r="16">
      <c r="A16" s="67" t="str">
        <f t="shared" si="1"/>
        <v>Sat</v>
      </c>
      <c r="B16" s="69">
        <v>43596.0</v>
      </c>
      <c r="S16" s="15"/>
    </row>
    <row r="17">
      <c r="A17" s="67" t="str">
        <f t="shared" si="1"/>
        <v>Sun</v>
      </c>
      <c r="B17" s="69">
        <v>43597.0</v>
      </c>
      <c r="S17" s="15"/>
    </row>
    <row r="18">
      <c r="A18" s="67" t="str">
        <f t="shared" si="1"/>
        <v>Mon</v>
      </c>
      <c r="B18" s="69">
        <v>43598.0</v>
      </c>
      <c r="S18" s="15"/>
    </row>
    <row r="19">
      <c r="A19" s="67" t="str">
        <f t="shared" si="1"/>
        <v>Tue</v>
      </c>
      <c r="B19" s="69">
        <v>43599.0</v>
      </c>
      <c r="S19" s="15"/>
    </row>
    <row r="20">
      <c r="A20" s="67" t="str">
        <f t="shared" si="1"/>
        <v>Wed</v>
      </c>
      <c r="B20" s="69">
        <v>43600.0</v>
      </c>
      <c r="S20" s="15"/>
    </row>
    <row r="21">
      <c r="A21" s="67" t="str">
        <f t="shared" si="1"/>
        <v>Thu</v>
      </c>
      <c r="B21" s="69">
        <v>43601.0</v>
      </c>
      <c r="S21" s="15"/>
    </row>
    <row r="22">
      <c r="A22" s="67" t="str">
        <f t="shared" si="1"/>
        <v>Fri</v>
      </c>
      <c r="B22" s="69">
        <v>43602.0</v>
      </c>
      <c r="F22" s="4"/>
      <c r="G22" s="4"/>
      <c r="N22" s="4"/>
      <c r="O22" s="4"/>
      <c r="S22" s="15"/>
    </row>
    <row r="23">
      <c r="A23" s="67" t="str">
        <f t="shared" si="1"/>
        <v>Sat</v>
      </c>
      <c r="B23" s="69">
        <v>43603.0</v>
      </c>
      <c r="F23" s="4"/>
      <c r="S23" s="15"/>
    </row>
    <row r="24">
      <c r="A24" s="67" t="str">
        <f t="shared" si="1"/>
        <v>Sun</v>
      </c>
      <c r="B24" s="69">
        <v>43604.0</v>
      </c>
      <c r="F24" s="4"/>
      <c r="G24" s="4"/>
      <c r="N24" s="4"/>
      <c r="O24" s="4"/>
      <c r="S24" s="15"/>
    </row>
    <row r="25">
      <c r="A25" s="67" t="str">
        <f t="shared" si="1"/>
        <v>Mon</v>
      </c>
      <c r="B25" s="69">
        <v>43605.0</v>
      </c>
      <c r="F25" s="4"/>
      <c r="S25" s="15"/>
    </row>
    <row r="26">
      <c r="A26" s="67" t="str">
        <f t="shared" si="1"/>
        <v>Tue</v>
      </c>
      <c r="B26" s="69">
        <v>43606.0</v>
      </c>
      <c r="H26" s="4"/>
      <c r="S26" s="15"/>
    </row>
    <row r="27">
      <c r="A27" s="67" t="str">
        <f t="shared" si="1"/>
        <v>Wed</v>
      </c>
      <c r="B27" s="69">
        <v>43607.0</v>
      </c>
      <c r="D27" s="4">
        <v>485.0</v>
      </c>
      <c r="E27" s="4" t="s">
        <v>222</v>
      </c>
      <c r="F27" s="4" t="s">
        <v>223</v>
      </c>
      <c r="G27" s="4" t="s">
        <v>223</v>
      </c>
      <c r="I27" s="4" t="s">
        <v>224</v>
      </c>
      <c r="L27" s="4" t="s">
        <v>225</v>
      </c>
      <c r="M27" s="4" t="s">
        <v>226</v>
      </c>
      <c r="N27" s="4"/>
      <c r="O27" s="4"/>
      <c r="R27" s="4" t="s">
        <v>227</v>
      </c>
      <c r="S27" s="15"/>
    </row>
    <row r="28">
      <c r="A28" s="67" t="str">
        <f t="shared" si="1"/>
        <v>Thu</v>
      </c>
      <c r="B28" s="69">
        <v>43608.0</v>
      </c>
      <c r="D28" s="4">
        <v>485.0</v>
      </c>
      <c r="E28" s="4" t="s">
        <v>222</v>
      </c>
      <c r="F28" s="4" t="s">
        <v>223</v>
      </c>
      <c r="I28" s="4" t="s">
        <v>224</v>
      </c>
      <c r="S28" s="15"/>
    </row>
    <row r="29">
      <c r="A29" s="67" t="str">
        <f t="shared" si="1"/>
        <v>Fri</v>
      </c>
      <c r="B29" s="69">
        <v>43609.0</v>
      </c>
      <c r="D29" s="4">
        <v>485.0</v>
      </c>
      <c r="E29" s="4" t="s">
        <v>222</v>
      </c>
      <c r="F29" s="4" t="s">
        <v>223</v>
      </c>
      <c r="G29" s="4"/>
      <c r="H29" s="4"/>
      <c r="I29" s="4" t="s">
        <v>224</v>
      </c>
      <c r="M29" s="4"/>
      <c r="N29" s="4"/>
      <c r="O29" s="4"/>
      <c r="S29" s="15"/>
    </row>
    <row r="30">
      <c r="A30" s="67" t="str">
        <f t="shared" si="1"/>
        <v>Sat</v>
      </c>
      <c r="B30" s="69">
        <v>43610.0</v>
      </c>
      <c r="D30" s="4">
        <v>485.0</v>
      </c>
      <c r="E30" s="4" t="s">
        <v>222</v>
      </c>
      <c r="F30" s="4" t="s">
        <v>223</v>
      </c>
      <c r="I30" s="4" t="s">
        <v>224</v>
      </c>
      <c r="S30" s="15"/>
    </row>
    <row r="31">
      <c r="A31" s="67" t="str">
        <f t="shared" si="1"/>
        <v>Sun</v>
      </c>
      <c r="B31" s="69">
        <v>43611.0</v>
      </c>
      <c r="D31" s="4">
        <v>485.0</v>
      </c>
      <c r="E31" s="4" t="s">
        <v>222</v>
      </c>
      <c r="F31" s="4" t="s">
        <v>223</v>
      </c>
      <c r="H31" s="4"/>
      <c r="I31" s="4" t="s">
        <v>224</v>
      </c>
      <c r="S31" s="15"/>
    </row>
    <row r="32">
      <c r="A32" s="67" t="str">
        <f t="shared" si="1"/>
        <v>Mon</v>
      </c>
      <c r="B32" s="69">
        <v>43612.0</v>
      </c>
      <c r="D32" s="4">
        <v>485.0</v>
      </c>
      <c r="E32" s="4" t="s">
        <v>222</v>
      </c>
      <c r="F32" s="4" t="s">
        <v>223</v>
      </c>
      <c r="G32" s="4"/>
      <c r="I32" s="4" t="s">
        <v>224</v>
      </c>
      <c r="M32" s="4"/>
      <c r="N32" s="4"/>
      <c r="O32" s="4"/>
      <c r="S32" s="15"/>
    </row>
    <row r="33">
      <c r="A33" s="67" t="str">
        <f t="shared" si="1"/>
        <v>Tue</v>
      </c>
      <c r="B33" s="69">
        <v>43613.0</v>
      </c>
      <c r="F33" s="4"/>
      <c r="H33" s="4" t="s">
        <v>223</v>
      </c>
      <c r="S33" s="15"/>
    </row>
    <row r="34">
      <c r="A34" s="67" t="str">
        <f t="shared" si="1"/>
        <v>Wed</v>
      </c>
      <c r="B34" s="69">
        <v>43614.0</v>
      </c>
      <c r="F34" s="4"/>
      <c r="G34" s="4"/>
      <c r="H34" s="4"/>
      <c r="J34" s="4" t="s">
        <v>228</v>
      </c>
      <c r="L34" s="4" t="s">
        <v>229</v>
      </c>
      <c r="M34" s="4"/>
      <c r="N34" s="4"/>
      <c r="O34" s="4"/>
      <c r="S34" s="15"/>
    </row>
    <row r="35">
      <c r="A35" s="67" t="str">
        <f t="shared" si="1"/>
        <v>Thu</v>
      </c>
      <c r="B35" s="69">
        <v>43615.0</v>
      </c>
      <c r="F35" s="4"/>
      <c r="J35" s="4" t="s">
        <v>228</v>
      </c>
      <c r="S35" s="15"/>
    </row>
    <row r="36">
      <c r="A36" s="67" t="str">
        <f t="shared" si="1"/>
        <v>Fri</v>
      </c>
      <c r="B36" s="69">
        <v>43616.0</v>
      </c>
      <c r="D36" s="4">
        <v>259.96</v>
      </c>
      <c r="E36" s="4" t="s">
        <v>222</v>
      </c>
      <c r="F36" s="4" t="s">
        <v>230</v>
      </c>
      <c r="G36" s="4" t="s">
        <v>230</v>
      </c>
      <c r="H36" s="4"/>
      <c r="I36" s="4" t="s">
        <v>224</v>
      </c>
      <c r="K36" s="4" t="s">
        <v>231</v>
      </c>
      <c r="L36" s="4" t="s">
        <v>225</v>
      </c>
      <c r="M36" s="4" t="s">
        <v>226</v>
      </c>
      <c r="N36" s="4" t="s">
        <v>232</v>
      </c>
      <c r="R36" s="4" t="s">
        <v>233</v>
      </c>
      <c r="S36" s="15"/>
    </row>
    <row r="37">
      <c r="A37" s="67" t="str">
        <f t="shared" si="1"/>
        <v>Sat</v>
      </c>
      <c r="B37" s="69">
        <v>43617.0</v>
      </c>
      <c r="D37" s="4">
        <v>259.96</v>
      </c>
      <c r="E37" s="4" t="s">
        <v>222</v>
      </c>
      <c r="F37" s="4" t="s">
        <v>230</v>
      </c>
      <c r="I37" s="4" t="s">
        <v>224</v>
      </c>
      <c r="S37" s="15"/>
    </row>
    <row r="38">
      <c r="A38" s="67" t="str">
        <f t="shared" si="1"/>
        <v>Sun</v>
      </c>
      <c r="B38" s="69">
        <v>43618.0</v>
      </c>
      <c r="D38" s="4">
        <v>259.96</v>
      </c>
      <c r="E38" s="4" t="s">
        <v>222</v>
      </c>
      <c r="F38" s="4" t="s">
        <v>230</v>
      </c>
      <c r="I38" s="4" t="s">
        <v>224</v>
      </c>
      <c r="S38" s="15"/>
    </row>
    <row r="39">
      <c r="A39" s="67" t="str">
        <f t="shared" si="1"/>
        <v>Mon</v>
      </c>
      <c r="B39" s="69">
        <v>43619.0</v>
      </c>
      <c r="H39" s="4" t="s">
        <v>230</v>
      </c>
      <c r="S39" s="15"/>
    </row>
    <row r="40">
      <c r="A40" s="67" t="str">
        <f t="shared" si="1"/>
        <v>Tue</v>
      </c>
      <c r="B40" s="69">
        <v>43620.0</v>
      </c>
      <c r="S40" s="15"/>
    </row>
    <row r="41">
      <c r="A41" s="67" t="str">
        <f t="shared" si="1"/>
        <v>Wed</v>
      </c>
      <c r="B41" s="69">
        <v>43621.0</v>
      </c>
      <c r="S41" s="15"/>
    </row>
    <row r="42">
      <c r="A42" s="67" t="str">
        <f t="shared" si="1"/>
        <v>Thu</v>
      </c>
      <c r="B42" s="69">
        <v>43622.0</v>
      </c>
      <c r="D42" s="161">
        <v>244.925</v>
      </c>
      <c r="E42" s="4" t="s">
        <v>222</v>
      </c>
      <c r="F42" s="4" t="s">
        <v>234</v>
      </c>
      <c r="G42" s="4" t="s">
        <v>234</v>
      </c>
      <c r="I42" s="4" t="s">
        <v>224</v>
      </c>
      <c r="K42" s="4" t="s">
        <v>231</v>
      </c>
      <c r="L42" s="4" t="s">
        <v>229</v>
      </c>
      <c r="M42" s="4" t="s">
        <v>235</v>
      </c>
      <c r="N42" s="4" t="s">
        <v>236</v>
      </c>
      <c r="Q42" s="4" t="s">
        <v>237</v>
      </c>
      <c r="R42" s="4" t="s">
        <v>238</v>
      </c>
      <c r="S42" s="162">
        <v>3.02375139E8</v>
      </c>
    </row>
    <row r="43">
      <c r="A43" s="67" t="str">
        <f t="shared" si="1"/>
        <v>Fri</v>
      </c>
      <c r="B43" s="69">
        <v>43623.0</v>
      </c>
      <c r="D43" s="161">
        <v>244.925</v>
      </c>
      <c r="E43" s="4" t="s">
        <v>222</v>
      </c>
      <c r="F43" s="4" t="s">
        <v>234</v>
      </c>
      <c r="I43" s="4" t="s">
        <v>224</v>
      </c>
      <c r="S43" s="15"/>
    </row>
    <row r="44">
      <c r="A44" s="67" t="str">
        <f t="shared" si="1"/>
        <v>Sat</v>
      </c>
      <c r="B44" s="69">
        <v>43624.0</v>
      </c>
      <c r="D44" s="161">
        <v>244.925</v>
      </c>
      <c r="E44" s="4" t="s">
        <v>222</v>
      </c>
      <c r="F44" s="4" t="s">
        <v>234</v>
      </c>
      <c r="I44" s="4" t="s">
        <v>224</v>
      </c>
      <c r="S44" s="15"/>
    </row>
    <row r="45">
      <c r="A45" s="67" t="str">
        <f t="shared" si="1"/>
        <v>Sun</v>
      </c>
      <c r="B45" s="69">
        <v>43625.0</v>
      </c>
      <c r="D45" s="161">
        <v>244.925</v>
      </c>
      <c r="E45" s="4" t="s">
        <v>222</v>
      </c>
      <c r="F45" s="4" t="s">
        <v>234</v>
      </c>
      <c r="I45" s="4" t="s">
        <v>224</v>
      </c>
      <c r="S45" s="15"/>
    </row>
    <row r="46">
      <c r="A46" s="67" t="str">
        <f t="shared" si="1"/>
        <v>Mon</v>
      </c>
      <c r="B46" s="69">
        <v>43626.0</v>
      </c>
      <c r="H46" s="4" t="s">
        <v>234</v>
      </c>
      <c r="S46" s="15"/>
    </row>
    <row r="47">
      <c r="A47" s="67" t="str">
        <f t="shared" si="1"/>
        <v>Tue</v>
      </c>
      <c r="B47" s="69">
        <v>43627.0</v>
      </c>
      <c r="S47" s="15"/>
    </row>
    <row r="48">
      <c r="A48" s="67" t="str">
        <f t="shared" si="1"/>
        <v>Wed</v>
      </c>
      <c r="B48" s="69">
        <v>43628.0</v>
      </c>
      <c r="S48" s="15"/>
    </row>
    <row r="49">
      <c r="A49" s="67" t="str">
        <f t="shared" si="1"/>
        <v>Thu</v>
      </c>
      <c r="B49" s="69">
        <v>43629.0</v>
      </c>
      <c r="S49" s="15"/>
    </row>
    <row r="50">
      <c r="A50" s="67" t="str">
        <f t="shared" si="1"/>
        <v>Fri</v>
      </c>
      <c r="B50" s="69">
        <v>43630.0</v>
      </c>
      <c r="S50" s="15"/>
    </row>
    <row r="51">
      <c r="A51" s="67" t="str">
        <f t="shared" si="1"/>
        <v>Sat</v>
      </c>
      <c r="B51" s="69">
        <v>43631.0</v>
      </c>
      <c r="S51" s="15"/>
    </row>
    <row r="52">
      <c r="A52" s="67" t="str">
        <f t="shared" si="1"/>
        <v>Sun</v>
      </c>
      <c r="B52" s="69">
        <v>43632.0</v>
      </c>
      <c r="S52" s="15"/>
    </row>
    <row r="53">
      <c r="A53" s="67" t="str">
        <f t="shared" si="1"/>
        <v>Mon</v>
      </c>
      <c r="B53" s="69">
        <v>43633.0</v>
      </c>
      <c r="S53" s="15"/>
    </row>
    <row r="54">
      <c r="A54" s="67" t="str">
        <f t="shared" si="1"/>
        <v>Tue</v>
      </c>
      <c r="B54" s="69">
        <v>43634.0</v>
      </c>
      <c r="D54" s="4">
        <v>289.7</v>
      </c>
      <c r="E54" s="4" t="s">
        <v>222</v>
      </c>
      <c r="F54" s="4" t="s">
        <v>239</v>
      </c>
      <c r="G54" s="4" t="s">
        <v>239</v>
      </c>
      <c r="I54" s="4" t="s">
        <v>224</v>
      </c>
      <c r="K54" s="4" t="s">
        <v>231</v>
      </c>
      <c r="L54" s="4" t="s">
        <v>240</v>
      </c>
      <c r="M54" s="4" t="s">
        <v>241</v>
      </c>
      <c r="N54" s="4" t="s">
        <v>242</v>
      </c>
      <c r="O54" s="4" t="s">
        <v>243</v>
      </c>
      <c r="R54" s="4" t="s">
        <v>244</v>
      </c>
      <c r="S54" s="15"/>
    </row>
    <row r="55">
      <c r="A55" s="67" t="str">
        <f t="shared" si="1"/>
        <v>Wed</v>
      </c>
      <c r="B55" s="69">
        <v>43635.0</v>
      </c>
      <c r="D55" s="4">
        <v>289.7</v>
      </c>
      <c r="E55" s="4" t="s">
        <v>222</v>
      </c>
      <c r="F55" s="4" t="s">
        <v>239</v>
      </c>
      <c r="I55" s="4" t="s">
        <v>224</v>
      </c>
      <c r="S55" s="15"/>
    </row>
    <row r="56">
      <c r="A56" s="67" t="str">
        <f t="shared" si="1"/>
        <v>Thu</v>
      </c>
      <c r="B56" s="69">
        <v>43636.0</v>
      </c>
      <c r="D56" s="4">
        <v>289.8</v>
      </c>
      <c r="E56" s="4" t="s">
        <v>222</v>
      </c>
      <c r="F56" s="4" t="s">
        <v>239</v>
      </c>
      <c r="I56" s="4" t="s">
        <v>224</v>
      </c>
      <c r="S56" s="15"/>
    </row>
    <row r="57">
      <c r="A57" s="67" t="str">
        <f t="shared" si="1"/>
        <v>Fri</v>
      </c>
      <c r="B57" s="69">
        <v>43637.0</v>
      </c>
      <c r="H57" s="4" t="s">
        <v>239</v>
      </c>
      <c r="S57" s="15"/>
    </row>
    <row r="58">
      <c r="A58" s="67" t="str">
        <f t="shared" si="1"/>
        <v>Sat</v>
      </c>
      <c r="B58" s="69">
        <v>43638.0</v>
      </c>
      <c r="S58" s="15"/>
    </row>
    <row r="59">
      <c r="A59" s="67" t="str">
        <f t="shared" si="1"/>
        <v>Sun</v>
      </c>
      <c r="B59" s="69">
        <v>43639.0</v>
      </c>
      <c r="S59" s="15"/>
    </row>
    <row r="60">
      <c r="A60" s="67" t="str">
        <f t="shared" si="1"/>
        <v>Mon</v>
      </c>
      <c r="B60" s="69">
        <v>43640.0</v>
      </c>
      <c r="S60" s="15"/>
    </row>
    <row r="61">
      <c r="A61" s="67" t="str">
        <f t="shared" si="1"/>
        <v>Tue</v>
      </c>
      <c r="B61" s="69">
        <v>43641.0</v>
      </c>
      <c r="S61" s="15"/>
    </row>
    <row r="62">
      <c r="A62" s="67" t="str">
        <f t="shared" si="1"/>
        <v>Wed</v>
      </c>
      <c r="B62" s="69">
        <v>43642.0</v>
      </c>
      <c r="S62" s="15"/>
    </row>
    <row r="63">
      <c r="A63" s="67" t="str">
        <f t="shared" si="1"/>
        <v>Thu</v>
      </c>
      <c r="B63" s="69">
        <v>43643.0</v>
      </c>
      <c r="S63" s="15"/>
    </row>
    <row r="64">
      <c r="A64" s="67" t="str">
        <f t="shared" si="1"/>
        <v>Fri</v>
      </c>
      <c r="B64" s="69">
        <v>43644.0</v>
      </c>
      <c r="S64" s="15"/>
    </row>
    <row r="65">
      <c r="A65" s="67" t="str">
        <f t="shared" si="1"/>
        <v>Sat</v>
      </c>
      <c r="B65" s="69">
        <v>43645.0</v>
      </c>
      <c r="S65" s="15"/>
    </row>
    <row r="66">
      <c r="A66" s="67" t="str">
        <f t="shared" si="1"/>
        <v>Sun</v>
      </c>
      <c r="B66" s="69">
        <v>43646.0</v>
      </c>
      <c r="S66" s="15"/>
    </row>
    <row r="67">
      <c r="A67" s="67" t="str">
        <f t="shared" si="1"/>
        <v>Mon</v>
      </c>
      <c r="B67" s="69">
        <v>43647.0</v>
      </c>
      <c r="S67" s="15"/>
    </row>
    <row r="68">
      <c r="A68" s="67" t="str">
        <f t="shared" si="1"/>
        <v>Tue</v>
      </c>
      <c r="B68" s="69">
        <v>43648.0</v>
      </c>
      <c r="S68" s="15"/>
    </row>
    <row r="69">
      <c r="A69" s="67" t="str">
        <f t="shared" si="1"/>
        <v>Wed</v>
      </c>
      <c r="B69" s="69">
        <v>43649.0</v>
      </c>
      <c r="S69" s="15"/>
    </row>
    <row r="70">
      <c r="A70" s="67" t="str">
        <f t="shared" si="1"/>
        <v>Thu</v>
      </c>
      <c r="B70" s="69">
        <v>43650.0</v>
      </c>
      <c r="S70" s="15"/>
    </row>
    <row r="71">
      <c r="A71" s="67" t="str">
        <f t="shared" si="1"/>
        <v>Fri</v>
      </c>
      <c r="B71" s="69">
        <v>43651.0</v>
      </c>
      <c r="S71" s="15"/>
    </row>
    <row r="72">
      <c r="A72" s="67" t="str">
        <f t="shared" si="1"/>
        <v>Sat</v>
      </c>
      <c r="B72" s="69">
        <v>43652.0</v>
      </c>
      <c r="S72" s="15"/>
    </row>
    <row r="73">
      <c r="A73" s="67" t="str">
        <f t="shared" si="1"/>
        <v>Sun</v>
      </c>
      <c r="B73" s="69">
        <v>43653.0</v>
      </c>
      <c r="S73" s="15"/>
    </row>
    <row r="74">
      <c r="A74" s="67" t="str">
        <f t="shared" si="1"/>
        <v>Mon</v>
      </c>
      <c r="B74" s="69">
        <v>43654.0</v>
      </c>
      <c r="S74" s="15"/>
    </row>
    <row r="75">
      <c r="A75" s="67" t="str">
        <f t="shared" si="1"/>
        <v>Tue</v>
      </c>
      <c r="B75" s="69">
        <v>43655.0</v>
      </c>
      <c r="S75" s="15"/>
    </row>
    <row r="76">
      <c r="A76" s="67" t="str">
        <f t="shared" si="1"/>
        <v>Wed</v>
      </c>
      <c r="B76" s="69">
        <v>43656.0</v>
      </c>
      <c r="S76" s="15"/>
    </row>
    <row r="77">
      <c r="A77" s="67" t="str">
        <f t="shared" si="1"/>
        <v>Thu</v>
      </c>
      <c r="B77" s="69">
        <v>43657.0</v>
      </c>
      <c r="S77" s="15"/>
    </row>
    <row r="78">
      <c r="A78" s="67" t="str">
        <f t="shared" si="1"/>
        <v>Fri</v>
      </c>
      <c r="B78" s="69">
        <v>43658.0</v>
      </c>
      <c r="S78" s="15"/>
    </row>
    <row r="79">
      <c r="A79" s="67" t="str">
        <f t="shared" si="1"/>
        <v>Sat</v>
      </c>
      <c r="B79" s="69">
        <v>43659.0</v>
      </c>
      <c r="S79" s="15"/>
    </row>
    <row r="80">
      <c r="A80" s="67" t="str">
        <f t="shared" si="1"/>
        <v>Sun</v>
      </c>
      <c r="B80" s="69">
        <v>43660.0</v>
      </c>
      <c r="S80" s="15"/>
    </row>
    <row r="81">
      <c r="A81" s="67" t="str">
        <f t="shared" si="1"/>
        <v>Mon</v>
      </c>
      <c r="B81" s="69">
        <v>43661.0</v>
      </c>
      <c r="S81" s="15"/>
    </row>
    <row r="82">
      <c r="A82" s="67" t="str">
        <f t="shared" si="1"/>
        <v>Tue</v>
      </c>
      <c r="B82" s="69">
        <v>43662.0</v>
      </c>
      <c r="S82" s="15"/>
    </row>
    <row r="83">
      <c r="A83" s="67" t="str">
        <f t="shared" si="1"/>
        <v>Wed</v>
      </c>
      <c r="B83" s="69">
        <v>43663.0</v>
      </c>
      <c r="S83" s="15"/>
    </row>
    <row r="84">
      <c r="A84" s="67" t="str">
        <f t="shared" si="1"/>
        <v>Thu</v>
      </c>
      <c r="B84" s="69">
        <v>43664.0</v>
      </c>
      <c r="S84" s="15"/>
    </row>
    <row r="85">
      <c r="A85" s="67" t="str">
        <f t="shared" si="1"/>
        <v>Fri</v>
      </c>
      <c r="B85" s="69">
        <v>43665.0</v>
      </c>
      <c r="S85" s="15"/>
    </row>
    <row r="86">
      <c r="A86" s="67" t="str">
        <f t="shared" si="1"/>
        <v>Sat</v>
      </c>
      <c r="B86" s="69">
        <v>43666.0</v>
      </c>
      <c r="S86" s="15"/>
    </row>
    <row r="87">
      <c r="A87" s="67" t="str">
        <f t="shared" si="1"/>
        <v>Sun</v>
      </c>
      <c r="B87" s="69">
        <v>43667.0</v>
      </c>
      <c r="S87" s="15"/>
    </row>
    <row r="88">
      <c r="A88" s="67" t="str">
        <f t="shared" si="1"/>
        <v>Mon</v>
      </c>
      <c r="B88" s="69">
        <v>43668.0</v>
      </c>
      <c r="S88" s="15"/>
    </row>
    <row r="89">
      <c r="A89" s="67" t="str">
        <f t="shared" si="1"/>
        <v>Tue</v>
      </c>
      <c r="B89" s="69">
        <v>43669.0</v>
      </c>
      <c r="S89" s="15"/>
    </row>
    <row r="90">
      <c r="A90" s="67" t="str">
        <f t="shared" si="1"/>
        <v>Wed</v>
      </c>
      <c r="B90" s="69">
        <v>43670.0</v>
      </c>
      <c r="S90" s="15"/>
    </row>
    <row r="91">
      <c r="A91" s="67" t="str">
        <f t="shared" si="1"/>
        <v>Thu</v>
      </c>
      <c r="B91" s="69">
        <v>43671.0</v>
      </c>
      <c r="S91" s="15"/>
    </row>
    <row r="92">
      <c r="A92" s="67" t="str">
        <f t="shared" si="1"/>
        <v>Fri</v>
      </c>
      <c r="B92" s="69">
        <v>43672.0</v>
      </c>
      <c r="S92" s="15"/>
    </row>
    <row r="93">
      <c r="A93" s="67" t="str">
        <f t="shared" si="1"/>
        <v>Sat</v>
      </c>
      <c r="B93" s="69">
        <v>43673.0</v>
      </c>
      <c r="S93" s="15"/>
    </row>
    <row r="94">
      <c r="A94" s="67" t="str">
        <f t="shared" si="1"/>
        <v>Sun</v>
      </c>
      <c r="B94" s="69">
        <v>43674.0</v>
      </c>
      <c r="S94" s="15"/>
    </row>
    <row r="95">
      <c r="A95" s="67" t="str">
        <f t="shared" si="1"/>
        <v>Mon</v>
      </c>
      <c r="B95" s="69">
        <v>43675.0</v>
      </c>
      <c r="S95" s="15"/>
    </row>
    <row r="96">
      <c r="A96" s="67" t="str">
        <f t="shared" si="1"/>
        <v>Tue</v>
      </c>
      <c r="B96" s="69">
        <v>43676.0</v>
      </c>
      <c r="S96" s="15"/>
    </row>
    <row r="97">
      <c r="A97" s="67" t="str">
        <f t="shared" si="1"/>
        <v>Wed</v>
      </c>
      <c r="B97" s="69">
        <v>43677.0</v>
      </c>
      <c r="S97" s="15"/>
    </row>
    <row r="98">
      <c r="A98" s="67" t="str">
        <f t="shared" si="1"/>
        <v>Thu</v>
      </c>
      <c r="B98" s="69">
        <v>43678.0</v>
      </c>
      <c r="S98" s="15"/>
    </row>
    <row r="99">
      <c r="A99" s="67" t="str">
        <f t="shared" si="1"/>
        <v>Fri</v>
      </c>
      <c r="B99" s="69">
        <v>43679.0</v>
      </c>
      <c r="S99" s="15"/>
    </row>
    <row r="100">
      <c r="A100" s="67" t="str">
        <f t="shared" si="1"/>
        <v>Sat</v>
      </c>
      <c r="B100" s="69">
        <v>43680.0</v>
      </c>
      <c r="S100" s="15"/>
    </row>
    <row r="101">
      <c r="A101" s="67" t="str">
        <f t="shared" si="1"/>
        <v>Sun</v>
      </c>
      <c r="B101" s="69">
        <v>43681.0</v>
      </c>
      <c r="S101" s="15"/>
    </row>
    <row r="102">
      <c r="A102" s="67" t="str">
        <f t="shared" si="1"/>
        <v>Mon</v>
      </c>
      <c r="B102" s="69">
        <v>43682.0</v>
      </c>
      <c r="S102" s="15"/>
    </row>
    <row r="103">
      <c r="A103" s="67" t="str">
        <f t="shared" si="1"/>
        <v>Tue</v>
      </c>
      <c r="B103" s="69">
        <v>43683.0</v>
      </c>
      <c r="S103" s="15"/>
    </row>
    <row r="104">
      <c r="A104" s="67" t="str">
        <f t="shared" si="1"/>
        <v>Wed</v>
      </c>
      <c r="B104" s="69">
        <v>43684.0</v>
      </c>
      <c r="S104" s="15"/>
    </row>
    <row r="105">
      <c r="A105" s="67" t="str">
        <f t="shared" si="1"/>
        <v>Thu</v>
      </c>
      <c r="B105" s="69">
        <v>43685.0</v>
      </c>
      <c r="D105" s="4">
        <v>246.96</v>
      </c>
      <c r="E105" s="4" t="s">
        <v>222</v>
      </c>
      <c r="F105" s="4" t="s">
        <v>245</v>
      </c>
      <c r="G105" s="4" t="s">
        <v>245</v>
      </c>
      <c r="I105" s="4" t="s">
        <v>224</v>
      </c>
      <c r="K105" s="4" t="s">
        <v>231</v>
      </c>
      <c r="L105" s="4" t="s">
        <v>229</v>
      </c>
      <c r="M105" s="4" t="s">
        <v>246</v>
      </c>
      <c r="N105" s="4" t="s">
        <v>247</v>
      </c>
      <c r="Q105" s="4" t="s">
        <v>248</v>
      </c>
      <c r="R105" s="4" t="s">
        <v>249</v>
      </c>
      <c r="S105" s="162" t="s">
        <v>250</v>
      </c>
    </row>
    <row r="106">
      <c r="A106" s="67" t="str">
        <f t="shared" si="1"/>
        <v>Fri</v>
      </c>
      <c r="B106" s="69">
        <v>43686.0</v>
      </c>
      <c r="D106" s="4">
        <v>246.96</v>
      </c>
      <c r="E106" s="4" t="s">
        <v>222</v>
      </c>
      <c r="F106" s="4" t="s">
        <v>245</v>
      </c>
      <c r="I106" s="4" t="s">
        <v>224</v>
      </c>
      <c r="S106" s="15"/>
    </row>
    <row r="107">
      <c r="A107" s="67" t="str">
        <f t="shared" si="1"/>
        <v>Sat</v>
      </c>
      <c r="B107" s="69">
        <v>43687.0</v>
      </c>
      <c r="D107" s="4">
        <v>246.96</v>
      </c>
      <c r="E107" s="4" t="s">
        <v>222</v>
      </c>
      <c r="F107" s="4" t="s">
        <v>245</v>
      </c>
      <c r="I107" s="4" t="s">
        <v>224</v>
      </c>
      <c r="S107" s="15"/>
    </row>
    <row r="108">
      <c r="A108" s="67" t="str">
        <f t="shared" si="1"/>
        <v>Sun</v>
      </c>
      <c r="B108" s="69">
        <v>43688.0</v>
      </c>
      <c r="D108" s="4">
        <v>246.96</v>
      </c>
      <c r="E108" s="4" t="s">
        <v>222</v>
      </c>
      <c r="F108" s="4" t="s">
        <v>245</v>
      </c>
      <c r="I108" s="4" t="s">
        <v>224</v>
      </c>
      <c r="S108" s="15"/>
    </row>
    <row r="109">
      <c r="A109" s="67" t="str">
        <f t="shared" si="1"/>
        <v>Mon</v>
      </c>
      <c r="B109" s="69">
        <v>43689.0</v>
      </c>
      <c r="D109" s="4">
        <v>246.96</v>
      </c>
      <c r="E109" s="4" t="s">
        <v>222</v>
      </c>
      <c r="F109" s="4" t="s">
        <v>245</v>
      </c>
      <c r="I109" s="4" t="s">
        <v>224</v>
      </c>
      <c r="S109" s="15"/>
    </row>
    <row r="110">
      <c r="A110" s="67" t="str">
        <f t="shared" si="1"/>
        <v>Tue</v>
      </c>
      <c r="B110" s="69">
        <v>43690.0</v>
      </c>
      <c r="D110" s="4">
        <v>246.96</v>
      </c>
      <c r="E110" s="4" t="s">
        <v>222</v>
      </c>
      <c r="F110" s="4" t="s">
        <v>245</v>
      </c>
      <c r="I110" s="4" t="s">
        <v>224</v>
      </c>
      <c r="S110" s="15"/>
    </row>
    <row r="111">
      <c r="A111" s="67" t="str">
        <f t="shared" si="1"/>
        <v>Wed</v>
      </c>
      <c r="B111" s="69">
        <v>43691.0</v>
      </c>
      <c r="D111" s="4">
        <v>246.97</v>
      </c>
      <c r="E111" s="4" t="s">
        <v>222</v>
      </c>
      <c r="F111" s="4" t="s">
        <v>245</v>
      </c>
      <c r="I111" s="4" t="s">
        <v>224</v>
      </c>
      <c r="S111" s="15"/>
    </row>
    <row r="112">
      <c r="A112" s="67" t="str">
        <f t="shared" si="1"/>
        <v>Thu</v>
      </c>
      <c r="B112" s="69">
        <v>43692.0</v>
      </c>
      <c r="H112" s="4" t="s">
        <v>245</v>
      </c>
      <c r="S112" s="15"/>
    </row>
    <row r="113">
      <c r="A113" s="67" t="str">
        <f t="shared" si="1"/>
        <v>Fri</v>
      </c>
      <c r="B113" s="69">
        <v>43693.0</v>
      </c>
      <c r="S113" s="15"/>
    </row>
    <row r="114">
      <c r="A114" s="67" t="str">
        <f t="shared" si="1"/>
        <v>Sat</v>
      </c>
      <c r="B114" s="69">
        <v>43694.0</v>
      </c>
      <c r="S114" s="15"/>
    </row>
    <row r="115">
      <c r="A115" s="67" t="str">
        <f t="shared" si="1"/>
        <v>Sun</v>
      </c>
      <c r="B115" s="69">
        <v>43695.0</v>
      </c>
      <c r="S115" s="15"/>
    </row>
    <row r="116">
      <c r="A116" s="67" t="str">
        <f t="shared" si="1"/>
        <v>Mon</v>
      </c>
      <c r="B116" s="69">
        <v>43696.0</v>
      </c>
      <c r="S116" s="15"/>
    </row>
    <row r="117">
      <c r="A117" s="67" t="str">
        <f t="shared" si="1"/>
        <v>Tue</v>
      </c>
      <c r="B117" s="69">
        <v>43697.0</v>
      </c>
      <c r="S117" s="15"/>
    </row>
    <row r="118">
      <c r="A118" s="67" t="str">
        <f t="shared" si="1"/>
        <v>Wed</v>
      </c>
      <c r="B118" s="69">
        <v>43698.0</v>
      </c>
      <c r="S118" s="15"/>
    </row>
    <row r="119">
      <c r="A119" s="67" t="str">
        <f t="shared" si="1"/>
        <v>Thu</v>
      </c>
      <c r="B119" s="69">
        <v>43699.0</v>
      </c>
      <c r="D119">
        <v>315.25</v>
      </c>
      <c r="E119" s="6" t="s">
        <v>222</v>
      </c>
      <c r="F119" s="6" t="s">
        <v>251</v>
      </c>
      <c r="G119" s="6" t="s">
        <v>251</v>
      </c>
      <c r="I119" s="6" t="s">
        <v>224</v>
      </c>
      <c r="K119" s="6" t="s">
        <v>231</v>
      </c>
      <c r="L119" s="4" t="s">
        <v>225</v>
      </c>
      <c r="M119" s="6" t="s">
        <v>252</v>
      </c>
      <c r="N119" s="6" t="s">
        <v>253</v>
      </c>
      <c r="O119" s="6" t="s">
        <v>254</v>
      </c>
      <c r="Q119" s="6" t="s">
        <v>255</v>
      </c>
      <c r="R119" s="6" t="s">
        <v>256</v>
      </c>
      <c r="S119" s="6" t="s">
        <v>257</v>
      </c>
    </row>
    <row r="120">
      <c r="A120" s="67" t="str">
        <f t="shared" si="1"/>
        <v>Fri</v>
      </c>
      <c r="B120" s="69">
        <v>43700.0</v>
      </c>
      <c r="D120" s="161">
        <v>315.25</v>
      </c>
      <c r="E120" s="4" t="s">
        <v>222</v>
      </c>
      <c r="F120" s="6" t="s">
        <v>251</v>
      </c>
      <c r="I120" s="4" t="s">
        <v>224</v>
      </c>
    </row>
    <row r="121">
      <c r="A121" s="67" t="str">
        <f t="shared" si="1"/>
        <v>Sat</v>
      </c>
      <c r="B121" s="69">
        <v>43701.0</v>
      </c>
      <c r="D121" s="161">
        <v>315.25</v>
      </c>
      <c r="E121" s="4" t="s">
        <v>222</v>
      </c>
      <c r="F121" s="6" t="s">
        <v>251</v>
      </c>
      <c r="I121" s="4" t="s">
        <v>224</v>
      </c>
    </row>
    <row r="122">
      <c r="A122" s="67" t="str">
        <f t="shared" si="1"/>
        <v>Sun</v>
      </c>
      <c r="B122" s="69">
        <v>43702.0</v>
      </c>
      <c r="D122" s="161">
        <v>315.25</v>
      </c>
      <c r="E122" s="4" t="s">
        <v>222</v>
      </c>
      <c r="F122" s="6" t="s">
        <v>251</v>
      </c>
      <c r="I122" s="4" t="s">
        <v>224</v>
      </c>
    </row>
    <row r="123">
      <c r="A123" s="67" t="str">
        <f t="shared" si="1"/>
        <v>Mon</v>
      </c>
      <c r="B123" s="69">
        <v>43703.0</v>
      </c>
      <c r="D123" s="161">
        <v>315.25</v>
      </c>
      <c r="E123" s="4" t="s">
        <v>222</v>
      </c>
      <c r="F123" s="6" t="s">
        <v>251</v>
      </c>
      <c r="I123" s="4" t="s">
        <v>224</v>
      </c>
    </row>
    <row r="124">
      <c r="A124" s="67" t="str">
        <f t="shared" si="1"/>
        <v>Tue</v>
      </c>
      <c r="B124" s="69">
        <v>43704.0</v>
      </c>
      <c r="D124" s="161">
        <v>315.25</v>
      </c>
      <c r="E124" s="4" t="s">
        <v>222</v>
      </c>
      <c r="F124" s="6" t="s">
        <v>251</v>
      </c>
      <c r="I124" s="4" t="s">
        <v>224</v>
      </c>
    </row>
    <row r="125">
      <c r="A125" s="67" t="str">
        <f t="shared" si="1"/>
        <v>Wed</v>
      </c>
      <c r="B125" s="69">
        <v>43705.0</v>
      </c>
      <c r="H125" s="6" t="s">
        <v>251</v>
      </c>
    </row>
    <row r="126">
      <c r="A126" s="67" t="str">
        <f t="shared" si="1"/>
        <v>Thu</v>
      </c>
      <c r="B126" s="69">
        <v>43706.0</v>
      </c>
      <c r="S126" s="15"/>
    </row>
    <row r="127">
      <c r="A127" s="67" t="str">
        <f t="shared" si="1"/>
        <v>Fri</v>
      </c>
      <c r="B127" s="69">
        <v>43707.0</v>
      </c>
      <c r="S127" s="15"/>
    </row>
    <row r="128">
      <c r="A128" s="67" t="str">
        <f t="shared" si="1"/>
        <v>Sat</v>
      </c>
      <c r="B128" s="69">
        <v>43708.0</v>
      </c>
      <c r="S128" s="15"/>
    </row>
    <row r="129">
      <c r="A129" s="67" t="str">
        <f t="shared" si="1"/>
        <v>Sun</v>
      </c>
      <c r="B129" s="69">
        <v>43709.0</v>
      </c>
      <c r="S129" s="15"/>
    </row>
    <row r="130">
      <c r="A130" s="67" t="str">
        <f t="shared" si="1"/>
        <v>Mon</v>
      </c>
      <c r="B130" s="69">
        <v>43710.0</v>
      </c>
      <c r="S130" s="15"/>
    </row>
    <row r="131">
      <c r="A131" s="67" t="str">
        <f t="shared" si="1"/>
        <v>Tue</v>
      </c>
      <c r="B131" s="69">
        <v>43711.0</v>
      </c>
      <c r="S131" s="15"/>
    </row>
    <row r="132">
      <c r="A132" s="67" t="str">
        <f t="shared" si="1"/>
        <v>Wed</v>
      </c>
      <c r="B132" s="69">
        <v>43712.0</v>
      </c>
      <c r="S132" s="15"/>
    </row>
    <row r="133">
      <c r="A133" s="67" t="str">
        <f t="shared" si="1"/>
        <v>Thu</v>
      </c>
      <c r="B133" s="69">
        <v>43713.0</v>
      </c>
      <c r="S133" s="15"/>
    </row>
    <row r="134">
      <c r="A134" s="67" t="str">
        <f t="shared" si="1"/>
        <v>Fri</v>
      </c>
      <c r="B134" s="69">
        <v>43714.0</v>
      </c>
      <c r="S134" s="15"/>
    </row>
    <row r="135">
      <c r="A135" s="67" t="str">
        <f t="shared" si="1"/>
        <v>Sat</v>
      </c>
      <c r="B135" s="69">
        <v>43715.0</v>
      </c>
      <c r="S135" s="15"/>
    </row>
    <row r="136">
      <c r="A136" s="67" t="str">
        <f t="shared" si="1"/>
        <v>Sun</v>
      </c>
      <c r="B136" s="69">
        <v>43716.0</v>
      </c>
      <c r="S136" s="15"/>
    </row>
    <row r="137">
      <c r="A137" s="67" t="str">
        <f t="shared" si="1"/>
        <v>Mon</v>
      </c>
      <c r="B137" s="69">
        <v>43717.0</v>
      </c>
      <c r="S137" s="15"/>
    </row>
    <row r="138">
      <c r="A138" s="67" t="str">
        <f t="shared" si="1"/>
        <v>Tue</v>
      </c>
      <c r="B138" s="69">
        <v>43718.0</v>
      </c>
      <c r="S138" s="15"/>
    </row>
    <row r="139">
      <c r="A139" s="67" t="str">
        <f t="shared" si="1"/>
        <v>Wed</v>
      </c>
      <c r="B139" s="69">
        <v>43719.0</v>
      </c>
      <c r="S139" s="15"/>
    </row>
    <row r="140">
      <c r="A140" s="67" t="str">
        <f t="shared" si="1"/>
        <v>Thu</v>
      </c>
      <c r="B140" s="69">
        <v>43720.0</v>
      </c>
      <c r="D140" s="161">
        <v>334.165</v>
      </c>
      <c r="E140" s="4" t="s">
        <v>222</v>
      </c>
      <c r="F140" s="4" t="s">
        <v>258</v>
      </c>
      <c r="G140" s="4" t="s">
        <v>258</v>
      </c>
      <c r="I140" s="4" t="s">
        <v>224</v>
      </c>
      <c r="K140" s="4" t="s">
        <v>231</v>
      </c>
      <c r="L140" s="4" t="s">
        <v>229</v>
      </c>
      <c r="M140" s="4" t="s">
        <v>259</v>
      </c>
      <c r="Q140" s="4" t="s">
        <v>260</v>
      </c>
      <c r="R140" s="4" t="s">
        <v>261</v>
      </c>
      <c r="S140" s="162" t="s">
        <v>262</v>
      </c>
    </row>
    <row r="141">
      <c r="A141" s="67" t="str">
        <f t="shared" si="1"/>
        <v>Fri</v>
      </c>
      <c r="B141" s="69">
        <v>43721.0</v>
      </c>
      <c r="D141" s="161">
        <v>334.165</v>
      </c>
      <c r="E141" s="4" t="s">
        <v>222</v>
      </c>
      <c r="F141" s="4" t="s">
        <v>258</v>
      </c>
      <c r="I141" s="4" t="s">
        <v>224</v>
      </c>
      <c r="S141" s="15"/>
    </row>
    <row r="142">
      <c r="A142" s="67" t="str">
        <f t="shared" si="1"/>
        <v>Sat</v>
      </c>
      <c r="B142" s="69">
        <v>43722.0</v>
      </c>
      <c r="D142" s="161">
        <v>334.165</v>
      </c>
      <c r="E142" s="4" t="s">
        <v>222</v>
      </c>
      <c r="F142" s="4" t="s">
        <v>258</v>
      </c>
      <c r="I142" s="4" t="s">
        <v>224</v>
      </c>
      <c r="S142" s="15"/>
    </row>
    <row r="143">
      <c r="A143" s="67" t="str">
        <f t="shared" si="1"/>
        <v>Sun</v>
      </c>
      <c r="B143" s="69">
        <v>43723.0</v>
      </c>
      <c r="D143" s="161">
        <v>334.165</v>
      </c>
      <c r="E143" s="4" t="s">
        <v>222</v>
      </c>
      <c r="F143" s="4" t="s">
        <v>258</v>
      </c>
      <c r="I143" s="4" t="s">
        <v>224</v>
      </c>
      <c r="S143" s="15"/>
    </row>
    <row r="144">
      <c r="A144" s="67" t="str">
        <f t="shared" si="1"/>
        <v>Mon</v>
      </c>
      <c r="B144" s="69">
        <v>43724.0</v>
      </c>
      <c r="H144" s="4" t="s">
        <v>258</v>
      </c>
      <c r="S144" s="15"/>
    </row>
    <row r="145">
      <c r="A145" s="67" t="str">
        <f t="shared" si="1"/>
        <v>Tue</v>
      </c>
      <c r="B145" s="69">
        <v>43725.0</v>
      </c>
      <c r="S145" s="15"/>
    </row>
    <row r="146">
      <c r="A146" s="67" t="str">
        <f t="shared" si="1"/>
        <v>Wed</v>
      </c>
      <c r="B146" s="69">
        <v>43726.0</v>
      </c>
      <c r="S146" s="15"/>
    </row>
    <row r="147">
      <c r="A147" s="67" t="str">
        <f t="shared" si="1"/>
        <v>Thu</v>
      </c>
      <c r="B147" s="69">
        <v>43727.0</v>
      </c>
      <c r="S147" s="15"/>
    </row>
    <row r="148">
      <c r="A148" s="67" t="str">
        <f t="shared" si="1"/>
        <v>Fri</v>
      </c>
      <c r="B148" s="69">
        <v>43728.0</v>
      </c>
      <c r="S148" s="15"/>
    </row>
    <row r="149">
      <c r="A149" s="67" t="str">
        <f t="shared" si="1"/>
        <v>Sat</v>
      </c>
      <c r="B149" s="69">
        <v>43729.0</v>
      </c>
      <c r="S149" s="15"/>
    </row>
    <row r="150">
      <c r="A150" s="67" t="str">
        <f t="shared" si="1"/>
        <v>Sun</v>
      </c>
      <c r="B150" s="69">
        <v>43730.0</v>
      </c>
      <c r="S150" s="15"/>
    </row>
    <row r="151">
      <c r="A151" s="67" t="str">
        <f t="shared" si="1"/>
        <v>Mon</v>
      </c>
      <c r="B151" s="69">
        <v>43731.0</v>
      </c>
      <c r="S151" s="15"/>
    </row>
    <row r="152">
      <c r="A152" s="67" t="str">
        <f t="shared" si="1"/>
        <v>Tue</v>
      </c>
      <c r="B152" s="69">
        <v>43732.0</v>
      </c>
      <c r="S152" s="15"/>
    </row>
    <row r="153">
      <c r="A153" s="67" t="str">
        <f t="shared" si="1"/>
        <v>Wed</v>
      </c>
      <c r="B153" s="69">
        <v>43733.0</v>
      </c>
      <c r="S153" s="15"/>
    </row>
    <row r="154">
      <c r="A154" s="67" t="str">
        <f t="shared" si="1"/>
        <v>Thu</v>
      </c>
      <c r="B154" s="69">
        <v>43734.0</v>
      </c>
      <c r="S154" s="15"/>
    </row>
    <row r="155">
      <c r="A155" s="67" t="str">
        <f t="shared" si="1"/>
        <v>Fri</v>
      </c>
      <c r="B155" s="69">
        <v>43735.0</v>
      </c>
      <c r="D155" s="161">
        <v>315.25</v>
      </c>
      <c r="E155" s="4" t="s">
        <v>222</v>
      </c>
      <c r="F155" s="4" t="s">
        <v>263</v>
      </c>
      <c r="G155" s="4" t="s">
        <v>263</v>
      </c>
      <c r="I155" s="4" t="s">
        <v>224</v>
      </c>
      <c r="K155" s="4" t="s">
        <v>231</v>
      </c>
      <c r="L155" s="4" t="s">
        <v>240</v>
      </c>
      <c r="M155" s="4" t="s">
        <v>226</v>
      </c>
      <c r="N155" s="4" t="s">
        <v>232</v>
      </c>
      <c r="O155" s="4" t="s">
        <v>264</v>
      </c>
      <c r="R155" s="4" t="s">
        <v>265</v>
      </c>
      <c r="S155" s="15"/>
    </row>
    <row r="156">
      <c r="A156" s="67" t="str">
        <f t="shared" si="1"/>
        <v>Sat</v>
      </c>
      <c r="B156" s="69">
        <v>43736.0</v>
      </c>
      <c r="D156" s="161">
        <v>315.25</v>
      </c>
      <c r="E156" s="4" t="s">
        <v>222</v>
      </c>
      <c r="F156" s="4" t="s">
        <v>263</v>
      </c>
      <c r="I156" s="4" t="s">
        <v>224</v>
      </c>
      <c r="S156" s="15"/>
    </row>
    <row r="157">
      <c r="A157" s="67" t="str">
        <f t="shared" si="1"/>
        <v>Sun</v>
      </c>
      <c r="B157" s="69">
        <v>43737.0</v>
      </c>
      <c r="H157" s="4" t="s">
        <v>263</v>
      </c>
      <c r="S157" s="15"/>
    </row>
    <row r="158">
      <c r="A158" s="67" t="str">
        <f t="shared" si="1"/>
        <v>Mon</v>
      </c>
      <c r="B158" s="69">
        <v>43738.0</v>
      </c>
      <c r="S158" s="15"/>
    </row>
    <row r="159">
      <c r="A159" s="67" t="str">
        <f t="shared" si="1"/>
        <v>Tue</v>
      </c>
      <c r="B159" s="69">
        <v>43739.0</v>
      </c>
      <c r="S159" s="15"/>
    </row>
    <row r="160">
      <c r="A160" s="67" t="str">
        <f t="shared" si="1"/>
        <v>Wed</v>
      </c>
      <c r="B160" s="69">
        <v>43740.0</v>
      </c>
      <c r="S160" s="15"/>
    </row>
    <row r="161">
      <c r="A161" s="67" t="str">
        <f t="shared" si="1"/>
        <v>Thu</v>
      </c>
      <c r="B161" s="69">
        <v>43741.0</v>
      </c>
      <c r="S161" s="15"/>
    </row>
    <row r="162">
      <c r="A162" s="67" t="str">
        <f t="shared" si="1"/>
        <v>Fri</v>
      </c>
      <c r="B162" s="69">
        <v>43742.0</v>
      </c>
      <c r="S162" s="15"/>
    </row>
    <row r="163">
      <c r="A163" s="67" t="str">
        <f t="shared" si="1"/>
        <v>Sat</v>
      </c>
      <c r="B163" s="69">
        <v>43743.0</v>
      </c>
      <c r="S163" s="15"/>
    </row>
    <row r="164">
      <c r="A164" s="67" t="str">
        <f t="shared" si="1"/>
        <v>Sun</v>
      </c>
      <c r="B164" s="69">
        <v>43744.0</v>
      </c>
      <c r="S164" s="15"/>
    </row>
    <row r="165">
      <c r="A165" s="67" t="str">
        <f t="shared" si="1"/>
        <v>Mon</v>
      </c>
      <c r="B165" s="69">
        <v>43745.0</v>
      </c>
      <c r="S165" s="15"/>
    </row>
    <row r="166">
      <c r="A166" s="67" t="str">
        <f t="shared" si="1"/>
        <v>Tue</v>
      </c>
      <c r="B166" s="69">
        <v>43746.0</v>
      </c>
      <c r="S166" s="15"/>
    </row>
    <row r="167">
      <c r="A167" s="67" t="str">
        <f t="shared" si="1"/>
        <v>Wed</v>
      </c>
      <c r="B167" s="69">
        <v>43747.0</v>
      </c>
      <c r="S167" s="15"/>
    </row>
    <row r="168">
      <c r="A168" s="67" t="str">
        <f t="shared" si="1"/>
        <v>Thu</v>
      </c>
      <c r="B168" s="69">
        <v>43748.0</v>
      </c>
      <c r="S168" s="15"/>
    </row>
    <row r="169">
      <c r="A169" s="67" t="str">
        <f t="shared" si="1"/>
        <v>Fri</v>
      </c>
      <c r="B169" s="69">
        <v>43749.0</v>
      </c>
      <c r="S169" s="15"/>
    </row>
    <row r="170">
      <c r="A170" s="67" t="str">
        <f t="shared" si="1"/>
        <v>Sat</v>
      </c>
      <c r="B170" s="69">
        <v>43750.0</v>
      </c>
      <c r="S170" s="15"/>
    </row>
    <row r="171">
      <c r="A171" s="67" t="str">
        <f t="shared" si="1"/>
        <v>Sun</v>
      </c>
      <c r="B171" s="69">
        <v>43751.0</v>
      </c>
      <c r="S171" s="15"/>
    </row>
    <row r="172">
      <c r="A172" s="67" t="str">
        <f t="shared" si="1"/>
        <v>Mon</v>
      </c>
      <c r="B172" s="69">
        <v>43752.0</v>
      </c>
      <c r="S172" s="15"/>
    </row>
    <row r="173">
      <c r="A173" s="67" t="str">
        <f t="shared" si="1"/>
        <v>Tue</v>
      </c>
      <c r="B173" s="69">
        <v>43753.0</v>
      </c>
      <c r="S173" s="15"/>
    </row>
    <row r="174">
      <c r="A174" s="67" t="str">
        <f t="shared" si="1"/>
        <v>Wed</v>
      </c>
      <c r="B174" s="69">
        <v>43754.0</v>
      </c>
      <c r="S174" s="15"/>
    </row>
    <row r="175">
      <c r="A175" s="67" t="str">
        <f t="shared" si="1"/>
        <v>Thu</v>
      </c>
      <c r="B175" s="69">
        <v>43755.0</v>
      </c>
      <c r="S175" s="15"/>
    </row>
    <row r="176">
      <c r="A176" s="67" t="str">
        <f t="shared" si="1"/>
        <v>Fri</v>
      </c>
      <c r="B176" s="69">
        <v>43756.0</v>
      </c>
      <c r="S176" s="15"/>
    </row>
    <row r="177">
      <c r="A177" s="67" t="str">
        <f t="shared" si="1"/>
        <v>Sat</v>
      </c>
      <c r="B177" s="69">
        <v>43757.0</v>
      </c>
      <c r="S177" s="15"/>
    </row>
    <row r="178">
      <c r="A178" s="67" t="str">
        <f t="shared" si="1"/>
        <v>Sun</v>
      </c>
      <c r="B178" s="69">
        <v>43758.0</v>
      </c>
      <c r="S178" s="15"/>
    </row>
    <row r="179">
      <c r="A179" s="67" t="str">
        <f t="shared" si="1"/>
        <v>Mon</v>
      </c>
      <c r="B179" s="69">
        <v>43759.0</v>
      </c>
      <c r="S179" s="15"/>
    </row>
    <row r="180">
      <c r="A180" s="67" t="str">
        <f t="shared" si="1"/>
        <v>Tue</v>
      </c>
      <c r="B180" s="69">
        <v>43760.0</v>
      </c>
      <c r="S180" s="15"/>
    </row>
    <row r="181">
      <c r="A181" s="67" t="str">
        <f t="shared" si="1"/>
        <v>Wed</v>
      </c>
      <c r="B181" s="69">
        <v>43761.0</v>
      </c>
      <c r="S181" s="15"/>
    </row>
    <row r="182">
      <c r="A182" s="67" t="str">
        <f t="shared" si="1"/>
        <v>Thu</v>
      </c>
      <c r="B182" s="69">
        <v>43762.0</v>
      </c>
      <c r="S182" s="15"/>
    </row>
    <row r="183">
      <c r="A183" s="67" t="str">
        <f t="shared" si="1"/>
        <v>Fri</v>
      </c>
      <c r="B183" s="69">
        <v>43763.0</v>
      </c>
      <c r="S183" s="15"/>
    </row>
    <row r="184">
      <c r="A184" s="67" t="str">
        <f t="shared" si="1"/>
        <v>Sat</v>
      </c>
      <c r="B184" s="69">
        <v>43764.0</v>
      </c>
      <c r="S184" s="15"/>
    </row>
    <row r="185">
      <c r="A185" s="67" t="str">
        <f t="shared" si="1"/>
        <v>Sun</v>
      </c>
      <c r="B185" s="69">
        <v>43765.0</v>
      </c>
      <c r="S185" s="15"/>
    </row>
    <row r="186">
      <c r="A186" s="67" t="str">
        <f t="shared" si="1"/>
        <v>Mon</v>
      </c>
      <c r="B186" s="69">
        <v>43766.0</v>
      </c>
      <c r="S186" s="15"/>
    </row>
    <row r="187">
      <c r="A187" s="67" t="str">
        <f t="shared" si="1"/>
        <v>Tue</v>
      </c>
      <c r="B187" s="69">
        <v>43767.0</v>
      </c>
      <c r="S187" s="15"/>
    </row>
    <row r="188">
      <c r="A188" s="67" t="str">
        <f t="shared" si="1"/>
        <v>Wed</v>
      </c>
      <c r="B188" s="69">
        <v>43768.0</v>
      </c>
      <c r="S188" s="15"/>
    </row>
    <row r="189">
      <c r="A189" s="67" t="str">
        <f t="shared" si="1"/>
        <v>Thu</v>
      </c>
      <c r="B189" s="69">
        <v>43769.0</v>
      </c>
      <c r="S189" s="15"/>
    </row>
    <row r="190">
      <c r="A190" s="67" t="str">
        <f t="shared" si="1"/>
        <v>Fri</v>
      </c>
      <c r="B190" s="69">
        <v>43770.0</v>
      </c>
      <c r="S190" s="15"/>
    </row>
    <row r="191">
      <c r="A191" s="67" t="str">
        <f t="shared" si="1"/>
        <v>Sat</v>
      </c>
      <c r="B191" s="69">
        <v>43771.0</v>
      </c>
      <c r="S191" s="15"/>
    </row>
    <row r="192">
      <c r="A192" s="67" t="str">
        <f t="shared" si="1"/>
        <v>Sun</v>
      </c>
      <c r="B192" s="69">
        <v>43772.0</v>
      </c>
      <c r="S192" s="15"/>
    </row>
    <row r="193">
      <c r="A193" s="67" t="str">
        <f t="shared" si="1"/>
        <v>Mon</v>
      </c>
      <c r="B193" s="69">
        <v>43773.0</v>
      </c>
      <c r="S193" s="15"/>
    </row>
    <row r="194">
      <c r="A194" s="67" t="str">
        <f t="shared" si="1"/>
        <v>Tue</v>
      </c>
      <c r="B194" s="69">
        <v>43774.0</v>
      </c>
      <c r="S194" s="15"/>
    </row>
    <row r="195">
      <c r="A195" s="67" t="str">
        <f t="shared" si="1"/>
        <v>Wed</v>
      </c>
      <c r="B195" s="69">
        <v>43775.0</v>
      </c>
      <c r="S195" s="15"/>
    </row>
    <row r="196">
      <c r="A196" s="67" t="str">
        <f t="shared" si="1"/>
        <v>Thu</v>
      </c>
      <c r="B196" s="69">
        <v>43776.0</v>
      </c>
      <c r="S196" s="15"/>
    </row>
    <row r="197">
      <c r="A197" s="67" t="str">
        <f t="shared" si="1"/>
        <v>Fri</v>
      </c>
      <c r="B197" s="69">
        <v>43777.0</v>
      </c>
      <c r="S197" s="15"/>
    </row>
    <row r="198">
      <c r="A198" s="67" t="str">
        <f t="shared" si="1"/>
        <v>Sat</v>
      </c>
      <c r="B198" s="69">
        <v>43778.0</v>
      </c>
      <c r="S198" s="15"/>
    </row>
    <row r="199">
      <c r="A199" s="67" t="str">
        <f t="shared" si="1"/>
        <v>Sun</v>
      </c>
      <c r="B199" s="69">
        <v>43779.0</v>
      </c>
      <c r="S199" s="15"/>
    </row>
    <row r="200">
      <c r="A200" s="67" t="str">
        <f t="shared" si="1"/>
        <v>Mon</v>
      </c>
      <c r="B200" s="69">
        <v>43780.0</v>
      </c>
      <c r="S200" s="15"/>
    </row>
    <row r="201">
      <c r="A201" s="67" t="str">
        <f t="shared" si="1"/>
        <v>Tue</v>
      </c>
      <c r="B201" s="69">
        <v>43781.0</v>
      </c>
      <c r="S201" s="15"/>
    </row>
    <row r="202">
      <c r="A202" s="67" t="str">
        <f t="shared" si="1"/>
        <v>Wed</v>
      </c>
      <c r="B202" s="69">
        <v>43782.0</v>
      </c>
      <c r="S202" s="15"/>
    </row>
    <row r="203">
      <c r="A203" s="67" t="str">
        <f t="shared" si="1"/>
        <v>Thu</v>
      </c>
      <c r="B203" s="69">
        <v>43783.0</v>
      </c>
      <c r="S203" s="15"/>
    </row>
    <row r="204">
      <c r="A204" s="67" t="str">
        <f t="shared" si="1"/>
        <v>Fri</v>
      </c>
      <c r="B204" s="69">
        <v>43784.0</v>
      </c>
      <c r="S204" s="15"/>
    </row>
    <row r="205">
      <c r="A205" s="67" t="str">
        <f t="shared" si="1"/>
        <v>Sat</v>
      </c>
      <c r="B205" s="69">
        <v>43785.0</v>
      </c>
      <c r="S205" s="15"/>
    </row>
    <row r="206">
      <c r="A206" s="67" t="str">
        <f t="shared" si="1"/>
        <v>Sun</v>
      </c>
      <c r="B206" s="69">
        <v>43786.0</v>
      </c>
      <c r="S206" s="15"/>
    </row>
    <row r="207">
      <c r="A207" s="67" t="str">
        <f t="shared" si="1"/>
        <v>Mon</v>
      </c>
      <c r="B207" s="69">
        <v>43787.0</v>
      </c>
      <c r="S207" s="15"/>
    </row>
    <row r="208">
      <c r="A208" s="67" t="str">
        <f t="shared" si="1"/>
        <v>Tue</v>
      </c>
      <c r="B208" s="69">
        <v>43788.0</v>
      </c>
      <c r="S208" s="15"/>
    </row>
    <row r="209">
      <c r="A209" s="67" t="str">
        <f t="shared" si="1"/>
        <v>Wed</v>
      </c>
      <c r="B209" s="69">
        <v>43789.0</v>
      </c>
      <c r="S209" s="15"/>
    </row>
    <row r="210">
      <c r="A210" s="67" t="str">
        <f t="shared" si="1"/>
        <v>Thu</v>
      </c>
      <c r="B210" s="69">
        <v>43790.0</v>
      </c>
      <c r="S210" s="15"/>
    </row>
    <row r="211">
      <c r="A211" s="67" t="str">
        <f t="shared" si="1"/>
        <v>Fri</v>
      </c>
      <c r="B211" s="69">
        <v>43791.0</v>
      </c>
      <c r="S211" s="15"/>
    </row>
    <row r="212">
      <c r="A212" s="67" t="str">
        <f t="shared" si="1"/>
        <v>Sat</v>
      </c>
      <c r="B212" s="69">
        <v>43792.0</v>
      </c>
      <c r="S212" s="15"/>
    </row>
    <row r="213">
      <c r="A213" s="67" t="str">
        <f t="shared" si="1"/>
        <v>Sun</v>
      </c>
      <c r="B213" s="69">
        <v>43793.0</v>
      </c>
      <c r="S213" s="15"/>
    </row>
    <row r="214">
      <c r="A214" s="67" t="str">
        <f t="shared" si="1"/>
        <v>Mon</v>
      </c>
      <c r="B214" s="69">
        <v>43794.0</v>
      </c>
      <c r="S214" s="15"/>
    </row>
    <row r="215">
      <c r="A215" s="67" t="str">
        <f t="shared" si="1"/>
        <v>Tue</v>
      </c>
      <c r="B215" s="69">
        <v>43795.0</v>
      </c>
      <c r="S215" s="15"/>
    </row>
    <row r="216">
      <c r="A216" s="67" t="str">
        <f t="shared" si="1"/>
        <v>Wed</v>
      </c>
      <c r="B216" s="69">
        <v>43796.0</v>
      </c>
      <c r="S216" s="15"/>
    </row>
    <row r="217">
      <c r="A217" s="67" t="str">
        <f t="shared" si="1"/>
        <v>Thu</v>
      </c>
      <c r="B217" s="69">
        <v>43797.0</v>
      </c>
      <c r="S217" s="15"/>
    </row>
    <row r="218">
      <c r="A218" s="67" t="str">
        <f t="shared" si="1"/>
        <v>Fri</v>
      </c>
      <c r="B218" s="69">
        <v>43798.0</v>
      </c>
      <c r="S218" s="15"/>
    </row>
    <row r="219">
      <c r="A219" s="67" t="str">
        <f t="shared" si="1"/>
        <v>Sat</v>
      </c>
      <c r="B219" s="69">
        <v>43799.0</v>
      </c>
      <c r="S219" s="15"/>
    </row>
    <row r="220">
      <c r="A220" s="67" t="str">
        <f t="shared" si="1"/>
        <v>Sun</v>
      </c>
      <c r="B220" s="69">
        <v>43800.0</v>
      </c>
      <c r="S220" s="15"/>
    </row>
    <row r="221">
      <c r="A221" s="67" t="str">
        <f t="shared" si="1"/>
        <v>Mon</v>
      </c>
      <c r="B221" s="69">
        <v>43801.0</v>
      </c>
      <c r="S221" s="15"/>
    </row>
    <row r="222">
      <c r="A222" s="67" t="str">
        <f t="shared" si="1"/>
        <v>Tue</v>
      </c>
      <c r="B222" s="69">
        <v>43802.0</v>
      </c>
      <c r="S222" s="15"/>
    </row>
    <row r="223">
      <c r="A223" s="67" t="str">
        <f t="shared" si="1"/>
        <v>Wed</v>
      </c>
      <c r="B223" s="69">
        <v>43803.0</v>
      </c>
      <c r="S223" s="15"/>
    </row>
    <row r="224">
      <c r="A224" s="67" t="str">
        <f t="shared" si="1"/>
        <v>Thu</v>
      </c>
      <c r="B224" s="69">
        <v>43804.0</v>
      </c>
      <c r="S224" s="15"/>
    </row>
    <row r="225">
      <c r="A225" s="67" t="str">
        <f t="shared" si="1"/>
        <v>Fri</v>
      </c>
      <c r="B225" s="69">
        <v>43805.0</v>
      </c>
      <c r="S225" s="15"/>
    </row>
    <row r="226">
      <c r="A226" s="67" t="str">
        <f t="shared" si="1"/>
        <v>Sat</v>
      </c>
      <c r="B226" s="69">
        <v>43806.0</v>
      </c>
      <c r="S226" s="15"/>
    </row>
    <row r="227">
      <c r="A227" s="67" t="str">
        <f t="shared" si="1"/>
        <v>Sun</v>
      </c>
      <c r="B227" s="69">
        <v>43807.0</v>
      </c>
      <c r="S227" s="15"/>
    </row>
    <row r="228">
      <c r="A228" s="67" t="str">
        <f t="shared" si="1"/>
        <v>Mon</v>
      </c>
      <c r="B228" s="69">
        <v>43808.0</v>
      </c>
      <c r="S228" s="15"/>
    </row>
    <row r="229">
      <c r="A229" s="67" t="str">
        <f t="shared" si="1"/>
        <v>Tue</v>
      </c>
      <c r="B229" s="69">
        <v>43809.0</v>
      </c>
      <c r="S229" s="15"/>
    </row>
    <row r="230">
      <c r="A230" s="67" t="str">
        <f t="shared" si="1"/>
        <v>Wed</v>
      </c>
      <c r="B230" s="69">
        <v>43810.0</v>
      </c>
      <c r="S230" s="15"/>
    </row>
    <row r="231">
      <c r="A231" s="67" t="str">
        <f t="shared" si="1"/>
        <v>Thu</v>
      </c>
      <c r="B231" s="69">
        <v>43811.0</v>
      </c>
      <c r="S231" s="15"/>
    </row>
    <row r="232">
      <c r="A232" s="67" t="str">
        <f t="shared" si="1"/>
        <v>Fri</v>
      </c>
      <c r="B232" s="69">
        <v>43812.0</v>
      </c>
      <c r="S232" s="15"/>
    </row>
    <row r="233">
      <c r="A233" s="67" t="str">
        <f t="shared" si="1"/>
        <v>Sat</v>
      </c>
      <c r="B233" s="69">
        <v>43813.0</v>
      </c>
      <c r="S233" s="15"/>
    </row>
    <row r="234">
      <c r="A234" s="67" t="str">
        <f t="shared" si="1"/>
        <v>Sun</v>
      </c>
      <c r="B234" s="69">
        <v>43814.0</v>
      </c>
      <c r="S234" s="15"/>
    </row>
    <row r="235">
      <c r="A235" s="67" t="str">
        <f t="shared" si="1"/>
        <v>Mon</v>
      </c>
      <c r="B235" s="69">
        <v>43815.0</v>
      </c>
      <c r="S235" s="15"/>
    </row>
    <row r="236">
      <c r="A236" s="67" t="str">
        <f t="shared" si="1"/>
        <v>Tue</v>
      </c>
      <c r="B236" s="69">
        <v>43816.0</v>
      </c>
      <c r="S236" s="15"/>
    </row>
    <row r="237">
      <c r="A237" s="67" t="str">
        <f t="shared" si="1"/>
        <v>Wed</v>
      </c>
      <c r="B237" s="69">
        <v>43817.0</v>
      </c>
      <c r="S237" s="15"/>
    </row>
    <row r="238">
      <c r="A238" s="67" t="str">
        <f t="shared" si="1"/>
        <v>Thu</v>
      </c>
      <c r="B238" s="69">
        <v>43818.0</v>
      </c>
      <c r="S238" s="15"/>
    </row>
    <row r="239">
      <c r="A239" s="67" t="str">
        <f t="shared" si="1"/>
        <v>Fri</v>
      </c>
      <c r="B239" s="69">
        <v>43819.0</v>
      </c>
      <c r="S239" s="15"/>
    </row>
    <row r="240">
      <c r="A240" s="67" t="str">
        <f t="shared" si="1"/>
        <v>Sat</v>
      </c>
      <c r="B240" s="69">
        <v>43820.0</v>
      </c>
      <c r="S240" s="15"/>
    </row>
    <row r="241">
      <c r="A241" s="67" t="str">
        <f t="shared" si="1"/>
        <v>Sun</v>
      </c>
      <c r="B241" s="69">
        <v>43821.0</v>
      </c>
      <c r="S241" s="15"/>
    </row>
    <row r="242">
      <c r="A242" s="67" t="str">
        <f t="shared" si="1"/>
        <v>Mon</v>
      </c>
      <c r="B242" s="69">
        <v>43822.0</v>
      </c>
      <c r="S242" s="15"/>
    </row>
    <row r="243">
      <c r="A243" s="67" t="str">
        <f t="shared" si="1"/>
        <v>Tue</v>
      </c>
      <c r="B243" s="69">
        <v>43823.0</v>
      </c>
      <c r="S243" s="15"/>
    </row>
    <row r="244">
      <c r="A244" s="67" t="str">
        <f t="shared" si="1"/>
        <v>Wed</v>
      </c>
      <c r="B244" s="69">
        <v>43824.0</v>
      </c>
      <c r="S244" s="15"/>
    </row>
    <row r="245">
      <c r="A245" s="67" t="str">
        <f t="shared" si="1"/>
        <v>Thu</v>
      </c>
      <c r="B245" s="69">
        <v>43825.0</v>
      </c>
      <c r="S245" s="15"/>
    </row>
    <row r="246">
      <c r="A246" s="67" t="str">
        <f t="shared" si="1"/>
        <v>Fri</v>
      </c>
      <c r="B246" s="69">
        <v>43826.0</v>
      </c>
      <c r="S246" s="15"/>
    </row>
    <row r="247">
      <c r="A247" s="67" t="str">
        <f t="shared" si="1"/>
        <v>Sat</v>
      </c>
      <c r="B247" s="69">
        <v>43827.0</v>
      </c>
      <c r="S247" s="15"/>
    </row>
    <row r="248">
      <c r="A248" s="67" t="str">
        <f t="shared" si="1"/>
        <v>Sun</v>
      </c>
      <c r="B248" s="69">
        <v>43828.0</v>
      </c>
      <c r="S248" s="15"/>
    </row>
    <row r="249">
      <c r="A249" s="67" t="str">
        <f t="shared" si="1"/>
        <v>Mon</v>
      </c>
      <c r="B249" s="69">
        <v>43829.0</v>
      </c>
      <c r="S249" s="15"/>
    </row>
    <row r="250">
      <c r="A250" s="67" t="str">
        <f t="shared" si="1"/>
        <v>Tue</v>
      </c>
      <c r="B250" s="69">
        <v>43830.0</v>
      </c>
      <c r="S250" s="15"/>
    </row>
  </sheetData>
  <mergeCells count="5">
    <mergeCell ref="A1:C3"/>
    <mergeCell ref="G1:S3"/>
    <mergeCell ref="E1:F1"/>
    <mergeCell ref="E2:F2"/>
    <mergeCell ref="E3:F3"/>
  </mergeCells>
  <conditionalFormatting sqref="K120:L125">
    <cfRule type="cellIs" dxfId="0" priority="1" operator="equal">
      <formula>"Enviar email para hotel"</formula>
    </cfRule>
  </conditionalFormatting>
  <conditionalFormatting sqref="K4:L118 K126:L250">
    <cfRule type="cellIs" dxfId="0" priority="2" operator="equal">
      <formula>"Enviar email para hotel"</formula>
    </cfRule>
  </conditionalFormatting>
  <dataValidations>
    <dataValidation type="list" allowBlank="1" sqref="L6:L250">
      <formula1>"Enviar email para hotel,Enviado para o hotel,Código de reserva enviado para hóspede,Verificar dados com o hóspede,URGENTE,Fechado"</formula1>
    </dataValidation>
    <dataValidation type="list" allowBlank="1" sqref="K6:K250">
      <formula1>"A PAGAR,PARCIALMENTE PAGO,PAGO"</formula1>
    </dataValidation>
  </dataValidations>
  <hyperlinks>
    <hyperlink display="Sumario" location="Sumario!A1" ref="A4"/>
  </hyperlink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13.57"/>
    <col customWidth="1" min="4" max="4" width="17.0"/>
    <col customWidth="1" min="13" max="13" width="16.43"/>
    <col customWidth="1" min="24" max="24" width="15.86"/>
  </cols>
  <sheetData>
    <row r="1">
      <c r="A1" s="1"/>
      <c r="B1" s="2"/>
      <c r="C1" s="3"/>
      <c r="D1" s="11" t="s">
        <v>198</v>
      </c>
      <c r="E1" s="153" t="s">
        <v>199</v>
      </c>
      <c r="F1" s="3"/>
      <c r="G1" s="154" t="s">
        <v>200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155"/>
    </row>
    <row r="2">
      <c r="A2" s="13"/>
      <c r="C2" s="15"/>
      <c r="D2" s="9" t="s">
        <v>201</v>
      </c>
      <c r="E2" s="156">
        <v>1111.0</v>
      </c>
      <c r="F2" s="15"/>
      <c r="S2" s="15"/>
      <c r="T2" s="155"/>
    </row>
    <row r="3">
      <c r="A3" s="17"/>
      <c r="B3" s="19"/>
      <c r="C3" s="21"/>
      <c r="D3" s="26" t="s">
        <v>202</v>
      </c>
      <c r="E3" s="157" t="s">
        <v>266</v>
      </c>
      <c r="F3" s="21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21"/>
      <c r="T3" s="155"/>
    </row>
    <row r="4">
      <c r="A4" s="158" t="s">
        <v>203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N4" s="30"/>
      <c r="O4" s="30"/>
      <c r="P4" s="30"/>
      <c r="Q4" s="30"/>
      <c r="R4" s="30"/>
      <c r="S4" s="30"/>
      <c r="T4" s="30"/>
      <c r="U4" s="30"/>
      <c r="V4" s="30"/>
    </row>
    <row r="5">
      <c r="A5" s="42" t="s">
        <v>204</v>
      </c>
      <c r="B5" s="45" t="s">
        <v>33</v>
      </c>
      <c r="C5" s="45" t="s">
        <v>205</v>
      </c>
      <c r="D5" s="45" t="s">
        <v>206</v>
      </c>
      <c r="E5" s="45" t="s">
        <v>207</v>
      </c>
      <c r="F5" s="45" t="s">
        <v>208</v>
      </c>
      <c r="G5" s="45" t="s">
        <v>209</v>
      </c>
      <c r="H5" s="45" t="s">
        <v>210</v>
      </c>
      <c r="I5" s="45" t="s">
        <v>211</v>
      </c>
      <c r="J5" s="45" t="s">
        <v>212</v>
      </c>
      <c r="K5" s="45" t="s">
        <v>213</v>
      </c>
      <c r="L5" s="45" t="s">
        <v>214</v>
      </c>
      <c r="M5" s="45" t="s">
        <v>215</v>
      </c>
      <c r="N5" s="45" t="s">
        <v>216</v>
      </c>
      <c r="O5" s="45" t="s">
        <v>217</v>
      </c>
      <c r="P5" s="45" t="s">
        <v>218</v>
      </c>
      <c r="Q5" s="45" t="s">
        <v>219</v>
      </c>
      <c r="R5" s="45" t="s">
        <v>220</v>
      </c>
      <c r="S5" s="159" t="s">
        <v>221</v>
      </c>
      <c r="T5" s="160"/>
    </row>
    <row r="6">
      <c r="A6" s="67" t="str">
        <f t="shared" ref="A6:A257" si="1">CHOOSE(weekday(B6),"Sun","Mon","Tue","Wed","Thu","Fri","Sat")</f>
        <v>Wed</v>
      </c>
      <c r="B6" s="69">
        <v>43586.0</v>
      </c>
      <c r="F6" s="4" t="s">
        <v>267</v>
      </c>
      <c r="S6" s="15"/>
    </row>
    <row r="7">
      <c r="A7" s="67" t="str">
        <f t="shared" si="1"/>
        <v>Thu</v>
      </c>
      <c r="B7" s="69">
        <v>43587.0</v>
      </c>
      <c r="F7" s="4" t="s">
        <v>267</v>
      </c>
      <c r="S7" s="15"/>
    </row>
    <row r="8">
      <c r="A8" s="67" t="str">
        <f t="shared" si="1"/>
        <v>Fri</v>
      </c>
      <c r="B8" s="69">
        <v>43588.0</v>
      </c>
      <c r="F8" s="4" t="s">
        <v>267</v>
      </c>
      <c r="S8" s="15"/>
    </row>
    <row r="9">
      <c r="A9" s="67" t="str">
        <f t="shared" si="1"/>
        <v>Sat</v>
      </c>
      <c r="B9" s="69">
        <v>43589.0</v>
      </c>
      <c r="F9" s="4" t="s">
        <v>267</v>
      </c>
      <c r="S9" s="15"/>
    </row>
    <row r="10">
      <c r="A10" s="67" t="str">
        <f t="shared" si="1"/>
        <v>Sun</v>
      </c>
      <c r="B10" s="69">
        <v>43590.0</v>
      </c>
      <c r="F10" s="4" t="s">
        <v>267</v>
      </c>
      <c r="S10" s="15"/>
    </row>
    <row r="11">
      <c r="A11" s="67" t="str">
        <f t="shared" si="1"/>
        <v>Mon</v>
      </c>
      <c r="B11" s="69">
        <v>43591.0</v>
      </c>
      <c r="F11" s="4" t="s">
        <v>267</v>
      </c>
      <c r="S11" s="15"/>
    </row>
    <row r="12">
      <c r="A12" s="67" t="str">
        <f t="shared" si="1"/>
        <v>Tue</v>
      </c>
      <c r="B12" s="69">
        <v>43592.0</v>
      </c>
      <c r="F12" s="4" t="s">
        <v>267</v>
      </c>
      <c r="S12" s="15"/>
    </row>
    <row r="13">
      <c r="A13" s="67" t="str">
        <f t="shared" si="1"/>
        <v>Wed</v>
      </c>
      <c r="B13" s="69">
        <v>43593.0</v>
      </c>
      <c r="F13" s="4" t="s">
        <v>267</v>
      </c>
      <c r="S13" s="15"/>
    </row>
    <row r="14">
      <c r="A14" s="67" t="str">
        <f t="shared" si="1"/>
        <v>Thu</v>
      </c>
      <c r="B14" s="69">
        <v>43594.0</v>
      </c>
      <c r="F14" s="4" t="s">
        <v>267</v>
      </c>
      <c r="S14" s="15"/>
    </row>
    <row r="15">
      <c r="A15" s="67" t="str">
        <f t="shared" si="1"/>
        <v>Fri</v>
      </c>
      <c r="B15" s="69">
        <v>43595.0</v>
      </c>
      <c r="F15" s="4" t="s">
        <v>267</v>
      </c>
      <c r="S15" s="15"/>
    </row>
    <row r="16">
      <c r="A16" s="67" t="str">
        <f t="shared" si="1"/>
        <v>Sat</v>
      </c>
      <c r="B16" s="69">
        <v>43596.0</v>
      </c>
      <c r="F16" s="4" t="s">
        <v>267</v>
      </c>
      <c r="S16" s="15"/>
    </row>
    <row r="17">
      <c r="A17" s="67" t="str">
        <f t="shared" si="1"/>
        <v>Sun</v>
      </c>
      <c r="B17" s="69">
        <v>43597.0</v>
      </c>
      <c r="F17" s="4" t="s">
        <v>267</v>
      </c>
      <c r="S17" s="15"/>
    </row>
    <row r="18">
      <c r="A18" s="67" t="str">
        <f t="shared" si="1"/>
        <v>Mon</v>
      </c>
      <c r="B18" s="69">
        <v>43598.0</v>
      </c>
      <c r="F18" s="4" t="s">
        <v>267</v>
      </c>
      <c r="S18" s="15"/>
    </row>
    <row r="19">
      <c r="A19" s="67" t="str">
        <f t="shared" si="1"/>
        <v>Tue</v>
      </c>
      <c r="B19" s="69">
        <v>43599.0</v>
      </c>
      <c r="F19" s="4" t="s">
        <v>267</v>
      </c>
      <c r="S19" s="15"/>
    </row>
    <row r="20">
      <c r="A20" s="67" t="str">
        <f t="shared" si="1"/>
        <v>Wed</v>
      </c>
      <c r="B20" s="69">
        <v>43600.0</v>
      </c>
      <c r="F20" s="4" t="s">
        <v>267</v>
      </c>
      <c r="S20" s="15"/>
    </row>
    <row r="21">
      <c r="A21" s="67" t="str">
        <f t="shared" si="1"/>
        <v>Thu</v>
      </c>
      <c r="B21" s="69">
        <v>43601.0</v>
      </c>
      <c r="F21" s="4" t="s">
        <v>267</v>
      </c>
      <c r="S21" s="15"/>
    </row>
    <row r="22">
      <c r="A22" s="67" t="str">
        <f t="shared" si="1"/>
        <v>Fri</v>
      </c>
      <c r="B22" s="69">
        <v>43602.0</v>
      </c>
      <c r="F22" s="4" t="s">
        <v>267</v>
      </c>
      <c r="S22" s="15"/>
    </row>
    <row r="23">
      <c r="A23" s="67" t="str">
        <f t="shared" si="1"/>
        <v>Sat</v>
      </c>
      <c r="B23" s="69">
        <v>43603.0</v>
      </c>
      <c r="F23" s="4" t="s">
        <v>267</v>
      </c>
      <c r="S23" s="15"/>
    </row>
    <row r="24">
      <c r="A24" s="67" t="str">
        <f t="shared" si="1"/>
        <v>Sun</v>
      </c>
      <c r="B24" s="69">
        <v>43604.0</v>
      </c>
      <c r="F24" s="4" t="s">
        <v>267</v>
      </c>
      <c r="S24" s="15"/>
    </row>
    <row r="25">
      <c r="A25" s="67" t="str">
        <f t="shared" si="1"/>
        <v>Mon</v>
      </c>
      <c r="B25" s="69">
        <v>43605.0</v>
      </c>
      <c r="F25" s="4" t="s">
        <v>267</v>
      </c>
      <c r="S25" s="15"/>
    </row>
    <row r="26">
      <c r="A26" s="67" t="str">
        <f t="shared" si="1"/>
        <v>Tue</v>
      </c>
      <c r="B26" s="69">
        <v>43606.0</v>
      </c>
      <c r="F26" s="4" t="s">
        <v>267</v>
      </c>
      <c r="S26" s="15"/>
    </row>
    <row r="27">
      <c r="A27" s="67" t="str">
        <f t="shared" si="1"/>
        <v>Wed</v>
      </c>
      <c r="B27" s="69">
        <v>43607.0</v>
      </c>
      <c r="F27" s="4" t="s">
        <v>267</v>
      </c>
      <c r="S27" s="15"/>
    </row>
    <row r="28">
      <c r="A28" s="67" t="str">
        <f t="shared" si="1"/>
        <v>Thu</v>
      </c>
      <c r="B28" s="69">
        <v>43608.0</v>
      </c>
      <c r="F28" s="4" t="s">
        <v>267</v>
      </c>
      <c r="S28" s="15"/>
    </row>
    <row r="29">
      <c r="A29" s="67" t="str">
        <f t="shared" si="1"/>
        <v>Fri</v>
      </c>
      <c r="B29" s="69">
        <v>43609.0</v>
      </c>
      <c r="F29" s="4" t="s">
        <v>267</v>
      </c>
      <c r="S29" s="15"/>
    </row>
    <row r="30">
      <c r="A30" s="67" t="str">
        <f t="shared" si="1"/>
        <v>Sat</v>
      </c>
      <c r="B30" s="69">
        <v>43610.0</v>
      </c>
      <c r="F30" s="4" t="s">
        <v>267</v>
      </c>
      <c r="S30" s="15"/>
    </row>
    <row r="31">
      <c r="A31" s="67" t="str">
        <f t="shared" si="1"/>
        <v>Sun</v>
      </c>
      <c r="B31" s="69">
        <v>43611.0</v>
      </c>
      <c r="F31" s="4" t="s">
        <v>267</v>
      </c>
      <c r="S31" s="15"/>
    </row>
    <row r="32">
      <c r="A32" s="67" t="str">
        <f t="shared" si="1"/>
        <v>Mon</v>
      </c>
      <c r="B32" s="69">
        <v>43612.0</v>
      </c>
      <c r="F32" s="4" t="s">
        <v>267</v>
      </c>
      <c r="S32" s="15"/>
    </row>
    <row r="33">
      <c r="A33" s="67" t="str">
        <f t="shared" si="1"/>
        <v>Tue</v>
      </c>
      <c r="B33" s="69">
        <v>43613.0</v>
      </c>
      <c r="F33" s="4" t="s">
        <v>267</v>
      </c>
      <c r="S33" s="15"/>
    </row>
    <row r="34">
      <c r="A34" s="67" t="str">
        <f t="shared" si="1"/>
        <v>Wed</v>
      </c>
      <c r="B34" s="69">
        <v>43614.0</v>
      </c>
      <c r="F34" s="4" t="s">
        <v>267</v>
      </c>
      <c r="S34" s="15"/>
    </row>
    <row r="35">
      <c r="A35" s="67" t="str">
        <f t="shared" si="1"/>
        <v>Thu</v>
      </c>
      <c r="B35" s="69">
        <v>43615.0</v>
      </c>
      <c r="F35" s="4" t="s">
        <v>267</v>
      </c>
      <c r="S35" s="15"/>
    </row>
    <row r="36">
      <c r="A36" s="67" t="str">
        <f t="shared" si="1"/>
        <v>Fri</v>
      </c>
      <c r="B36" s="69">
        <v>43616.0</v>
      </c>
      <c r="F36" s="4" t="s">
        <v>267</v>
      </c>
      <c r="S36" s="15"/>
    </row>
    <row r="37">
      <c r="A37" s="67" t="str">
        <f t="shared" si="1"/>
        <v>Sat</v>
      </c>
      <c r="B37" s="69">
        <v>43617.0</v>
      </c>
      <c r="D37" s="161">
        <v>241.53</v>
      </c>
      <c r="E37" s="4" t="s">
        <v>222</v>
      </c>
      <c r="F37" s="4" t="s">
        <v>268</v>
      </c>
      <c r="G37" s="4" t="s">
        <v>268</v>
      </c>
      <c r="I37" s="4" t="s">
        <v>224</v>
      </c>
      <c r="K37" s="4" t="s">
        <v>231</v>
      </c>
      <c r="L37" s="4" t="s">
        <v>229</v>
      </c>
      <c r="M37" s="4" t="s">
        <v>269</v>
      </c>
      <c r="Q37" s="4" t="s">
        <v>270</v>
      </c>
      <c r="R37" s="4" t="s">
        <v>271</v>
      </c>
      <c r="S37" s="162" t="s">
        <v>272</v>
      </c>
    </row>
    <row r="38">
      <c r="A38" s="67" t="str">
        <f t="shared" si="1"/>
        <v>Sun</v>
      </c>
      <c r="B38" s="69">
        <v>43618.0</v>
      </c>
      <c r="D38" s="161">
        <v>241.53</v>
      </c>
      <c r="E38" s="4" t="s">
        <v>222</v>
      </c>
      <c r="F38" s="4" t="s">
        <v>268</v>
      </c>
      <c r="I38" s="4" t="s">
        <v>224</v>
      </c>
      <c r="S38" s="15"/>
    </row>
    <row r="39">
      <c r="A39" s="67" t="str">
        <f t="shared" si="1"/>
        <v>Mon</v>
      </c>
      <c r="B39" s="69">
        <v>43619.0</v>
      </c>
      <c r="H39" s="4" t="s">
        <v>268</v>
      </c>
      <c r="S39" s="15"/>
    </row>
    <row r="40">
      <c r="A40" s="67" t="str">
        <f t="shared" si="1"/>
        <v>Tue</v>
      </c>
      <c r="B40" s="69">
        <v>43620.0</v>
      </c>
      <c r="S40" s="15"/>
    </row>
    <row r="41">
      <c r="A41" s="67" t="str">
        <f t="shared" si="1"/>
        <v>Wed</v>
      </c>
      <c r="B41" s="69">
        <v>43621.0</v>
      </c>
      <c r="S41" s="15"/>
    </row>
    <row r="42">
      <c r="A42" s="67" t="str">
        <f t="shared" si="1"/>
        <v>Thu</v>
      </c>
      <c r="B42" s="69">
        <v>43622.0</v>
      </c>
      <c r="S42" s="15"/>
    </row>
    <row r="43">
      <c r="A43" s="67" t="str">
        <f t="shared" si="1"/>
        <v>Fri</v>
      </c>
      <c r="B43" s="69">
        <v>43623.0</v>
      </c>
      <c r="S43" s="15"/>
    </row>
    <row r="44">
      <c r="A44" s="67" t="str">
        <f t="shared" si="1"/>
        <v>Sat</v>
      </c>
      <c r="B44" s="69">
        <v>43624.0</v>
      </c>
      <c r="S44" s="15"/>
    </row>
    <row r="45">
      <c r="A45" s="67" t="str">
        <f t="shared" si="1"/>
        <v>Sun</v>
      </c>
      <c r="B45" s="69">
        <v>43625.0</v>
      </c>
      <c r="S45" s="15"/>
    </row>
    <row r="46">
      <c r="A46" s="67" t="str">
        <f t="shared" si="1"/>
        <v>Mon</v>
      </c>
      <c r="B46" s="69">
        <v>43626.0</v>
      </c>
      <c r="S46" s="15"/>
    </row>
    <row r="47">
      <c r="A47" s="67" t="str">
        <f t="shared" si="1"/>
        <v>Tue</v>
      </c>
      <c r="B47" s="69">
        <v>43627.0</v>
      </c>
      <c r="S47" s="15"/>
    </row>
    <row r="48">
      <c r="A48" s="67" t="str">
        <f t="shared" si="1"/>
        <v>Wed</v>
      </c>
      <c r="B48" s="69">
        <v>43628.0</v>
      </c>
      <c r="S48" s="15"/>
    </row>
    <row r="49">
      <c r="A49" s="67" t="str">
        <f t="shared" si="1"/>
        <v>Thu</v>
      </c>
      <c r="B49" s="69">
        <v>43629.0</v>
      </c>
      <c r="S49" s="15"/>
    </row>
    <row r="50">
      <c r="A50" s="67" t="str">
        <f t="shared" si="1"/>
        <v>Fri</v>
      </c>
      <c r="B50" s="69">
        <v>43630.0</v>
      </c>
      <c r="S50" s="15"/>
    </row>
    <row r="51">
      <c r="A51" s="67" t="str">
        <f t="shared" si="1"/>
        <v>Sat</v>
      </c>
      <c r="B51" s="69">
        <v>43631.0</v>
      </c>
      <c r="S51" s="15"/>
    </row>
    <row r="52">
      <c r="A52" s="67" t="str">
        <f t="shared" si="1"/>
        <v>Sun</v>
      </c>
      <c r="B52" s="69">
        <v>43632.0</v>
      </c>
      <c r="S52" s="15"/>
    </row>
    <row r="53">
      <c r="A53" s="67" t="str">
        <f t="shared" si="1"/>
        <v>Mon</v>
      </c>
      <c r="B53" s="69">
        <v>43633.0</v>
      </c>
      <c r="S53" s="15"/>
    </row>
    <row r="54">
      <c r="A54" s="67" t="str">
        <f t="shared" si="1"/>
        <v>Tue</v>
      </c>
      <c r="B54" s="69">
        <v>43634.0</v>
      </c>
      <c r="S54" s="15"/>
    </row>
    <row r="55">
      <c r="A55" s="67" t="str">
        <f t="shared" si="1"/>
        <v>Wed</v>
      </c>
      <c r="B55" s="69">
        <v>43635.0</v>
      </c>
      <c r="S55" s="15"/>
    </row>
    <row r="56">
      <c r="A56" s="67" t="str">
        <f t="shared" si="1"/>
        <v>Thu</v>
      </c>
      <c r="B56" s="69">
        <v>43636.0</v>
      </c>
      <c r="D56" s="161">
        <v>429.9525</v>
      </c>
      <c r="E56" s="4" t="s">
        <v>222</v>
      </c>
      <c r="F56" s="4" t="s">
        <v>273</v>
      </c>
      <c r="G56" s="4" t="s">
        <v>273</v>
      </c>
      <c r="I56" s="4" t="s">
        <v>224</v>
      </c>
      <c r="K56" s="4" t="s">
        <v>231</v>
      </c>
      <c r="L56" s="4" t="s">
        <v>229</v>
      </c>
      <c r="M56" s="4" t="s">
        <v>226</v>
      </c>
      <c r="N56" s="4" t="s">
        <v>232</v>
      </c>
      <c r="O56" s="4" t="s">
        <v>264</v>
      </c>
      <c r="Q56" s="4" t="s">
        <v>274</v>
      </c>
      <c r="R56" s="4" t="s">
        <v>275</v>
      </c>
      <c r="S56" s="164">
        <v>1.290703E7</v>
      </c>
    </row>
    <row r="57">
      <c r="A57" s="67" t="str">
        <f t="shared" si="1"/>
        <v>Fri</v>
      </c>
      <c r="B57" s="69">
        <v>43637.0</v>
      </c>
      <c r="D57" s="161">
        <v>429.9525</v>
      </c>
      <c r="E57" s="4" t="s">
        <v>222</v>
      </c>
      <c r="F57" s="4" t="s">
        <v>273</v>
      </c>
      <c r="I57" s="4" t="s">
        <v>224</v>
      </c>
      <c r="S57" s="15"/>
    </row>
    <row r="58">
      <c r="A58" s="67" t="str">
        <f t="shared" si="1"/>
        <v>Sat</v>
      </c>
      <c r="B58" s="69">
        <v>43638.0</v>
      </c>
      <c r="D58" s="161">
        <v>429.9525</v>
      </c>
      <c r="E58" s="4" t="s">
        <v>222</v>
      </c>
      <c r="F58" s="4" t="s">
        <v>273</v>
      </c>
      <c r="I58" s="4" t="s">
        <v>224</v>
      </c>
      <c r="S58" s="15"/>
    </row>
    <row r="59">
      <c r="A59" s="67" t="str">
        <f t="shared" si="1"/>
        <v>Sun</v>
      </c>
      <c r="B59" s="69">
        <v>43639.0</v>
      </c>
      <c r="D59" s="161">
        <v>429.9525</v>
      </c>
      <c r="E59" s="4" t="s">
        <v>222</v>
      </c>
      <c r="F59" s="4" t="s">
        <v>273</v>
      </c>
      <c r="I59" s="4" t="s">
        <v>224</v>
      </c>
      <c r="S59" s="15"/>
    </row>
    <row r="60">
      <c r="A60" s="67" t="str">
        <f t="shared" si="1"/>
        <v>Mon</v>
      </c>
      <c r="B60" s="69">
        <v>43640.0</v>
      </c>
      <c r="H60" s="4" t="s">
        <v>273</v>
      </c>
      <c r="S60" s="15"/>
    </row>
    <row r="61">
      <c r="A61" s="67" t="str">
        <f t="shared" si="1"/>
        <v>Tue</v>
      </c>
      <c r="B61" s="69">
        <v>43641.0</v>
      </c>
      <c r="S61" s="15"/>
    </row>
    <row r="62">
      <c r="A62" s="67" t="str">
        <f t="shared" si="1"/>
        <v>Wed</v>
      </c>
      <c r="B62" s="69">
        <v>43642.0</v>
      </c>
      <c r="S62" s="15"/>
    </row>
    <row r="63">
      <c r="A63" s="67" t="str">
        <f t="shared" si="1"/>
        <v>Thu</v>
      </c>
      <c r="B63" s="69">
        <v>43643.0</v>
      </c>
      <c r="S63" s="15"/>
    </row>
    <row r="64">
      <c r="A64" s="67" t="str">
        <f t="shared" si="1"/>
        <v>Fri</v>
      </c>
      <c r="B64" s="69">
        <v>43644.0</v>
      </c>
      <c r="S64" s="15"/>
    </row>
    <row r="65">
      <c r="A65" s="67" t="str">
        <f t="shared" si="1"/>
        <v>Sat</v>
      </c>
      <c r="B65" s="69">
        <v>43645.0</v>
      </c>
      <c r="D65" s="161">
        <v>243.79333333333332</v>
      </c>
      <c r="E65" s="4" t="s">
        <v>222</v>
      </c>
      <c r="F65" s="4" t="s">
        <v>276</v>
      </c>
      <c r="G65" s="4" t="s">
        <v>276</v>
      </c>
      <c r="I65" s="4" t="s">
        <v>224</v>
      </c>
      <c r="K65" s="4" t="s">
        <v>231</v>
      </c>
      <c r="L65" s="4" t="s">
        <v>225</v>
      </c>
      <c r="M65" s="4" t="s">
        <v>277</v>
      </c>
      <c r="N65" s="4" t="s">
        <v>278</v>
      </c>
      <c r="Q65" s="4" t="s">
        <v>279</v>
      </c>
      <c r="R65" s="4" t="s">
        <v>280</v>
      </c>
      <c r="S65" s="162" t="s">
        <v>281</v>
      </c>
    </row>
    <row r="66">
      <c r="A66" s="67" t="str">
        <f t="shared" si="1"/>
        <v>Sun</v>
      </c>
      <c r="B66" s="69">
        <v>43646.0</v>
      </c>
      <c r="D66" s="161">
        <v>243.79333333333332</v>
      </c>
      <c r="E66" s="4" t="s">
        <v>222</v>
      </c>
      <c r="F66" s="4" t="s">
        <v>276</v>
      </c>
      <c r="I66" s="4" t="s">
        <v>224</v>
      </c>
      <c r="S66" s="15"/>
    </row>
    <row r="67">
      <c r="A67" s="67" t="str">
        <f t="shared" si="1"/>
        <v>Mon</v>
      </c>
      <c r="B67" s="69">
        <v>43647.0</v>
      </c>
      <c r="D67" s="161">
        <v>243.79333333333332</v>
      </c>
      <c r="E67" s="4" t="s">
        <v>222</v>
      </c>
      <c r="F67" s="4" t="s">
        <v>276</v>
      </c>
      <c r="I67" s="4" t="s">
        <v>224</v>
      </c>
      <c r="S67" s="15"/>
    </row>
    <row r="68">
      <c r="A68" s="67" t="str">
        <f t="shared" si="1"/>
        <v>Tue</v>
      </c>
      <c r="B68" s="69">
        <v>43648.0</v>
      </c>
      <c r="H68" s="4" t="s">
        <v>276</v>
      </c>
      <c r="S68" s="15"/>
    </row>
    <row r="69">
      <c r="A69" s="67" t="str">
        <f t="shared" si="1"/>
        <v>Wed</v>
      </c>
      <c r="B69" s="69">
        <v>43649.0</v>
      </c>
      <c r="S69" s="15"/>
    </row>
    <row r="70">
      <c r="A70" s="67" t="str">
        <f t="shared" si="1"/>
        <v>Thu</v>
      </c>
      <c r="B70" s="69">
        <v>43650.0</v>
      </c>
      <c r="S70" s="15"/>
    </row>
    <row r="71">
      <c r="A71" s="67" t="str">
        <f t="shared" si="1"/>
        <v>Fri</v>
      </c>
      <c r="B71" s="69">
        <v>43651.0</v>
      </c>
      <c r="S71" s="15"/>
    </row>
    <row r="72">
      <c r="A72" s="67" t="str">
        <f t="shared" si="1"/>
        <v>Sat</v>
      </c>
      <c r="B72" s="69">
        <v>43652.0</v>
      </c>
      <c r="S72" s="15"/>
    </row>
    <row r="73">
      <c r="A73" s="67" t="str">
        <f t="shared" si="1"/>
        <v>Sun</v>
      </c>
      <c r="B73" s="69">
        <v>43653.0</v>
      </c>
      <c r="S73" s="15"/>
    </row>
    <row r="74">
      <c r="A74" s="67" t="str">
        <f t="shared" si="1"/>
        <v>Mon</v>
      </c>
      <c r="B74" s="69">
        <v>43654.0</v>
      </c>
      <c r="S74" s="15"/>
    </row>
    <row r="75">
      <c r="A75" s="67" t="str">
        <f t="shared" si="1"/>
        <v>Tue</v>
      </c>
      <c r="B75" s="69">
        <v>43655.0</v>
      </c>
      <c r="S75" s="15"/>
    </row>
    <row r="76">
      <c r="A76" s="67" t="str">
        <f t="shared" si="1"/>
        <v>Wed</v>
      </c>
      <c r="B76" s="69">
        <v>43656.0</v>
      </c>
      <c r="S76" s="15"/>
    </row>
    <row r="77">
      <c r="A77" s="67" t="str">
        <f t="shared" si="1"/>
        <v>Thu</v>
      </c>
      <c r="B77" s="69">
        <v>43657.0</v>
      </c>
      <c r="S77" s="15"/>
    </row>
    <row r="78">
      <c r="A78" s="67" t="str">
        <f t="shared" si="1"/>
        <v>Fri</v>
      </c>
      <c r="B78" s="69">
        <v>43658.0</v>
      </c>
      <c r="S78" s="15"/>
    </row>
    <row r="79">
      <c r="A79" s="67" t="str">
        <f t="shared" si="1"/>
        <v>Sat</v>
      </c>
      <c r="B79" s="69">
        <v>43659.0</v>
      </c>
      <c r="S79" s="15"/>
    </row>
    <row r="80">
      <c r="A80" s="67" t="str">
        <f t="shared" si="1"/>
        <v>Sun</v>
      </c>
      <c r="B80" s="69">
        <v>43660.0</v>
      </c>
      <c r="S80" s="15"/>
    </row>
    <row r="81">
      <c r="A81" s="67" t="str">
        <f t="shared" si="1"/>
        <v>Mon</v>
      </c>
      <c r="B81" s="69">
        <v>43661.0</v>
      </c>
      <c r="S81" s="15"/>
    </row>
    <row r="82">
      <c r="A82" s="67" t="str">
        <f t="shared" si="1"/>
        <v>Tue</v>
      </c>
      <c r="B82" s="69">
        <v>43662.0</v>
      </c>
      <c r="S82" s="15"/>
    </row>
    <row r="83">
      <c r="A83" s="67" t="str">
        <f t="shared" si="1"/>
        <v>Wed</v>
      </c>
      <c r="B83" s="69">
        <v>43663.0</v>
      </c>
      <c r="S83" s="15"/>
    </row>
    <row r="84">
      <c r="A84" s="67" t="str">
        <f t="shared" si="1"/>
        <v>Thu</v>
      </c>
      <c r="B84" s="69">
        <v>43664.0</v>
      </c>
      <c r="S84" s="15"/>
    </row>
    <row r="85">
      <c r="A85" s="67" t="str">
        <f t="shared" si="1"/>
        <v>Fri</v>
      </c>
      <c r="B85" s="69">
        <v>43665.0</v>
      </c>
      <c r="S85" s="15"/>
    </row>
    <row r="86">
      <c r="A86" s="67" t="str">
        <f t="shared" si="1"/>
        <v>Sat</v>
      </c>
      <c r="B86" s="69">
        <v>43666.0</v>
      </c>
      <c r="S86" s="15"/>
    </row>
    <row r="87">
      <c r="A87" s="67" t="str">
        <f t="shared" si="1"/>
        <v>Sun</v>
      </c>
      <c r="B87" s="69">
        <v>43667.0</v>
      </c>
      <c r="S87" s="15"/>
    </row>
    <row r="88">
      <c r="A88" s="67" t="str">
        <f t="shared" si="1"/>
        <v>Mon</v>
      </c>
      <c r="B88" s="69">
        <v>43668.0</v>
      </c>
      <c r="S88" s="15"/>
    </row>
    <row r="89">
      <c r="A89" s="67" t="str">
        <f t="shared" si="1"/>
        <v>Tue</v>
      </c>
      <c r="B89" s="69">
        <v>43669.0</v>
      </c>
      <c r="S89" s="15"/>
    </row>
    <row r="90">
      <c r="A90" s="67" t="str">
        <f t="shared" si="1"/>
        <v>Wed</v>
      </c>
      <c r="B90" s="69">
        <v>43670.0</v>
      </c>
      <c r="S90" s="15"/>
    </row>
    <row r="91">
      <c r="A91" s="67" t="str">
        <f t="shared" si="1"/>
        <v>Thu</v>
      </c>
      <c r="B91" s="69">
        <v>43671.0</v>
      </c>
      <c r="S91" s="15"/>
    </row>
    <row r="92">
      <c r="A92" s="67" t="str">
        <f t="shared" si="1"/>
        <v>Fri</v>
      </c>
      <c r="B92" s="69">
        <v>43672.0</v>
      </c>
      <c r="S92" s="15"/>
    </row>
    <row r="93">
      <c r="A93" s="67" t="str">
        <f t="shared" si="1"/>
        <v>Sat</v>
      </c>
      <c r="B93" s="69">
        <v>43673.0</v>
      </c>
      <c r="S93" s="15"/>
    </row>
    <row r="94">
      <c r="A94" s="67" t="str">
        <f t="shared" si="1"/>
        <v>Sun</v>
      </c>
      <c r="B94" s="69">
        <v>43674.0</v>
      </c>
      <c r="S94" s="15"/>
    </row>
    <row r="95">
      <c r="A95" s="67" t="str">
        <f t="shared" si="1"/>
        <v>Mon</v>
      </c>
      <c r="B95" s="69">
        <v>43675.0</v>
      </c>
      <c r="S95" s="15"/>
    </row>
    <row r="96">
      <c r="A96" s="67" t="str">
        <f t="shared" si="1"/>
        <v>Tue</v>
      </c>
      <c r="B96" s="69">
        <v>43676.0</v>
      </c>
      <c r="S96" s="15"/>
    </row>
    <row r="97">
      <c r="A97" s="67" t="str">
        <f t="shared" si="1"/>
        <v>Wed</v>
      </c>
      <c r="B97" s="69">
        <v>43677.0</v>
      </c>
      <c r="S97" s="15"/>
    </row>
    <row r="98">
      <c r="A98" s="67" t="str">
        <f t="shared" si="1"/>
        <v>Thu</v>
      </c>
      <c r="B98" s="69">
        <v>43678.0</v>
      </c>
      <c r="S98" s="15"/>
    </row>
    <row r="99">
      <c r="A99" s="67" t="str">
        <f t="shared" si="1"/>
        <v>Fri</v>
      </c>
      <c r="B99" s="69">
        <v>43679.0</v>
      </c>
      <c r="S99" s="15"/>
    </row>
    <row r="100">
      <c r="A100" s="67" t="str">
        <f t="shared" si="1"/>
        <v>Sat</v>
      </c>
      <c r="B100" s="69">
        <v>43680.0</v>
      </c>
      <c r="S100" s="15"/>
    </row>
    <row r="101">
      <c r="A101" s="67" t="str">
        <f t="shared" si="1"/>
        <v>Sun</v>
      </c>
      <c r="B101" s="69">
        <v>43681.0</v>
      </c>
      <c r="S101" s="15"/>
    </row>
    <row r="102">
      <c r="A102" s="67" t="str">
        <f t="shared" si="1"/>
        <v>Mon</v>
      </c>
      <c r="B102" s="69">
        <v>43682.0</v>
      </c>
      <c r="S102" s="15"/>
    </row>
    <row r="103">
      <c r="A103" s="67" t="str">
        <f t="shared" si="1"/>
        <v>Tue</v>
      </c>
      <c r="B103" s="69">
        <v>43683.0</v>
      </c>
      <c r="S103" s="15"/>
    </row>
    <row r="104">
      <c r="A104" s="67" t="str">
        <f t="shared" si="1"/>
        <v>Wed</v>
      </c>
      <c r="B104" s="69">
        <v>43684.0</v>
      </c>
      <c r="S104" s="15"/>
    </row>
    <row r="105">
      <c r="A105" s="67" t="str">
        <f t="shared" si="1"/>
        <v>Thu</v>
      </c>
      <c r="B105" s="69">
        <v>43685.0</v>
      </c>
      <c r="S105" s="15"/>
    </row>
    <row r="106">
      <c r="A106" s="67" t="str">
        <f t="shared" si="1"/>
        <v>Fri</v>
      </c>
      <c r="B106" s="69">
        <v>43686.0</v>
      </c>
      <c r="S106" s="15"/>
    </row>
    <row r="107">
      <c r="A107" s="67" t="str">
        <f t="shared" si="1"/>
        <v>Sat</v>
      </c>
      <c r="B107" s="69">
        <v>43687.0</v>
      </c>
      <c r="S107" s="15"/>
    </row>
    <row r="108">
      <c r="A108" s="67" t="str">
        <f t="shared" si="1"/>
        <v>Sun</v>
      </c>
      <c r="B108" s="69">
        <v>43688.0</v>
      </c>
      <c r="S108" s="15"/>
    </row>
    <row r="109">
      <c r="A109" s="67" t="str">
        <f t="shared" si="1"/>
        <v>Mon</v>
      </c>
      <c r="B109" s="69">
        <v>43689.0</v>
      </c>
      <c r="S109" s="15"/>
    </row>
    <row r="110">
      <c r="A110" s="67" t="str">
        <f t="shared" si="1"/>
        <v>Tue</v>
      </c>
      <c r="B110" s="69">
        <v>43690.0</v>
      </c>
      <c r="S110" s="15"/>
    </row>
    <row r="111">
      <c r="A111" s="67" t="str">
        <f t="shared" si="1"/>
        <v>Wed</v>
      </c>
      <c r="B111" s="69">
        <v>43691.0</v>
      </c>
      <c r="S111" s="15"/>
    </row>
    <row r="112">
      <c r="A112" s="67" t="str">
        <f t="shared" si="1"/>
        <v>Thu</v>
      </c>
      <c r="B112" s="69">
        <v>43692.0</v>
      </c>
      <c r="S112" s="15"/>
    </row>
    <row r="113">
      <c r="A113" s="67" t="str">
        <f t="shared" si="1"/>
        <v>Fri</v>
      </c>
      <c r="B113" s="69">
        <v>43693.0</v>
      </c>
      <c r="S113" s="15"/>
    </row>
    <row r="114">
      <c r="A114" s="67" t="str">
        <f t="shared" si="1"/>
        <v>Sat</v>
      </c>
      <c r="B114" s="69">
        <v>43694.0</v>
      </c>
      <c r="S114" s="15"/>
    </row>
    <row r="115">
      <c r="A115" s="67" t="str">
        <f t="shared" si="1"/>
        <v>Sun</v>
      </c>
      <c r="B115" s="69">
        <v>43695.0</v>
      </c>
      <c r="S115" s="15"/>
    </row>
    <row r="116">
      <c r="A116" s="67" t="str">
        <f t="shared" si="1"/>
        <v>Mon</v>
      </c>
      <c r="B116" s="69">
        <v>43696.0</v>
      </c>
      <c r="S116" s="15"/>
    </row>
    <row r="117">
      <c r="A117" s="67" t="str">
        <f t="shared" si="1"/>
        <v>Tue</v>
      </c>
      <c r="B117" s="69">
        <v>43697.0</v>
      </c>
      <c r="S117" s="15"/>
    </row>
    <row r="118">
      <c r="A118" s="67" t="str">
        <f t="shared" si="1"/>
        <v>Wed</v>
      </c>
      <c r="B118" s="69">
        <v>43698.0</v>
      </c>
      <c r="S118" s="15"/>
    </row>
    <row r="119">
      <c r="A119" s="67" t="str">
        <f t="shared" si="1"/>
        <v>Thu</v>
      </c>
      <c r="B119" s="69">
        <v>43699.0</v>
      </c>
      <c r="S119" s="15"/>
    </row>
    <row r="120">
      <c r="A120" s="67" t="str">
        <f t="shared" si="1"/>
        <v>Fri</v>
      </c>
      <c r="B120" s="69">
        <v>43700.0</v>
      </c>
      <c r="S120" s="15"/>
    </row>
    <row r="121">
      <c r="A121" s="67" t="str">
        <f t="shared" si="1"/>
        <v>Sat</v>
      </c>
      <c r="B121" s="69">
        <v>43701.0</v>
      </c>
      <c r="S121" s="15"/>
    </row>
    <row r="122">
      <c r="A122" s="67" t="str">
        <f t="shared" si="1"/>
        <v>Sun</v>
      </c>
      <c r="B122" s="69">
        <v>43702.0</v>
      </c>
      <c r="S122" s="15"/>
    </row>
    <row r="123">
      <c r="A123" s="67" t="str">
        <f t="shared" si="1"/>
        <v>Mon</v>
      </c>
      <c r="B123" s="69">
        <v>43703.0</v>
      </c>
      <c r="S123" s="15"/>
    </row>
    <row r="124">
      <c r="A124" s="67" t="str">
        <f t="shared" si="1"/>
        <v>Tue</v>
      </c>
      <c r="B124" s="69">
        <v>43704.0</v>
      </c>
      <c r="S124" s="15"/>
    </row>
    <row r="125">
      <c r="A125" s="67" t="str">
        <f t="shared" si="1"/>
        <v>Wed</v>
      </c>
      <c r="B125" s="69">
        <v>43705.0</v>
      </c>
      <c r="S125" s="15"/>
    </row>
    <row r="126">
      <c r="A126" s="67" t="str">
        <f t="shared" si="1"/>
        <v>Thu</v>
      </c>
      <c r="B126" s="69">
        <v>43706.0</v>
      </c>
      <c r="S126" s="15"/>
    </row>
    <row r="127">
      <c r="A127" s="67" t="str">
        <f t="shared" si="1"/>
        <v>Fri</v>
      </c>
      <c r="B127" s="69">
        <v>43707.0</v>
      </c>
      <c r="S127" s="15"/>
    </row>
    <row r="128">
      <c r="A128" s="67" t="str">
        <f t="shared" si="1"/>
        <v>Sat</v>
      </c>
      <c r="B128" s="69">
        <v>43708.0</v>
      </c>
      <c r="S128" s="15"/>
    </row>
    <row r="129">
      <c r="A129" s="67" t="str">
        <f t="shared" si="1"/>
        <v>Sun</v>
      </c>
      <c r="B129" s="69">
        <v>43709.0</v>
      </c>
      <c r="S129" s="15"/>
    </row>
    <row r="130">
      <c r="A130" s="67" t="str">
        <f t="shared" si="1"/>
        <v>Mon</v>
      </c>
      <c r="B130" s="69">
        <v>43710.0</v>
      </c>
      <c r="S130" s="15"/>
    </row>
    <row r="131">
      <c r="A131" s="67" t="str">
        <f t="shared" si="1"/>
        <v>Tue</v>
      </c>
      <c r="B131" s="69">
        <v>43711.0</v>
      </c>
      <c r="S131" s="15"/>
    </row>
    <row r="132">
      <c r="A132" s="67" t="str">
        <f t="shared" si="1"/>
        <v>Wed</v>
      </c>
      <c r="B132" s="69">
        <v>43712.0</v>
      </c>
      <c r="S132" s="15"/>
    </row>
    <row r="133">
      <c r="A133" s="67" t="str">
        <f t="shared" si="1"/>
        <v>Thu</v>
      </c>
      <c r="B133" s="69">
        <v>43713.0</v>
      </c>
      <c r="S133" s="15"/>
    </row>
    <row r="134">
      <c r="A134" s="67" t="str">
        <f t="shared" si="1"/>
        <v>Fri</v>
      </c>
      <c r="B134" s="69">
        <v>43714.0</v>
      </c>
      <c r="S134" s="15"/>
    </row>
    <row r="135">
      <c r="A135" s="67" t="str">
        <f t="shared" si="1"/>
        <v>Sat</v>
      </c>
      <c r="B135" s="69">
        <v>43715.0</v>
      </c>
      <c r="S135" s="15"/>
    </row>
    <row r="136">
      <c r="A136" s="67" t="str">
        <f t="shared" si="1"/>
        <v>Sun</v>
      </c>
      <c r="B136" s="69">
        <v>43716.0</v>
      </c>
      <c r="S136" s="15"/>
    </row>
    <row r="137">
      <c r="A137" s="67" t="str">
        <f t="shared" si="1"/>
        <v>Mon</v>
      </c>
      <c r="B137" s="69">
        <v>43717.0</v>
      </c>
      <c r="S137" s="15"/>
    </row>
    <row r="138">
      <c r="A138" s="67" t="str">
        <f t="shared" si="1"/>
        <v>Tue</v>
      </c>
      <c r="B138" s="69">
        <v>43718.0</v>
      </c>
      <c r="S138" s="15"/>
    </row>
    <row r="139">
      <c r="A139" s="67" t="str">
        <f t="shared" si="1"/>
        <v>Wed</v>
      </c>
      <c r="B139" s="69">
        <v>43719.0</v>
      </c>
      <c r="S139" s="15"/>
    </row>
    <row r="140">
      <c r="A140" s="67" t="str">
        <f t="shared" si="1"/>
        <v>Thu</v>
      </c>
      <c r="B140" s="69">
        <v>43720.0</v>
      </c>
      <c r="S140" s="15"/>
    </row>
    <row r="141">
      <c r="A141" s="67" t="str">
        <f t="shared" si="1"/>
        <v>Fri</v>
      </c>
      <c r="B141" s="69">
        <v>43721.0</v>
      </c>
      <c r="D141" s="161">
        <v>285.50333333333333</v>
      </c>
      <c r="E141" s="4" t="s">
        <v>222</v>
      </c>
      <c r="F141" s="4" t="s">
        <v>282</v>
      </c>
      <c r="G141" s="4" t="s">
        <v>282</v>
      </c>
      <c r="I141" s="4" t="s">
        <v>224</v>
      </c>
      <c r="K141" s="4" t="s">
        <v>231</v>
      </c>
      <c r="L141" s="4" t="s">
        <v>229</v>
      </c>
      <c r="M141" s="4" t="s">
        <v>283</v>
      </c>
      <c r="N141" s="4" t="s">
        <v>284</v>
      </c>
      <c r="Q141" s="4" t="s">
        <v>285</v>
      </c>
      <c r="R141" s="4" t="s">
        <v>261</v>
      </c>
      <c r="S141" s="162" t="s">
        <v>286</v>
      </c>
    </row>
    <row r="142">
      <c r="A142" s="67" t="str">
        <f t="shared" si="1"/>
        <v>Sat</v>
      </c>
      <c r="B142" s="69">
        <v>43722.0</v>
      </c>
      <c r="D142" s="161">
        <v>285.50333333333333</v>
      </c>
      <c r="E142" s="4" t="s">
        <v>222</v>
      </c>
      <c r="F142" s="4" t="s">
        <v>282</v>
      </c>
      <c r="I142" s="4" t="s">
        <v>224</v>
      </c>
      <c r="S142" s="15"/>
    </row>
    <row r="143">
      <c r="A143" s="67" t="str">
        <f t="shared" si="1"/>
        <v>Sun</v>
      </c>
      <c r="B143" s="69">
        <v>43723.0</v>
      </c>
      <c r="D143" s="161">
        <v>285.50333333333333</v>
      </c>
      <c r="E143" s="4" t="s">
        <v>222</v>
      </c>
      <c r="F143" s="4" t="s">
        <v>282</v>
      </c>
      <c r="I143" s="4" t="s">
        <v>224</v>
      </c>
      <c r="S143" s="15"/>
    </row>
    <row r="144">
      <c r="A144" s="67" t="str">
        <f t="shared" si="1"/>
        <v>Mon</v>
      </c>
      <c r="B144" s="69">
        <v>43724.0</v>
      </c>
      <c r="H144" s="4" t="s">
        <v>282</v>
      </c>
      <c r="S144" s="15"/>
    </row>
    <row r="145">
      <c r="A145" s="67" t="str">
        <f t="shared" si="1"/>
        <v>Tue</v>
      </c>
      <c r="B145" s="69">
        <v>43725.0</v>
      </c>
      <c r="S145" s="15"/>
    </row>
    <row r="146">
      <c r="A146" s="67" t="str">
        <f t="shared" si="1"/>
        <v>Wed</v>
      </c>
      <c r="B146" s="69">
        <v>43726.0</v>
      </c>
      <c r="S146" s="15"/>
    </row>
    <row r="147">
      <c r="A147" s="67" t="str">
        <f t="shared" si="1"/>
        <v>Thu</v>
      </c>
      <c r="B147" s="69">
        <v>43727.0</v>
      </c>
      <c r="S147" s="15"/>
    </row>
    <row r="148">
      <c r="A148" s="67" t="str">
        <f t="shared" si="1"/>
        <v>Fri</v>
      </c>
      <c r="B148" s="69">
        <v>43728.0</v>
      </c>
      <c r="S148" s="15"/>
    </row>
    <row r="149">
      <c r="A149" s="67" t="str">
        <f t="shared" si="1"/>
        <v>Sat</v>
      </c>
      <c r="B149" s="69">
        <v>43729.0</v>
      </c>
      <c r="S149" s="15"/>
    </row>
    <row r="150">
      <c r="A150" s="67" t="str">
        <f t="shared" si="1"/>
        <v>Sun</v>
      </c>
      <c r="B150" s="69">
        <v>43730.0</v>
      </c>
      <c r="S150" s="15"/>
    </row>
    <row r="151">
      <c r="A151" s="67" t="str">
        <f t="shared" si="1"/>
        <v>Mon</v>
      </c>
      <c r="B151" s="69">
        <v>43731.0</v>
      </c>
      <c r="S151" s="15"/>
    </row>
    <row r="152">
      <c r="A152" s="67" t="str">
        <f t="shared" si="1"/>
        <v>Tue</v>
      </c>
      <c r="B152" s="69">
        <v>43732.0</v>
      </c>
      <c r="S152" s="15"/>
    </row>
    <row r="153">
      <c r="A153" s="67" t="str">
        <f t="shared" si="1"/>
        <v>Wed</v>
      </c>
      <c r="B153" s="69">
        <v>43733.0</v>
      </c>
      <c r="S153" s="15"/>
    </row>
    <row r="154">
      <c r="A154" s="67" t="str">
        <f t="shared" si="1"/>
        <v>Thu</v>
      </c>
      <c r="B154" s="69">
        <v>43734.0</v>
      </c>
      <c r="S154" s="15"/>
    </row>
    <row r="155">
      <c r="A155" s="67" t="str">
        <f t="shared" si="1"/>
        <v>Fri</v>
      </c>
      <c r="B155" s="69">
        <v>43735.0</v>
      </c>
      <c r="S155" s="15"/>
    </row>
    <row r="156">
      <c r="A156" s="67" t="str">
        <f t="shared" si="1"/>
        <v>Sat</v>
      </c>
      <c r="B156" s="69">
        <v>43736.0</v>
      </c>
      <c r="S156" s="15"/>
    </row>
    <row r="157">
      <c r="A157" s="67" t="str">
        <f t="shared" si="1"/>
        <v>Sun</v>
      </c>
      <c r="B157" s="69">
        <v>43737.0</v>
      </c>
      <c r="S157" s="15"/>
    </row>
    <row r="158">
      <c r="A158" s="67" t="str">
        <f t="shared" si="1"/>
        <v>Mon</v>
      </c>
      <c r="B158" s="69">
        <v>43738.0</v>
      </c>
      <c r="S158" s="15"/>
    </row>
    <row r="159">
      <c r="A159" s="67" t="str">
        <f t="shared" si="1"/>
        <v>Tue</v>
      </c>
      <c r="B159" s="69">
        <v>43739.0</v>
      </c>
      <c r="S159" s="15"/>
    </row>
    <row r="160">
      <c r="A160" s="67" t="str">
        <f t="shared" si="1"/>
        <v>Wed</v>
      </c>
      <c r="B160" s="69">
        <v>43740.0</v>
      </c>
      <c r="S160" s="15"/>
    </row>
    <row r="161">
      <c r="A161" s="67" t="str">
        <f t="shared" si="1"/>
        <v>Thu</v>
      </c>
      <c r="B161" s="69">
        <v>43741.0</v>
      </c>
      <c r="S161" s="15"/>
    </row>
    <row r="162">
      <c r="A162" s="67" t="str">
        <f t="shared" si="1"/>
        <v>Fri</v>
      </c>
      <c r="B162" s="69">
        <v>43742.0</v>
      </c>
      <c r="S162" s="15"/>
    </row>
    <row r="163">
      <c r="A163" s="67" t="str">
        <f t="shared" si="1"/>
        <v>Sat</v>
      </c>
      <c r="B163" s="69">
        <v>43743.0</v>
      </c>
      <c r="S163" s="15"/>
    </row>
    <row r="164">
      <c r="A164" s="67" t="str">
        <f t="shared" si="1"/>
        <v>Sun</v>
      </c>
      <c r="B164" s="69">
        <v>43744.0</v>
      </c>
      <c r="S164" s="15"/>
    </row>
    <row r="165">
      <c r="A165" s="67" t="str">
        <f t="shared" si="1"/>
        <v>Mon</v>
      </c>
      <c r="B165" s="69">
        <v>43745.0</v>
      </c>
      <c r="S165" s="15"/>
    </row>
    <row r="166">
      <c r="A166" s="67" t="str">
        <f t="shared" si="1"/>
        <v>Tue</v>
      </c>
      <c r="B166" s="69">
        <v>43746.0</v>
      </c>
      <c r="S166" s="15"/>
    </row>
    <row r="167">
      <c r="A167" s="67" t="str">
        <f t="shared" si="1"/>
        <v>Wed</v>
      </c>
      <c r="B167" s="69">
        <v>43747.0</v>
      </c>
      <c r="S167" s="15"/>
    </row>
    <row r="168">
      <c r="A168" s="67" t="str">
        <f t="shared" si="1"/>
        <v>Thu</v>
      </c>
      <c r="B168" s="69">
        <v>43748.0</v>
      </c>
      <c r="S168" s="15"/>
    </row>
    <row r="169">
      <c r="A169" s="67" t="str">
        <f t="shared" si="1"/>
        <v>Fri</v>
      </c>
      <c r="B169" s="69">
        <v>43749.0</v>
      </c>
      <c r="S169" s="15"/>
    </row>
    <row r="170">
      <c r="A170" s="67" t="str">
        <f t="shared" si="1"/>
        <v>Sat</v>
      </c>
      <c r="B170" s="69">
        <v>43750.0</v>
      </c>
      <c r="S170" s="15"/>
    </row>
    <row r="171">
      <c r="A171" s="67" t="str">
        <f t="shared" si="1"/>
        <v>Sun</v>
      </c>
      <c r="B171" s="69">
        <v>43751.0</v>
      </c>
      <c r="S171" s="15"/>
    </row>
    <row r="172">
      <c r="A172" s="67" t="str">
        <f t="shared" si="1"/>
        <v>Mon</v>
      </c>
      <c r="B172" s="69">
        <v>43752.0</v>
      </c>
      <c r="S172" s="15"/>
    </row>
    <row r="173">
      <c r="A173" s="67" t="str">
        <f t="shared" si="1"/>
        <v>Tue</v>
      </c>
      <c r="B173" s="69">
        <v>43753.0</v>
      </c>
      <c r="S173" s="15"/>
    </row>
    <row r="174">
      <c r="A174" s="67" t="str">
        <f t="shared" si="1"/>
        <v>Wed</v>
      </c>
      <c r="B174" s="69">
        <v>43754.0</v>
      </c>
      <c r="S174" s="15"/>
    </row>
    <row r="175">
      <c r="A175" s="67" t="str">
        <f t="shared" si="1"/>
        <v>Thu</v>
      </c>
      <c r="B175" s="69">
        <v>43755.0</v>
      </c>
      <c r="S175" s="15"/>
    </row>
    <row r="176">
      <c r="A176" s="67" t="str">
        <f t="shared" si="1"/>
        <v>Fri</v>
      </c>
      <c r="B176" s="69">
        <v>43756.0</v>
      </c>
      <c r="S176" s="15"/>
    </row>
    <row r="177">
      <c r="A177" s="67" t="str">
        <f t="shared" si="1"/>
        <v>Sat</v>
      </c>
      <c r="B177" s="69">
        <v>43757.0</v>
      </c>
      <c r="S177" s="15"/>
    </row>
    <row r="178">
      <c r="A178" s="67" t="str">
        <f t="shared" si="1"/>
        <v>Sun</v>
      </c>
      <c r="B178" s="69">
        <v>43758.0</v>
      </c>
      <c r="S178" s="15"/>
    </row>
    <row r="179">
      <c r="A179" s="67" t="str">
        <f t="shared" si="1"/>
        <v>Mon</v>
      </c>
      <c r="B179" s="69">
        <v>43759.0</v>
      </c>
      <c r="S179" s="15"/>
    </row>
    <row r="180">
      <c r="A180" s="67" t="str">
        <f t="shared" si="1"/>
        <v>Tue</v>
      </c>
      <c r="B180" s="69">
        <v>43760.0</v>
      </c>
      <c r="S180" s="15"/>
    </row>
    <row r="181">
      <c r="A181" s="67" t="str">
        <f t="shared" si="1"/>
        <v>Wed</v>
      </c>
      <c r="B181" s="69">
        <v>43761.0</v>
      </c>
      <c r="S181" s="15"/>
    </row>
    <row r="182">
      <c r="A182" s="67" t="str">
        <f t="shared" si="1"/>
        <v>Thu</v>
      </c>
      <c r="B182" s="69">
        <v>43762.0</v>
      </c>
      <c r="S182" s="15"/>
    </row>
    <row r="183">
      <c r="A183" s="67" t="str">
        <f t="shared" si="1"/>
        <v>Fri</v>
      </c>
      <c r="B183" s="69">
        <v>43763.0</v>
      </c>
      <c r="S183" s="15"/>
    </row>
    <row r="184">
      <c r="A184" s="67" t="str">
        <f t="shared" si="1"/>
        <v>Sat</v>
      </c>
      <c r="B184" s="69">
        <v>43764.0</v>
      </c>
      <c r="S184" s="15"/>
    </row>
    <row r="185">
      <c r="A185" s="67" t="str">
        <f t="shared" si="1"/>
        <v>Sun</v>
      </c>
      <c r="B185" s="69">
        <v>43765.0</v>
      </c>
      <c r="S185" s="15"/>
    </row>
    <row r="186">
      <c r="A186" s="67" t="str">
        <f t="shared" si="1"/>
        <v>Mon</v>
      </c>
      <c r="B186" s="69">
        <v>43766.0</v>
      </c>
      <c r="S186" s="15"/>
    </row>
    <row r="187">
      <c r="A187" s="67" t="str">
        <f t="shared" si="1"/>
        <v>Tue</v>
      </c>
      <c r="B187" s="69">
        <v>43767.0</v>
      </c>
      <c r="S187" s="15"/>
    </row>
    <row r="188">
      <c r="A188" s="67" t="str">
        <f t="shared" si="1"/>
        <v>Wed</v>
      </c>
      <c r="B188" s="69">
        <v>43768.0</v>
      </c>
      <c r="S188" s="15"/>
    </row>
    <row r="189">
      <c r="A189" s="67" t="str">
        <f t="shared" si="1"/>
        <v>Thu</v>
      </c>
      <c r="B189" s="69">
        <v>43769.0</v>
      </c>
      <c r="S189" s="15"/>
    </row>
    <row r="190">
      <c r="A190" s="67" t="str">
        <f t="shared" si="1"/>
        <v>Fri</v>
      </c>
      <c r="B190" s="69">
        <v>43770.0</v>
      </c>
      <c r="S190" s="15"/>
    </row>
    <row r="191">
      <c r="A191" s="67" t="str">
        <f t="shared" si="1"/>
        <v>Sat</v>
      </c>
      <c r="B191" s="69">
        <v>43771.0</v>
      </c>
      <c r="S191" s="15"/>
    </row>
    <row r="192">
      <c r="A192" s="67" t="str">
        <f t="shared" si="1"/>
        <v>Sun</v>
      </c>
      <c r="B192" s="69">
        <v>43772.0</v>
      </c>
      <c r="S192" s="15"/>
    </row>
    <row r="193">
      <c r="A193" s="67" t="str">
        <f t="shared" si="1"/>
        <v>Mon</v>
      </c>
      <c r="B193" s="69">
        <v>43773.0</v>
      </c>
      <c r="S193" s="15"/>
    </row>
    <row r="194">
      <c r="A194" s="67" t="str">
        <f t="shared" si="1"/>
        <v>Tue</v>
      </c>
      <c r="B194" s="69">
        <v>43774.0</v>
      </c>
      <c r="S194" s="15"/>
    </row>
    <row r="195">
      <c r="A195" s="67" t="str">
        <f t="shared" si="1"/>
        <v>Wed</v>
      </c>
      <c r="B195" s="69">
        <v>43775.0</v>
      </c>
      <c r="S195" s="15"/>
    </row>
    <row r="196">
      <c r="A196" s="67" t="str">
        <f t="shared" si="1"/>
        <v>Thu</v>
      </c>
      <c r="B196" s="69">
        <v>43776.0</v>
      </c>
      <c r="S196" s="15"/>
    </row>
    <row r="197">
      <c r="A197" s="67" t="str">
        <f t="shared" si="1"/>
        <v>Fri</v>
      </c>
      <c r="B197" s="69">
        <v>43777.0</v>
      </c>
      <c r="S197" s="15"/>
    </row>
    <row r="198">
      <c r="A198" s="67" t="str">
        <f t="shared" si="1"/>
        <v>Sat</v>
      </c>
      <c r="B198" s="69">
        <v>43778.0</v>
      </c>
      <c r="S198" s="15"/>
    </row>
    <row r="199">
      <c r="A199" s="67" t="str">
        <f t="shared" si="1"/>
        <v>Sun</v>
      </c>
      <c r="B199" s="69">
        <v>43779.0</v>
      </c>
      <c r="S199" s="15"/>
    </row>
    <row r="200">
      <c r="A200" s="67" t="str">
        <f t="shared" si="1"/>
        <v>Mon</v>
      </c>
      <c r="B200" s="69">
        <v>43780.0</v>
      </c>
      <c r="S200" s="15"/>
    </row>
    <row r="201">
      <c r="A201" s="67" t="str">
        <f t="shared" si="1"/>
        <v>Tue</v>
      </c>
      <c r="B201" s="69">
        <v>43781.0</v>
      </c>
      <c r="S201" s="15"/>
    </row>
    <row r="202">
      <c r="A202" s="67" t="str">
        <f t="shared" si="1"/>
        <v>Wed</v>
      </c>
      <c r="B202" s="69">
        <v>43782.0</v>
      </c>
      <c r="S202" s="15"/>
    </row>
    <row r="203">
      <c r="A203" s="67" t="str">
        <f t="shared" si="1"/>
        <v>Thu</v>
      </c>
      <c r="B203" s="69">
        <v>43783.0</v>
      </c>
      <c r="S203" s="15"/>
    </row>
    <row r="204">
      <c r="A204" s="67" t="str">
        <f t="shared" si="1"/>
        <v>Fri</v>
      </c>
      <c r="B204" s="69">
        <v>43784.0</v>
      </c>
      <c r="S204" s="15"/>
    </row>
    <row r="205">
      <c r="A205" s="67" t="str">
        <f t="shared" si="1"/>
        <v>Sat</v>
      </c>
      <c r="B205" s="69">
        <v>43785.0</v>
      </c>
      <c r="S205" s="15"/>
    </row>
    <row r="206">
      <c r="A206" s="67" t="str">
        <f t="shared" si="1"/>
        <v>Sun</v>
      </c>
      <c r="B206" s="69">
        <v>43786.0</v>
      </c>
      <c r="S206" s="15"/>
    </row>
    <row r="207">
      <c r="A207" s="67" t="str">
        <f t="shared" si="1"/>
        <v>Mon</v>
      </c>
      <c r="B207" s="69">
        <v>43787.0</v>
      </c>
      <c r="S207" s="15"/>
    </row>
    <row r="208">
      <c r="A208" s="67" t="str">
        <f t="shared" si="1"/>
        <v>Tue</v>
      </c>
      <c r="B208" s="69">
        <v>43788.0</v>
      </c>
      <c r="S208" s="15"/>
    </row>
    <row r="209">
      <c r="A209" s="67" t="str">
        <f t="shared" si="1"/>
        <v>Wed</v>
      </c>
      <c r="B209" s="69">
        <v>43789.0</v>
      </c>
      <c r="S209" s="15"/>
    </row>
    <row r="210">
      <c r="A210" s="67" t="str">
        <f t="shared" si="1"/>
        <v>Thu</v>
      </c>
      <c r="B210" s="69">
        <v>43790.0</v>
      </c>
      <c r="S210" s="15"/>
    </row>
    <row r="211">
      <c r="A211" s="67" t="str">
        <f t="shared" si="1"/>
        <v>Fri</v>
      </c>
      <c r="B211" s="69">
        <v>43791.0</v>
      </c>
      <c r="S211" s="15"/>
    </row>
    <row r="212">
      <c r="A212" s="67" t="str">
        <f t="shared" si="1"/>
        <v>Sat</v>
      </c>
      <c r="B212" s="69">
        <v>43792.0</v>
      </c>
      <c r="S212" s="15"/>
    </row>
    <row r="213">
      <c r="A213" s="67" t="str">
        <f t="shared" si="1"/>
        <v>Sun</v>
      </c>
      <c r="B213" s="69">
        <v>43793.0</v>
      </c>
      <c r="S213" s="15"/>
    </row>
    <row r="214">
      <c r="A214" s="67" t="str">
        <f t="shared" si="1"/>
        <v>Mon</v>
      </c>
      <c r="B214" s="69">
        <v>43794.0</v>
      </c>
      <c r="S214" s="15"/>
    </row>
    <row r="215">
      <c r="A215" s="67" t="str">
        <f t="shared" si="1"/>
        <v>Tue</v>
      </c>
      <c r="B215" s="69">
        <v>43795.0</v>
      </c>
      <c r="S215" s="15"/>
    </row>
    <row r="216">
      <c r="A216" s="67" t="str">
        <f t="shared" si="1"/>
        <v>Wed</v>
      </c>
      <c r="B216" s="69">
        <v>43796.0</v>
      </c>
      <c r="S216" s="15"/>
    </row>
    <row r="217">
      <c r="A217" s="67" t="str">
        <f t="shared" si="1"/>
        <v>Thu</v>
      </c>
      <c r="B217" s="69">
        <v>43797.0</v>
      </c>
      <c r="S217" s="15"/>
    </row>
    <row r="218">
      <c r="A218" s="67" t="str">
        <f t="shared" si="1"/>
        <v>Fri</v>
      </c>
      <c r="B218" s="69">
        <v>43798.0</v>
      </c>
      <c r="S218" s="15"/>
    </row>
    <row r="219">
      <c r="A219" s="67" t="str">
        <f t="shared" si="1"/>
        <v>Sat</v>
      </c>
      <c r="B219" s="69">
        <v>43799.0</v>
      </c>
      <c r="S219" s="15"/>
    </row>
    <row r="220">
      <c r="A220" s="67" t="str">
        <f t="shared" si="1"/>
        <v>Sun</v>
      </c>
      <c r="B220" s="69">
        <v>43800.0</v>
      </c>
      <c r="S220" s="15"/>
    </row>
    <row r="221">
      <c r="A221" s="67" t="str">
        <f t="shared" si="1"/>
        <v>Mon</v>
      </c>
      <c r="B221" s="69">
        <v>43801.0</v>
      </c>
      <c r="S221" s="15"/>
    </row>
    <row r="222">
      <c r="A222" s="67" t="str">
        <f t="shared" si="1"/>
        <v>Tue</v>
      </c>
      <c r="B222" s="69">
        <v>43802.0</v>
      </c>
      <c r="S222" s="15"/>
    </row>
    <row r="223">
      <c r="A223" s="67" t="str">
        <f t="shared" si="1"/>
        <v>Wed</v>
      </c>
      <c r="B223" s="69">
        <v>43803.0</v>
      </c>
      <c r="S223" s="15"/>
    </row>
    <row r="224">
      <c r="A224" s="67" t="str">
        <f t="shared" si="1"/>
        <v>Thu</v>
      </c>
      <c r="B224" s="69">
        <v>43804.0</v>
      </c>
      <c r="S224" s="15"/>
    </row>
    <row r="225">
      <c r="A225" s="67" t="str">
        <f t="shared" si="1"/>
        <v>Fri</v>
      </c>
      <c r="B225" s="69">
        <v>43805.0</v>
      </c>
      <c r="S225" s="15"/>
    </row>
    <row r="226">
      <c r="A226" s="67" t="str">
        <f t="shared" si="1"/>
        <v>Sat</v>
      </c>
      <c r="B226" s="69">
        <v>43806.0</v>
      </c>
      <c r="S226" s="15"/>
    </row>
    <row r="227">
      <c r="A227" s="67" t="str">
        <f t="shared" si="1"/>
        <v>Sun</v>
      </c>
      <c r="B227" s="69">
        <v>43807.0</v>
      </c>
      <c r="S227" s="15"/>
    </row>
    <row r="228">
      <c r="A228" s="67" t="str">
        <f t="shared" si="1"/>
        <v>Mon</v>
      </c>
      <c r="B228" s="69">
        <v>43808.0</v>
      </c>
      <c r="S228" s="15"/>
    </row>
    <row r="229">
      <c r="A229" s="67" t="str">
        <f t="shared" si="1"/>
        <v>Tue</v>
      </c>
      <c r="B229" s="69">
        <v>43809.0</v>
      </c>
      <c r="S229" s="15"/>
    </row>
    <row r="230">
      <c r="A230" s="67" t="str">
        <f t="shared" si="1"/>
        <v>Wed</v>
      </c>
      <c r="B230" s="69">
        <v>43810.0</v>
      </c>
      <c r="S230" s="15"/>
    </row>
    <row r="231">
      <c r="A231" s="67" t="str">
        <f t="shared" si="1"/>
        <v>Thu</v>
      </c>
      <c r="B231" s="69">
        <v>43811.0</v>
      </c>
      <c r="S231" s="15"/>
    </row>
    <row r="232">
      <c r="A232" s="67" t="str">
        <f t="shared" si="1"/>
        <v>Fri</v>
      </c>
      <c r="B232" s="69">
        <v>43812.0</v>
      </c>
      <c r="S232" s="15"/>
    </row>
    <row r="233">
      <c r="A233" s="67" t="str">
        <f t="shared" si="1"/>
        <v>Sat</v>
      </c>
      <c r="B233" s="69">
        <v>43813.0</v>
      </c>
      <c r="S233" s="15"/>
    </row>
    <row r="234">
      <c r="A234" s="67" t="str">
        <f t="shared" si="1"/>
        <v>Sun</v>
      </c>
      <c r="B234" s="69">
        <v>43814.0</v>
      </c>
      <c r="S234" s="15"/>
    </row>
    <row r="235">
      <c r="A235" s="67" t="str">
        <f t="shared" si="1"/>
        <v>Mon</v>
      </c>
      <c r="B235" s="69">
        <v>43815.0</v>
      </c>
      <c r="S235" s="15"/>
    </row>
    <row r="236">
      <c r="A236" s="67" t="str">
        <f t="shared" si="1"/>
        <v>Tue</v>
      </c>
      <c r="B236" s="69">
        <v>43816.0</v>
      </c>
      <c r="S236" s="15"/>
    </row>
    <row r="237">
      <c r="A237" s="67" t="str">
        <f t="shared" si="1"/>
        <v>Wed</v>
      </c>
      <c r="B237" s="69">
        <v>43817.0</v>
      </c>
      <c r="S237" s="15"/>
    </row>
    <row r="238">
      <c r="A238" s="67" t="str">
        <f t="shared" si="1"/>
        <v>Thu</v>
      </c>
      <c r="B238" s="69">
        <v>43818.0</v>
      </c>
      <c r="S238" s="15"/>
    </row>
    <row r="239">
      <c r="A239" s="67" t="str">
        <f t="shared" si="1"/>
        <v>Fri</v>
      </c>
      <c r="B239" s="69">
        <v>43819.0</v>
      </c>
      <c r="S239" s="15"/>
    </row>
    <row r="240">
      <c r="A240" s="67" t="str">
        <f t="shared" si="1"/>
        <v>Sat</v>
      </c>
      <c r="B240" s="69">
        <v>43820.0</v>
      </c>
      <c r="S240" s="15"/>
    </row>
    <row r="241">
      <c r="A241" s="67" t="str">
        <f t="shared" si="1"/>
        <v>Sun</v>
      </c>
      <c r="B241" s="69">
        <v>43821.0</v>
      </c>
      <c r="S241" s="15"/>
    </row>
    <row r="242">
      <c r="A242" s="67" t="str">
        <f t="shared" si="1"/>
        <v>Mon</v>
      </c>
      <c r="B242" s="69">
        <v>43822.0</v>
      </c>
      <c r="S242" s="15"/>
    </row>
    <row r="243">
      <c r="A243" s="67" t="str">
        <f t="shared" si="1"/>
        <v>Tue</v>
      </c>
      <c r="B243" s="69">
        <v>43823.0</v>
      </c>
      <c r="S243" s="15"/>
    </row>
    <row r="244">
      <c r="A244" s="67" t="str">
        <f t="shared" si="1"/>
        <v>Wed</v>
      </c>
      <c r="B244" s="69">
        <v>43824.0</v>
      </c>
      <c r="S244" s="15"/>
    </row>
    <row r="245">
      <c r="A245" s="67" t="str">
        <f t="shared" si="1"/>
        <v>Thu</v>
      </c>
      <c r="B245" s="69">
        <v>43825.0</v>
      </c>
      <c r="D245" s="4">
        <v>0.0</v>
      </c>
      <c r="E245" s="4" t="s">
        <v>267</v>
      </c>
      <c r="F245" s="4" t="s">
        <v>267</v>
      </c>
      <c r="S245" s="15"/>
    </row>
    <row r="246">
      <c r="A246" s="67" t="str">
        <f t="shared" si="1"/>
        <v>Fri</v>
      </c>
      <c r="B246" s="69">
        <v>43826.0</v>
      </c>
      <c r="D246" s="4">
        <v>0.0</v>
      </c>
      <c r="E246" s="4" t="s">
        <v>267</v>
      </c>
      <c r="F246" s="4" t="s">
        <v>267</v>
      </c>
      <c r="S246" s="15"/>
    </row>
    <row r="247">
      <c r="A247" s="67" t="str">
        <f t="shared" si="1"/>
        <v>Sat</v>
      </c>
      <c r="B247" s="69">
        <v>43827.0</v>
      </c>
      <c r="D247" s="4">
        <v>0.0</v>
      </c>
      <c r="E247" s="4" t="s">
        <v>267</v>
      </c>
      <c r="F247" s="4" t="s">
        <v>267</v>
      </c>
      <c r="S247" s="15"/>
    </row>
    <row r="248">
      <c r="A248" s="67" t="str">
        <f t="shared" si="1"/>
        <v>Sun</v>
      </c>
      <c r="B248" s="69">
        <v>43828.0</v>
      </c>
      <c r="D248" s="4">
        <v>0.0</v>
      </c>
      <c r="E248" s="4" t="s">
        <v>267</v>
      </c>
      <c r="F248" s="4" t="s">
        <v>267</v>
      </c>
      <c r="S248" s="15"/>
    </row>
    <row r="249">
      <c r="A249" s="67" t="str">
        <f t="shared" si="1"/>
        <v>Mon</v>
      </c>
      <c r="B249" s="69">
        <v>43829.0</v>
      </c>
      <c r="D249" s="4">
        <v>0.0</v>
      </c>
      <c r="E249" s="4" t="s">
        <v>267</v>
      </c>
      <c r="F249" s="4" t="s">
        <v>267</v>
      </c>
      <c r="S249" s="15"/>
    </row>
    <row r="250">
      <c r="A250" s="67" t="str">
        <f t="shared" si="1"/>
        <v>Tue</v>
      </c>
      <c r="B250" s="69">
        <v>43830.0</v>
      </c>
      <c r="D250" s="4">
        <v>0.0</v>
      </c>
      <c r="E250" s="4" t="s">
        <v>267</v>
      </c>
      <c r="F250" s="4" t="s">
        <v>267</v>
      </c>
      <c r="S250" s="15"/>
    </row>
    <row r="251">
      <c r="A251" s="67" t="str">
        <f t="shared" si="1"/>
        <v>Wed</v>
      </c>
      <c r="B251" s="69">
        <v>43831.0</v>
      </c>
      <c r="D251" s="4">
        <v>0.0</v>
      </c>
      <c r="E251" s="4" t="s">
        <v>267</v>
      </c>
      <c r="F251" s="4" t="s">
        <v>267</v>
      </c>
    </row>
    <row r="252">
      <c r="A252" s="67" t="str">
        <f t="shared" si="1"/>
        <v>Thu</v>
      </c>
      <c r="B252" s="69">
        <v>43832.0</v>
      </c>
      <c r="D252" s="4">
        <v>0.0</v>
      </c>
      <c r="E252" s="4" t="s">
        <v>267</v>
      </c>
      <c r="F252" s="4" t="s">
        <v>267</v>
      </c>
    </row>
    <row r="253">
      <c r="A253" s="67" t="str">
        <f t="shared" si="1"/>
        <v>Fri</v>
      </c>
      <c r="B253" s="69">
        <v>43833.0</v>
      </c>
      <c r="D253" s="4">
        <v>0.0</v>
      </c>
      <c r="E253" s="4" t="s">
        <v>267</v>
      </c>
      <c r="F253" s="4" t="s">
        <v>267</v>
      </c>
    </row>
    <row r="254">
      <c r="A254" s="67" t="str">
        <f t="shared" si="1"/>
        <v>Sat</v>
      </c>
      <c r="B254" s="69">
        <v>43834.0</v>
      </c>
      <c r="D254" s="4">
        <v>0.0</v>
      </c>
      <c r="E254" s="4" t="s">
        <v>267</v>
      </c>
      <c r="F254" s="4" t="s">
        <v>267</v>
      </c>
    </row>
    <row r="255">
      <c r="A255" s="67" t="str">
        <f t="shared" si="1"/>
        <v>Sun</v>
      </c>
      <c r="B255" s="69">
        <v>43835.0</v>
      </c>
      <c r="D255" s="4">
        <v>0.0</v>
      </c>
      <c r="E255" s="4" t="s">
        <v>267</v>
      </c>
      <c r="F255" s="4" t="s">
        <v>267</v>
      </c>
    </row>
    <row r="256">
      <c r="A256" s="67" t="str">
        <f t="shared" si="1"/>
        <v>Mon</v>
      </c>
      <c r="B256" s="69">
        <v>43836.0</v>
      </c>
    </row>
    <row r="257">
      <c r="A257" s="67" t="str">
        <f t="shared" si="1"/>
        <v>Tue</v>
      </c>
      <c r="B257" s="69">
        <v>43837.0</v>
      </c>
    </row>
  </sheetData>
  <mergeCells count="5">
    <mergeCell ref="A1:C3"/>
    <mergeCell ref="G1:S3"/>
    <mergeCell ref="E1:F1"/>
    <mergeCell ref="E2:F2"/>
    <mergeCell ref="E3:F3"/>
  </mergeCells>
  <conditionalFormatting sqref="K4:L257">
    <cfRule type="cellIs" dxfId="0" priority="1" operator="equal">
      <formula>"Enviar email para hotel"</formula>
    </cfRule>
  </conditionalFormatting>
  <dataValidations>
    <dataValidation type="list" allowBlank="1" sqref="L6:L257">
      <formula1>"Enviar email para hotel,Enviado para o hotel,Código de reserva enviado para hóspede,Verificar dados com o hóspede,URGENTE,Fechado"</formula1>
    </dataValidation>
    <dataValidation type="list" allowBlank="1" sqref="K6:K257">
      <formula1>"A PAGAR,PARCIALMENTE PAGO,PAGO"</formula1>
    </dataValidation>
  </dataValidations>
  <hyperlinks>
    <hyperlink display="Sumario" location="Sumario!A1" ref="A4"/>
  </hyperlink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13.57"/>
    <col customWidth="1" min="4" max="4" width="17.0"/>
    <col customWidth="1" min="13" max="13" width="16.43"/>
    <col customWidth="1" min="24" max="24" width="15.86"/>
  </cols>
  <sheetData>
    <row r="1">
      <c r="A1" s="1"/>
      <c r="B1" s="2"/>
      <c r="C1" s="3"/>
      <c r="D1" s="11" t="s">
        <v>198</v>
      </c>
      <c r="E1" s="153" t="s">
        <v>199</v>
      </c>
      <c r="F1" s="3"/>
      <c r="G1" s="154" t="s">
        <v>200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155"/>
    </row>
    <row r="2">
      <c r="A2" s="13"/>
      <c r="C2" s="15"/>
      <c r="D2" s="9" t="s">
        <v>201</v>
      </c>
      <c r="E2" s="156">
        <v>1112.0</v>
      </c>
      <c r="F2" s="15"/>
      <c r="S2" s="15"/>
      <c r="T2" s="155"/>
    </row>
    <row r="3">
      <c r="A3" s="17"/>
      <c r="B3" s="19"/>
      <c r="C3" s="21"/>
      <c r="D3" s="26" t="s">
        <v>202</v>
      </c>
      <c r="E3" s="157" t="s">
        <v>40</v>
      </c>
      <c r="F3" s="21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21"/>
      <c r="T3" s="155"/>
    </row>
    <row r="4">
      <c r="A4" s="158" t="s">
        <v>203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N4" s="30"/>
      <c r="O4" s="30"/>
      <c r="P4" s="30"/>
      <c r="Q4" s="30"/>
      <c r="R4" s="30"/>
      <c r="S4" s="30"/>
      <c r="T4" s="30"/>
      <c r="U4" s="30"/>
      <c r="V4" s="30"/>
    </row>
    <row r="5">
      <c r="A5" s="42" t="s">
        <v>204</v>
      </c>
      <c r="B5" s="45" t="s">
        <v>33</v>
      </c>
      <c r="C5" s="45" t="s">
        <v>205</v>
      </c>
      <c r="D5" s="45" t="s">
        <v>206</v>
      </c>
      <c r="E5" s="45" t="s">
        <v>207</v>
      </c>
      <c r="F5" s="45" t="s">
        <v>208</v>
      </c>
      <c r="G5" s="45" t="s">
        <v>209</v>
      </c>
      <c r="H5" s="45" t="s">
        <v>210</v>
      </c>
      <c r="I5" s="45" t="s">
        <v>211</v>
      </c>
      <c r="J5" s="45" t="s">
        <v>212</v>
      </c>
      <c r="K5" s="45" t="s">
        <v>213</v>
      </c>
      <c r="L5" s="45" t="s">
        <v>214</v>
      </c>
      <c r="M5" s="45" t="s">
        <v>215</v>
      </c>
      <c r="N5" s="45" t="s">
        <v>216</v>
      </c>
      <c r="O5" s="45" t="s">
        <v>217</v>
      </c>
      <c r="P5" s="45" t="s">
        <v>218</v>
      </c>
      <c r="Q5" s="45" t="s">
        <v>219</v>
      </c>
      <c r="R5" s="45" t="s">
        <v>220</v>
      </c>
      <c r="S5" s="159" t="s">
        <v>221</v>
      </c>
      <c r="T5" s="160"/>
    </row>
    <row r="6">
      <c r="A6" s="67" t="str">
        <f t="shared" ref="A6:A250" si="1">CHOOSE(weekday(B6),"Sun","Mon","Tue","Wed","Thu","Fri","Sat")</f>
        <v>Wed</v>
      </c>
      <c r="B6" s="69">
        <v>43586.0</v>
      </c>
      <c r="S6" s="15"/>
    </row>
    <row r="7">
      <c r="A7" s="67" t="str">
        <f t="shared" si="1"/>
        <v>Thu</v>
      </c>
      <c r="B7" s="69">
        <v>43587.0</v>
      </c>
      <c r="S7" s="15"/>
    </row>
    <row r="8">
      <c r="A8" s="67" t="str">
        <f t="shared" si="1"/>
        <v>Fri</v>
      </c>
      <c r="B8" s="69">
        <v>43588.0</v>
      </c>
      <c r="S8" s="15"/>
    </row>
    <row r="9">
      <c r="A9" s="67" t="str">
        <f t="shared" si="1"/>
        <v>Sat</v>
      </c>
      <c r="B9" s="69">
        <v>43589.0</v>
      </c>
      <c r="S9" s="15"/>
    </row>
    <row r="10">
      <c r="A10" s="67" t="str">
        <f t="shared" si="1"/>
        <v>Sun</v>
      </c>
      <c r="B10" s="69">
        <v>43590.0</v>
      </c>
      <c r="S10" s="15"/>
    </row>
    <row r="11">
      <c r="A11" s="67" t="str">
        <f t="shared" si="1"/>
        <v>Mon</v>
      </c>
      <c r="B11" s="69">
        <v>43591.0</v>
      </c>
      <c r="S11" s="15"/>
    </row>
    <row r="12">
      <c r="A12" s="67" t="str">
        <f t="shared" si="1"/>
        <v>Tue</v>
      </c>
      <c r="B12" s="69">
        <v>43592.0</v>
      </c>
      <c r="S12" s="15"/>
    </row>
    <row r="13">
      <c r="A13" s="67" t="str">
        <f t="shared" si="1"/>
        <v>Wed</v>
      </c>
      <c r="B13" s="69">
        <v>43593.0</v>
      </c>
      <c r="S13" s="15"/>
    </row>
    <row r="14">
      <c r="A14" s="67" t="str">
        <f t="shared" si="1"/>
        <v>Thu</v>
      </c>
      <c r="B14" s="69">
        <v>43594.0</v>
      </c>
      <c r="S14" s="15"/>
    </row>
    <row r="15">
      <c r="A15" s="67" t="str">
        <f t="shared" si="1"/>
        <v>Fri</v>
      </c>
      <c r="B15" s="69">
        <v>43595.0</v>
      </c>
      <c r="S15" s="15"/>
    </row>
    <row r="16">
      <c r="A16" s="67" t="str">
        <f t="shared" si="1"/>
        <v>Sat</v>
      </c>
      <c r="B16" s="69">
        <v>43596.0</v>
      </c>
      <c r="S16" s="15"/>
    </row>
    <row r="17">
      <c r="A17" s="67" t="str">
        <f t="shared" si="1"/>
        <v>Sun</v>
      </c>
      <c r="B17" s="69">
        <v>43597.0</v>
      </c>
      <c r="S17" s="15"/>
    </row>
    <row r="18">
      <c r="A18" s="67" t="str">
        <f t="shared" si="1"/>
        <v>Mon</v>
      </c>
      <c r="B18" s="69">
        <v>43598.0</v>
      </c>
      <c r="S18" s="15"/>
    </row>
    <row r="19">
      <c r="A19" s="67" t="str">
        <f t="shared" si="1"/>
        <v>Tue</v>
      </c>
      <c r="B19" s="69">
        <v>43599.0</v>
      </c>
      <c r="S19" s="15"/>
    </row>
    <row r="20">
      <c r="A20" s="67" t="str">
        <f t="shared" si="1"/>
        <v>Wed</v>
      </c>
      <c r="B20" s="69">
        <v>43600.0</v>
      </c>
      <c r="S20" s="15"/>
    </row>
    <row r="21">
      <c r="A21" s="67" t="str">
        <f t="shared" si="1"/>
        <v>Thu</v>
      </c>
      <c r="B21" s="69">
        <v>43601.0</v>
      </c>
      <c r="S21" s="15"/>
    </row>
    <row r="22">
      <c r="A22" s="67" t="str">
        <f t="shared" si="1"/>
        <v>Fri</v>
      </c>
      <c r="B22" s="69">
        <v>43602.0</v>
      </c>
      <c r="F22" s="4"/>
      <c r="G22" s="4"/>
      <c r="M22" s="4"/>
      <c r="N22" s="4"/>
      <c r="O22" s="4"/>
      <c r="S22" s="15"/>
    </row>
    <row r="23">
      <c r="A23" s="67" t="str">
        <f t="shared" si="1"/>
        <v>Sat</v>
      </c>
      <c r="B23" s="69">
        <v>43603.0</v>
      </c>
      <c r="D23" s="161">
        <v>242.5</v>
      </c>
      <c r="E23" s="4" t="s">
        <v>222</v>
      </c>
      <c r="F23" s="4" t="s">
        <v>288</v>
      </c>
      <c r="G23" s="4" t="s">
        <v>288</v>
      </c>
      <c r="I23" s="4" t="s">
        <v>224</v>
      </c>
      <c r="J23" s="4"/>
      <c r="K23" s="4" t="s">
        <v>231</v>
      </c>
      <c r="L23" s="4" t="s">
        <v>225</v>
      </c>
      <c r="M23" s="4" t="s">
        <v>226</v>
      </c>
      <c r="N23" s="4" t="s">
        <v>232</v>
      </c>
      <c r="O23" s="4" t="s">
        <v>264</v>
      </c>
      <c r="R23" s="4" t="s">
        <v>289</v>
      </c>
      <c r="S23" s="15"/>
    </row>
    <row r="24">
      <c r="A24" s="67" t="str">
        <f t="shared" si="1"/>
        <v>Sun</v>
      </c>
      <c r="B24" s="69">
        <v>43604.0</v>
      </c>
      <c r="D24" s="161">
        <v>242.5</v>
      </c>
      <c r="E24" s="4" t="s">
        <v>222</v>
      </c>
      <c r="F24" s="4" t="s">
        <v>288</v>
      </c>
      <c r="H24" s="4"/>
      <c r="I24" s="4" t="s">
        <v>224</v>
      </c>
      <c r="S24" s="15"/>
    </row>
    <row r="25">
      <c r="A25" s="67" t="str">
        <f t="shared" si="1"/>
        <v>Mon</v>
      </c>
      <c r="B25" s="69">
        <v>43605.0</v>
      </c>
      <c r="H25" s="4" t="s">
        <v>288</v>
      </c>
      <c r="S25" s="15"/>
    </row>
    <row r="26">
      <c r="A26" s="67" t="str">
        <f t="shared" si="1"/>
        <v>Tue</v>
      </c>
      <c r="B26" s="69">
        <v>43606.0</v>
      </c>
      <c r="S26" s="15"/>
    </row>
    <row r="27">
      <c r="A27" s="67" t="str">
        <f t="shared" si="1"/>
        <v>Wed</v>
      </c>
      <c r="B27" s="69">
        <v>43607.0</v>
      </c>
      <c r="D27" s="4">
        <v>533.5</v>
      </c>
      <c r="E27" s="4" t="s">
        <v>222</v>
      </c>
      <c r="F27" s="4" t="s">
        <v>290</v>
      </c>
      <c r="G27" s="4" t="s">
        <v>290</v>
      </c>
      <c r="I27" s="4" t="s">
        <v>224</v>
      </c>
      <c r="L27" s="4" t="s">
        <v>225</v>
      </c>
      <c r="M27" s="4" t="s">
        <v>226</v>
      </c>
      <c r="N27" s="4" t="s">
        <v>232</v>
      </c>
      <c r="O27" s="4" t="s">
        <v>264</v>
      </c>
      <c r="S27" s="15"/>
    </row>
    <row r="28">
      <c r="A28" s="67" t="str">
        <f t="shared" si="1"/>
        <v>Thu</v>
      </c>
      <c r="B28" s="69">
        <v>43608.0</v>
      </c>
      <c r="D28" s="4">
        <v>533.5</v>
      </c>
      <c r="E28" s="4" t="s">
        <v>222</v>
      </c>
      <c r="F28" s="4" t="s">
        <v>290</v>
      </c>
      <c r="I28" s="4" t="s">
        <v>224</v>
      </c>
      <c r="S28" s="15"/>
    </row>
    <row r="29">
      <c r="A29" s="67" t="str">
        <f t="shared" si="1"/>
        <v>Fri</v>
      </c>
      <c r="B29" s="69">
        <v>43609.0</v>
      </c>
      <c r="D29" s="4">
        <v>533.5</v>
      </c>
      <c r="E29" s="4" t="s">
        <v>222</v>
      </c>
      <c r="F29" s="4" t="s">
        <v>290</v>
      </c>
      <c r="G29" s="4"/>
      <c r="H29" s="4"/>
      <c r="I29" s="4" t="s">
        <v>224</v>
      </c>
      <c r="M29" s="4"/>
      <c r="N29" s="4"/>
      <c r="O29" s="4"/>
      <c r="S29" s="15"/>
    </row>
    <row r="30">
      <c r="A30" s="67" t="str">
        <f t="shared" si="1"/>
        <v>Sat</v>
      </c>
      <c r="B30" s="69">
        <v>43610.0</v>
      </c>
      <c r="D30" s="4">
        <v>533.5</v>
      </c>
      <c r="E30" s="4" t="s">
        <v>222</v>
      </c>
      <c r="F30" s="4" t="s">
        <v>290</v>
      </c>
      <c r="I30" s="4" t="s">
        <v>224</v>
      </c>
      <c r="S30" s="15"/>
    </row>
    <row r="31">
      <c r="A31" s="67" t="str">
        <f t="shared" si="1"/>
        <v>Sun</v>
      </c>
      <c r="B31" s="69">
        <v>43611.0</v>
      </c>
      <c r="D31" s="4">
        <v>533.5</v>
      </c>
      <c r="E31" s="4" t="s">
        <v>222</v>
      </c>
      <c r="F31" s="4" t="s">
        <v>290</v>
      </c>
      <c r="H31" s="4"/>
      <c r="I31" s="4" t="s">
        <v>224</v>
      </c>
      <c r="S31" s="15"/>
    </row>
    <row r="32">
      <c r="A32" s="67" t="str">
        <f t="shared" si="1"/>
        <v>Mon</v>
      </c>
      <c r="B32" s="69">
        <v>43612.0</v>
      </c>
      <c r="D32" s="4">
        <v>533.5</v>
      </c>
      <c r="E32" s="4" t="s">
        <v>222</v>
      </c>
      <c r="F32" s="4" t="s">
        <v>290</v>
      </c>
      <c r="I32" s="4" t="s">
        <v>224</v>
      </c>
      <c r="S32" s="15"/>
    </row>
    <row r="33">
      <c r="A33" s="67" t="str">
        <f t="shared" si="1"/>
        <v>Tue</v>
      </c>
      <c r="B33" s="69">
        <v>43613.0</v>
      </c>
      <c r="F33" s="4"/>
      <c r="G33" s="4"/>
      <c r="H33" s="4" t="s">
        <v>290</v>
      </c>
      <c r="J33" s="4" t="s">
        <v>228</v>
      </c>
      <c r="L33" s="4" t="s">
        <v>229</v>
      </c>
      <c r="M33" s="4"/>
      <c r="N33" s="4"/>
      <c r="O33" s="4"/>
      <c r="S33" s="15"/>
    </row>
    <row r="34">
      <c r="A34" s="67" t="str">
        <f t="shared" si="1"/>
        <v>Wed</v>
      </c>
      <c r="B34" s="69">
        <v>43614.0</v>
      </c>
      <c r="F34" s="4"/>
      <c r="J34" s="4" t="s">
        <v>228</v>
      </c>
      <c r="S34" s="15"/>
    </row>
    <row r="35">
      <c r="A35" s="67" t="str">
        <f t="shared" si="1"/>
        <v>Thu</v>
      </c>
      <c r="B35" s="69">
        <v>43615.0</v>
      </c>
      <c r="F35" s="4"/>
      <c r="G35" s="4"/>
      <c r="H35" s="4"/>
      <c r="J35" s="4" t="s">
        <v>295</v>
      </c>
      <c r="L35" s="4" t="s">
        <v>229</v>
      </c>
      <c r="M35" s="4"/>
      <c r="N35" s="4"/>
      <c r="O35" s="4"/>
      <c r="S35" s="15"/>
    </row>
    <row r="36">
      <c r="A36" s="67" t="str">
        <f t="shared" si="1"/>
        <v>Fri</v>
      </c>
      <c r="B36" s="69">
        <v>43616.0</v>
      </c>
      <c r="D36" s="161">
        <v>315.25</v>
      </c>
      <c r="E36" s="4" t="s">
        <v>222</v>
      </c>
      <c r="F36" s="4" t="s">
        <v>296</v>
      </c>
      <c r="G36" s="4" t="s">
        <v>296</v>
      </c>
      <c r="H36" s="4"/>
      <c r="I36" s="4" t="s">
        <v>224</v>
      </c>
      <c r="K36" s="4" t="s">
        <v>231</v>
      </c>
      <c r="L36" s="4" t="s">
        <v>229</v>
      </c>
      <c r="M36" s="4" t="s">
        <v>226</v>
      </c>
      <c r="N36" s="4" t="s">
        <v>232</v>
      </c>
      <c r="O36" s="4" t="s">
        <v>264</v>
      </c>
      <c r="R36" s="4" t="s">
        <v>297</v>
      </c>
      <c r="S36" s="15"/>
    </row>
    <row r="37">
      <c r="A37" s="67" t="str">
        <f t="shared" si="1"/>
        <v>Sat</v>
      </c>
      <c r="B37" s="69">
        <v>43617.0</v>
      </c>
      <c r="D37" s="161">
        <v>315.25</v>
      </c>
      <c r="E37" s="4" t="s">
        <v>222</v>
      </c>
      <c r="F37" s="4" t="s">
        <v>296</v>
      </c>
      <c r="I37" s="4" t="s">
        <v>224</v>
      </c>
      <c r="S37" s="15"/>
    </row>
    <row r="38">
      <c r="A38" s="67" t="str">
        <f t="shared" si="1"/>
        <v>Sun</v>
      </c>
      <c r="B38" s="69">
        <v>43618.0</v>
      </c>
      <c r="H38" s="4" t="s">
        <v>296</v>
      </c>
      <c r="S38" s="15"/>
    </row>
    <row r="39">
      <c r="A39" s="67" t="str">
        <f t="shared" si="1"/>
        <v>Mon</v>
      </c>
      <c r="B39" s="69">
        <v>43619.0</v>
      </c>
      <c r="S39" s="15"/>
    </row>
    <row r="40">
      <c r="A40" s="67" t="str">
        <f t="shared" si="1"/>
        <v>Tue</v>
      </c>
      <c r="B40" s="69">
        <v>43620.0</v>
      </c>
      <c r="S40" s="15"/>
    </row>
    <row r="41">
      <c r="A41" s="67" t="str">
        <f t="shared" si="1"/>
        <v>Wed</v>
      </c>
      <c r="B41" s="69">
        <v>43621.0</v>
      </c>
      <c r="S41" s="15"/>
    </row>
    <row r="42">
      <c r="A42" s="67" t="str">
        <f t="shared" si="1"/>
        <v>Thu</v>
      </c>
      <c r="B42" s="69">
        <v>43622.0</v>
      </c>
      <c r="S42" s="15"/>
    </row>
    <row r="43">
      <c r="A43" s="67" t="str">
        <f t="shared" si="1"/>
        <v>Fri</v>
      </c>
      <c r="B43" s="69">
        <v>43623.0</v>
      </c>
      <c r="D43" s="161">
        <v>216.31</v>
      </c>
      <c r="E43" s="4" t="s">
        <v>222</v>
      </c>
      <c r="F43" s="4" t="s">
        <v>313</v>
      </c>
      <c r="G43" s="4" t="s">
        <v>313</v>
      </c>
      <c r="I43" s="4" t="s">
        <v>224</v>
      </c>
      <c r="K43" s="4" t="s">
        <v>231</v>
      </c>
      <c r="L43" s="4" t="s">
        <v>225</v>
      </c>
      <c r="M43" s="4" t="s">
        <v>314</v>
      </c>
      <c r="Q43" s="4" t="s">
        <v>315</v>
      </c>
      <c r="R43" s="4" t="s">
        <v>316</v>
      </c>
      <c r="S43" s="164">
        <v>1.0561976686E10</v>
      </c>
    </row>
    <row r="44">
      <c r="A44" s="67" t="str">
        <f t="shared" si="1"/>
        <v>Sat</v>
      </c>
      <c r="B44" s="69">
        <v>43624.0</v>
      </c>
      <c r="D44" s="161">
        <v>216.31</v>
      </c>
      <c r="E44" s="4" t="s">
        <v>222</v>
      </c>
      <c r="F44" s="4" t="s">
        <v>313</v>
      </c>
      <c r="I44" s="4" t="s">
        <v>224</v>
      </c>
      <c r="S44" s="15"/>
    </row>
    <row r="45">
      <c r="A45" s="67" t="str">
        <f t="shared" si="1"/>
        <v>Sun</v>
      </c>
      <c r="B45" s="69">
        <v>43625.0</v>
      </c>
      <c r="H45" s="4" t="s">
        <v>313</v>
      </c>
      <c r="S45" s="15"/>
    </row>
    <row r="46">
      <c r="A46" s="67" t="str">
        <f t="shared" si="1"/>
        <v>Mon</v>
      </c>
      <c r="B46" s="69">
        <v>43626.0</v>
      </c>
      <c r="S46" s="15"/>
    </row>
    <row r="47">
      <c r="A47" s="67" t="str">
        <f t="shared" si="1"/>
        <v>Tue</v>
      </c>
      <c r="B47" s="69">
        <v>43627.0</v>
      </c>
      <c r="S47" s="15"/>
    </row>
    <row r="48">
      <c r="A48" s="67" t="str">
        <f t="shared" si="1"/>
        <v>Wed</v>
      </c>
      <c r="B48" s="69">
        <v>43628.0</v>
      </c>
      <c r="S48" s="15"/>
    </row>
    <row r="49">
      <c r="A49" s="67" t="str">
        <f t="shared" si="1"/>
        <v>Thu</v>
      </c>
      <c r="B49" s="69">
        <v>43629.0</v>
      </c>
      <c r="S49" s="15"/>
    </row>
    <row r="50">
      <c r="A50" s="67" t="str">
        <f t="shared" si="1"/>
        <v>Fri</v>
      </c>
      <c r="B50" s="69">
        <v>43630.0</v>
      </c>
      <c r="D50" s="161">
        <v>216.31</v>
      </c>
      <c r="E50" s="4" t="s">
        <v>222</v>
      </c>
      <c r="F50" s="4" t="s">
        <v>322</v>
      </c>
      <c r="G50" s="4" t="s">
        <v>322</v>
      </c>
      <c r="I50" s="4" t="s">
        <v>224</v>
      </c>
      <c r="K50" s="4" t="s">
        <v>231</v>
      </c>
      <c r="L50" s="4" t="s">
        <v>240</v>
      </c>
      <c r="M50" s="4" t="s">
        <v>323</v>
      </c>
      <c r="R50" s="4" t="s">
        <v>324</v>
      </c>
      <c r="S50" s="15"/>
    </row>
    <row r="51">
      <c r="A51" s="67" t="str">
        <f t="shared" si="1"/>
        <v>Sat</v>
      </c>
      <c r="B51" s="69">
        <v>43631.0</v>
      </c>
      <c r="D51" s="161">
        <v>216.31</v>
      </c>
      <c r="E51" s="4" t="s">
        <v>222</v>
      </c>
      <c r="F51" s="4" t="s">
        <v>322</v>
      </c>
      <c r="I51" s="4" t="s">
        <v>224</v>
      </c>
      <c r="S51" s="15"/>
    </row>
    <row r="52">
      <c r="A52" s="67" t="str">
        <f t="shared" si="1"/>
        <v>Sun</v>
      </c>
      <c r="B52" s="69">
        <v>43632.0</v>
      </c>
      <c r="H52" s="4" t="s">
        <v>322</v>
      </c>
      <c r="S52" s="15"/>
    </row>
    <row r="53">
      <c r="A53" s="67" t="str">
        <f t="shared" si="1"/>
        <v>Mon</v>
      </c>
      <c r="B53" s="69">
        <v>43633.0</v>
      </c>
      <c r="S53" s="15"/>
    </row>
    <row r="54">
      <c r="A54" s="67" t="str">
        <f t="shared" si="1"/>
        <v>Tue</v>
      </c>
      <c r="B54" s="69">
        <v>43634.0</v>
      </c>
      <c r="S54" s="15"/>
    </row>
    <row r="55">
      <c r="A55" s="67" t="str">
        <f t="shared" si="1"/>
        <v>Wed</v>
      </c>
      <c r="B55" s="69">
        <v>43635.0</v>
      </c>
      <c r="S55" s="15"/>
    </row>
    <row r="56">
      <c r="A56" s="67" t="str">
        <f t="shared" si="1"/>
        <v>Thu</v>
      </c>
      <c r="B56" s="69">
        <v>43636.0</v>
      </c>
      <c r="D56" s="161">
        <v>377.65333333333336</v>
      </c>
      <c r="E56" s="4" t="s">
        <v>222</v>
      </c>
      <c r="F56" s="4" t="s">
        <v>326</v>
      </c>
      <c r="G56" s="4" t="s">
        <v>326</v>
      </c>
      <c r="I56" s="4" t="s">
        <v>224</v>
      </c>
      <c r="K56" s="4" t="s">
        <v>231</v>
      </c>
      <c r="L56" s="4" t="s">
        <v>229</v>
      </c>
      <c r="M56" s="4" t="s">
        <v>226</v>
      </c>
      <c r="R56" s="4" t="s">
        <v>327</v>
      </c>
      <c r="S56" s="15"/>
    </row>
    <row r="57">
      <c r="A57" s="67" t="str">
        <f t="shared" si="1"/>
        <v>Fri</v>
      </c>
      <c r="B57" s="69">
        <v>43637.0</v>
      </c>
      <c r="D57" s="161">
        <v>377.65333333333336</v>
      </c>
      <c r="E57" s="4" t="s">
        <v>222</v>
      </c>
      <c r="F57" s="4" t="s">
        <v>326</v>
      </c>
      <c r="I57" s="4" t="s">
        <v>224</v>
      </c>
      <c r="S57" s="15"/>
    </row>
    <row r="58">
      <c r="A58" s="67" t="str">
        <f t="shared" si="1"/>
        <v>Sat</v>
      </c>
      <c r="B58" s="69">
        <v>43638.0</v>
      </c>
      <c r="D58" s="161">
        <v>377.65333333333336</v>
      </c>
      <c r="E58" s="4" t="s">
        <v>222</v>
      </c>
      <c r="F58" s="4" t="s">
        <v>326</v>
      </c>
      <c r="I58" s="4" t="s">
        <v>224</v>
      </c>
      <c r="S58" s="15"/>
    </row>
    <row r="59">
      <c r="A59" s="67" t="str">
        <f t="shared" si="1"/>
        <v>Sun</v>
      </c>
      <c r="B59" s="69">
        <v>43639.0</v>
      </c>
      <c r="H59" s="4" t="s">
        <v>326</v>
      </c>
      <c r="S59" s="15"/>
    </row>
    <row r="60">
      <c r="A60" s="67" t="str">
        <f t="shared" si="1"/>
        <v>Mon</v>
      </c>
      <c r="B60" s="69">
        <v>43640.0</v>
      </c>
      <c r="S60" s="15"/>
    </row>
    <row r="61">
      <c r="A61" s="67" t="str">
        <f t="shared" si="1"/>
        <v>Tue</v>
      </c>
      <c r="B61" s="69">
        <v>43641.0</v>
      </c>
      <c r="S61" s="15"/>
    </row>
    <row r="62">
      <c r="A62" s="67" t="str">
        <f t="shared" si="1"/>
        <v>Wed</v>
      </c>
      <c r="B62" s="69">
        <v>43642.0</v>
      </c>
      <c r="S62" s="15"/>
    </row>
    <row r="63">
      <c r="A63" s="67" t="str">
        <f t="shared" si="1"/>
        <v>Thu</v>
      </c>
      <c r="B63" s="69">
        <v>43643.0</v>
      </c>
      <c r="S63" s="15"/>
    </row>
    <row r="64">
      <c r="A64" s="67" t="str">
        <f t="shared" si="1"/>
        <v>Fri</v>
      </c>
      <c r="B64" s="69">
        <v>43644.0</v>
      </c>
      <c r="S64" s="15"/>
    </row>
    <row r="65">
      <c r="A65" s="67" t="str">
        <f t="shared" si="1"/>
        <v>Sat</v>
      </c>
      <c r="B65" s="69">
        <v>43645.0</v>
      </c>
      <c r="S65" s="15"/>
    </row>
    <row r="66">
      <c r="A66" s="67" t="str">
        <f t="shared" si="1"/>
        <v>Sun</v>
      </c>
      <c r="B66" s="69">
        <v>43646.0</v>
      </c>
      <c r="S66" s="15"/>
    </row>
    <row r="67">
      <c r="A67" s="67" t="str">
        <f t="shared" si="1"/>
        <v>Mon</v>
      </c>
      <c r="B67" s="69">
        <v>43647.0</v>
      </c>
      <c r="S67" s="15"/>
    </row>
    <row r="68">
      <c r="A68" s="67" t="str">
        <f t="shared" si="1"/>
        <v>Tue</v>
      </c>
      <c r="B68" s="69">
        <v>43648.0</v>
      </c>
      <c r="S68" s="15"/>
    </row>
    <row r="69">
      <c r="A69" s="67" t="str">
        <f t="shared" si="1"/>
        <v>Wed</v>
      </c>
      <c r="B69" s="69">
        <v>43649.0</v>
      </c>
      <c r="S69" s="15"/>
    </row>
    <row r="70">
      <c r="A70" s="67" t="str">
        <f t="shared" si="1"/>
        <v>Thu</v>
      </c>
      <c r="B70" s="69">
        <v>43650.0</v>
      </c>
      <c r="S70" s="15"/>
    </row>
    <row r="71">
      <c r="A71" s="67" t="str">
        <f t="shared" si="1"/>
        <v>Fri</v>
      </c>
      <c r="B71" s="69">
        <v>43651.0</v>
      </c>
      <c r="S71" s="15"/>
    </row>
    <row r="72">
      <c r="A72" s="67" t="str">
        <f t="shared" si="1"/>
        <v>Sat</v>
      </c>
      <c r="B72" s="69">
        <v>43652.0</v>
      </c>
      <c r="S72" s="15"/>
    </row>
    <row r="73">
      <c r="A73" s="67" t="str">
        <f t="shared" si="1"/>
        <v>Sun</v>
      </c>
      <c r="B73" s="69">
        <v>43653.0</v>
      </c>
      <c r="S73" s="15"/>
    </row>
    <row r="74">
      <c r="A74" s="67" t="str">
        <f t="shared" si="1"/>
        <v>Mon</v>
      </c>
      <c r="B74" s="69">
        <v>43654.0</v>
      </c>
      <c r="S74" s="15"/>
    </row>
    <row r="75">
      <c r="A75" s="67" t="str">
        <f t="shared" si="1"/>
        <v>Tue</v>
      </c>
      <c r="B75" s="69">
        <v>43655.0</v>
      </c>
      <c r="S75" s="15"/>
    </row>
    <row r="76">
      <c r="A76" s="67" t="str">
        <f t="shared" si="1"/>
        <v>Wed</v>
      </c>
      <c r="B76" s="69">
        <v>43656.0</v>
      </c>
      <c r="S76" s="15"/>
    </row>
    <row r="77">
      <c r="A77" s="67" t="str">
        <f t="shared" si="1"/>
        <v>Thu</v>
      </c>
      <c r="B77" s="69">
        <v>43657.0</v>
      </c>
      <c r="D77" s="4">
        <v>250.0</v>
      </c>
      <c r="E77" s="4" t="s">
        <v>337</v>
      </c>
      <c r="F77" s="4" t="s">
        <v>338</v>
      </c>
      <c r="G77" s="4" t="s">
        <v>338</v>
      </c>
      <c r="I77" s="4" t="s">
        <v>224</v>
      </c>
      <c r="K77" s="4" t="s">
        <v>339</v>
      </c>
      <c r="L77" s="4" t="s">
        <v>229</v>
      </c>
      <c r="M77" s="4" t="s">
        <v>340</v>
      </c>
      <c r="N77" s="4" t="s">
        <v>341</v>
      </c>
      <c r="O77" s="4" t="s">
        <v>342</v>
      </c>
      <c r="Q77" s="4" t="s">
        <v>343</v>
      </c>
      <c r="R77" s="4" t="s">
        <v>344</v>
      </c>
      <c r="S77" s="162" t="s">
        <v>345</v>
      </c>
    </row>
    <row r="78">
      <c r="A78" s="67" t="str">
        <f t="shared" si="1"/>
        <v>Fri</v>
      </c>
      <c r="B78" s="69">
        <v>43658.0</v>
      </c>
      <c r="D78" s="4">
        <v>345.32</v>
      </c>
      <c r="E78" s="4" t="s">
        <v>222</v>
      </c>
      <c r="F78" s="4" t="s">
        <v>338</v>
      </c>
      <c r="G78" s="4" t="s">
        <v>338</v>
      </c>
      <c r="H78" s="4" t="s">
        <v>338</v>
      </c>
      <c r="I78" s="4" t="s">
        <v>224</v>
      </c>
      <c r="K78" s="4" t="s">
        <v>231</v>
      </c>
      <c r="L78" s="4" t="s">
        <v>229</v>
      </c>
      <c r="M78" s="4" t="s">
        <v>340</v>
      </c>
      <c r="N78" s="4" t="s">
        <v>341</v>
      </c>
      <c r="O78" s="4" t="s">
        <v>342</v>
      </c>
      <c r="Q78" s="4" t="s">
        <v>343</v>
      </c>
      <c r="R78" s="4" t="s">
        <v>344</v>
      </c>
      <c r="S78" s="162" t="s">
        <v>345</v>
      </c>
    </row>
    <row r="79">
      <c r="A79" s="67" t="str">
        <f t="shared" si="1"/>
        <v>Sat</v>
      </c>
      <c r="B79" s="69">
        <v>43659.0</v>
      </c>
      <c r="D79" s="4">
        <v>345.32</v>
      </c>
      <c r="E79" s="4" t="s">
        <v>222</v>
      </c>
      <c r="F79" s="4" t="s">
        <v>338</v>
      </c>
      <c r="I79" s="4" t="s">
        <v>224</v>
      </c>
      <c r="S79" s="15"/>
    </row>
    <row r="80">
      <c r="A80" s="67" t="str">
        <f t="shared" si="1"/>
        <v>Sun</v>
      </c>
      <c r="B80" s="69">
        <v>43660.0</v>
      </c>
      <c r="D80" s="4">
        <v>345.32</v>
      </c>
      <c r="E80" s="4" t="s">
        <v>222</v>
      </c>
      <c r="F80" s="4" t="s">
        <v>338</v>
      </c>
      <c r="I80" s="4" t="s">
        <v>224</v>
      </c>
      <c r="S80" s="15"/>
    </row>
    <row r="81">
      <c r="A81" s="67" t="str">
        <f t="shared" si="1"/>
        <v>Mon</v>
      </c>
      <c r="B81" s="69">
        <v>43661.0</v>
      </c>
      <c r="D81" s="4">
        <v>345.32</v>
      </c>
      <c r="E81" s="4" t="s">
        <v>222</v>
      </c>
      <c r="F81" s="4" t="s">
        <v>338</v>
      </c>
      <c r="I81" s="4" t="s">
        <v>224</v>
      </c>
      <c r="S81" s="15"/>
    </row>
    <row r="82">
      <c r="A82" s="67" t="str">
        <f t="shared" si="1"/>
        <v>Tue</v>
      </c>
      <c r="B82" s="69">
        <v>43662.0</v>
      </c>
      <c r="H82" s="4" t="s">
        <v>338</v>
      </c>
      <c r="S82" s="15"/>
    </row>
    <row r="83">
      <c r="A83" s="67" t="str">
        <f t="shared" si="1"/>
        <v>Wed</v>
      </c>
      <c r="B83" s="69">
        <v>43663.0</v>
      </c>
      <c r="S83" s="15"/>
    </row>
    <row r="84">
      <c r="A84" s="67" t="str">
        <f t="shared" si="1"/>
        <v>Thu</v>
      </c>
      <c r="B84" s="69">
        <v>43664.0</v>
      </c>
      <c r="S84" s="15"/>
    </row>
    <row r="85">
      <c r="A85" s="67" t="str">
        <f t="shared" si="1"/>
        <v>Fri</v>
      </c>
      <c r="B85" s="69">
        <v>43665.0</v>
      </c>
      <c r="S85" s="15"/>
    </row>
    <row r="86">
      <c r="A86" s="67" t="str">
        <f t="shared" si="1"/>
        <v>Sat</v>
      </c>
      <c r="B86" s="69">
        <v>43666.0</v>
      </c>
      <c r="S86" s="15"/>
    </row>
    <row r="87">
      <c r="A87" s="67" t="str">
        <f t="shared" si="1"/>
        <v>Sun</v>
      </c>
      <c r="B87" s="69">
        <v>43667.0</v>
      </c>
      <c r="S87" s="15"/>
    </row>
    <row r="88">
      <c r="A88" s="67" t="str">
        <f t="shared" si="1"/>
        <v>Mon</v>
      </c>
      <c r="B88" s="69">
        <v>43668.0</v>
      </c>
      <c r="S88" s="15"/>
    </row>
    <row r="89">
      <c r="A89" s="67" t="str">
        <f t="shared" si="1"/>
        <v>Tue</v>
      </c>
      <c r="B89" s="69">
        <v>43669.0</v>
      </c>
      <c r="S89" s="15"/>
    </row>
    <row r="90">
      <c r="A90" s="67" t="str">
        <f t="shared" si="1"/>
        <v>Wed</v>
      </c>
      <c r="B90" s="69">
        <v>43670.0</v>
      </c>
      <c r="D90" s="4">
        <v>227.62</v>
      </c>
      <c r="E90" s="4" t="s">
        <v>222</v>
      </c>
      <c r="F90" s="4" t="s">
        <v>347</v>
      </c>
      <c r="G90" s="4" t="s">
        <v>347</v>
      </c>
      <c r="I90" s="4" t="s">
        <v>224</v>
      </c>
      <c r="K90" s="4" t="s">
        <v>231</v>
      </c>
      <c r="L90" s="4" t="s">
        <v>240</v>
      </c>
      <c r="M90" s="4" t="s">
        <v>226</v>
      </c>
      <c r="R90" s="4" t="s">
        <v>348</v>
      </c>
      <c r="S90" s="15"/>
    </row>
    <row r="91">
      <c r="A91" s="67" t="str">
        <f t="shared" si="1"/>
        <v>Thu</v>
      </c>
      <c r="B91" s="69">
        <v>43671.0</v>
      </c>
      <c r="D91" s="4">
        <v>227.63</v>
      </c>
      <c r="E91" s="4" t="s">
        <v>222</v>
      </c>
      <c r="F91" s="4" t="s">
        <v>347</v>
      </c>
      <c r="I91" s="4" t="s">
        <v>224</v>
      </c>
      <c r="S91" s="15"/>
    </row>
    <row r="92">
      <c r="A92" s="67" t="str">
        <f t="shared" si="1"/>
        <v>Fri</v>
      </c>
      <c r="B92" s="69">
        <v>43672.0</v>
      </c>
      <c r="D92" s="4">
        <v>227.63</v>
      </c>
      <c r="E92" s="4" t="s">
        <v>222</v>
      </c>
      <c r="F92" s="4" t="s">
        <v>347</v>
      </c>
      <c r="I92" s="4" t="s">
        <v>224</v>
      </c>
      <c r="S92" s="15"/>
    </row>
    <row r="93">
      <c r="A93" s="67" t="str">
        <f t="shared" si="1"/>
        <v>Sat</v>
      </c>
      <c r="B93" s="69">
        <v>43673.0</v>
      </c>
      <c r="H93" s="4" t="s">
        <v>347</v>
      </c>
      <c r="S93" s="15"/>
    </row>
    <row r="94">
      <c r="A94" s="67" t="str">
        <f t="shared" si="1"/>
        <v>Sun</v>
      </c>
      <c r="B94" s="69">
        <v>43674.0</v>
      </c>
      <c r="S94" s="15"/>
    </row>
    <row r="95">
      <c r="A95" s="67" t="str">
        <f t="shared" si="1"/>
        <v>Mon</v>
      </c>
      <c r="B95" s="69">
        <v>43675.0</v>
      </c>
      <c r="S95" s="15"/>
    </row>
    <row r="96">
      <c r="A96" s="67" t="str">
        <f t="shared" si="1"/>
        <v>Tue</v>
      </c>
      <c r="B96" s="69">
        <v>43676.0</v>
      </c>
      <c r="S96" s="15"/>
    </row>
    <row r="97">
      <c r="A97" s="67" t="str">
        <f t="shared" si="1"/>
        <v>Wed</v>
      </c>
      <c r="B97" s="69">
        <v>43677.0</v>
      </c>
      <c r="S97" s="15"/>
    </row>
    <row r="98">
      <c r="A98" s="67" t="str">
        <f t="shared" si="1"/>
        <v>Thu</v>
      </c>
      <c r="B98" s="69">
        <v>43678.0</v>
      </c>
      <c r="S98" s="15"/>
    </row>
    <row r="99">
      <c r="A99" s="67" t="str">
        <f t="shared" si="1"/>
        <v>Fri</v>
      </c>
      <c r="B99" s="69">
        <v>43679.0</v>
      </c>
      <c r="S99" s="15"/>
    </row>
    <row r="100">
      <c r="A100" s="67" t="str">
        <f t="shared" si="1"/>
        <v>Sat</v>
      </c>
      <c r="B100" s="69">
        <v>43680.0</v>
      </c>
      <c r="S100" s="15"/>
    </row>
    <row r="101">
      <c r="A101" s="67" t="str">
        <f t="shared" si="1"/>
        <v>Sun</v>
      </c>
      <c r="B101" s="69">
        <v>43681.0</v>
      </c>
      <c r="S101" s="15"/>
    </row>
    <row r="102">
      <c r="A102" s="67" t="str">
        <f t="shared" si="1"/>
        <v>Mon</v>
      </c>
      <c r="B102" s="69">
        <v>43682.0</v>
      </c>
      <c r="S102" s="15"/>
    </row>
    <row r="103">
      <c r="A103" s="67" t="str">
        <f t="shared" si="1"/>
        <v>Tue</v>
      </c>
      <c r="B103" s="69">
        <v>43683.0</v>
      </c>
      <c r="S103" s="15"/>
    </row>
    <row r="104">
      <c r="A104" s="67" t="str">
        <f t="shared" si="1"/>
        <v>Wed</v>
      </c>
      <c r="B104" s="69">
        <v>43684.0</v>
      </c>
      <c r="S104" s="15"/>
    </row>
    <row r="105">
      <c r="A105" s="67" t="str">
        <f t="shared" si="1"/>
        <v>Thu</v>
      </c>
      <c r="B105" s="69">
        <v>43685.0</v>
      </c>
      <c r="S105" s="15"/>
    </row>
    <row r="106">
      <c r="A106" s="67" t="str">
        <f t="shared" si="1"/>
        <v>Fri</v>
      </c>
      <c r="B106" s="69">
        <v>43686.0</v>
      </c>
      <c r="S106" s="15"/>
    </row>
    <row r="107">
      <c r="A107" s="67" t="str">
        <f t="shared" si="1"/>
        <v>Sat</v>
      </c>
      <c r="B107" s="69">
        <v>43687.0</v>
      </c>
      <c r="S107" s="15"/>
    </row>
    <row r="108">
      <c r="A108" s="67" t="str">
        <f t="shared" si="1"/>
        <v>Sun</v>
      </c>
      <c r="B108" s="69">
        <v>43688.0</v>
      </c>
      <c r="S108" s="15"/>
    </row>
    <row r="109">
      <c r="A109" s="67" t="str">
        <f t="shared" si="1"/>
        <v>Mon</v>
      </c>
      <c r="B109" s="69">
        <v>43689.0</v>
      </c>
      <c r="S109" s="15"/>
    </row>
    <row r="110">
      <c r="A110" s="67" t="str">
        <f t="shared" si="1"/>
        <v>Tue</v>
      </c>
      <c r="B110" s="69">
        <v>43690.0</v>
      </c>
      <c r="S110" s="15"/>
    </row>
    <row r="111">
      <c r="A111" s="67" t="str">
        <f t="shared" si="1"/>
        <v>Wed</v>
      </c>
      <c r="B111" s="69">
        <v>43691.0</v>
      </c>
      <c r="S111" s="15"/>
    </row>
    <row r="112">
      <c r="A112" s="67" t="str">
        <f t="shared" si="1"/>
        <v>Thu</v>
      </c>
      <c r="B112" s="69">
        <v>43692.0</v>
      </c>
      <c r="S112" s="15"/>
    </row>
    <row r="113">
      <c r="A113" s="67" t="str">
        <f t="shared" si="1"/>
        <v>Fri</v>
      </c>
      <c r="B113" s="69">
        <v>43693.0</v>
      </c>
      <c r="S113" s="15"/>
    </row>
    <row r="114">
      <c r="A114" s="67" t="str">
        <f t="shared" si="1"/>
        <v>Sat</v>
      </c>
      <c r="B114" s="69">
        <v>43694.0</v>
      </c>
      <c r="S114" s="15"/>
    </row>
    <row r="115">
      <c r="A115" s="67" t="str">
        <f t="shared" si="1"/>
        <v>Sun</v>
      </c>
      <c r="B115" s="69">
        <v>43695.0</v>
      </c>
      <c r="S115" s="15"/>
    </row>
    <row r="116">
      <c r="A116" s="67" t="str">
        <f t="shared" si="1"/>
        <v>Mon</v>
      </c>
      <c r="B116" s="69">
        <v>43696.0</v>
      </c>
      <c r="S116" s="15"/>
    </row>
    <row r="117">
      <c r="A117" s="67" t="str">
        <f t="shared" si="1"/>
        <v>Tue</v>
      </c>
      <c r="B117" s="69">
        <v>43697.0</v>
      </c>
      <c r="S117" s="15"/>
    </row>
    <row r="118">
      <c r="A118" s="67" t="str">
        <f t="shared" si="1"/>
        <v>Wed</v>
      </c>
      <c r="B118" s="69">
        <v>43698.0</v>
      </c>
      <c r="S118" s="15"/>
    </row>
    <row r="119">
      <c r="A119" s="67" t="str">
        <f t="shared" si="1"/>
        <v>Thu</v>
      </c>
      <c r="B119" s="69">
        <v>43699.0</v>
      </c>
      <c r="D119">
        <v>315.25</v>
      </c>
      <c r="E119" s="6" t="s">
        <v>222</v>
      </c>
      <c r="F119" s="6" t="s">
        <v>360</v>
      </c>
      <c r="G119" s="6" t="s">
        <v>360</v>
      </c>
      <c r="I119" s="6" t="s">
        <v>224</v>
      </c>
      <c r="K119" s="6" t="s">
        <v>231</v>
      </c>
      <c r="L119" s="4" t="s">
        <v>225</v>
      </c>
      <c r="M119" s="6" t="s">
        <v>362</v>
      </c>
      <c r="N119" s="6" t="s">
        <v>363</v>
      </c>
      <c r="O119" s="6" t="s">
        <v>364</v>
      </c>
      <c r="Q119" s="6" t="s">
        <v>255</v>
      </c>
      <c r="R119" s="6" t="s">
        <v>256</v>
      </c>
      <c r="S119" s="6" t="s">
        <v>257</v>
      </c>
    </row>
    <row r="120">
      <c r="A120" s="67" t="str">
        <f t="shared" si="1"/>
        <v>Fri</v>
      </c>
      <c r="B120" s="69">
        <v>43700.0</v>
      </c>
      <c r="D120" s="161">
        <v>315.25</v>
      </c>
      <c r="E120" s="4" t="s">
        <v>222</v>
      </c>
      <c r="F120" s="6" t="s">
        <v>360</v>
      </c>
      <c r="I120" s="4" t="s">
        <v>224</v>
      </c>
    </row>
    <row r="121">
      <c r="A121" s="67" t="str">
        <f t="shared" si="1"/>
        <v>Sat</v>
      </c>
      <c r="B121" s="69">
        <v>43701.0</v>
      </c>
      <c r="D121" s="161">
        <v>315.25</v>
      </c>
      <c r="E121" s="4" t="s">
        <v>222</v>
      </c>
      <c r="F121" s="6" t="s">
        <v>360</v>
      </c>
      <c r="I121" s="4" t="s">
        <v>224</v>
      </c>
    </row>
    <row r="122">
      <c r="A122" s="67" t="str">
        <f t="shared" si="1"/>
        <v>Sun</v>
      </c>
      <c r="B122" s="69">
        <v>43702.0</v>
      </c>
      <c r="D122" s="161">
        <v>315.25</v>
      </c>
      <c r="E122" s="4" t="s">
        <v>222</v>
      </c>
      <c r="F122" s="6" t="s">
        <v>360</v>
      </c>
      <c r="I122" s="4" t="s">
        <v>224</v>
      </c>
    </row>
    <row r="123">
      <c r="A123" s="67" t="str">
        <f t="shared" si="1"/>
        <v>Mon</v>
      </c>
      <c r="B123" s="69">
        <v>43703.0</v>
      </c>
      <c r="D123" s="161">
        <v>315.25</v>
      </c>
      <c r="E123" s="4" t="s">
        <v>222</v>
      </c>
      <c r="F123" s="6" t="s">
        <v>360</v>
      </c>
      <c r="I123" s="4" t="s">
        <v>224</v>
      </c>
    </row>
    <row r="124">
      <c r="A124" s="67" t="str">
        <f t="shared" si="1"/>
        <v>Tue</v>
      </c>
      <c r="B124" s="69">
        <v>43704.0</v>
      </c>
      <c r="D124" s="161">
        <v>315.25</v>
      </c>
      <c r="E124" s="4" t="s">
        <v>222</v>
      </c>
      <c r="F124" s="6" t="s">
        <v>360</v>
      </c>
      <c r="I124" s="4" t="s">
        <v>224</v>
      </c>
    </row>
    <row r="125">
      <c r="A125" s="67" t="str">
        <f t="shared" si="1"/>
        <v>Wed</v>
      </c>
      <c r="B125" s="69">
        <v>43705.0</v>
      </c>
      <c r="H125" s="6" t="s">
        <v>360</v>
      </c>
    </row>
    <row r="126">
      <c r="A126" s="67" t="str">
        <f t="shared" si="1"/>
        <v>Thu</v>
      </c>
      <c r="B126" s="69">
        <v>43706.0</v>
      </c>
      <c r="S126" s="15"/>
    </row>
    <row r="127">
      <c r="A127" s="67" t="str">
        <f t="shared" si="1"/>
        <v>Fri</v>
      </c>
      <c r="B127" s="69">
        <v>43707.0</v>
      </c>
      <c r="S127" s="15"/>
    </row>
    <row r="128">
      <c r="A128" s="67" t="str">
        <f t="shared" si="1"/>
        <v>Sat</v>
      </c>
      <c r="B128" s="69">
        <v>43708.0</v>
      </c>
      <c r="S128" s="15"/>
    </row>
    <row r="129">
      <c r="A129" s="67" t="str">
        <f t="shared" si="1"/>
        <v>Sun</v>
      </c>
      <c r="B129" s="69">
        <v>43709.0</v>
      </c>
      <c r="S129" s="15"/>
    </row>
    <row r="130">
      <c r="A130" s="67" t="str">
        <f t="shared" si="1"/>
        <v>Mon</v>
      </c>
      <c r="B130" s="69">
        <v>43710.0</v>
      </c>
      <c r="S130" s="15"/>
    </row>
    <row r="131">
      <c r="A131" s="67" t="str">
        <f t="shared" si="1"/>
        <v>Tue</v>
      </c>
      <c r="B131" s="69">
        <v>43711.0</v>
      </c>
      <c r="S131" s="15"/>
    </row>
    <row r="132">
      <c r="A132" s="67" t="str">
        <f t="shared" si="1"/>
        <v>Wed</v>
      </c>
      <c r="B132" s="69">
        <v>43712.0</v>
      </c>
      <c r="S132" s="15"/>
    </row>
    <row r="133">
      <c r="A133" s="67" t="str">
        <f t="shared" si="1"/>
        <v>Thu</v>
      </c>
      <c r="B133" s="69">
        <v>43713.0</v>
      </c>
      <c r="S133" s="15"/>
    </row>
    <row r="134">
      <c r="A134" s="67" t="str">
        <f t="shared" si="1"/>
        <v>Fri</v>
      </c>
      <c r="B134" s="69">
        <v>43714.0</v>
      </c>
      <c r="S134" s="15"/>
    </row>
    <row r="135">
      <c r="A135" s="67" t="str">
        <f t="shared" si="1"/>
        <v>Sat</v>
      </c>
      <c r="B135" s="69">
        <v>43715.0</v>
      </c>
      <c r="S135" s="15"/>
    </row>
    <row r="136">
      <c r="A136" s="67" t="str">
        <f t="shared" si="1"/>
        <v>Sun</v>
      </c>
      <c r="B136" s="69">
        <v>43716.0</v>
      </c>
      <c r="S136" s="15"/>
    </row>
    <row r="137">
      <c r="A137" s="67" t="str">
        <f t="shared" si="1"/>
        <v>Mon</v>
      </c>
      <c r="B137" s="69">
        <v>43717.0</v>
      </c>
      <c r="S137" s="15"/>
    </row>
    <row r="138">
      <c r="A138" s="67" t="str">
        <f t="shared" si="1"/>
        <v>Tue</v>
      </c>
      <c r="B138" s="69">
        <v>43718.0</v>
      </c>
      <c r="S138" s="15"/>
    </row>
    <row r="139">
      <c r="A139" s="67" t="str">
        <f t="shared" si="1"/>
        <v>Wed</v>
      </c>
      <c r="B139" s="69">
        <v>43719.0</v>
      </c>
      <c r="S139" s="15"/>
    </row>
    <row r="140">
      <c r="A140" s="67" t="str">
        <f t="shared" si="1"/>
        <v>Thu</v>
      </c>
      <c r="B140" s="69">
        <v>43720.0</v>
      </c>
      <c r="S140" s="15"/>
    </row>
    <row r="141">
      <c r="A141" s="67" t="str">
        <f t="shared" si="1"/>
        <v>Fri</v>
      </c>
      <c r="B141" s="69">
        <v>43721.0</v>
      </c>
      <c r="D141" s="161">
        <v>309.75333333333333</v>
      </c>
      <c r="E141" s="4" t="s">
        <v>222</v>
      </c>
      <c r="F141" s="4" t="s">
        <v>386</v>
      </c>
      <c r="G141" s="4" t="s">
        <v>386</v>
      </c>
      <c r="I141" s="4" t="s">
        <v>224</v>
      </c>
      <c r="K141" s="4" t="s">
        <v>231</v>
      </c>
      <c r="L141" s="4" t="s">
        <v>240</v>
      </c>
      <c r="M141" s="4" t="s">
        <v>226</v>
      </c>
      <c r="N141" s="4" t="s">
        <v>232</v>
      </c>
      <c r="R141" s="4" t="s">
        <v>387</v>
      </c>
      <c r="S141" s="15"/>
    </row>
    <row r="142">
      <c r="A142" s="67" t="str">
        <f t="shared" si="1"/>
        <v>Sat</v>
      </c>
      <c r="B142" s="69">
        <v>43722.0</v>
      </c>
      <c r="D142" s="161">
        <v>309.75333333333333</v>
      </c>
      <c r="E142" s="4" t="s">
        <v>222</v>
      </c>
      <c r="F142" s="4" t="s">
        <v>386</v>
      </c>
      <c r="I142" s="4" t="s">
        <v>224</v>
      </c>
      <c r="S142" s="15"/>
    </row>
    <row r="143">
      <c r="A143" s="67" t="str">
        <f t="shared" si="1"/>
        <v>Sun</v>
      </c>
      <c r="B143" s="69">
        <v>43723.0</v>
      </c>
      <c r="D143" s="161">
        <v>309.75333333333333</v>
      </c>
      <c r="E143" s="4" t="s">
        <v>222</v>
      </c>
      <c r="F143" s="4" t="s">
        <v>386</v>
      </c>
      <c r="I143" s="4" t="s">
        <v>224</v>
      </c>
      <c r="S143" s="15"/>
    </row>
    <row r="144">
      <c r="A144" s="67" t="str">
        <f t="shared" si="1"/>
        <v>Mon</v>
      </c>
      <c r="B144" s="69">
        <v>43724.0</v>
      </c>
      <c r="H144" s="4" t="s">
        <v>386</v>
      </c>
      <c r="S144" s="15"/>
    </row>
    <row r="145">
      <c r="A145" s="67" t="str">
        <f t="shared" si="1"/>
        <v>Tue</v>
      </c>
      <c r="B145" s="69">
        <v>43725.0</v>
      </c>
      <c r="S145" s="15"/>
    </row>
    <row r="146">
      <c r="A146" s="67" t="str">
        <f t="shared" si="1"/>
        <v>Wed</v>
      </c>
      <c r="B146" s="69">
        <v>43726.0</v>
      </c>
      <c r="S146" s="15"/>
    </row>
    <row r="147">
      <c r="A147" s="67" t="str">
        <f t="shared" si="1"/>
        <v>Thu</v>
      </c>
      <c r="B147" s="69">
        <v>43727.0</v>
      </c>
      <c r="S147" s="15"/>
    </row>
    <row r="148">
      <c r="A148" s="67" t="str">
        <f t="shared" si="1"/>
        <v>Fri</v>
      </c>
      <c r="B148" s="69">
        <v>43728.0</v>
      </c>
      <c r="S148" s="15"/>
    </row>
    <row r="149">
      <c r="A149" s="67" t="str">
        <f t="shared" si="1"/>
        <v>Sat</v>
      </c>
      <c r="B149" s="69">
        <v>43729.0</v>
      </c>
      <c r="S149" s="15"/>
    </row>
    <row r="150">
      <c r="A150" s="67" t="str">
        <f t="shared" si="1"/>
        <v>Sun</v>
      </c>
      <c r="B150" s="69">
        <v>43730.0</v>
      </c>
      <c r="S150" s="15"/>
    </row>
    <row r="151">
      <c r="A151" s="67" t="str">
        <f t="shared" si="1"/>
        <v>Mon</v>
      </c>
      <c r="B151" s="69">
        <v>43731.0</v>
      </c>
      <c r="S151" s="15"/>
    </row>
    <row r="152">
      <c r="A152" s="67" t="str">
        <f t="shared" si="1"/>
        <v>Tue</v>
      </c>
      <c r="B152" s="69">
        <v>43732.0</v>
      </c>
      <c r="S152" s="15"/>
    </row>
    <row r="153">
      <c r="A153" s="67" t="str">
        <f t="shared" si="1"/>
        <v>Wed</v>
      </c>
      <c r="B153" s="69">
        <v>43733.0</v>
      </c>
      <c r="S153" s="15"/>
    </row>
    <row r="154">
      <c r="A154" s="67" t="str">
        <f t="shared" si="1"/>
        <v>Thu</v>
      </c>
      <c r="B154" s="69">
        <v>43734.0</v>
      </c>
      <c r="S154" s="15"/>
    </row>
    <row r="155">
      <c r="A155" s="67" t="str">
        <f t="shared" si="1"/>
        <v>Fri</v>
      </c>
      <c r="B155" s="69">
        <v>43735.0</v>
      </c>
      <c r="D155" s="161">
        <v>315.25</v>
      </c>
      <c r="E155" s="4" t="s">
        <v>222</v>
      </c>
      <c r="F155" s="4" t="s">
        <v>263</v>
      </c>
      <c r="G155" s="4" t="s">
        <v>263</v>
      </c>
      <c r="I155" s="4" t="s">
        <v>224</v>
      </c>
      <c r="K155" s="4" t="s">
        <v>231</v>
      </c>
      <c r="L155" s="4" t="s">
        <v>240</v>
      </c>
      <c r="M155" s="4" t="s">
        <v>226</v>
      </c>
      <c r="N155" s="4" t="s">
        <v>232</v>
      </c>
      <c r="O155" s="4" t="s">
        <v>264</v>
      </c>
      <c r="R155" s="4" t="s">
        <v>265</v>
      </c>
      <c r="S155" s="15"/>
    </row>
    <row r="156">
      <c r="A156" s="67" t="str">
        <f t="shared" si="1"/>
        <v>Sat</v>
      </c>
      <c r="B156" s="69">
        <v>43736.0</v>
      </c>
      <c r="D156" s="161">
        <v>315.25</v>
      </c>
      <c r="E156" s="4" t="s">
        <v>222</v>
      </c>
      <c r="F156" s="4" t="s">
        <v>263</v>
      </c>
      <c r="I156" s="4" t="s">
        <v>224</v>
      </c>
      <c r="S156" s="15"/>
    </row>
    <row r="157">
      <c r="A157" s="67" t="str">
        <f t="shared" si="1"/>
        <v>Sun</v>
      </c>
      <c r="B157" s="69">
        <v>43737.0</v>
      </c>
      <c r="H157" s="4" t="s">
        <v>263</v>
      </c>
      <c r="S157" s="15"/>
    </row>
    <row r="158">
      <c r="A158" s="67" t="str">
        <f t="shared" si="1"/>
        <v>Mon</v>
      </c>
      <c r="B158" s="69">
        <v>43738.0</v>
      </c>
      <c r="S158" s="15"/>
    </row>
    <row r="159">
      <c r="A159" s="67" t="str">
        <f t="shared" si="1"/>
        <v>Tue</v>
      </c>
      <c r="B159" s="69">
        <v>43739.0</v>
      </c>
      <c r="S159" s="15"/>
    </row>
    <row r="160">
      <c r="A160" s="67" t="str">
        <f t="shared" si="1"/>
        <v>Wed</v>
      </c>
      <c r="B160" s="69">
        <v>43740.0</v>
      </c>
      <c r="S160" s="15"/>
    </row>
    <row r="161">
      <c r="A161" s="67" t="str">
        <f t="shared" si="1"/>
        <v>Thu</v>
      </c>
      <c r="B161" s="69">
        <v>43741.0</v>
      </c>
      <c r="S161" s="15"/>
    </row>
    <row r="162">
      <c r="A162" s="67" t="str">
        <f t="shared" si="1"/>
        <v>Fri</v>
      </c>
      <c r="B162" s="69">
        <v>43742.0</v>
      </c>
      <c r="S162" s="15"/>
    </row>
    <row r="163">
      <c r="A163" s="67" t="str">
        <f t="shared" si="1"/>
        <v>Sat</v>
      </c>
      <c r="B163" s="69">
        <v>43743.0</v>
      </c>
      <c r="S163" s="15"/>
    </row>
    <row r="164">
      <c r="A164" s="67" t="str">
        <f t="shared" si="1"/>
        <v>Sun</v>
      </c>
      <c r="B164" s="69">
        <v>43744.0</v>
      </c>
      <c r="S164" s="15"/>
    </row>
    <row r="165">
      <c r="A165" s="67" t="str">
        <f t="shared" si="1"/>
        <v>Mon</v>
      </c>
      <c r="B165" s="69">
        <v>43745.0</v>
      </c>
      <c r="S165" s="15"/>
    </row>
    <row r="166">
      <c r="A166" s="67" t="str">
        <f t="shared" si="1"/>
        <v>Tue</v>
      </c>
      <c r="B166" s="69">
        <v>43746.0</v>
      </c>
      <c r="S166" s="15"/>
    </row>
    <row r="167">
      <c r="A167" s="67" t="str">
        <f t="shared" si="1"/>
        <v>Wed</v>
      </c>
      <c r="B167" s="69">
        <v>43747.0</v>
      </c>
      <c r="S167" s="15"/>
    </row>
    <row r="168">
      <c r="A168" s="67" t="str">
        <f t="shared" si="1"/>
        <v>Thu</v>
      </c>
      <c r="B168" s="69">
        <v>43748.0</v>
      </c>
      <c r="S168" s="15"/>
    </row>
    <row r="169">
      <c r="A169" s="67" t="str">
        <f t="shared" si="1"/>
        <v>Fri</v>
      </c>
      <c r="B169" s="69">
        <v>43749.0</v>
      </c>
      <c r="S169" s="15"/>
    </row>
    <row r="170">
      <c r="A170" s="67" t="str">
        <f t="shared" si="1"/>
        <v>Sat</v>
      </c>
      <c r="B170" s="69">
        <v>43750.0</v>
      </c>
      <c r="S170" s="15"/>
    </row>
    <row r="171">
      <c r="A171" s="67" t="str">
        <f t="shared" si="1"/>
        <v>Sun</v>
      </c>
      <c r="B171" s="69">
        <v>43751.0</v>
      </c>
      <c r="S171" s="15"/>
    </row>
    <row r="172">
      <c r="A172" s="67" t="str">
        <f t="shared" si="1"/>
        <v>Mon</v>
      </c>
      <c r="B172" s="69">
        <v>43752.0</v>
      </c>
      <c r="S172" s="15"/>
    </row>
    <row r="173">
      <c r="A173" s="67" t="str">
        <f t="shared" si="1"/>
        <v>Tue</v>
      </c>
      <c r="B173" s="69">
        <v>43753.0</v>
      </c>
      <c r="S173" s="15"/>
    </row>
    <row r="174">
      <c r="A174" s="67" t="str">
        <f t="shared" si="1"/>
        <v>Wed</v>
      </c>
      <c r="B174" s="69">
        <v>43754.0</v>
      </c>
      <c r="S174" s="15"/>
    </row>
    <row r="175">
      <c r="A175" s="67" t="str">
        <f t="shared" si="1"/>
        <v>Thu</v>
      </c>
      <c r="B175" s="69">
        <v>43755.0</v>
      </c>
      <c r="S175" s="15"/>
    </row>
    <row r="176">
      <c r="A176" s="67" t="str">
        <f t="shared" si="1"/>
        <v>Fri</v>
      </c>
      <c r="B176" s="69">
        <v>43756.0</v>
      </c>
      <c r="S176" s="15"/>
    </row>
    <row r="177">
      <c r="A177" s="67" t="str">
        <f t="shared" si="1"/>
        <v>Sat</v>
      </c>
      <c r="B177" s="69">
        <v>43757.0</v>
      </c>
      <c r="S177" s="15"/>
    </row>
    <row r="178">
      <c r="A178" s="67" t="str">
        <f t="shared" si="1"/>
        <v>Sun</v>
      </c>
      <c r="B178" s="69">
        <v>43758.0</v>
      </c>
      <c r="S178" s="15"/>
    </row>
    <row r="179">
      <c r="A179" s="67" t="str">
        <f t="shared" si="1"/>
        <v>Mon</v>
      </c>
      <c r="B179" s="69">
        <v>43759.0</v>
      </c>
      <c r="S179" s="15"/>
    </row>
    <row r="180">
      <c r="A180" s="67" t="str">
        <f t="shared" si="1"/>
        <v>Tue</v>
      </c>
      <c r="B180" s="69">
        <v>43760.0</v>
      </c>
      <c r="S180" s="15"/>
    </row>
    <row r="181">
      <c r="A181" s="67" t="str">
        <f t="shared" si="1"/>
        <v>Wed</v>
      </c>
      <c r="B181" s="69">
        <v>43761.0</v>
      </c>
      <c r="S181" s="15"/>
    </row>
    <row r="182">
      <c r="A182" s="67" t="str">
        <f t="shared" si="1"/>
        <v>Thu</v>
      </c>
      <c r="B182" s="69">
        <v>43762.0</v>
      </c>
      <c r="S182" s="15"/>
    </row>
    <row r="183">
      <c r="A183" s="67" t="str">
        <f t="shared" si="1"/>
        <v>Fri</v>
      </c>
      <c r="B183" s="69">
        <v>43763.0</v>
      </c>
      <c r="S183" s="15"/>
    </row>
    <row r="184">
      <c r="A184" s="67" t="str">
        <f t="shared" si="1"/>
        <v>Sat</v>
      </c>
      <c r="B184" s="69">
        <v>43764.0</v>
      </c>
      <c r="S184" s="15"/>
    </row>
    <row r="185">
      <c r="A185" s="67" t="str">
        <f t="shared" si="1"/>
        <v>Sun</v>
      </c>
      <c r="B185" s="69">
        <v>43765.0</v>
      </c>
      <c r="S185" s="15"/>
    </row>
    <row r="186">
      <c r="A186" s="67" t="str">
        <f t="shared" si="1"/>
        <v>Mon</v>
      </c>
      <c r="B186" s="69">
        <v>43766.0</v>
      </c>
      <c r="S186" s="15"/>
    </row>
    <row r="187">
      <c r="A187" s="67" t="str">
        <f t="shared" si="1"/>
        <v>Tue</v>
      </c>
      <c r="B187" s="69">
        <v>43767.0</v>
      </c>
      <c r="S187" s="15"/>
    </row>
    <row r="188">
      <c r="A188" s="67" t="str">
        <f t="shared" si="1"/>
        <v>Wed</v>
      </c>
      <c r="B188" s="69">
        <v>43768.0</v>
      </c>
      <c r="S188" s="15"/>
    </row>
    <row r="189">
      <c r="A189" s="67" t="str">
        <f t="shared" si="1"/>
        <v>Thu</v>
      </c>
      <c r="B189" s="69">
        <v>43769.0</v>
      </c>
      <c r="S189" s="15"/>
    </row>
    <row r="190">
      <c r="A190" s="67" t="str">
        <f t="shared" si="1"/>
        <v>Fri</v>
      </c>
      <c r="B190" s="69">
        <v>43770.0</v>
      </c>
      <c r="S190" s="15"/>
    </row>
    <row r="191">
      <c r="A191" s="67" t="str">
        <f t="shared" si="1"/>
        <v>Sat</v>
      </c>
      <c r="B191" s="69">
        <v>43771.0</v>
      </c>
      <c r="S191" s="15"/>
    </row>
    <row r="192">
      <c r="A192" s="67" t="str">
        <f t="shared" si="1"/>
        <v>Sun</v>
      </c>
      <c r="B192" s="69">
        <v>43772.0</v>
      </c>
      <c r="S192" s="15"/>
    </row>
    <row r="193">
      <c r="A193" s="67" t="str">
        <f t="shared" si="1"/>
        <v>Mon</v>
      </c>
      <c r="B193" s="69">
        <v>43773.0</v>
      </c>
      <c r="S193" s="15"/>
    </row>
    <row r="194">
      <c r="A194" s="67" t="str">
        <f t="shared" si="1"/>
        <v>Tue</v>
      </c>
      <c r="B194" s="69">
        <v>43774.0</v>
      </c>
      <c r="S194" s="15"/>
    </row>
    <row r="195">
      <c r="A195" s="67" t="str">
        <f t="shared" si="1"/>
        <v>Wed</v>
      </c>
      <c r="B195" s="69">
        <v>43775.0</v>
      </c>
      <c r="S195" s="15"/>
    </row>
    <row r="196">
      <c r="A196" s="67" t="str">
        <f t="shared" si="1"/>
        <v>Thu</v>
      </c>
      <c r="B196" s="69">
        <v>43776.0</v>
      </c>
      <c r="S196" s="15"/>
    </row>
    <row r="197">
      <c r="A197" s="67" t="str">
        <f t="shared" si="1"/>
        <v>Fri</v>
      </c>
      <c r="B197" s="69">
        <v>43777.0</v>
      </c>
      <c r="S197" s="15"/>
    </row>
    <row r="198">
      <c r="A198" s="67" t="str">
        <f t="shared" si="1"/>
        <v>Sat</v>
      </c>
      <c r="B198" s="69">
        <v>43778.0</v>
      </c>
      <c r="S198" s="15"/>
    </row>
    <row r="199">
      <c r="A199" s="67" t="str">
        <f t="shared" si="1"/>
        <v>Sun</v>
      </c>
      <c r="B199" s="69">
        <v>43779.0</v>
      </c>
      <c r="S199" s="15"/>
    </row>
    <row r="200">
      <c r="A200" s="67" t="str">
        <f t="shared" si="1"/>
        <v>Mon</v>
      </c>
      <c r="B200" s="69">
        <v>43780.0</v>
      </c>
      <c r="S200" s="15"/>
    </row>
    <row r="201">
      <c r="A201" s="67" t="str">
        <f t="shared" si="1"/>
        <v>Tue</v>
      </c>
      <c r="B201" s="69">
        <v>43781.0</v>
      </c>
      <c r="S201" s="15"/>
    </row>
    <row r="202">
      <c r="A202" s="67" t="str">
        <f t="shared" si="1"/>
        <v>Wed</v>
      </c>
      <c r="B202" s="69">
        <v>43782.0</v>
      </c>
      <c r="S202" s="15"/>
    </row>
    <row r="203">
      <c r="A203" s="67" t="str">
        <f t="shared" si="1"/>
        <v>Thu</v>
      </c>
      <c r="B203" s="69">
        <v>43783.0</v>
      </c>
      <c r="S203" s="15"/>
    </row>
    <row r="204">
      <c r="A204" s="67" t="str">
        <f t="shared" si="1"/>
        <v>Fri</v>
      </c>
      <c r="B204" s="69">
        <v>43784.0</v>
      </c>
      <c r="S204" s="15"/>
    </row>
    <row r="205">
      <c r="A205" s="67" t="str">
        <f t="shared" si="1"/>
        <v>Sat</v>
      </c>
      <c r="B205" s="69">
        <v>43785.0</v>
      </c>
      <c r="S205" s="15"/>
    </row>
    <row r="206">
      <c r="A206" s="67" t="str">
        <f t="shared" si="1"/>
        <v>Sun</v>
      </c>
      <c r="B206" s="69">
        <v>43786.0</v>
      </c>
      <c r="S206" s="15"/>
    </row>
    <row r="207">
      <c r="A207" s="67" t="str">
        <f t="shared" si="1"/>
        <v>Mon</v>
      </c>
      <c r="B207" s="69">
        <v>43787.0</v>
      </c>
      <c r="S207" s="15"/>
    </row>
    <row r="208">
      <c r="A208" s="67" t="str">
        <f t="shared" si="1"/>
        <v>Tue</v>
      </c>
      <c r="B208" s="69">
        <v>43788.0</v>
      </c>
      <c r="S208" s="15"/>
    </row>
    <row r="209">
      <c r="A209" s="67" t="str">
        <f t="shared" si="1"/>
        <v>Wed</v>
      </c>
      <c r="B209" s="69">
        <v>43789.0</v>
      </c>
      <c r="S209" s="15"/>
    </row>
    <row r="210">
      <c r="A210" s="67" t="str">
        <f t="shared" si="1"/>
        <v>Thu</v>
      </c>
      <c r="B210" s="69">
        <v>43790.0</v>
      </c>
      <c r="S210" s="15"/>
    </row>
    <row r="211">
      <c r="A211" s="67" t="str">
        <f t="shared" si="1"/>
        <v>Fri</v>
      </c>
      <c r="B211" s="69">
        <v>43791.0</v>
      </c>
      <c r="S211" s="15"/>
    </row>
    <row r="212">
      <c r="A212" s="67" t="str">
        <f t="shared" si="1"/>
        <v>Sat</v>
      </c>
      <c r="B212" s="69">
        <v>43792.0</v>
      </c>
      <c r="S212" s="15"/>
    </row>
    <row r="213">
      <c r="A213" s="67" t="str">
        <f t="shared" si="1"/>
        <v>Sun</v>
      </c>
      <c r="B213" s="69">
        <v>43793.0</v>
      </c>
      <c r="S213" s="15"/>
    </row>
    <row r="214">
      <c r="A214" s="67" t="str">
        <f t="shared" si="1"/>
        <v>Mon</v>
      </c>
      <c r="B214" s="69">
        <v>43794.0</v>
      </c>
      <c r="S214" s="15"/>
    </row>
    <row r="215">
      <c r="A215" s="67" t="str">
        <f t="shared" si="1"/>
        <v>Tue</v>
      </c>
      <c r="B215" s="69">
        <v>43795.0</v>
      </c>
      <c r="S215" s="15"/>
    </row>
    <row r="216">
      <c r="A216" s="67" t="str">
        <f t="shared" si="1"/>
        <v>Wed</v>
      </c>
      <c r="B216" s="69">
        <v>43796.0</v>
      </c>
      <c r="S216" s="15"/>
    </row>
    <row r="217">
      <c r="A217" s="67" t="str">
        <f t="shared" si="1"/>
        <v>Thu</v>
      </c>
      <c r="B217" s="69">
        <v>43797.0</v>
      </c>
      <c r="S217" s="15"/>
    </row>
    <row r="218">
      <c r="A218" s="67" t="str">
        <f t="shared" si="1"/>
        <v>Fri</v>
      </c>
      <c r="B218" s="69">
        <v>43798.0</v>
      </c>
      <c r="S218" s="15"/>
    </row>
    <row r="219">
      <c r="A219" s="67" t="str">
        <f t="shared" si="1"/>
        <v>Sat</v>
      </c>
      <c r="B219" s="69">
        <v>43799.0</v>
      </c>
      <c r="S219" s="15"/>
    </row>
    <row r="220">
      <c r="A220" s="67" t="str">
        <f t="shared" si="1"/>
        <v>Sun</v>
      </c>
      <c r="B220" s="69">
        <v>43800.0</v>
      </c>
      <c r="S220" s="15"/>
    </row>
    <row r="221">
      <c r="A221" s="67" t="str">
        <f t="shared" si="1"/>
        <v>Mon</v>
      </c>
      <c r="B221" s="69">
        <v>43801.0</v>
      </c>
      <c r="S221" s="15"/>
    </row>
    <row r="222">
      <c r="A222" s="67" t="str">
        <f t="shared" si="1"/>
        <v>Tue</v>
      </c>
      <c r="B222" s="69">
        <v>43802.0</v>
      </c>
      <c r="S222" s="15"/>
    </row>
    <row r="223">
      <c r="A223" s="67" t="str">
        <f t="shared" si="1"/>
        <v>Wed</v>
      </c>
      <c r="B223" s="69">
        <v>43803.0</v>
      </c>
      <c r="S223" s="15"/>
    </row>
    <row r="224">
      <c r="A224" s="67" t="str">
        <f t="shared" si="1"/>
        <v>Thu</v>
      </c>
      <c r="B224" s="69">
        <v>43804.0</v>
      </c>
      <c r="S224" s="15"/>
    </row>
    <row r="225">
      <c r="A225" s="67" t="str">
        <f t="shared" si="1"/>
        <v>Fri</v>
      </c>
      <c r="B225" s="69">
        <v>43805.0</v>
      </c>
      <c r="S225" s="15"/>
    </row>
    <row r="226">
      <c r="A226" s="67" t="str">
        <f t="shared" si="1"/>
        <v>Sat</v>
      </c>
      <c r="B226" s="69">
        <v>43806.0</v>
      </c>
      <c r="S226" s="15"/>
    </row>
    <row r="227">
      <c r="A227" s="67" t="str">
        <f t="shared" si="1"/>
        <v>Sun</v>
      </c>
      <c r="B227" s="69">
        <v>43807.0</v>
      </c>
      <c r="S227" s="15"/>
    </row>
    <row r="228">
      <c r="A228" s="67" t="str">
        <f t="shared" si="1"/>
        <v>Mon</v>
      </c>
      <c r="B228" s="69">
        <v>43808.0</v>
      </c>
      <c r="S228" s="15"/>
    </row>
    <row r="229">
      <c r="A229" s="67" t="str">
        <f t="shared" si="1"/>
        <v>Tue</v>
      </c>
      <c r="B229" s="69">
        <v>43809.0</v>
      </c>
      <c r="S229" s="15"/>
    </row>
    <row r="230">
      <c r="A230" s="67" t="str">
        <f t="shared" si="1"/>
        <v>Wed</v>
      </c>
      <c r="B230" s="69">
        <v>43810.0</v>
      </c>
      <c r="S230" s="15"/>
    </row>
    <row r="231">
      <c r="A231" s="67" t="str">
        <f t="shared" si="1"/>
        <v>Thu</v>
      </c>
      <c r="B231" s="69">
        <v>43811.0</v>
      </c>
      <c r="S231" s="15"/>
    </row>
    <row r="232">
      <c r="A232" s="67" t="str">
        <f t="shared" si="1"/>
        <v>Fri</v>
      </c>
      <c r="B232" s="69">
        <v>43812.0</v>
      </c>
      <c r="S232" s="15"/>
    </row>
    <row r="233">
      <c r="A233" s="67" t="str">
        <f t="shared" si="1"/>
        <v>Sat</v>
      </c>
      <c r="B233" s="69">
        <v>43813.0</v>
      </c>
      <c r="S233" s="15"/>
    </row>
    <row r="234">
      <c r="A234" s="67" t="str">
        <f t="shared" si="1"/>
        <v>Sun</v>
      </c>
      <c r="B234" s="69">
        <v>43814.0</v>
      </c>
      <c r="S234" s="15"/>
    </row>
    <row r="235">
      <c r="A235" s="67" t="str">
        <f t="shared" si="1"/>
        <v>Mon</v>
      </c>
      <c r="B235" s="69">
        <v>43815.0</v>
      </c>
      <c r="S235" s="15"/>
    </row>
    <row r="236">
      <c r="A236" s="67" t="str">
        <f t="shared" si="1"/>
        <v>Tue</v>
      </c>
      <c r="B236" s="69">
        <v>43816.0</v>
      </c>
      <c r="S236" s="15"/>
    </row>
    <row r="237">
      <c r="A237" s="67" t="str">
        <f t="shared" si="1"/>
        <v>Wed</v>
      </c>
      <c r="B237" s="69">
        <v>43817.0</v>
      </c>
      <c r="S237" s="15"/>
    </row>
    <row r="238">
      <c r="A238" s="67" t="str">
        <f t="shared" si="1"/>
        <v>Thu</v>
      </c>
      <c r="B238" s="69">
        <v>43818.0</v>
      </c>
      <c r="S238" s="15"/>
    </row>
    <row r="239">
      <c r="A239" s="67" t="str">
        <f t="shared" si="1"/>
        <v>Fri</v>
      </c>
      <c r="B239" s="69">
        <v>43819.0</v>
      </c>
      <c r="S239" s="15"/>
    </row>
    <row r="240">
      <c r="A240" s="67" t="str">
        <f t="shared" si="1"/>
        <v>Sat</v>
      </c>
      <c r="B240" s="69">
        <v>43820.0</v>
      </c>
      <c r="S240" s="15"/>
    </row>
    <row r="241">
      <c r="A241" s="67" t="str">
        <f t="shared" si="1"/>
        <v>Sun</v>
      </c>
      <c r="B241" s="69">
        <v>43821.0</v>
      </c>
      <c r="S241" s="15"/>
    </row>
    <row r="242">
      <c r="A242" s="67" t="str">
        <f t="shared" si="1"/>
        <v>Mon</v>
      </c>
      <c r="B242" s="69">
        <v>43822.0</v>
      </c>
      <c r="S242" s="15"/>
    </row>
    <row r="243">
      <c r="A243" s="67" t="str">
        <f t="shared" si="1"/>
        <v>Tue</v>
      </c>
      <c r="B243" s="69">
        <v>43823.0</v>
      </c>
      <c r="S243" s="15"/>
    </row>
    <row r="244">
      <c r="A244" s="67" t="str">
        <f t="shared" si="1"/>
        <v>Wed</v>
      </c>
      <c r="B244" s="69">
        <v>43824.0</v>
      </c>
      <c r="S244" s="15"/>
    </row>
    <row r="245">
      <c r="A245" s="67" t="str">
        <f t="shared" si="1"/>
        <v>Thu</v>
      </c>
      <c r="B245" s="69">
        <v>43825.0</v>
      </c>
      <c r="S245" s="15"/>
    </row>
    <row r="246">
      <c r="A246" s="67" t="str">
        <f t="shared" si="1"/>
        <v>Fri</v>
      </c>
      <c r="B246" s="69">
        <v>43826.0</v>
      </c>
      <c r="S246" s="15"/>
    </row>
    <row r="247">
      <c r="A247" s="67" t="str">
        <f t="shared" si="1"/>
        <v>Sat</v>
      </c>
      <c r="B247" s="69">
        <v>43827.0</v>
      </c>
      <c r="S247" s="15"/>
    </row>
    <row r="248">
      <c r="A248" s="67" t="str">
        <f t="shared" si="1"/>
        <v>Sun</v>
      </c>
      <c r="B248" s="69">
        <v>43828.0</v>
      </c>
      <c r="S248" s="15"/>
    </row>
    <row r="249">
      <c r="A249" s="67" t="str">
        <f t="shared" si="1"/>
        <v>Mon</v>
      </c>
      <c r="B249" s="69">
        <v>43829.0</v>
      </c>
      <c r="S249" s="15"/>
    </row>
    <row r="250">
      <c r="A250" s="67" t="str">
        <f t="shared" si="1"/>
        <v>Tue</v>
      </c>
      <c r="B250" s="69">
        <v>43830.0</v>
      </c>
      <c r="S250" s="15"/>
    </row>
  </sheetData>
  <mergeCells count="5">
    <mergeCell ref="E1:F1"/>
    <mergeCell ref="E2:F2"/>
    <mergeCell ref="E3:F3"/>
    <mergeCell ref="A1:C3"/>
    <mergeCell ref="G1:S3"/>
  </mergeCells>
  <conditionalFormatting sqref="K120:L125">
    <cfRule type="cellIs" dxfId="0" priority="1" operator="equal">
      <formula>"Enviar email para hotel"</formula>
    </cfRule>
  </conditionalFormatting>
  <conditionalFormatting sqref="K4:L112 K117:L118 K126:L250">
    <cfRule type="cellIs" dxfId="0" priority="2" operator="equal">
      <formula>"Enviar email para hotel"</formula>
    </cfRule>
  </conditionalFormatting>
  <dataValidations>
    <dataValidation type="list" allowBlank="1" sqref="L6:L112 L117:L250">
      <formula1>"Enviar email para hotel,Enviado para o hotel,Código de reserva enviado para hóspede,Verificar dados com o hóspede,URGENTE,Fechado"</formula1>
    </dataValidation>
    <dataValidation type="list" allowBlank="1" sqref="K6:K112 K117:K250">
      <formula1>"A PAGAR,PARCIALMENTE PAGO,PAGO"</formula1>
    </dataValidation>
  </dataValidations>
  <hyperlinks>
    <hyperlink display="Sumario" location="Sumario!A1" ref="A4"/>
  </hyperlinks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13.57"/>
    <col customWidth="1" min="4" max="4" width="17.0"/>
    <col customWidth="1" min="6" max="6" width="20.29"/>
    <col customWidth="1" min="7" max="7" width="18.0"/>
    <col customWidth="1" min="8" max="8" width="17.71"/>
  </cols>
  <sheetData>
    <row r="1">
      <c r="A1" s="1"/>
      <c r="B1" s="2"/>
      <c r="C1" s="3"/>
      <c r="D1" s="11" t="s">
        <v>198</v>
      </c>
      <c r="E1" s="153" t="s">
        <v>199</v>
      </c>
      <c r="F1" s="3"/>
      <c r="G1" s="154" t="s">
        <v>287</v>
      </c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155"/>
      <c r="T1" s="155"/>
    </row>
    <row r="2">
      <c r="A2" s="13"/>
      <c r="C2" s="15"/>
      <c r="D2" s="9" t="s">
        <v>201</v>
      </c>
      <c r="E2" s="156">
        <v>1211.0</v>
      </c>
      <c r="F2" s="15"/>
      <c r="R2" s="15"/>
      <c r="S2" s="155"/>
      <c r="T2" s="155"/>
    </row>
    <row r="3">
      <c r="A3" s="17"/>
      <c r="B3" s="19"/>
      <c r="C3" s="21"/>
      <c r="D3" s="26" t="s">
        <v>202</v>
      </c>
      <c r="E3" s="157" t="s">
        <v>71</v>
      </c>
      <c r="F3" s="21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21"/>
      <c r="S3" s="155"/>
      <c r="T3" s="155"/>
    </row>
    <row r="4">
      <c r="A4" s="158" t="s">
        <v>203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N4" s="30"/>
      <c r="O4" s="30"/>
      <c r="P4" s="30"/>
      <c r="Q4" s="30"/>
      <c r="R4" s="30"/>
      <c r="S4" s="30"/>
      <c r="T4" s="30"/>
      <c r="U4" s="30"/>
      <c r="V4" s="30"/>
    </row>
    <row r="5">
      <c r="A5" s="42" t="s">
        <v>204</v>
      </c>
      <c r="B5" s="45" t="s">
        <v>33</v>
      </c>
      <c r="C5" s="45" t="s">
        <v>205</v>
      </c>
      <c r="D5" s="45" t="s">
        <v>206</v>
      </c>
      <c r="E5" s="45" t="s">
        <v>207</v>
      </c>
      <c r="F5" s="45" t="s">
        <v>208</v>
      </c>
      <c r="G5" s="45" t="s">
        <v>209</v>
      </c>
      <c r="H5" s="45" t="s">
        <v>210</v>
      </c>
      <c r="I5" s="45" t="s">
        <v>211</v>
      </c>
      <c r="J5" s="45" t="s">
        <v>212</v>
      </c>
      <c r="K5" s="45" t="s">
        <v>213</v>
      </c>
      <c r="L5" s="45" t="s">
        <v>214</v>
      </c>
      <c r="M5" s="45" t="s">
        <v>215</v>
      </c>
      <c r="N5" s="45" t="s">
        <v>216</v>
      </c>
      <c r="O5" s="45" t="s">
        <v>217</v>
      </c>
      <c r="P5" s="45" t="s">
        <v>218</v>
      </c>
      <c r="Q5" s="45" t="s">
        <v>219</v>
      </c>
      <c r="R5" s="160" t="s">
        <v>220</v>
      </c>
      <c r="S5" s="160" t="s">
        <v>221</v>
      </c>
      <c r="T5" s="160"/>
    </row>
    <row r="6" hidden="1">
      <c r="A6" s="67" t="str">
        <f t="shared" ref="A6:A401" si="1">CHOOSE(weekday(B6),"Sun","Mon","Tue","Wed","Thu","Fri","Sat")</f>
        <v>Sat</v>
      </c>
      <c r="B6" s="69">
        <v>43435.0</v>
      </c>
      <c r="M6" s="166"/>
      <c r="N6" s="166"/>
      <c r="O6" s="166"/>
      <c r="P6" s="166"/>
      <c r="Q6" s="166"/>
      <c r="R6" s="166"/>
      <c r="S6" s="166"/>
      <c r="T6" s="166"/>
    </row>
    <row r="7" hidden="1">
      <c r="A7" s="67" t="str">
        <f t="shared" si="1"/>
        <v>Sun</v>
      </c>
      <c r="B7" s="69">
        <v>43436.0</v>
      </c>
    </row>
    <row r="8" hidden="1">
      <c r="A8" s="67" t="str">
        <f t="shared" si="1"/>
        <v>Mon</v>
      </c>
      <c r="B8" s="69">
        <v>43437.0</v>
      </c>
      <c r="M8" s="166"/>
      <c r="N8" s="166"/>
      <c r="O8" s="166"/>
      <c r="P8" s="166"/>
      <c r="Q8" s="166"/>
      <c r="R8" s="166"/>
      <c r="S8" s="166"/>
      <c r="T8" s="166"/>
    </row>
    <row r="9" hidden="1">
      <c r="A9" s="67" t="str">
        <f t="shared" si="1"/>
        <v>Tue</v>
      </c>
      <c r="B9" s="69">
        <v>43438.0</v>
      </c>
    </row>
    <row r="10" hidden="1">
      <c r="A10" s="67" t="str">
        <f t="shared" si="1"/>
        <v>Wed</v>
      </c>
      <c r="B10" s="69">
        <v>43439.0</v>
      </c>
    </row>
    <row r="11" hidden="1">
      <c r="A11" s="67" t="str">
        <f t="shared" si="1"/>
        <v>Thu</v>
      </c>
      <c r="B11" s="69">
        <v>43440.0</v>
      </c>
    </row>
    <row r="12" hidden="1">
      <c r="A12" s="67" t="str">
        <f t="shared" si="1"/>
        <v>Fri</v>
      </c>
      <c r="B12" s="69">
        <v>43441.0</v>
      </c>
    </row>
    <row r="13" hidden="1">
      <c r="A13" s="67" t="str">
        <f t="shared" si="1"/>
        <v>Sat</v>
      </c>
      <c r="B13" s="69">
        <v>43442.0</v>
      </c>
    </row>
    <row r="14" hidden="1">
      <c r="A14" s="67" t="str">
        <f t="shared" si="1"/>
        <v>Sun</v>
      </c>
      <c r="B14" s="69">
        <v>43443.0</v>
      </c>
    </row>
    <row r="15" hidden="1">
      <c r="A15" s="67" t="str">
        <f t="shared" si="1"/>
        <v>Mon</v>
      </c>
      <c r="B15" s="69">
        <v>43444.0</v>
      </c>
    </row>
    <row r="16" hidden="1">
      <c r="A16" s="67" t="str">
        <f t="shared" si="1"/>
        <v>Tue</v>
      </c>
      <c r="B16" s="69">
        <v>43445.0</v>
      </c>
    </row>
    <row r="17" hidden="1">
      <c r="A17" s="67" t="str">
        <f t="shared" si="1"/>
        <v>Wed</v>
      </c>
      <c r="B17" s="69">
        <v>43446.0</v>
      </c>
    </row>
    <row r="18" hidden="1">
      <c r="A18" s="67" t="str">
        <f t="shared" si="1"/>
        <v>Thu</v>
      </c>
      <c r="B18" s="69">
        <v>43447.0</v>
      </c>
    </row>
    <row r="19" hidden="1">
      <c r="A19" s="67" t="str">
        <f t="shared" si="1"/>
        <v>Fri</v>
      </c>
      <c r="B19" s="69">
        <v>43448.0</v>
      </c>
    </row>
    <row r="20" hidden="1">
      <c r="A20" s="67" t="str">
        <f t="shared" si="1"/>
        <v>Sat</v>
      </c>
      <c r="B20" s="69">
        <v>43449.0</v>
      </c>
    </row>
    <row r="21" hidden="1">
      <c r="A21" s="67" t="str">
        <f t="shared" si="1"/>
        <v>Sun</v>
      </c>
      <c r="B21" s="69">
        <v>43450.0</v>
      </c>
      <c r="M21" s="166"/>
      <c r="N21" s="166"/>
      <c r="O21" s="166"/>
      <c r="P21" s="166"/>
      <c r="Q21" s="166"/>
      <c r="R21" s="166"/>
      <c r="S21" s="166"/>
      <c r="T21" s="166"/>
    </row>
    <row r="22" hidden="1">
      <c r="A22" s="67" t="str">
        <f t="shared" si="1"/>
        <v>Mon</v>
      </c>
      <c r="B22" s="69">
        <v>43451.0</v>
      </c>
    </row>
    <row r="23" hidden="1">
      <c r="A23" s="67" t="str">
        <f t="shared" si="1"/>
        <v>Tue</v>
      </c>
      <c r="B23" s="69">
        <v>43452.0</v>
      </c>
    </row>
    <row r="24" hidden="1">
      <c r="A24" s="67" t="str">
        <f t="shared" si="1"/>
        <v>Wed</v>
      </c>
      <c r="B24" s="69">
        <v>43453.0</v>
      </c>
      <c r="D24" s="161">
        <v>261.9</v>
      </c>
      <c r="E24" s="4" t="s">
        <v>222</v>
      </c>
      <c r="F24" s="4" t="s">
        <v>291</v>
      </c>
      <c r="G24" s="4" t="s">
        <v>291</v>
      </c>
      <c r="I24" s="4" t="s">
        <v>292</v>
      </c>
      <c r="K24" s="4"/>
      <c r="L24" s="4" t="s">
        <v>293</v>
      </c>
      <c r="M24" s="4" t="s">
        <v>226</v>
      </c>
    </row>
    <row r="25" hidden="1">
      <c r="A25" s="67" t="str">
        <f t="shared" si="1"/>
        <v>Thu</v>
      </c>
      <c r="B25" s="69">
        <v>43454.0</v>
      </c>
      <c r="D25" s="161">
        <v>582.36375</v>
      </c>
      <c r="E25" s="4" t="s">
        <v>222</v>
      </c>
      <c r="F25" s="4" t="s">
        <v>294</v>
      </c>
      <c r="G25" s="4" t="s">
        <v>294</v>
      </c>
      <c r="H25" s="4" t="s">
        <v>291</v>
      </c>
      <c r="I25" s="4" t="s">
        <v>292</v>
      </c>
      <c r="K25" s="4"/>
      <c r="L25" s="4" t="s">
        <v>293</v>
      </c>
      <c r="M25" s="4" t="s">
        <v>226</v>
      </c>
      <c r="N25" s="4" t="s">
        <v>232</v>
      </c>
      <c r="O25" s="4" t="s">
        <v>264</v>
      </c>
    </row>
    <row r="26" hidden="1">
      <c r="A26" s="67" t="str">
        <f t="shared" si="1"/>
        <v>Fri</v>
      </c>
      <c r="B26" s="69">
        <v>43455.0</v>
      </c>
      <c r="D26" s="161">
        <v>582.36375</v>
      </c>
      <c r="E26" s="4" t="s">
        <v>222</v>
      </c>
      <c r="F26" s="4" t="s">
        <v>294</v>
      </c>
      <c r="I26" s="4" t="s">
        <v>292</v>
      </c>
    </row>
    <row r="27" hidden="1">
      <c r="A27" s="67" t="str">
        <f t="shared" si="1"/>
        <v>Sat</v>
      </c>
      <c r="B27" s="69">
        <v>43456.0</v>
      </c>
      <c r="D27" s="161">
        <v>582.36375</v>
      </c>
      <c r="E27" s="4" t="s">
        <v>222</v>
      </c>
      <c r="F27" s="4" t="s">
        <v>294</v>
      </c>
      <c r="I27" s="4" t="s">
        <v>292</v>
      </c>
    </row>
    <row r="28" hidden="1">
      <c r="A28" s="67" t="str">
        <f t="shared" si="1"/>
        <v>Sun</v>
      </c>
      <c r="B28" s="69">
        <v>43457.0</v>
      </c>
      <c r="D28" s="161">
        <v>582.36375</v>
      </c>
      <c r="E28" s="4" t="s">
        <v>222</v>
      </c>
      <c r="F28" s="4" t="s">
        <v>294</v>
      </c>
      <c r="I28" s="4" t="s">
        <v>292</v>
      </c>
    </row>
    <row r="29" hidden="1">
      <c r="A29" s="67" t="str">
        <f t="shared" si="1"/>
        <v>Mon</v>
      </c>
      <c r="B29" s="69">
        <v>43458.0</v>
      </c>
      <c r="D29" s="161">
        <v>582.36375</v>
      </c>
      <c r="E29" s="4" t="s">
        <v>222</v>
      </c>
      <c r="F29" s="4" t="s">
        <v>294</v>
      </c>
      <c r="I29" s="4" t="s">
        <v>292</v>
      </c>
    </row>
    <row r="30" hidden="1">
      <c r="A30" s="67" t="str">
        <f t="shared" si="1"/>
        <v>Tue</v>
      </c>
      <c r="B30" s="69">
        <v>43459.0</v>
      </c>
      <c r="D30" s="161">
        <v>582.36375</v>
      </c>
      <c r="E30" s="4" t="s">
        <v>222</v>
      </c>
      <c r="F30" s="4" t="s">
        <v>294</v>
      </c>
      <c r="I30" s="4" t="s">
        <v>292</v>
      </c>
    </row>
    <row r="31" hidden="1">
      <c r="A31" s="67" t="str">
        <f t="shared" si="1"/>
        <v>Wed</v>
      </c>
      <c r="B31" s="69">
        <v>43460.0</v>
      </c>
      <c r="D31" s="161">
        <v>582.36375</v>
      </c>
      <c r="E31" s="4" t="s">
        <v>222</v>
      </c>
      <c r="F31" s="4" t="s">
        <v>294</v>
      </c>
      <c r="I31" s="4" t="s">
        <v>292</v>
      </c>
    </row>
    <row r="32" hidden="1">
      <c r="A32" s="67" t="str">
        <f t="shared" si="1"/>
        <v>Thu</v>
      </c>
      <c r="B32" s="69">
        <v>43461.0</v>
      </c>
      <c r="D32" s="161">
        <v>582.36375</v>
      </c>
      <c r="E32" s="4" t="s">
        <v>222</v>
      </c>
      <c r="F32" s="4" t="s">
        <v>294</v>
      </c>
      <c r="I32" s="4" t="s">
        <v>292</v>
      </c>
    </row>
    <row r="33" hidden="1">
      <c r="A33" s="67" t="str">
        <f t="shared" si="1"/>
        <v>Fri</v>
      </c>
      <c r="B33" s="69">
        <v>43462.0</v>
      </c>
      <c r="D33" s="4">
        <v>582.0</v>
      </c>
      <c r="E33" s="4" t="s">
        <v>222</v>
      </c>
      <c r="F33" s="4" t="s">
        <v>298</v>
      </c>
      <c r="G33" s="4" t="s">
        <v>298</v>
      </c>
      <c r="H33" s="4" t="s">
        <v>294</v>
      </c>
      <c r="I33" s="4" t="s">
        <v>292</v>
      </c>
      <c r="K33" s="4"/>
      <c r="L33" s="4" t="s">
        <v>293</v>
      </c>
      <c r="M33" s="4" t="s">
        <v>299</v>
      </c>
      <c r="N33" s="4" t="s">
        <v>300</v>
      </c>
      <c r="O33" s="4" t="s">
        <v>301</v>
      </c>
    </row>
    <row r="34" hidden="1">
      <c r="A34" s="67" t="str">
        <f t="shared" si="1"/>
        <v>Sat</v>
      </c>
      <c r="B34" s="69">
        <v>43463.0</v>
      </c>
      <c r="D34" s="161">
        <v>582.0</v>
      </c>
      <c r="E34" s="4" t="s">
        <v>222</v>
      </c>
      <c r="F34" s="4" t="s">
        <v>302</v>
      </c>
      <c r="G34" s="4" t="s">
        <v>302</v>
      </c>
      <c r="H34" s="4" t="s">
        <v>298</v>
      </c>
      <c r="I34" s="4" t="s">
        <v>292</v>
      </c>
      <c r="K34" s="4"/>
      <c r="L34" s="4" t="s">
        <v>293</v>
      </c>
      <c r="M34" s="4" t="s">
        <v>303</v>
      </c>
      <c r="N34" s="4" t="s">
        <v>304</v>
      </c>
      <c r="O34" s="4" t="s">
        <v>305</v>
      </c>
      <c r="Q34" s="4" t="s">
        <v>306</v>
      </c>
      <c r="R34" s="4" t="s">
        <v>307</v>
      </c>
      <c r="S34" s="4"/>
      <c r="T34" s="4"/>
    </row>
    <row r="35" hidden="1">
      <c r="A35" s="67" t="str">
        <f t="shared" si="1"/>
        <v>Sun</v>
      </c>
      <c r="B35" s="69">
        <v>43464.0</v>
      </c>
      <c r="D35" s="161">
        <v>1293.3333333333333</v>
      </c>
      <c r="E35" s="4" t="s">
        <v>222</v>
      </c>
      <c r="F35" s="4" t="s">
        <v>308</v>
      </c>
      <c r="G35" s="4" t="s">
        <v>308</v>
      </c>
      <c r="H35" s="4" t="s">
        <v>302</v>
      </c>
      <c r="I35" s="4" t="s">
        <v>292</v>
      </c>
      <c r="K35" s="4"/>
      <c r="L35" s="4" t="s">
        <v>225</v>
      </c>
      <c r="M35" s="4" t="s">
        <v>309</v>
      </c>
      <c r="N35" s="4" t="s">
        <v>310</v>
      </c>
      <c r="O35" s="4" t="s">
        <v>310</v>
      </c>
      <c r="Q35" s="4" t="s">
        <v>311</v>
      </c>
      <c r="R35" s="167" t="s">
        <v>312</v>
      </c>
      <c r="S35" s="4"/>
      <c r="T35" s="4"/>
    </row>
    <row r="36" hidden="1">
      <c r="A36" s="67" t="str">
        <f t="shared" si="1"/>
        <v>Mon</v>
      </c>
      <c r="B36" s="69">
        <v>43465.0</v>
      </c>
      <c r="D36" s="161">
        <v>1293.3333333333333</v>
      </c>
      <c r="E36" s="4" t="s">
        <v>222</v>
      </c>
      <c r="F36" s="4" t="s">
        <v>308</v>
      </c>
      <c r="I36" s="4" t="s">
        <v>292</v>
      </c>
    </row>
    <row r="37" hidden="1">
      <c r="A37" s="67" t="str">
        <f t="shared" si="1"/>
        <v>Tue</v>
      </c>
      <c r="B37" s="69">
        <v>43466.0</v>
      </c>
      <c r="D37" s="161">
        <v>1293.3333333333333</v>
      </c>
      <c r="E37" s="4" t="s">
        <v>222</v>
      </c>
      <c r="F37" s="4" t="s">
        <v>308</v>
      </c>
      <c r="I37" s="4" t="s">
        <v>292</v>
      </c>
    </row>
    <row r="38" hidden="1">
      <c r="A38" s="67" t="str">
        <f t="shared" si="1"/>
        <v>Wed</v>
      </c>
      <c r="B38" s="69">
        <v>43467.0</v>
      </c>
      <c r="D38" s="161">
        <v>1293.3333333333333</v>
      </c>
      <c r="E38" s="4" t="s">
        <v>222</v>
      </c>
      <c r="F38" s="4" t="s">
        <v>308</v>
      </c>
      <c r="I38" s="4" t="s">
        <v>292</v>
      </c>
    </row>
    <row r="39" hidden="1">
      <c r="A39" s="67" t="str">
        <f t="shared" si="1"/>
        <v>Thu</v>
      </c>
      <c r="B39" s="69">
        <v>43468.0</v>
      </c>
      <c r="D39" s="161">
        <v>1293.3333333333333</v>
      </c>
      <c r="E39" s="4" t="s">
        <v>222</v>
      </c>
      <c r="F39" s="4" t="s">
        <v>308</v>
      </c>
      <c r="I39" s="4" t="s">
        <v>292</v>
      </c>
    </row>
    <row r="40" hidden="1">
      <c r="A40" s="67" t="str">
        <f t="shared" si="1"/>
        <v>Fri</v>
      </c>
      <c r="B40" s="69">
        <v>43469.0</v>
      </c>
      <c r="D40" s="161">
        <v>1293.3333333333333</v>
      </c>
      <c r="E40" s="4" t="s">
        <v>222</v>
      </c>
      <c r="F40" s="4" t="s">
        <v>308</v>
      </c>
      <c r="I40" s="4" t="s">
        <v>292</v>
      </c>
    </row>
    <row r="41" hidden="1">
      <c r="A41" s="67" t="str">
        <f t="shared" si="1"/>
        <v>Sat</v>
      </c>
      <c r="B41" s="69">
        <v>43470.0</v>
      </c>
      <c r="D41" s="161">
        <v>802.87</v>
      </c>
      <c r="E41" s="4" t="s">
        <v>222</v>
      </c>
      <c r="F41" s="4" t="s">
        <v>317</v>
      </c>
      <c r="G41" s="4" t="s">
        <v>317</v>
      </c>
      <c r="H41" s="4" t="s">
        <v>308</v>
      </c>
      <c r="I41" s="4" t="s">
        <v>292</v>
      </c>
      <c r="K41" s="4"/>
      <c r="L41" s="4" t="s">
        <v>293</v>
      </c>
      <c r="M41" s="4" t="s">
        <v>318</v>
      </c>
      <c r="N41" s="4" t="s">
        <v>319</v>
      </c>
      <c r="O41" s="4" t="s">
        <v>310</v>
      </c>
      <c r="Q41" s="4" t="s">
        <v>320</v>
      </c>
      <c r="R41" s="167" t="s">
        <v>321</v>
      </c>
      <c r="S41" s="4"/>
      <c r="T41" s="4"/>
    </row>
    <row r="42" hidden="1">
      <c r="A42" s="67" t="str">
        <f t="shared" si="1"/>
        <v>Sun</v>
      </c>
      <c r="B42" s="69">
        <v>43471.0</v>
      </c>
      <c r="D42" s="161">
        <v>802.87</v>
      </c>
      <c r="E42" s="4" t="s">
        <v>222</v>
      </c>
      <c r="F42" s="4" t="s">
        <v>317</v>
      </c>
      <c r="I42" s="4" t="s">
        <v>292</v>
      </c>
    </row>
    <row r="43" hidden="1">
      <c r="A43" s="67" t="str">
        <f t="shared" si="1"/>
        <v>Mon</v>
      </c>
      <c r="B43" s="69">
        <v>43472.0</v>
      </c>
      <c r="D43" s="161">
        <v>635.35</v>
      </c>
      <c r="E43" s="4" t="s">
        <v>222</v>
      </c>
      <c r="F43" s="4" t="s">
        <v>325</v>
      </c>
      <c r="G43" s="4" t="s">
        <v>325</v>
      </c>
      <c r="H43" s="4" t="s">
        <v>317</v>
      </c>
      <c r="I43" s="4" t="s">
        <v>292</v>
      </c>
      <c r="K43" s="4"/>
      <c r="L43" s="4" t="s">
        <v>293</v>
      </c>
      <c r="M43" s="4" t="s">
        <v>226</v>
      </c>
      <c r="N43" s="4" t="s">
        <v>232</v>
      </c>
      <c r="O43" s="4" t="s">
        <v>264</v>
      </c>
    </row>
    <row r="44" hidden="1">
      <c r="A44" s="67" t="str">
        <f t="shared" si="1"/>
        <v>Tue</v>
      </c>
      <c r="B44" s="69">
        <v>43473.0</v>
      </c>
      <c r="D44" s="161">
        <v>635.35</v>
      </c>
      <c r="E44" s="4" t="s">
        <v>222</v>
      </c>
      <c r="F44" s="4" t="s">
        <v>325</v>
      </c>
      <c r="I44" s="4" t="s">
        <v>292</v>
      </c>
    </row>
    <row r="45" hidden="1">
      <c r="A45" s="67" t="str">
        <f t="shared" si="1"/>
        <v>Wed</v>
      </c>
      <c r="B45" s="69">
        <v>43474.0</v>
      </c>
      <c r="D45" s="161">
        <v>635.35</v>
      </c>
      <c r="E45" s="4" t="s">
        <v>222</v>
      </c>
      <c r="F45" s="4" t="s">
        <v>325</v>
      </c>
      <c r="I45" s="4" t="s">
        <v>292</v>
      </c>
    </row>
    <row r="46" hidden="1">
      <c r="A46" s="67" t="str">
        <f t="shared" si="1"/>
        <v>Thu</v>
      </c>
      <c r="B46" s="69">
        <v>43475.0</v>
      </c>
      <c r="D46" s="161">
        <v>635.35</v>
      </c>
      <c r="E46" s="4" t="s">
        <v>222</v>
      </c>
      <c r="F46" s="4" t="s">
        <v>325</v>
      </c>
      <c r="I46" s="4" t="s">
        <v>292</v>
      </c>
    </row>
    <row r="47" hidden="1">
      <c r="A47" s="67" t="str">
        <f t="shared" si="1"/>
        <v>Fri</v>
      </c>
      <c r="B47" s="69">
        <v>43476.0</v>
      </c>
      <c r="D47" s="161">
        <v>635.35</v>
      </c>
      <c r="E47" s="4" t="s">
        <v>222</v>
      </c>
      <c r="F47" s="4" t="s">
        <v>325</v>
      </c>
      <c r="I47" s="4" t="s">
        <v>292</v>
      </c>
    </row>
    <row r="48" hidden="1">
      <c r="A48" s="67" t="str">
        <f t="shared" si="1"/>
        <v>Sat</v>
      </c>
      <c r="B48" s="69">
        <v>43477.0</v>
      </c>
      <c r="D48" s="161">
        <v>635.35</v>
      </c>
      <c r="E48" s="4" t="s">
        <v>222</v>
      </c>
      <c r="F48" s="4" t="s">
        <v>325</v>
      </c>
      <c r="I48" s="4" t="s">
        <v>292</v>
      </c>
    </row>
    <row r="49" hidden="1">
      <c r="A49" s="67" t="str">
        <f t="shared" si="1"/>
        <v>Sun</v>
      </c>
      <c r="B49" s="69">
        <v>43478.0</v>
      </c>
      <c r="D49" s="161">
        <v>635.35</v>
      </c>
      <c r="E49" s="4" t="s">
        <v>222</v>
      </c>
      <c r="F49" s="4" t="s">
        <v>325</v>
      </c>
      <c r="I49" s="4" t="s">
        <v>292</v>
      </c>
    </row>
    <row r="50" hidden="1">
      <c r="A50" s="67" t="str">
        <f t="shared" si="1"/>
        <v>Mon</v>
      </c>
      <c r="B50" s="69">
        <v>43479.0</v>
      </c>
      <c r="D50" s="161">
        <v>635.35</v>
      </c>
      <c r="E50" s="4" t="s">
        <v>222</v>
      </c>
      <c r="F50" s="4" t="s">
        <v>325</v>
      </c>
      <c r="I50" s="4" t="s">
        <v>292</v>
      </c>
    </row>
    <row r="51" hidden="1">
      <c r="A51" s="67" t="str">
        <f t="shared" si="1"/>
        <v>Tue</v>
      </c>
      <c r="B51" s="69">
        <v>43480.0</v>
      </c>
      <c r="D51" s="161">
        <v>451.05</v>
      </c>
      <c r="E51" s="4" t="s">
        <v>222</v>
      </c>
      <c r="F51" s="4" t="s">
        <v>328</v>
      </c>
      <c r="G51" s="4" t="s">
        <v>328</v>
      </c>
      <c r="H51" s="4" t="s">
        <v>325</v>
      </c>
      <c r="I51" s="4" t="s">
        <v>292</v>
      </c>
      <c r="K51" s="4"/>
      <c r="L51" s="4" t="s">
        <v>293</v>
      </c>
      <c r="M51" s="4" t="s">
        <v>329</v>
      </c>
      <c r="N51" s="4" t="s">
        <v>330</v>
      </c>
      <c r="O51" s="4" t="s">
        <v>331</v>
      </c>
      <c r="Q51" s="4" t="s">
        <v>332</v>
      </c>
      <c r="R51" s="167" t="s">
        <v>333</v>
      </c>
      <c r="S51" s="4"/>
      <c r="T51" s="4"/>
    </row>
    <row r="52" hidden="1">
      <c r="A52" s="67" t="str">
        <f t="shared" si="1"/>
        <v>Wed</v>
      </c>
      <c r="B52" s="69">
        <v>43481.0</v>
      </c>
      <c r="D52" s="161">
        <v>451.05</v>
      </c>
      <c r="E52" s="4" t="s">
        <v>222</v>
      </c>
      <c r="F52" s="4" t="s">
        <v>328</v>
      </c>
      <c r="I52" s="4" t="s">
        <v>292</v>
      </c>
    </row>
    <row r="53" hidden="1">
      <c r="A53" s="67" t="str">
        <f t="shared" si="1"/>
        <v>Thu</v>
      </c>
      <c r="B53" s="69">
        <v>43482.0</v>
      </c>
      <c r="D53" s="161">
        <v>711.3333333333334</v>
      </c>
      <c r="E53" s="4" t="s">
        <v>222</v>
      </c>
      <c r="F53" s="4" t="s">
        <v>334</v>
      </c>
      <c r="G53" s="4" t="s">
        <v>334</v>
      </c>
      <c r="H53" s="4" t="s">
        <v>328</v>
      </c>
      <c r="I53" s="4" t="s">
        <v>292</v>
      </c>
      <c r="K53" s="4"/>
      <c r="L53" s="4" t="s">
        <v>293</v>
      </c>
      <c r="M53" s="4" t="s">
        <v>226</v>
      </c>
      <c r="N53" s="4" t="s">
        <v>232</v>
      </c>
      <c r="O53" s="4" t="s">
        <v>264</v>
      </c>
    </row>
    <row r="54" hidden="1">
      <c r="A54" s="67" t="str">
        <f t="shared" si="1"/>
        <v>Fri</v>
      </c>
      <c r="B54" s="69">
        <v>43483.0</v>
      </c>
      <c r="D54" s="161">
        <v>711.3333333333334</v>
      </c>
      <c r="E54" s="4" t="s">
        <v>222</v>
      </c>
      <c r="F54" s="4" t="s">
        <v>334</v>
      </c>
      <c r="I54" s="4" t="s">
        <v>292</v>
      </c>
    </row>
    <row r="55" hidden="1">
      <c r="A55" s="67" t="str">
        <f t="shared" si="1"/>
        <v>Sat</v>
      </c>
      <c r="B55" s="69">
        <v>43484.0</v>
      </c>
      <c r="D55" s="161">
        <v>711.3333333333334</v>
      </c>
      <c r="E55" s="4" t="s">
        <v>222</v>
      </c>
      <c r="F55" s="4" t="s">
        <v>334</v>
      </c>
      <c r="I55" s="4" t="s">
        <v>292</v>
      </c>
    </row>
    <row r="56" hidden="1">
      <c r="A56" s="67" t="str">
        <f t="shared" si="1"/>
        <v>Sun</v>
      </c>
      <c r="B56" s="69">
        <v>43485.0</v>
      </c>
      <c r="D56" s="161">
        <v>512.1600000000001</v>
      </c>
      <c r="E56" s="4" t="s">
        <v>222</v>
      </c>
      <c r="F56" s="4" t="s">
        <v>335</v>
      </c>
      <c r="G56" s="4" t="s">
        <v>335</v>
      </c>
      <c r="H56" s="4" t="s">
        <v>334</v>
      </c>
      <c r="I56" s="4" t="s">
        <v>292</v>
      </c>
      <c r="K56" s="4"/>
      <c r="L56" s="4" t="s">
        <v>225</v>
      </c>
      <c r="M56" s="4" t="s">
        <v>226</v>
      </c>
      <c r="N56" s="4" t="s">
        <v>232</v>
      </c>
      <c r="O56" s="4" t="s">
        <v>264</v>
      </c>
    </row>
    <row r="57" hidden="1">
      <c r="A57" s="67" t="str">
        <f t="shared" si="1"/>
        <v>Mon</v>
      </c>
      <c r="B57" s="69">
        <v>43486.0</v>
      </c>
      <c r="D57" s="161">
        <v>512.1600000000001</v>
      </c>
      <c r="E57" s="4" t="s">
        <v>222</v>
      </c>
      <c r="F57" s="4" t="s">
        <v>335</v>
      </c>
      <c r="I57" s="4" t="s">
        <v>292</v>
      </c>
    </row>
    <row r="58" hidden="1">
      <c r="A58" s="67" t="str">
        <f t="shared" si="1"/>
        <v>Tue</v>
      </c>
      <c r="B58" s="69">
        <v>43487.0</v>
      </c>
      <c r="D58" s="161">
        <v>512.1600000000001</v>
      </c>
      <c r="E58" s="4" t="s">
        <v>222</v>
      </c>
      <c r="F58" s="4" t="s">
        <v>335</v>
      </c>
      <c r="I58" s="4" t="s">
        <v>292</v>
      </c>
    </row>
    <row r="59" hidden="1">
      <c r="A59" s="67" t="str">
        <f t="shared" si="1"/>
        <v>Wed</v>
      </c>
      <c r="B59" s="69">
        <v>43488.0</v>
      </c>
      <c r="D59" s="161">
        <v>512.1600000000001</v>
      </c>
      <c r="E59" s="4" t="s">
        <v>222</v>
      </c>
      <c r="F59" s="4" t="s">
        <v>335</v>
      </c>
      <c r="I59" s="4" t="s">
        <v>292</v>
      </c>
    </row>
    <row r="60" hidden="1">
      <c r="A60" s="67" t="str">
        <f t="shared" si="1"/>
        <v>Thu</v>
      </c>
      <c r="B60" s="69">
        <v>43489.0</v>
      </c>
      <c r="D60" s="161">
        <v>512.1600000000001</v>
      </c>
      <c r="E60" s="4" t="s">
        <v>222</v>
      </c>
      <c r="F60" s="4" t="s">
        <v>335</v>
      </c>
      <c r="I60" s="4" t="s">
        <v>292</v>
      </c>
    </row>
    <row r="61" hidden="1">
      <c r="A61" s="67" t="str">
        <f t="shared" si="1"/>
        <v>Fri</v>
      </c>
      <c r="B61" s="69">
        <v>43490.0</v>
      </c>
      <c r="D61" s="161">
        <v>512.1600000000001</v>
      </c>
      <c r="E61" s="4" t="s">
        <v>222</v>
      </c>
      <c r="F61" s="4" t="s">
        <v>335</v>
      </c>
      <c r="I61" s="4" t="s">
        <v>292</v>
      </c>
    </row>
    <row r="62" hidden="1">
      <c r="A62" s="67" t="str">
        <f t="shared" si="1"/>
        <v>Sat</v>
      </c>
      <c r="B62" s="69">
        <v>43491.0</v>
      </c>
      <c r="D62" s="161">
        <v>512.1600000000001</v>
      </c>
      <c r="E62" s="4" t="s">
        <v>222</v>
      </c>
      <c r="F62" s="4" t="s">
        <v>335</v>
      </c>
      <c r="I62" s="4" t="s">
        <v>292</v>
      </c>
    </row>
    <row r="63" hidden="1">
      <c r="A63" s="67" t="str">
        <f t="shared" si="1"/>
        <v>Sun</v>
      </c>
      <c r="B63" s="69">
        <v>43492.0</v>
      </c>
      <c r="D63" s="161">
        <v>512.1600000000001</v>
      </c>
      <c r="E63" s="4" t="s">
        <v>222</v>
      </c>
      <c r="F63" s="4" t="s">
        <v>335</v>
      </c>
      <c r="I63" s="4" t="s">
        <v>292</v>
      </c>
    </row>
    <row r="64" hidden="1">
      <c r="A64" s="67" t="str">
        <f t="shared" si="1"/>
        <v>Mon</v>
      </c>
      <c r="B64" s="69">
        <v>43493.0</v>
      </c>
      <c r="D64" s="161">
        <v>512.1600000000001</v>
      </c>
      <c r="E64" s="4" t="s">
        <v>222</v>
      </c>
      <c r="F64" s="4" t="s">
        <v>335</v>
      </c>
      <c r="I64" s="4" t="s">
        <v>292</v>
      </c>
    </row>
    <row r="65" hidden="1">
      <c r="A65" s="67" t="str">
        <f t="shared" si="1"/>
        <v>Tue</v>
      </c>
      <c r="B65" s="69">
        <v>43494.0</v>
      </c>
      <c r="D65" s="161">
        <v>512.1600000000001</v>
      </c>
      <c r="E65" s="4" t="s">
        <v>222</v>
      </c>
      <c r="F65" s="4" t="s">
        <v>335</v>
      </c>
      <c r="I65" s="4" t="s">
        <v>292</v>
      </c>
    </row>
    <row r="66" hidden="1">
      <c r="A66" s="67" t="str">
        <f t="shared" si="1"/>
        <v>Wed</v>
      </c>
      <c r="B66" s="69">
        <v>43495.0</v>
      </c>
      <c r="D66" s="161">
        <v>516.2555555555556</v>
      </c>
      <c r="E66" s="4" t="s">
        <v>222</v>
      </c>
      <c r="F66" s="4" t="s">
        <v>336</v>
      </c>
      <c r="G66" s="4" t="s">
        <v>336</v>
      </c>
      <c r="H66" s="4" t="s">
        <v>335</v>
      </c>
      <c r="I66" s="4" t="s">
        <v>292</v>
      </c>
      <c r="K66" s="4"/>
      <c r="L66" s="4" t="s">
        <v>225</v>
      </c>
      <c r="M66" s="4" t="s">
        <v>226</v>
      </c>
      <c r="N66" s="4" t="s">
        <v>232</v>
      </c>
      <c r="O66" s="4" t="s">
        <v>264</v>
      </c>
    </row>
    <row r="67" hidden="1">
      <c r="A67" s="67" t="str">
        <f t="shared" si="1"/>
        <v>Thu</v>
      </c>
      <c r="B67" s="69">
        <v>43496.0</v>
      </c>
      <c r="D67" s="161">
        <v>516.2555555555556</v>
      </c>
      <c r="E67" s="4" t="s">
        <v>222</v>
      </c>
      <c r="F67" s="4" t="s">
        <v>336</v>
      </c>
      <c r="I67" s="4" t="s">
        <v>292</v>
      </c>
    </row>
    <row r="68" hidden="1">
      <c r="A68" s="67" t="str">
        <f t="shared" si="1"/>
        <v>Fri</v>
      </c>
      <c r="B68" s="69">
        <v>43497.0</v>
      </c>
      <c r="D68" s="161">
        <v>516.2555555555556</v>
      </c>
      <c r="E68" s="4" t="s">
        <v>222</v>
      </c>
      <c r="F68" s="4" t="s">
        <v>336</v>
      </c>
      <c r="I68" s="4" t="s">
        <v>292</v>
      </c>
    </row>
    <row r="69" hidden="1">
      <c r="A69" s="67" t="str">
        <f t="shared" si="1"/>
        <v>Sat</v>
      </c>
      <c r="B69" s="69">
        <v>43498.0</v>
      </c>
      <c r="D69" s="161">
        <v>516.2555555555556</v>
      </c>
      <c r="E69" s="4" t="s">
        <v>222</v>
      </c>
      <c r="F69" s="4" t="s">
        <v>336</v>
      </c>
      <c r="I69" s="4" t="s">
        <v>292</v>
      </c>
    </row>
    <row r="70" hidden="1">
      <c r="A70" s="67" t="str">
        <f t="shared" si="1"/>
        <v>Sun</v>
      </c>
      <c r="B70" s="69">
        <v>43499.0</v>
      </c>
      <c r="D70" s="161">
        <v>516.2555555555556</v>
      </c>
      <c r="E70" s="4" t="s">
        <v>222</v>
      </c>
      <c r="F70" s="4" t="s">
        <v>336</v>
      </c>
      <c r="I70" s="4" t="s">
        <v>292</v>
      </c>
    </row>
    <row r="71" hidden="1">
      <c r="A71" s="67" t="str">
        <f t="shared" si="1"/>
        <v>Mon</v>
      </c>
      <c r="B71" s="69">
        <v>43500.0</v>
      </c>
      <c r="D71" s="161">
        <v>516.2555555555556</v>
      </c>
      <c r="E71" s="4" t="s">
        <v>222</v>
      </c>
      <c r="F71" s="4" t="s">
        <v>336</v>
      </c>
      <c r="I71" s="4" t="s">
        <v>292</v>
      </c>
    </row>
    <row r="72" hidden="1">
      <c r="A72" s="67" t="str">
        <f t="shared" si="1"/>
        <v>Tue</v>
      </c>
      <c r="B72" s="69">
        <v>43501.0</v>
      </c>
      <c r="D72" s="161">
        <v>516.2555555555556</v>
      </c>
      <c r="E72" s="4" t="s">
        <v>222</v>
      </c>
      <c r="F72" s="4" t="s">
        <v>336</v>
      </c>
      <c r="I72" s="4" t="s">
        <v>292</v>
      </c>
    </row>
    <row r="73" hidden="1">
      <c r="A73" s="67" t="str">
        <f t="shared" si="1"/>
        <v>Wed</v>
      </c>
      <c r="B73" s="69">
        <v>43502.0</v>
      </c>
      <c r="D73" s="161">
        <v>516.2555555555556</v>
      </c>
      <c r="E73" s="4" t="s">
        <v>222</v>
      </c>
      <c r="F73" s="4" t="s">
        <v>336</v>
      </c>
      <c r="I73" s="4" t="s">
        <v>292</v>
      </c>
    </row>
    <row r="74" hidden="1">
      <c r="A74" s="67" t="str">
        <f t="shared" si="1"/>
        <v>Thu</v>
      </c>
      <c r="B74" s="69">
        <v>43503.0</v>
      </c>
      <c r="D74" s="161">
        <v>516.2555555555556</v>
      </c>
      <c r="E74" s="4" t="s">
        <v>222</v>
      </c>
      <c r="F74" s="4" t="s">
        <v>336</v>
      </c>
      <c r="I74" s="4" t="s">
        <v>292</v>
      </c>
    </row>
    <row r="75" hidden="1">
      <c r="A75" s="67" t="str">
        <f t="shared" si="1"/>
        <v>Fri</v>
      </c>
      <c r="B75" s="69">
        <v>43504.0</v>
      </c>
      <c r="D75" s="161">
        <v>583.81875</v>
      </c>
      <c r="E75" s="4" t="s">
        <v>222</v>
      </c>
      <c r="F75" s="4" t="s">
        <v>346</v>
      </c>
      <c r="G75" s="4" t="s">
        <v>346</v>
      </c>
      <c r="H75" s="4" t="s">
        <v>336</v>
      </c>
      <c r="I75" s="4" t="s">
        <v>292</v>
      </c>
      <c r="K75" s="4"/>
      <c r="L75" s="4" t="s">
        <v>225</v>
      </c>
      <c r="M75" s="4" t="s">
        <v>226</v>
      </c>
      <c r="N75" s="4" t="s">
        <v>232</v>
      </c>
      <c r="O75" s="4" t="s">
        <v>264</v>
      </c>
    </row>
    <row r="76" hidden="1">
      <c r="A76" s="67" t="str">
        <f t="shared" si="1"/>
        <v>Sat</v>
      </c>
      <c r="B76" s="69">
        <v>43505.0</v>
      </c>
      <c r="D76" s="161">
        <v>583.81875</v>
      </c>
      <c r="E76" s="4" t="s">
        <v>222</v>
      </c>
      <c r="F76" s="4" t="s">
        <v>346</v>
      </c>
      <c r="I76" s="4" t="s">
        <v>292</v>
      </c>
    </row>
    <row r="77" hidden="1">
      <c r="A77" s="67" t="str">
        <f t="shared" si="1"/>
        <v>Sun</v>
      </c>
      <c r="B77" s="69">
        <v>43506.0</v>
      </c>
      <c r="D77" s="161">
        <v>583.81875</v>
      </c>
      <c r="E77" s="4" t="s">
        <v>222</v>
      </c>
      <c r="F77" s="4" t="s">
        <v>346</v>
      </c>
      <c r="I77" s="4" t="s">
        <v>292</v>
      </c>
    </row>
    <row r="78" hidden="1">
      <c r="A78" s="67" t="str">
        <f t="shared" si="1"/>
        <v>Mon</v>
      </c>
      <c r="B78" s="69">
        <v>43507.0</v>
      </c>
      <c r="D78" s="161">
        <v>583.81875</v>
      </c>
      <c r="E78" s="4" t="s">
        <v>222</v>
      </c>
      <c r="F78" s="4" t="s">
        <v>346</v>
      </c>
      <c r="I78" s="4" t="s">
        <v>292</v>
      </c>
    </row>
    <row r="79" hidden="1">
      <c r="A79" s="67" t="str">
        <f t="shared" si="1"/>
        <v>Tue</v>
      </c>
      <c r="B79" s="69">
        <v>43508.0</v>
      </c>
      <c r="D79" s="161">
        <v>583.81875</v>
      </c>
      <c r="E79" s="4" t="s">
        <v>222</v>
      </c>
      <c r="F79" s="4" t="s">
        <v>346</v>
      </c>
      <c r="I79" s="4" t="s">
        <v>292</v>
      </c>
    </row>
    <row r="80" hidden="1">
      <c r="A80" s="67" t="str">
        <f t="shared" si="1"/>
        <v>Wed</v>
      </c>
      <c r="B80" s="69">
        <v>43509.0</v>
      </c>
      <c r="D80" s="161">
        <v>583.81875</v>
      </c>
      <c r="E80" s="4" t="s">
        <v>222</v>
      </c>
      <c r="F80" s="4" t="s">
        <v>346</v>
      </c>
      <c r="I80" s="4" t="s">
        <v>292</v>
      </c>
    </row>
    <row r="81" hidden="1">
      <c r="A81" s="67" t="str">
        <f t="shared" si="1"/>
        <v>Thu</v>
      </c>
      <c r="B81" s="69">
        <v>43510.0</v>
      </c>
      <c r="D81" s="161">
        <v>583.81875</v>
      </c>
      <c r="E81" s="4" t="s">
        <v>222</v>
      </c>
      <c r="F81" s="4" t="s">
        <v>346</v>
      </c>
      <c r="I81" s="4" t="s">
        <v>292</v>
      </c>
    </row>
    <row r="82" hidden="1">
      <c r="A82" s="67" t="str">
        <f t="shared" si="1"/>
        <v>Fri</v>
      </c>
      <c r="B82" s="69">
        <v>43511.0</v>
      </c>
      <c r="D82" s="161">
        <v>583.81875</v>
      </c>
      <c r="E82" s="4" t="s">
        <v>222</v>
      </c>
      <c r="F82" s="4" t="s">
        <v>346</v>
      </c>
      <c r="I82" s="4" t="s">
        <v>292</v>
      </c>
    </row>
    <row r="83" hidden="1">
      <c r="A83" s="67" t="str">
        <f t="shared" si="1"/>
        <v>Sat</v>
      </c>
      <c r="B83" s="69">
        <v>43512.0</v>
      </c>
      <c r="D83" s="161">
        <v>0.0</v>
      </c>
      <c r="E83" s="4" t="s">
        <v>337</v>
      </c>
      <c r="F83" s="4" t="s">
        <v>349</v>
      </c>
      <c r="G83" s="4" t="s">
        <v>349</v>
      </c>
      <c r="H83" s="4" t="s">
        <v>346</v>
      </c>
      <c r="I83" s="4" t="s">
        <v>292</v>
      </c>
      <c r="K83" s="4" t="s">
        <v>231</v>
      </c>
      <c r="L83" s="4" t="s">
        <v>225</v>
      </c>
      <c r="M83" s="4" t="s">
        <v>350</v>
      </c>
    </row>
    <row r="84" hidden="1">
      <c r="A84" s="67" t="str">
        <f t="shared" si="1"/>
        <v>Sun</v>
      </c>
      <c r="B84" s="69">
        <v>43513.0</v>
      </c>
      <c r="D84" s="161">
        <v>0.0</v>
      </c>
      <c r="E84" s="4" t="s">
        <v>337</v>
      </c>
      <c r="F84" s="4" t="s">
        <v>349</v>
      </c>
      <c r="I84" s="4" t="s">
        <v>292</v>
      </c>
    </row>
    <row r="85" hidden="1">
      <c r="A85" s="67" t="str">
        <f t="shared" si="1"/>
        <v>Mon</v>
      </c>
      <c r="B85" s="69">
        <v>43514.0</v>
      </c>
      <c r="D85" s="161">
        <v>0.0</v>
      </c>
      <c r="E85" s="4" t="s">
        <v>337</v>
      </c>
      <c r="F85" s="4" t="s">
        <v>349</v>
      </c>
      <c r="I85" s="4" t="s">
        <v>292</v>
      </c>
    </row>
    <row r="86" hidden="1">
      <c r="A86" s="67" t="str">
        <f t="shared" si="1"/>
        <v>Tue</v>
      </c>
      <c r="B86" s="69">
        <v>43515.0</v>
      </c>
      <c r="D86" s="161">
        <v>576.4571428571428</v>
      </c>
      <c r="E86" s="4" t="s">
        <v>222</v>
      </c>
      <c r="F86" s="4" t="s">
        <v>351</v>
      </c>
      <c r="G86" s="4" t="s">
        <v>351</v>
      </c>
      <c r="H86" s="4" t="s">
        <v>349</v>
      </c>
      <c r="I86" s="4" t="s">
        <v>292</v>
      </c>
      <c r="K86" s="4"/>
      <c r="L86" s="4" t="s">
        <v>225</v>
      </c>
      <c r="M86" s="4" t="s">
        <v>226</v>
      </c>
      <c r="N86" s="4" t="s">
        <v>232</v>
      </c>
      <c r="O86" s="4" t="s">
        <v>264</v>
      </c>
    </row>
    <row r="87" hidden="1">
      <c r="A87" s="67" t="str">
        <f t="shared" si="1"/>
        <v>Wed</v>
      </c>
      <c r="B87" s="69">
        <v>43516.0</v>
      </c>
      <c r="D87" s="161">
        <v>576.4571428571428</v>
      </c>
      <c r="E87" s="4" t="s">
        <v>222</v>
      </c>
      <c r="F87" s="4" t="s">
        <v>351</v>
      </c>
      <c r="I87" s="4" t="s">
        <v>292</v>
      </c>
    </row>
    <row r="88" hidden="1">
      <c r="A88" s="67" t="str">
        <f t="shared" si="1"/>
        <v>Thu</v>
      </c>
      <c r="B88" s="69">
        <v>43517.0</v>
      </c>
      <c r="D88" s="161">
        <v>576.4571428571428</v>
      </c>
      <c r="E88" s="4" t="s">
        <v>222</v>
      </c>
      <c r="F88" s="4" t="s">
        <v>351</v>
      </c>
      <c r="I88" s="4" t="s">
        <v>292</v>
      </c>
    </row>
    <row r="89" hidden="1">
      <c r="A89" s="67" t="str">
        <f t="shared" si="1"/>
        <v>Fri</v>
      </c>
      <c r="B89" s="69">
        <v>43518.0</v>
      </c>
      <c r="D89" s="161">
        <v>576.4571428571428</v>
      </c>
      <c r="E89" s="4" t="s">
        <v>222</v>
      </c>
      <c r="F89" s="4" t="s">
        <v>351</v>
      </c>
      <c r="I89" s="4" t="s">
        <v>292</v>
      </c>
    </row>
    <row r="90" hidden="1">
      <c r="A90" s="67" t="str">
        <f t="shared" si="1"/>
        <v>Sat</v>
      </c>
      <c r="B90" s="69">
        <v>43519.0</v>
      </c>
      <c r="D90" s="161">
        <v>576.4571428571428</v>
      </c>
      <c r="E90" s="4" t="s">
        <v>222</v>
      </c>
      <c r="F90" s="4" t="s">
        <v>351</v>
      </c>
      <c r="I90" s="4" t="s">
        <v>292</v>
      </c>
    </row>
    <row r="91" hidden="1">
      <c r="A91" s="67" t="str">
        <f t="shared" si="1"/>
        <v>Sun</v>
      </c>
      <c r="B91" s="69">
        <v>43520.0</v>
      </c>
      <c r="D91" s="161">
        <v>576.4571428571428</v>
      </c>
      <c r="E91" s="4" t="s">
        <v>222</v>
      </c>
      <c r="F91" s="4" t="s">
        <v>351</v>
      </c>
      <c r="I91" s="4" t="s">
        <v>292</v>
      </c>
    </row>
    <row r="92" hidden="1">
      <c r="A92" s="67" t="str">
        <f t="shared" si="1"/>
        <v>Mon</v>
      </c>
      <c r="B92" s="69">
        <v>43521.0</v>
      </c>
      <c r="D92" s="161">
        <v>576.4571428571428</v>
      </c>
      <c r="E92" s="4" t="s">
        <v>222</v>
      </c>
      <c r="F92" s="4" t="s">
        <v>351</v>
      </c>
      <c r="I92" s="4" t="s">
        <v>292</v>
      </c>
    </row>
    <row r="93" hidden="1">
      <c r="A93" s="67" t="str">
        <f t="shared" si="1"/>
        <v>Tue</v>
      </c>
      <c r="B93" s="69">
        <v>43522.0</v>
      </c>
      <c r="D93" s="161">
        <v>582.0</v>
      </c>
      <c r="E93" s="4" t="s">
        <v>222</v>
      </c>
      <c r="F93" s="4" t="s">
        <v>352</v>
      </c>
      <c r="G93" s="4" t="s">
        <v>352</v>
      </c>
      <c r="H93" s="4" t="s">
        <v>351</v>
      </c>
      <c r="I93" s="4" t="s">
        <v>292</v>
      </c>
      <c r="K93" s="4"/>
      <c r="L93" s="4" t="s">
        <v>225</v>
      </c>
      <c r="M93" s="4" t="s">
        <v>353</v>
      </c>
      <c r="N93" s="4" t="s">
        <v>354</v>
      </c>
      <c r="O93" s="4" t="s">
        <v>355</v>
      </c>
      <c r="P93" s="168"/>
      <c r="Q93" s="4" t="s">
        <v>356</v>
      </c>
      <c r="R93" s="4" t="s">
        <v>357</v>
      </c>
      <c r="S93" s="4"/>
      <c r="T93" s="4"/>
    </row>
    <row r="94" hidden="1">
      <c r="A94" s="67" t="str">
        <f t="shared" si="1"/>
        <v>Wed</v>
      </c>
      <c r="B94" s="69">
        <v>43523.0</v>
      </c>
      <c r="D94" s="161">
        <v>582.0</v>
      </c>
      <c r="E94" s="4" t="s">
        <v>222</v>
      </c>
      <c r="F94" s="4" t="s">
        <v>352</v>
      </c>
      <c r="I94" s="4" t="s">
        <v>292</v>
      </c>
      <c r="P94" s="168"/>
    </row>
    <row r="95" hidden="1">
      <c r="A95" s="67" t="str">
        <f t="shared" si="1"/>
        <v>Thu</v>
      </c>
      <c r="B95" s="69">
        <v>43524.0</v>
      </c>
      <c r="D95" s="161">
        <v>582.0</v>
      </c>
      <c r="E95" s="4" t="s">
        <v>222</v>
      </c>
      <c r="F95" s="4" t="s">
        <v>352</v>
      </c>
      <c r="I95" s="4" t="s">
        <v>292</v>
      </c>
      <c r="P95" s="168"/>
    </row>
    <row r="96" hidden="1">
      <c r="A96" s="67" t="str">
        <f t="shared" si="1"/>
        <v>Fri</v>
      </c>
      <c r="B96" s="69">
        <v>43525.0</v>
      </c>
      <c r="D96" s="161">
        <v>834.2</v>
      </c>
      <c r="E96" s="4" t="s">
        <v>222</v>
      </c>
      <c r="F96" s="4" t="s">
        <v>358</v>
      </c>
      <c r="G96" s="4" t="s">
        <v>358</v>
      </c>
      <c r="H96" s="4" t="s">
        <v>352</v>
      </c>
      <c r="I96" s="4" t="s">
        <v>359</v>
      </c>
      <c r="K96" s="4"/>
      <c r="L96" s="4" t="s">
        <v>225</v>
      </c>
      <c r="M96" s="4" t="s">
        <v>226</v>
      </c>
      <c r="N96" s="4" t="s">
        <v>232</v>
      </c>
      <c r="O96" s="4" t="s">
        <v>264</v>
      </c>
      <c r="P96" s="168"/>
    </row>
    <row r="97" hidden="1">
      <c r="A97" s="67" t="str">
        <f t="shared" si="1"/>
        <v>Sat</v>
      </c>
      <c r="B97" s="69">
        <v>43526.0</v>
      </c>
      <c r="D97" s="161">
        <v>834.2</v>
      </c>
      <c r="E97" s="4" t="s">
        <v>222</v>
      </c>
      <c r="F97" s="4" t="s">
        <v>358</v>
      </c>
      <c r="I97" s="4" t="s">
        <v>359</v>
      </c>
    </row>
    <row r="98" hidden="1">
      <c r="A98" s="67" t="str">
        <f t="shared" si="1"/>
        <v>Sun</v>
      </c>
      <c r="B98" s="69">
        <v>43527.0</v>
      </c>
      <c r="D98" s="161">
        <v>834.2</v>
      </c>
      <c r="E98" s="4" t="s">
        <v>222</v>
      </c>
      <c r="F98" s="4" t="s">
        <v>358</v>
      </c>
      <c r="I98" s="4" t="s">
        <v>359</v>
      </c>
    </row>
    <row r="99" hidden="1">
      <c r="A99" s="67" t="str">
        <f t="shared" si="1"/>
        <v>Mon</v>
      </c>
      <c r="B99" s="69">
        <v>43528.0</v>
      </c>
      <c r="D99" s="161">
        <v>834.2</v>
      </c>
      <c r="E99" s="4" t="s">
        <v>222</v>
      </c>
      <c r="F99" s="4" t="s">
        <v>358</v>
      </c>
      <c r="I99" s="4" t="s">
        <v>359</v>
      </c>
    </row>
    <row r="100" hidden="1">
      <c r="A100" s="67" t="str">
        <f t="shared" si="1"/>
        <v>Tue</v>
      </c>
      <c r="B100" s="69">
        <v>43529.0</v>
      </c>
      <c r="D100" s="161">
        <v>436.985</v>
      </c>
      <c r="E100" s="4" t="s">
        <v>222</v>
      </c>
      <c r="F100" s="4" t="s">
        <v>361</v>
      </c>
      <c r="G100" s="4" t="s">
        <v>361</v>
      </c>
      <c r="H100" s="4" t="s">
        <v>358</v>
      </c>
      <c r="I100" s="4" t="s">
        <v>359</v>
      </c>
      <c r="K100" s="4" t="s">
        <v>231</v>
      </c>
      <c r="L100" s="4" t="s">
        <v>293</v>
      </c>
      <c r="M100" s="4" t="s">
        <v>365</v>
      </c>
      <c r="N100" s="4" t="s">
        <v>366</v>
      </c>
      <c r="O100" s="4" t="s">
        <v>367</v>
      </c>
      <c r="Q100" s="4" t="s">
        <v>368</v>
      </c>
      <c r="R100" s="4" t="s">
        <v>369</v>
      </c>
      <c r="S100" s="4"/>
    </row>
    <row r="101" hidden="1">
      <c r="A101" s="67" t="str">
        <f t="shared" si="1"/>
        <v>Wed</v>
      </c>
      <c r="B101" s="69">
        <v>43530.0</v>
      </c>
      <c r="D101" s="161">
        <v>436.985</v>
      </c>
      <c r="E101" s="4" t="s">
        <v>222</v>
      </c>
      <c r="F101" s="4" t="s">
        <v>361</v>
      </c>
      <c r="I101" s="4" t="s">
        <v>359</v>
      </c>
    </row>
    <row r="102" hidden="1">
      <c r="A102" s="67" t="str">
        <f t="shared" si="1"/>
        <v>Thu</v>
      </c>
      <c r="B102" s="69">
        <v>43531.0</v>
      </c>
      <c r="D102" s="161">
        <v>436.985</v>
      </c>
      <c r="E102" s="4" t="s">
        <v>222</v>
      </c>
      <c r="F102" s="4" t="s">
        <v>361</v>
      </c>
      <c r="I102" s="4" t="s">
        <v>359</v>
      </c>
    </row>
    <row r="103" hidden="1">
      <c r="A103" s="67" t="str">
        <f t="shared" si="1"/>
        <v>Fri</v>
      </c>
      <c r="B103" s="69">
        <v>43532.0</v>
      </c>
      <c r="D103" s="161">
        <v>436.985</v>
      </c>
      <c r="E103" s="4" t="s">
        <v>222</v>
      </c>
      <c r="F103" s="4" t="s">
        <v>361</v>
      </c>
      <c r="I103" s="4" t="s">
        <v>359</v>
      </c>
    </row>
    <row r="104" hidden="1">
      <c r="A104" s="67" t="str">
        <f t="shared" si="1"/>
        <v>Sat</v>
      </c>
      <c r="B104" s="69">
        <v>43533.0</v>
      </c>
      <c r="D104" s="4">
        <v>0.0</v>
      </c>
      <c r="E104" s="4" t="s">
        <v>292</v>
      </c>
      <c r="F104" s="4" t="s">
        <v>370</v>
      </c>
      <c r="G104" s="4" t="s">
        <v>370</v>
      </c>
      <c r="H104" s="4" t="s">
        <v>361</v>
      </c>
      <c r="I104" s="4" t="s">
        <v>292</v>
      </c>
      <c r="L104" s="4" t="s">
        <v>225</v>
      </c>
      <c r="M104" s="4" t="s">
        <v>371</v>
      </c>
      <c r="N104" s="4" t="s">
        <v>372</v>
      </c>
      <c r="O104" s="4" t="s">
        <v>373</v>
      </c>
      <c r="R104" s="4" t="s">
        <v>374</v>
      </c>
      <c r="S104" s="4"/>
    </row>
    <row r="105" hidden="1">
      <c r="A105" s="67" t="str">
        <f t="shared" si="1"/>
        <v>Sun</v>
      </c>
      <c r="B105" s="69">
        <v>43534.0</v>
      </c>
      <c r="D105" s="161">
        <v>312.34000000000003</v>
      </c>
      <c r="E105" s="4" t="s">
        <v>222</v>
      </c>
      <c r="F105" s="4" t="s">
        <v>375</v>
      </c>
      <c r="G105" s="4" t="s">
        <v>375</v>
      </c>
      <c r="H105" s="4" t="s">
        <v>370</v>
      </c>
      <c r="I105" s="4" t="s">
        <v>359</v>
      </c>
      <c r="K105" s="4"/>
      <c r="L105" s="4" t="s">
        <v>225</v>
      </c>
      <c r="M105" s="4" t="s">
        <v>376</v>
      </c>
      <c r="N105" s="4" t="s">
        <v>377</v>
      </c>
      <c r="O105" s="4" t="s">
        <v>378</v>
      </c>
      <c r="Q105" s="4" t="s">
        <v>379</v>
      </c>
      <c r="R105" s="4" t="s">
        <v>380</v>
      </c>
      <c r="S105" s="4"/>
      <c r="T105" s="4"/>
    </row>
    <row r="106" hidden="1">
      <c r="A106" s="67" t="str">
        <f t="shared" si="1"/>
        <v>Mon</v>
      </c>
      <c r="B106" s="69">
        <v>43535.0</v>
      </c>
      <c r="D106" s="161">
        <v>312.34000000000003</v>
      </c>
      <c r="E106" s="4" t="s">
        <v>222</v>
      </c>
      <c r="F106" s="4" t="s">
        <v>375</v>
      </c>
      <c r="I106" s="4" t="s">
        <v>359</v>
      </c>
    </row>
    <row r="107" hidden="1">
      <c r="A107" s="67" t="str">
        <f t="shared" si="1"/>
        <v>Tue</v>
      </c>
      <c r="B107" s="69">
        <v>43536.0</v>
      </c>
      <c r="D107" s="161">
        <v>312.34000000000003</v>
      </c>
      <c r="E107" s="4" t="s">
        <v>222</v>
      </c>
      <c r="F107" s="4" t="s">
        <v>375</v>
      </c>
      <c r="I107" s="4" t="s">
        <v>359</v>
      </c>
    </row>
    <row r="108" hidden="1">
      <c r="A108" s="67" t="str">
        <f t="shared" si="1"/>
        <v>Wed</v>
      </c>
      <c r="B108" s="69">
        <v>43537.0</v>
      </c>
      <c r="D108" s="161">
        <v>312.34000000000003</v>
      </c>
      <c r="E108" s="4" t="s">
        <v>222</v>
      </c>
      <c r="F108" s="4" t="s">
        <v>375</v>
      </c>
      <c r="I108" s="4" t="s">
        <v>359</v>
      </c>
    </row>
    <row r="109" hidden="1">
      <c r="A109" s="67" t="str">
        <f t="shared" si="1"/>
        <v>Thu</v>
      </c>
      <c r="B109" s="69">
        <v>43538.0</v>
      </c>
      <c r="D109" s="161">
        <v>312.34000000000003</v>
      </c>
      <c r="E109" s="4" t="s">
        <v>222</v>
      </c>
      <c r="F109" s="4" t="s">
        <v>375</v>
      </c>
      <c r="I109" s="4" t="s">
        <v>359</v>
      </c>
    </row>
    <row r="110" hidden="1">
      <c r="A110" s="67" t="str">
        <f t="shared" si="1"/>
        <v>Fri</v>
      </c>
      <c r="B110" s="69">
        <v>43539.0</v>
      </c>
      <c r="D110" s="161">
        <v>312.34000000000003</v>
      </c>
      <c r="E110" s="4" t="s">
        <v>222</v>
      </c>
      <c r="F110" s="4" t="s">
        <v>375</v>
      </c>
      <c r="I110" s="4" t="s">
        <v>359</v>
      </c>
    </row>
    <row r="111" hidden="1">
      <c r="A111" s="67" t="str">
        <f t="shared" si="1"/>
        <v>Sat</v>
      </c>
      <c r="B111" s="69">
        <v>43540.0</v>
      </c>
      <c r="D111" s="161">
        <v>312.34000000000003</v>
      </c>
      <c r="E111" s="4" t="s">
        <v>222</v>
      </c>
      <c r="F111" s="4" t="s">
        <v>375</v>
      </c>
      <c r="I111" s="4" t="s">
        <v>359</v>
      </c>
    </row>
    <row r="112" hidden="1">
      <c r="A112" s="67" t="str">
        <f t="shared" si="1"/>
        <v>Sun</v>
      </c>
      <c r="B112" s="69">
        <v>43541.0</v>
      </c>
      <c r="D112" s="161">
        <v>292.94</v>
      </c>
      <c r="E112" s="4" t="s">
        <v>222</v>
      </c>
      <c r="F112" s="4" t="s">
        <v>381</v>
      </c>
      <c r="G112" s="4" t="s">
        <v>381</v>
      </c>
      <c r="H112" s="4" t="s">
        <v>375</v>
      </c>
      <c r="I112" s="4" t="s">
        <v>359</v>
      </c>
      <c r="K112" s="4" t="s">
        <v>231</v>
      </c>
      <c r="L112" s="4" t="s">
        <v>225</v>
      </c>
      <c r="M112" s="4" t="s">
        <v>382</v>
      </c>
      <c r="N112" s="4" t="s">
        <v>383</v>
      </c>
      <c r="Q112" s="4" t="s">
        <v>384</v>
      </c>
      <c r="R112" s="4" t="s">
        <v>385</v>
      </c>
      <c r="S112" s="4"/>
    </row>
    <row r="113" hidden="1">
      <c r="A113" s="67" t="str">
        <f t="shared" si="1"/>
        <v>Mon</v>
      </c>
      <c r="B113" s="69">
        <v>43542.0</v>
      </c>
      <c r="D113" s="161">
        <v>292.94</v>
      </c>
      <c r="E113" s="4" t="s">
        <v>222</v>
      </c>
      <c r="F113" s="4" t="s">
        <v>381</v>
      </c>
      <c r="I113" s="4" t="s">
        <v>359</v>
      </c>
    </row>
    <row r="114" hidden="1">
      <c r="A114" s="67" t="str">
        <f t="shared" si="1"/>
        <v>Tue</v>
      </c>
      <c r="B114" s="69">
        <v>43543.0</v>
      </c>
      <c r="D114" s="161">
        <v>292.94</v>
      </c>
      <c r="E114" s="4" t="s">
        <v>222</v>
      </c>
      <c r="F114" s="4" t="s">
        <v>381</v>
      </c>
      <c r="I114" s="4" t="s">
        <v>359</v>
      </c>
    </row>
    <row r="115" hidden="1">
      <c r="A115" s="67" t="str">
        <f t="shared" si="1"/>
        <v>Wed</v>
      </c>
      <c r="B115" s="69">
        <v>43544.0</v>
      </c>
      <c r="D115" s="161">
        <v>292.94</v>
      </c>
      <c r="E115" s="4" t="s">
        <v>222</v>
      </c>
      <c r="F115" s="4" t="s">
        <v>381</v>
      </c>
      <c r="I115" s="4" t="s">
        <v>359</v>
      </c>
    </row>
    <row r="116" hidden="1">
      <c r="A116" s="67" t="str">
        <f t="shared" si="1"/>
        <v>Thu</v>
      </c>
      <c r="B116" s="69">
        <v>43545.0</v>
      </c>
      <c r="D116" s="161">
        <v>292.94</v>
      </c>
      <c r="E116" s="4" t="s">
        <v>222</v>
      </c>
      <c r="F116" s="4" t="s">
        <v>381</v>
      </c>
      <c r="I116" s="4" t="s">
        <v>359</v>
      </c>
      <c r="N116" s="4">
        <v>11.78</v>
      </c>
    </row>
    <row r="117" hidden="1">
      <c r="A117" s="67" t="str">
        <f t="shared" si="1"/>
        <v>Fri</v>
      </c>
      <c r="B117" s="69">
        <v>43546.0</v>
      </c>
      <c r="D117" s="161">
        <v>292.94</v>
      </c>
      <c r="E117" s="4" t="s">
        <v>222</v>
      </c>
      <c r="F117" s="4" t="s">
        <v>381</v>
      </c>
      <c r="I117" s="4" t="s">
        <v>359</v>
      </c>
    </row>
    <row r="118" hidden="1">
      <c r="A118" s="67" t="str">
        <f t="shared" si="1"/>
        <v>Sat</v>
      </c>
      <c r="B118" s="69">
        <v>43547.0</v>
      </c>
      <c r="D118" s="161">
        <v>292.94</v>
      </c>
      <c r="E118" s="4" t="s">
        <v>222</v>
      </c>
      <c r="F118" s="4" t="s">
        <v>381</v>
      </c>
      <c r="I118" s="4" t="s">
        <v>359</v>
      </c>
    </row>
    <row r="119" hidden="1">
      <c r="A119" s="67" t="str">
        <f t="shared" si="1"/>
        <v>Sun</v>
      </c>
      <c r="B119" s="69">
        <v>43548.0</v>
      </c>
      <c r="D119" s="161">
        <v>292.94</v>
      </c>
      <c r="E119" s="4" t="s">
        <v>222</v>
      </c>
      <c r="F119" s="4" t="s">
        <v>381</v>
      </c>
      <c r="I119" s="4" t="s">
        <v>359</v>
      </c>
    </row>
    <row r="120" hidden="1">
      <c r="A120" s="67" t="str">
        <f t="shared" si="1"/>
        <v>Mon</v>
      </c>
      <c r="B120" s="69">
        <v>43549.0</v>
      </c>
      <c r="D120" s="161">
        <v>292.94</v>
      </c>
      <c r="E120" s="4" t="s">
        <v>222</v>
      </c>
      <c r="F120" s="4" t="s">
        <v>381</v>
      </c>
      <c r="I120" s="4" t="s">
        <v>359</v>
      </c>
    </row>
    <row r="121" hidden="1">
      <c r="A121" s="67" t="str">
        <f t="shared" si="1"/>
        <v>Tue</v>
      </c>
      <c r="B121" s="69">
        <v>43550.0</v>
      </c>
      <c r="F121" s="4"/>
      <c r="G121" s="4"/>
      <c r="H121" s="4" t="s">
        <v>381</v>
      </c>
      <c r="J121" s="4"/>
      <c r="L121" s="4" t="s">
        <v>229</v>
      </c>
      <c r="M121" s="4"/>
      <c r="N121" s="4"/>
      <c r="O121" s="4"/>
    </row>
    <row r="122" hidden="1">
      <c r="A122" s="67" t="str">
        <f t="shared" si="1"/>
        <v>Wed</v>
      </c>
      <c r="B122" s="69">
        <v>43551.0</v>
      </c>
      <c r="D122" s="161">
        <v>288.67199999999997</v>
      </c>
      <c r="E122" s="4" t="s">
        <v>222</v>
      </c>
      <c r="F122" s="4" t="s">
        <v>388</v>
      </c>
      <c r="G122" s="4" t="s">
        <v>388</v>
      </c>
      <c r="H122" s="4"/>
      <c r="I122" s="4" t="s">
        <v>359</v>
      </c>
      <c r="K122" s="4" t="s">
        <v>231</v>
      </c>
      <c r="L122" s="4" t="s">
        <v>225</v>
      </c>
      <c r="M122" s="4" t="s">
        <v>389</v>
      </c>
      <c r="Q122" s="4" t="s">
        <v>390</v>
      </c>
      <c r="R122" s="4" t="s">
        <v>391</v>
      </c>
      <c r="S122" s="4"/>
    </row>
    <row r="123" hidden="1">
      <c r="A123" s="67" t="str">
        <f t="shared" si="1"/>
        <v>Thu</v>
      </c>
      <c r="B123" s="69">
        <v>43552.0</v>
      </c>
      <c r="D123" s="161">
        <v>288.67199999999997</v>
      </c>
      <c r="E123" s="4" t="s">
        <v>222</v>
      </c>
      <c r="F123" s="4" t="s">
        <v>388</v>
      </c>
      <c r="I123" s="4" t="s">
        <v>359</v>
      </c>
    </row>
    <row r="124" hidden="1">
      <c r="A124" s="67" t="str">
        <f t="shared" si="1"/>
        <v>Fri</v>
      </c>
      <c r="B124" s="69">
        <v>43553.0</v>
      </c>
      <c r="D124" s="161">
        <v>288.67199999999997</v>
      </c>
      <c r="E124" s="4" t="s">
        <v>222</v>
      </c>
      <c r="F124" s="4" t="s">
        <v>388</v>
      </c>
      <c r="I124" s="4" t="s">
        <v>359</v>
      </c>
    </row>
    <row r="125" ht="15.0" hidden="1" customHeight="1">
      <c r="A125" s="67" t="str">
        <f t="shared" si="1"/>
        <v>Sat</v>
      </c>
      <c r="B125" s="69">
        <v>43554.0</v>
      </c>
      <c r="D125" s="161">
        <v>288.67199999999997</v>
      </c>
      <c r="E125" s="4" t="s">
        <v>222</v>
      </c>
      <c r="F125" s="4" t="s">
        <v>388</v>
      </c>
      <c r="I125" s="4" t="s">
        <v>359</v>
      </c>
    </row>
    <row r="126" hidden="1">
      <c r="A126" s="67" t="str">
        <f t="shared" si="1"/>
        <v>Sun</v>
      </c>
      <c r="B126" s="69">
        <v>43555.0</v>
      </c>
      <c r="D126" s="161">
        <v>288.67199999999997</v>
      </c>
      <c r="E126" s="4" t="s">
        <v>222</v>
      </c>
      <c r="F126" s="4" t="s">
        <v>388</v>
      </c>
      <c r="I126" s="4" t="s">
        <v>359</v>
      </c>
    </row>
    <row r="127">
      <c r="A127" s="67" t="str">
        <f t="shared" si="1"/>
        <v>Mon</v>
      </c>
      <c r="B127" s="69">
        <v>43556.0</v>
      </c>
      <c r="H127" s="4" t="s">
        <v>388</v>
      </c>
      <c r="J127" s="4"/>
    </row>
    <row r="128">
      <c r="A128" s="67" t="str">
        <f t="shared" si="1"/>
        <v>Tue</v>
      </c>
      <c r="B128" s="69">
        <v>43557.0</v>
      </c>
      <c r="D128" s="161">
        <v>261.90000000000003</v>
      </c>
      <c r="E128" s="4" t="s">
        <v>222</v>
      </c>
      <c r="F128" s="4" t="s">
        <v>392</v>
      </c>
      <c r="G128" s="4" t="s">
        <v>392</v>
      </c>
      <c r="I128" s="4" t="s">
        <v>224</v>
      </c>
      <c r="K128" s="4" t="s">
        <v>231</v>
      </c>
      <c r="L128" s="4" t="s">
        <v>225</v>
      </c>
      <c r="M128" s="4" t="s">
        <v>310</v>
      </c>
      <c r="N128" s="4" t="s">
        <v>310</v>
      </c>
      <c r="O128" s="4" t="s">
        <v>310</v>
      </c>
      <c r="R128" s="167" t="s">
        <v>393</v>
      </c>
    </row>
    <row r="129">
      <c r="A129" s="67" t="str">
        <f t="shared" si="1"/>
        <v>Wed</v>
      </c>
      <c r="B129" s="69">
        <v>43558.0</v>
      </c>
      <c r="D129" s="161">
        <v>261.90000000000003</v>
      </c>
      <c r="E129" s="4" t="s">
        <v>222</v>
      </c>
      <c r="F129" s="4" t="s">
        <v>392</v>
      </c>
      <c r="I129" s="4" t="s">
        <v>224</v>
      </c>
    </row>
    <row r="130">
      <c r="A130" s="67" t="str">
        <f t="shared" si="1"/>
        <v>Thu</v>
      </c>
      <c r="B130" s="69">
        <v>43559.0</v>
      </c>
      <c r="D130" s="161">
        <v>261.90000000000003</v>
      </c>
      <c r="E130" s="4" t="s">
        <v>222</v>
      </c>
      <c r="F130" s="4" t="s">
        <v>392</v>
      </c>
      <c r="I130" s="4" t="s">
        <v>224</v>
      </c>
    </row>
    <row r="131">
      <c r="A131" s="67" t="str">
        <f t="shared" si="1"/>
        <v>Fri</v>
      </c>
      <c r="B131" s="69">
        <v>43560.0</v>
      </c>
      <c r="D131" s="4">
        <v>250.0</v>
      </c>
      <c r="E131" s="4" t="s">
        <v>337</v>
      </c>
      <c r="F131" s="4" t="s">
        <v>394</v>
      </c>
      <c r="G131" s="4" t="s">
        <v>394</v>
      </c>
      <c r="H131" s="4" t="s">
        <v>392</v>
      </c>
      <c r="I131" s="4" t="s">
        <v>395</v>
      </c>
      <c r="J131" s="4" t="s">
        <v>396</v>
      </c>
      <c r="K131" s="4" t="s">
        <v>231</v>
      </c>
      <c r="L131" s="4" t="s">
        <v>225</v>
      </c>
      <c r="M131" s="4" t="s">
        <v>310</v>
      </c>
      <c r="N131" s="4" t="s">
        <v>310</v>
      </c>
      <c r="O131" s="4" t="s">
        <v>310</v>
      </c>
    </row>
    <row r="132">
      <c r="A132" s="67" t="str">
        <f t="shared" si="1"/>
        <v>Sat</v>
      </c>
      <c r="B132" s="69">
        <v>43561.0</v>
      </c>
      <c r="D132" s="161">
        <v>277.74333333333334</v>
      </c>
      <c r="E132" s="4" t="s">
        <v>222</v>
      </c>
      <c r="F132" s="4" t="s">
        <v>397</v>
      </c>
      <c r="G132" s="4" t="s">
        <v>397</v>
      </c>
      <c r="H132" s="4" t="s">
        <v>394</v>
      </c>
      <c r="I132" s="4" t="s">
        <v>359</v>
      </c>
      <c r="K132" s="4" t="s">
        <v>231</v>
      </c>
      <c r="L132" s="4" t="s">
        <v>225</v>
      </c>
      <c r="M132" s="4" t="s">
        <v>398</v>
      </c>
      <c r="N132" s="4" t="s">
        <v>399</v>
      </c>
      <c r="Q132" s="4" t="s">
        <v>400</v>
      </c>
      <c r="R132" s="4" t="s">
        <v>401</v>
      </c>
      <c r="S132" s="4"/>
    </row>
    <row r="133">
      <c r="A133" s="67" t="str">
        <f t="shared" si="1"/>
        <v>Sun</v>
      </c>
      <c r="B133" s="69">
        <v>43562.0</v>
      </c>
      <c r="D133" s="161">
        <v>277.74333333333334</v>
      </c>
      <c r="E133" s="4" t="s">
        <v>222</v>
      </c>
      <c r="F133" s="4" t="s">
        <v>397</v>
      </c>
      <c r="I133" s="4" t="s">
        <v>359</v>
      </c>
    </row>
    <row r="134">
      <c r="A134" s="67" t="str">
        <f t="shared" si="1"/>
        <v>Mon</v>
      </c>
      <c r="B134" s="69">
        <v>43563.0</v>
      </c>
      <c r="D134" s="161">
        <v>277.74333333333334</v>
      </c>
      <c r="E134" s="4" t="s">
        <v>222</v>
      </c>
      <c r="F134" s="4" t="s">
        <v>397</v>
      </c>
      <c r="I134" s="4" t="s">
        <v>359</v>
      </c>
    </row>
    <row r="135">
      <c r="A135" s="67" t="str">
        <f t="shared" si="1"/>
        <v>Tue</v>
      </c>
      <c r="B135" s="69">
        <v>43564.0</v>
      </c>
      <c r="D135" s="161">
        <v>277.74333333333334</v>
      </c>
      <c r="E135" s="4" t="s">
        <v>222</v>
      </c>
      <c r="F135" s="4" t="s">
        <v>397</v>
      </c>
      <c r="I135" s="4" t="s">
        <v>359</v>
      </c>
    </row>
    <row r="136">
      <c r="A136" s="67" t="str">
        <f t="shared" si="1"/>
        <v>Wed</v>
      </c>
      <c r="B136" s="69">
        <v>43565.0</v>
      </c>
      <c r="D136" s="161">
        <v>277.74333333333334</v>
      </c>
      <c r="E136" s="4" t="s">
        <v>222</v>
      </c>
      <c r="F136" s="4" t="s">
        <v>397</v>
      </c>
      <c r="I136" s="4" t="s">
        <v>359</v>
      </c>
    </row>
    <row r="137">
      <c r="A137" s="67" t="str">
        <f t="shared" si="1"/>
        <v>Thu</v>
      </c>
      <c r="B137" s="69">
        <v>43566.0</v>
      </c>
      <c r="D137" s="161">
        <v>277.74333333333334</v>
      </c>
      <c r="E137" s="4" t="s">
        <v>222</v>
      </c>
      <c r="F137" s="4" t="s">
        <v>397</v>
      </c>
      <c r="I137" s="4" t="s">
        <v>359</v>
      </c>
    </row>
    <row r="138">
      <c r="A138" s="67" t="str">
        <f t="shared" si="1"/>
        <v>Fri</v>
      </c>
      <c r="B138" s="69">
        <v>43567.0</v>
      </c>
      <c r="D138" s="161">
        <v>277.74333333333334</v>
      </c>
      <c r="E138" s="4" t="s">
        <v>222</v>
      </c>
      <c r="F138" s="4" t="s">
        <v>397</v>
      </c>
      <c r="I138" s="4" t="s">
        <v>359</v>
      </c>
    </row>
    <row r="139">
      <c r="A139" s="67" t="str">
        <f t="shared" si="1"/>
        <v>Sat</v>
      </c>
      <c r="B139" s="69">
        <v>43568.0</v>
      </c>
      <c r="D139" s="161">
        <v>277.74333333333334</v>
      </c>
      <c r="E139" s="4" t="s">
        <v>222</v>
      </c>
      <c r="F139" s="4" t="s">
        <v>397</v>
      </c>
      <c r="I139" s="4" t="s">
        <v>359</v>
      </c>
    </row>
    <row r="140">
      <c r="A140" s="67" t="str">
        <f t="shared" si="1"/>
        <v>Sun</v>
      </c>
      <c r="B140" s="69">
        <v>43569.0</v>
      </c>
      <c r="D140" s="161">
        <v>277.74333333333334</v>
      </c>
      <c r="E140" s="4" t="s">
        <v>222</v>
      </c>
      <c r="F140" s="4" t="s">
        <v>397</v>
      </c>
      <c r="I140" s="4" t="s">
        <v>359</v>
      </c>
    </row>
    <row r="141">
      <c r="A141" s="67" t="str">
        <f t="shared" si="1"/>
        <v>Mon</v>
      </c>
      <c r="B141" s="69">
        <v>43570.0</v>
      </c>
      <c r="D141" s="4">
        <v>197.23</v>
      </c>
      <c r="E141" s="4" t="s">
        <v>222</v>
      </c>
      <c r="F141" s="4" t="s">
        <v>402</v>
      </c>
      <c r="G141" s="4" t="s">
        <v>402</v>
      </c>
      <c r="I141" s="4" t="s">
        <v>224</v>
      </c>
      <c r="J141" s="4"/>
      <c r="L141" s="4" t="s">
        <v>225</v>
      </c>
      <c r="M141" s="4" t="s">
        <v>226</v>
      </c>
      <c r="N141" s="4" t="s">
        <v>232</v>
      </c>
      <c r="O141" s="4" t="s">
        <v>264</v>
      </c>
      <c r="Q141" s="169" t="s">
        <v>403</v>
      </c>
      <c r="R141" s="4" t="s">
        <v>404</v>
      </c>
      <c r="S141" s="4" t="s">
        <v>405</v>
      </c>
    </row>
    <row r="142">
      <c r="A142" s="67" t="str">
        <f t="shared" si="1"/>
        <v>Tue</v>
      </c>
      <c r="B142" s="69">
        <v>43571.0</v>
      </c>
      <c r="D142" s="4">
        <v>197.23</v>
      </c>
      <c r="E142" s="4" t="s">
        <v>222</v>
      </c>
      <c r="F142" s="4" t="s">
        <v>402</v>
      </c>
      <c r="I142" s="4" t="s">
        <v>224</v>
      </c>
      <c r="J142" s="4"/>
    </row>
    <row r="143">
      <c r="A143" s="67" t="str">
        <f t="shared" si="1"/>
        <v>Wed</v>
      </c>
      <c r="B143" s="69">
        <v>43572.0</v>
      </c>
      <c r="D143" s="4">
        <v>197.23</v>
      </c>
      <c r="E143" s="4" t="s">
        <v>222</v>
      </c>
      <c r="F143" s="4" t="s">
        <v>402</v>
      </c>
      <c r="I143" s="4" t="s">
        <v>224</v>
      </c>
      <c r="J143" s="4"/>
    </row>
    <row r="144">
      <c r="A144" s="67" t="str">
        <f t="shared" si="1"/>
        <v>Thu</v>
      </c>
      <c r="B144" s="69">
        <v>43573.0</v>
      </c>
      <c r="D144" s="161">
        <f t="shared" ref="D144:D147" si="2">(1680-218.4)/4</f>
        <v>365.4</v>
      </c>
      <c r="E144" s="4" t="s">
        <v>169</v>
      </c>
      <c r="F144" s="4" t="s">
        <v>406</v>
      </c>
      <c r="G144" s="4" t="s">
        <v>406</v>
      </c>
      <c r="H144" s="4" t="s">
        <v>402</v>
      </c>
      <c r="I144" s="4" t="s">
        <v>224</v>
      </c>
      <c r="K144" s="4" t="s">
        <v>231</v>
      </c>
      <c r="L144" s="4" t="s">
        <v>225</v>
      </c>
      <c r="M144" s="4" t="s">
        <v>407</v>
      </c>
      <c r="N144" s="4" t="s">
        <v>408</v>
      </c>
      <c r="O144" s="4" t="s">
        <v>409</v>
      </c>
      <c r="Q144" s="4" t="s">
        <v>410</v>
      </c>
      <c r="R144" s="167" t="s">
        <v>411</v>
      </c>
      <c r="S144" s="4" t="s">
        <v>412</v>
      </c>
    </row>
    <row r="145">
      <c r="A145" s="67" t="str">
        <f t="shared" si="1"/>
        <v>Fri</v>
      </c>
      <c r="B145" s="69">
        <v>43574.0</v>
      </c>
      <c r="D145" s="161">
        <f t="shared" si="2"/>
        <v>365.4</v>
      </c>
      <c r="E145" s="4" t="s">
        <v>169</v>
      </c>
      <c r="F145" s="4" t="s">
        <v>406</v>
      </c>
      <c r="I145" s="4" t="s">
        <v>224</v>
      </c>
    </row>
    <row r="146">
      <c r="A146" s="67" t="str">
        <f t="shared" si="1"/>
        <v>Sat</v>
      </c>
      <c r="B146" s="69">
        <v>43575.0</v>
      </c>
      <c r="D146" s="161">
        <f t="shared" si="2"/>
        <v>365.4</v>
      </c>
      <c r="E146" s="4" t="s">
        <v>169</v>
      </c>
      <c r="F146" s="4" t="s">
        <v>406</v>
      </c>
      <c r="I146" s="4" t="s">
        <v>224</v>
      </c>
    </row>
    <row r="147">
      <c r="A147" s="67" t="str">
        <f t="shared" si="1"/>
        <v>Sun</v>
      </c>
      <c r="B147" s="69">
        <v>43576.0</v>
      </c>
      <c r="D147" s="161">
        <f t="shared" si="2"/>
        <v>365.4</v>
      </c>
      <c r="E147" s="4" t="s">
        <v>169</v>
      </c>
      <c r="F147" s="4" t="s">
        <v>406</v>
      </c>
      <c r="I147" s="4" t="s">
        <v>224</v>
      </c>
    </row>
    <row r="148">
      <c r="A148" s="67" t="str">
        <f t="shared" si="1"/>
        <v>Mon</v>
      </c>
      <c r="B148" s="69">
        <v>43577.0</v>
      </c>
      <c r="G148" s="4" t="s">
        <v>413</v>
      </c>
      <c r="H148" s="4" t="s">
        <v>406</v>
      </c>
      <c r="J148" s="4"/>
      <c r="L148" s="4" t="s">
        <v>225</v>
      </c>
      <c r="M148" s="4" t="s">
        <v>226</v>
      </c>
      <c r="N148" s="4" t="s">
        <v>232</v>
      </c>
      <c r="O148" s="4" t="s">
        <v>264</v>
      </c>
    </row>
    <row r="149">
      <c r="A149" s="67" t="str">
        <f t="shared" si="1"/>
        <v>Tue</v>
      </c>
      <c r="B149" s="69">
        <v>43578.0</v>
      </c>
      <c r="D149" s="161">
        <v>203.7</v>
      </c>
      <c r="E149" s="4" t="s">
        <v>222</v>
      </c>
      <c r="F149" s="4" t="s">
        <v>414</v>
      </c>
      <c r="G149" s="4" t="s">
        <v>414</v>
      </c>
      <c r="H149" s="4" t="s">
        <v>413</v>
      </c>
      <c r="I149" s="4" t="s">
        <v>224</v>
      </c>
      <c r="K149" s="4" t="s">
        <v>231</v>
      </c>
      <c r="L149" s="4" t="s">
        <v>225</v>
      </c>
      <c r="M149" s="4" t="s">
        <v>415</v>
      </c>
      <c r="N149" s="4" t="s">
        <v>416</v>
      </c>
      <c r="O149" s="4" t="s">
        <v>417</v>
      </c>
      <c r="Q149" s="4" t="s">
        <v>418</v>
      </c>
      <c r="R149" s="4" t="s">
        <v>419</v>
      </c>
      <c r="S149" s="4" t="s">
        <v>420</v>
      </c>
    </row>
    <row r="150">
      <c r="A150" s="67" t="str">
        <f t="shared" si="1"/>
        <v>Wed</v>
      </c>
      <c r="B150" s="69">
        <v>43579.0</v>
      </c>
      <c r="D150" s="161">
        <v>203.7</v>
      </c>
      <c r="E150" s="4" t="s">
        <v>222</v>
      </c>
      <c r="F150" s="4" t="s">
        <v>414</v>
      </c>
      <c r="I150" s="4" t="s">
        <v>224</v>
      </c>
    </row>
    <row r="151">
      <c r="A151" s="67" t="str">
        <f t="shared" si="1"/>
        <v>Thu</v>
      </c>
      <c r="B151" s="69">
        <v>43580.0</v>
      </c>
      <c r="D151" s="4">
        <v>203.7</v>
      </c>
      <c r="E151" s="4" t="s">
        <v>222</v>
      </c>
      <c r="F151" s="4" t="s">
        <v>421</v>
      </c>
      <c r="G151" s="4" t="s">
        <v>421</v>
      </c>
      <c r="H151" s="4" t="s">
        <v>414</v>
      </c>
      <c r="I151" s="4" t="s">
        <v>224</v>
      </c>
      <c r="J151" s="4" t="s">
        <v>422</v>
      </c>
      <c r="K151" s="4" t="s">
        <v>231</v>
      </c>
      <c r="L151" s="4" t="s">
        <v>225</v>
      </c>
      <c r="M151" s="4" t="s">
        <v>226</v>
      </c>
      <c r="N151" s="4" t="s">
        <v>232</v>
      </c>
      <c r="O151" s="4" t="s">
        <v>264</v>
      </c>
    </row>
    <row r="152">
      <c r="A152" s="67" t="str">
        <f t="shared" si="1"/>
        <v>Fri</v>
      </c>
      <c r="B152" s="69">
        <v>43581.0</v>
      </c>
      <c r="D152" s="161">
        <v>261.90000000000003</v>
      </c>
      <c r="E152" s="4" t="s">
        <v>222</v>
      </c>
      <c r="F152" s="4" t="s">
        <v>423</v>
      </c>
      <c r="G152" s="4" t="s">
        <v>423</v>
      </c>
      <c r="H152" s="4" t="s">
        <v>421</v>
      </c>
      <c r="I152" s="4" t="s">
        <v>224</v>
      </c>
      <c r="K152" s="4" t="s">
        <v>231</v>
      </c>
      <c r="L152" s="4" t="s">
        <v>225</v>
      </c>
      <c r="M152" s="6" t="s">
        <v>424</v>
      </c>
      <c r="N152" s="6" t="s">
        <v>425</v>
      </c>
      <c r="O152" s="6" t="s">
        <v>426</v>
      </c>
      <c r="Q152" s="6" t="s">
        <v>427</v>
      </c>
      <c r="R152" s="6" t="s">
        <v>428</v>
      </c>
      <c r="S152" s="6">
        <v>3.6826684896E10</v>
      </c>
    </row>
    <row r="153">
      <c r="A153" s="67" t="str">
        <f t="shared" si="1"/>
        <v>Sat</v>
      </c>
      <c r="B153" s="69">
        <v>43582.0</v>
      </c>
      <c r="D153" s="161">
        <v>261.90000000000003</v>
      </c>
      <c r="E153" s="4" t="s">
        <v>222</v>
      </c>
      <c r="F153" s="4" t="s">
        <v>423</v>
      </c>
      <c r="I153" s="4" t="s">
        <v>224</v>
      </c>
    </row>
    <row r="154">
      <c r="A154" s="67" t="str">
        <f t="shared" si="1"/>
        <v>Sun</v>
      </c>
      <c r="B154" s="69">
        <v>43583.0</v>
      </c>
      <c r="D154" s="161">
        <v>261.90000000000003</v>
      </c>
      <c r="E154" s="4" t="s">
        <v>222</v>
      </c>
      <c r="F154" s="4" t="s">
        <v>423</v>
      </c>
      <c r="I154" s="4" t="s">
        <v>224</v>
      </c>
    </row>
    <row r="155">
      <c r="A155" s="67" t="str">
        <f t="shared" si="1"/>
        <v>Mon</v>
      </c>
      <c r="B155" s="69">
        <v>43584.0</v>
      </c>
      <c r="F155" s="4"/>
      <c r="G155" s="4"/>
      <c r="H155" s="4" t="s">
        <v>423</v>
      </c>
      <c r="J155" s="4" t="s">
        <v>422</v>
      </c>
      <c r="L155" s="4" t="s">
        <v>225</v>
      </c>
      <c r="M155" s="4"/>
      <c r="N155" s="4"/>
      <c r="O155" s="4"/>
    </row>
    <row r="156">
      <c r="A156" s="67" t="str">
        <f t="shared" si="1"/>
        <v>Tue</v>
      </c>
      <c r="B156" s="69">
        <v>43585.0</v>
      </c>
      <c r="D156" s="4">
        <v>0.0</v>
      </c>
      <c r="E156" s="4" t="s">
        <v>222</v>
      </c>
      <c r="F156" s="4" t="s">
        <v>429</v>
      </c>
      <c r="G156" s="4" t="s">
        <v>429</v>
      </c>
      <c r="H156" s="4"/>
      <c r="I156" s="4" t="s">
        <v>224</v>
      </c>
      <c r="K156" s="4" t="s">
        <v>231</v>
      </c>
      <c r="L156" s="4" t="s">
        <v>225</v>
      </c>
      <c r="M156" s="4" t="s">
        <v>226</v>
      </c>
      <c r="N156" s="4" t="s">
        <v>232</v>
      </c>
      <c r="O156" s="4" t="s">
        <v>264</v>
      </c>
      <c r="R156" s="4" t="s">
        <v>430</v>
      </c>
    </row>
    <row r="157">
      <c r="A157" s="67" t="str">
        <f t="shared" si="1"/>
        <v>Wed</v>
      </c>
      <c r="B157" s="69">
        <v>43586.0</v>
      </c>
      <c r="D157" s="161">
        <f>245.733333333333*2</f>
        <v>491.4666667</v>
      </c>
      <c r="E157" s="4" t="s">
        <v>222</v>
      </c>
      <c r="F157" s="4" t="s">
        <v>429</v>
      </c>
      <c r="I157" s="4" t="s">
        <v>224</v>
      </c>
    </row>
    <row r="158">
      <c r="A158" s="67" t="str">
        <f t="shared" si="1"/>
        <v>Thu</v>
      </c>
      <c r="B158" s="69">
        <v>43587.0</v>
      </c>
      <c r="D158" s="161">
        <v>245.73333333333335</v>
      </c>
      <c r="E158" s="4" t="s">
        <v>222</v>
      </c>
      <c r="F158" s="4" t="s">
        <v>429</v>
      </c>
      <c r="I158" s="4" t="s">
        <v>224</v>
      </c>
    </row>
    <row r="159">
      <c r="A159" s="67" t="str">
        <f t="shared" si="1"/>
        <v>Fri</v>
      </c>
      <c r="B159" s="69">
        <v>43588.0</v>
      </c>
      <c r="D159" s="161">
        <v>245.73333333333335</v>
      </c>
      <c r="E159" s="4" t="s">
        <v>222</v>
      </c>
      <c r="F159" s="4" t="s">
        <v>429</v>
      </c>
      <c r="I159" s="4" t="s">
        <v>224</v>
      </c>
    </row>
    <row r="160">
      <c r="A160" s="67" t="str">
        <f t="shared" si="1"/>
        <v>Sat</v>
      </c>
      <c r="B160" s="69">
        <v>43589.0</v>
      </c>
      <c r="D160" s="161">
        <v>245.73333333333335</v>
      </c>
      <c r="E160" s="4" t="s">
        <v>222</v>
      </c>
      <c r="F160" s="4" t="s">
        <v>429</v>
      </c>
      <c r="I160" s="4" t="s">
        <v>224</v>
      </c>
    </row>
    <row r="161">
      <c r="A161" s="67" t="str">
        <f t="shared" si="1"/>
        <v>Sun</v>
      </c>
      <c r="B161" s="69">
        <v>43590.0</v>
      </c>
      <c r="D161" s="161">
        <v>245.73333333333335</v>
      </c>
      <c r="E161" s="4" t="s">
        <v>222</v>
      </c>
      <c r="F161" s="4" t="s">
        <v>429</v>
      </c>
      <c r="I161" s="4" t="s">
        <v>224</v>
      </c>
    </row>
    <row r="162">
      <c r="A162" s="67" t="str">
        <f t="shared" si="1"/>
        <v>Mon</v>
      </c>
      <c r="B162" s="69">
        <v>43591.0</v>
      </c>
      <c r="F162" s="4"/>
      <c r="G162" s="4"/>
      <c r="H162" s="4" t="s">
        <v>429</v>
      </c>
      <c r="M162" s="4"/>
      <c r="N162" s="4"/>
      <c r="O162" s="4"/>
    </row>
    <row r="163">
      <c r="A163" s="67" t="str">
        <f t="shared" si="1"/>
        <v>Tue</v>
      </c>
      <c r="B163" s="69">
        <v>43592.0</v>
      </c>
      <c r="D163" s="6">
        <v>882.7</v>
      </c>
      <c r="E163" s="4" t="s">
        <v>222</v>
      </c>
      <c r="F163" s="4" t="s">
        <v>431</v>
      </c>
      <c r="J163" s="4" t="s">
        <v>432</v>
      </c>
    </row>
    <row r="164">
      <c r="A164" s="67" t="str">
        <f t="shared" si="1"/>
        <v>Wed</v>
      </c>
      <c r="B164" s="69">
        <v>43593.0</v>
      </c>
      <c r="F164" s="4"/>
      <c r="G164" s="4"/>
      <c r="H164" s="4"/>
      <c r="M164" s="4"/>
      <c r="N164" s="4"/>
      <c r="O164" s="4"/>
    </row>
    <row r="165">
      <c r="A165" s="67" t="str">
        <f t="shared" si="1"/>
        <v>Thu</v>
      </c>
      <c r="B165" s="69">
        <v>43594.0</v>
      </c>
      <c r="F165" s="4"/>
    </row>
    <row r="166">
      <c r="A166" s="67" t="str">
        <f t="shared" si="1"/>
        <v>Fri</v>
      </c>
      <c r="B166" s="69">
        <v>43595.0</v>
      </c>
      <c r="D166" s="161">
        <v>0.0</v>
      </c>
      <c r="E166" s="4" t="s">
        <v>337</v>
      </c>
      <c r="F166" s="4" t="s">
        <v>433</v>
      </c>
      <c r="G166" s="4" t="s">
        <v>433</v>
      </c>
      <c r="H166" s="4"/>
      <c r="I166" s="4" t="s">
        <v>224</v>
      </c>
      <c r="J166" s="4" t="s">
        <v>434</v>
      </c>
      <c r="K166" s="4" t="s">
        <v>231</v>
      </c>
      <c r="L166" s="4" t="s">
        <v>225</v>
      </c>
      <c r="M166" s="4" t="s">
        <v>435</v>
      </c>
      <c r="N166" s="4"/>
      <c r="O166" s="4"/>
    </row>
    <row r="167">
      <c r="A167" s="67" t="str">
        <f t="shared" si="1"/>
        <v>Sat</v>
      </c>
      <c r="B167" s="69">
        <v>43596.0</v>
      </c>
      <c r="D167" s="161">
        <v>0.0</v>
      </c>
      <c r="E167" s="4" t="s">
        <v>337</v>
      </c>
      <c r="F167" s="4" t="s">
        <v>433</v>
      </c>
      <c r="H167" s="4"/>
      <c r="I167" s="4" t="s">
        <v>224</v>
      </c>
      <c r="R167" s="4" t="s">
        <v>436</v>
      </c>
      <c r="S167" s="4">
        <v>6.79939895E8</v>
      </c>
    </row>
    <row r="168">
      <c r="A168" s="67" t="str">
        <f t="shared" si="1"/>
        <v>Sun</v>
      </c>
      <c r="B168" s="69">
        <v>43597.0</v>
      </c>
      <c r="F168" s="4"/>
      <c r="G168" s="4"/>
      <c r="H168" s="4" t="s">
        <v>433</v>
      </c>
      <c r="N168" s="6"/>
      <c r="O168" s="6"/>
    </row>
    <row r="169">
      <c r="A169" s="67" t="str">
        <f t="shared" si="1"/>
        <v>Mon</v>
      </c>
      <c r="B169" s="69">
        <v>43598.0</v>
      </c>
      <c r="F169" s="4"/>
    </row>
    <row r="170">
      <c r="A170" s="67" t="str">
        <f t="shared" si="1"/>
        <v>Tue</v>
      </c>
      <c r="B170" s="69">
        <v>43599.0</v>
      </c>
      <c r="D170" s="161">
        <v>232.8</v>
      </c>
      <c r="E170" s="4" t="s">
        <v>222</v>
      </c>
      <c r="F170" s="6" t="s">
        <v>437</v>
      </c>
      <c r="G170" s="6" t="s">
        <v>437</v>
      </c>
      <c r="H170" s="4"/>
      <c r="I170" s="4" t="s">
        <v>224</v>
      </c>
      <c r="K170" s="4" t="s">
        <v>231</v>
      </c>
      <c r="L170" s="4" t="s">
        <v>225</v>
      </c>
      <c r="M170" s="6" t="s">
        <v>438</v>
      </c>
      <c r="N170" s="6" t="s">
        <v>439</v>
      </c>
      <c r="O170" s="6" t="s">
        <v>440</v>
      </c>
      <c r="Q170" s="6" t="s">
        <v>441</v>
      </c>
      <c r="R170" s="6" t="s">
        <v>442</v>
      </c>
      <c r="S170" s="6" t="s">
        <v>443</v>
      </c>
    </row>
    <row r="171">
      <c r="A171" s="67" t="str">
        <f t="shared" si="1"/>
        <v>Wed</v>
      </c>
      <c r="B171" s="69">
        <v>43600.0</v>
      </c>
      <c r="D171" s="161">
        <v>232.8</v>
      </c>
      <c r="E171" s="4" t="s">
        <v>222</v>
      </c>
      <c r="F171" s="6" t="s">
        <v>437</v>
      </c>
      <c r="H171" s="6" t="s">
        <v>437</v>
      </c>
      <c r="I171" s="4" t="s">
        <v>224</v>
      </c>
    </row>
    <row r="172">
      <c r="A172" s="67" t="str">
        <f t="shared" si="1"/>
        <v>Thu</v>
      </c>
      <c r="B172" s="69">
        <v>43601.0</v>
      </c>
      <c r="F172" s="4"/>
      <c r="G172" s="4"/>
      <c r="H172" s="4"/>
      <c r="M172" s="4"/>
      <c r="N172" s="4"/>
      <c r="O172" s="4"/>
    </row>
    <row r="173">
      <c r="A173" s="67" t="str">
        <f t="shared" si="1"/>
        <v>Fri</v>
      </c>
      <c r="B173" s="69">
        <v>43602.0</v>
      </c>
      <c r="F173" s="4"/>
    </row>
    <row r="174">
      <c r="A174" s="67" t="str">
        <f t="shared" si="1"/>
        <v>Sat</v>
      </c>
      <c r="B174" s="69">
        <v>43603.0</v>
      </c>
      <c r="D174" s="161">
        <v>0.0</v>
      </c>
      <c r="E174" s="4" t="s">
        <v>337</v>
      </c>
      <c r="F174" s="4" t="s">
        <v>444</v>
      </c>
      <c r="G174" s="4" t="s">
        <v>444</v>
      </c>
      <c r="H174" s="4"/>
      <c r="I174" s="4" t="s">
        <v>224</v>
      </c>
      <c r="J174" s="4" t="s">
        <v>434</v>
      </c>
      <c r="K174" s="4" t="s">
        <v>231</v>
      </c>
      <c r="L174" s="4" t="s">
        <v>225</v>
      </c>
      <c r="M174" s="4" t="s">
        <v>445</v>
      </c>
      <c r="R174" s="4" t="s">
        <v>446</v>
      </c>
      <c r="S174" s="161">
        <v>7.128731989E9</v>
      </c>
    </row>
    <row r="175">
      <c r="A175" s="67" t="str">
        <f t="shared" si="1"/>
        <v>Sun</v>
      </c>
      <c r="B175" s="69">
        <v>43604.0</v>
      </c>
      <c r="D175" s="4">
        <v>218.25</v>
      </c>
      <c r="E175" s="4" t="s">
        <v>222</v>
      </c>
      <c r="F175" s="4" t="s">
        <v>447</v>
      </c>
      <c r="G175" s="4" t="s">
        <v>447</v>
      </c>
      <c r="H175" s="4" t="s">
        <v>444</v>
      </c>
      <c r="K175" s="4" t="s">
        <v>231</v>
      </c>
      <c r="L175" s="4" t="s">
        <v>225</v>
      </c>
      <c r="M175" s="4" t="s">
        <v>226</v>
      </c>
      <c r="N175" s="4"/>
      <c r="O175" s="4"/>
      <c r="R175" s="4" t="s">
        <v>448</v>
      </c>
    </row>
    <row r="176">
      <c r="A176" s="67" t="str">
        <f t="shared" si="1"/>
        <v>Mon</v>
      </c>
      <c r="B176" s="69">
        <v>43605.0</v>
      </c>
      <c r="D176" s="4">
        <v>218.25</v>
      </c>
      <c r="E176" s="4" t="s">
        <v>222</v>
      </c>
      <c r="F176" s="4" t="s">
        <v>447</v>
      </c>
    </row>
    <row r="177">
      <c r="A177" s="67" t="str">
        <f t="shared" si="1"/>
        <v>Tue</v>
      </c>
      <c r="B177" s="69">
        <v>43606.0</v>
      </c>
      <c r="D177" s="4">
        <v>218.25</v>
      </c>
      <c r="E177" s="4" t="s">
        <v>222</v>
      </c>
      <c r="F177" s="4" t="s">
        <v>447</v>
      </c>
    </row>
    <row r="178">
      <c r="A178" s="67" t="str">
        <f t="shared" si="1"/>
        <v>Wed</v>
      </c>
      <c r="B178" s="69">
        <v>43607.0</v>
      </c>
      <c r="D178" s="4">
        <v>218.25</v>
      </c>
      <c r="E178" s="4" t="s">
        <v>222</v>
      </c>
      <c r="F178" s="4" t="s">
        <v>447</v>
      </c>
      <c r="K178" s="4"/>
    </row>
    <row r="179">
      <c r="A179" s="67" t="str">
        <f t="shared" si="1"/>
        <v>Thu</v>
      </c>
      <c r="B179" s="69">
        <v>43608.0</v>
      </c>
      <c r="D179" s="161">
        <v>582.0</v>
      </c>
      <c r="E179" s="4" t="s">
        <v>222</v>
      </c>
      <c r="F179" s="4" t="s">
        <v>449</v>
      </c>
      <c r="G179" s="4" t="s">
        <v>449</v>
      </c>
      <c r="H179" s="4" t="s">
        <v>447</v>
      </c>
      <c r="I179" s="4" t="s">
        <v>224</v>
      </c>
      <c r="K179" s="4" t="s">
        <v>231</v>
      </c>
      <c r="L179" s="4" t="s">
        <v>225</v>
      </c>
      <c r="M179" s="6" t="s">
        <v>450</v>
      </c>
      <c r="Q179" s="6" t="s">
        <v>451</v>
      </c>
      <c r="R179" s="6" t="s">
        <v>452</v>
      </c>
      <c r="S179" s="6" t="s">
        <v>453</v>
      </c>
    </row>
    <row r="180">
      <c r="A180" s="67" t="str">
        <f t="shared" si="1"/>
        <v>Fri</v>
      </c>
      <c r="B180" s="69">
        <v>43609.0</v>
      </c>
      <c r="D180" s="161">
        <v>582.0</v>
      </c>
      <c r="E180" s="4" t="s">
        <v>222</v>
      </c>
      <c r="F180" s="4" t="s">
        <v>449</v>
      </c>
      <c r="I180" s="4" t="s">
        <v>224</v>
      </c>
    </row>
    <row r="181">
      <c r="A181" s="67" t="str">
        <f t="shared" si="1"/>
        <v>Sat</v>
      </c>
      <c r="B181" s="69">
        <v>43610.0</v>
      </c>
      <c r="D181" s="161">
        <v>582.0</v>
      </c>
      <c r="E181" s="4" t="s">
        <v>222</v>
      </c>
      <c r="F181" s="4" t="s">
        <v>449</v>
      </c>
      <c r="I181" s="4" t="s">
        <v>224</v>
      </c>
    </row>
    <row r="182">
      <c r="A182" s="67" t="str">
        <f t="shared" si="1"/>
        <v>Sun</v>
      </c>
      <c r="B182" s="69">
        <v>43611.0</v>
      </c>
      <c r="D182" s="161">
        <v>582.0</v>
      </c>
      <c r="E182" s="4" t="s">
        <v>222</v>
      </c>
      <c r="F182" s="4" t="s">
        <v>449</v>
      </c>
      <c r="I182" s="4" t="s">
        <v>224</v>
      </c>
    </row>
    <row r="183">
      <c r="A183" s="67" t="str">
        <f t="shared" si="1"/>
        <v>Mon</v>
      </c>
      <c r="B183" s="69">
        <v>43612.0</v>
      </c>
      <c r="F183" s="4"/>
      <c r="G183" s="4"/>
      <c r="H183" s="4" t="s">
        <v>449</v>
      </c>
      <c r="J183" s="4" t="s">
        <v>228</v>
      </c>
      <c r="L183" s="4" t="s">
        <v>229</v>
      </c>
      <c r="M183" s="4"/>
      <c r="N183" s="4"/>
      <c r="O183" s="4"/>
    </row>
    <row r="184">
      <c r="A184" s="67" t="str">
        <f t="shared" si="1"/>
        <v>Tue</v>
      </c>
      <c r="B184" s="69">
        <v>43613.0</v>
      </c>
      <c r="F184" s="4"/>
      <c r="J184" s="4" t="s">
        <v>228</v>
      </c>
    </row>
    <row r="185">
      <c r="A185" s="67" t="str">
        <f t="shared" si="1"/>
        <v>Wed</v>
      </c>
      <c r="B185" s="69">
        <v>43614.0</v>
      </c>
      <c r="F185" s="4"/>
      <c r="G185" s="4"/>
      <c r="H185" s="4"/>
      <c r="J185" s="4" t="s">
        <v>422</v>
      </c>
      <c r="L185" s="4" t="s">
        <v>229</v>
      </c>
      <c r="M185" s="4"/>
      <c r="N185" s="4"/>
      <c r="O185" s="4"/>
    </row>
    <row r="186">
      <c r="A186" s="67" t="str">
        <f t="shared" si="1"/>
        <v>Thu</v>
      </c>
      <c r="B186" s="69">
        <v>43615.0</v>
      </c>
      <c r="D186" s="161">
        <v>242.5</v>
      </c>
      <c r="E186" s="4" t="s">
        <v>222</v>
      </c>
      <c r="F186" s="4" t="s">
        <v>454</v>
      </c>
      <c r="G186" s="4" t="s">
        <v>454</v>
      </c>
      <c r="H186" s="4"/>
      <c r="I186" s="4" t="s">
        <v>359</v>
      </c>
      <c r="K186" s="4" t="s">
        <v>231</v>
      </c>
      <c r="L186" s="4" t="s">
        <v>225</v>
      </c>
      <c r="M186" s="4" t="s">
        <v>455</v>
      </c>
      <c r="N186" s="4" t="s">
        <v>456</v>
      </c>
      <c r="Q186" s="4" t="s">
        <v>457</v>
      </c>
      <c r="R186" s="167" t="s">
        <v>458</v>
      </c>
      <c r="S186" s="4"/>
      <c r="T186" s="4"/>
    </row>
    <row r="187">
      <c r="A187" s="67" t="str">
        <f t="shared" si="1"/>
        <v>Fri</v>
      </c>
      <c r="B187" s="69">
        <v>43616.0</v>
      </c>
      <c r="D187" s="161">
        <v>242.5</v>
      </c>
      <c r="E187" s="4" t="s">
        <v>222</v>
      </c>
      <c r="F187" s="4" t="s">
        <v>454</v>
      </c>
      <c r="I187" s="4" t="s">
        <v>359</v>
      </c>
    </row>
    <row r="188">
      <c r="A188" s="67" t="str">
        <f t="shared" si="1"/>
        <v>Sat</v>
      </c>
      <c r="B188" s="69">
        <v>43617.0</v>
      </c>
      <c r="D188" s="161">
        <v>242.5</v>
      </c>
      <c r="E188" s="4" t="s">
        <v>222</v>
      </c>
      <c r="F188" s="4" t="s">
        <v>454</v>
      </c>
      <c r="I188" s="4" t="s">
        <v>359</v>
      </c>
    </row>
    <row r="189">
      <c r="A189" s="67" t="str">
        <f t="shared" si="1"/>
        <v>Sun</v>
      </c>
      <c r="B189" s="69">
        <v>43618.0</v>
      </c>
      <c r="D189" s="161">
        <v>242.5</v>
      </c>
      <c r="E189" s="4" t="s">
        <v>222</v>
      </c>
      <c r="F189" s="4" t="s">
        <v>454</v>
      </c>
      <c r="I189" s="4" t="s">
        <v>359</v>
      </c>
    </row>
    <row r="190">
      <c r="A190" s="67" t="str">
        <f t="shared" si="1"/>
        <v>Mon</v>
      </c>
      <c r="B190" s="69">
        <v>43619.0</v>
      </c>
      <c r="D190" s="161">
        <v>242.5</v>
      </c>
      <c r="E190" s="4" t="s">
        <v>222</v>
      </c>
      <c r="F190" s="4" t="s">
        <v>454</v>
      </c>
      <c r="I190" s="4" t="s">
        <v>359</v>
      </c>
    </row>
    <row r="191">
      <c r="A191" s="67" t="str">
        <f t="shared" si="1"/>
        <v>Tue</v>
      </c>
      <c r="B191" s="69">
        <v>43620.0</v>
      </c>
      <c r="D191" s="161">
        <v>242.5</v>
      </c>
      <c r="E191" s="4" t="s">
        <v>222</v>
      </c>
      <c r="F191" s="4" t="s">
        <v>454</v>
      </c>
      <c r="I191" s="4" t="s">
        <v>359</v>
      </c>
    </row>
    <row r="192">
      <c r="A192" s="67" t="str">
        <f t="shared" si="1"/>
        <v>Wed</v>
      </c>
      <c r="B192" s="69">
        <v>43621.0</v>
      </c>
      <c r="D192" s="161">
        <v>242.5</v>
      </c>
      <c r="E192" s="4" t="s">
        <v>222</v>
      </c>
      <c r="F192" s="4" t="s">
        <v>454</v>
      </c>
      <c r="I192" s="4" t="s">
        <v>359</v>
      </c>
    </row>
    <row r="193">
      <c r="A193" s="67" t="str">
        <f t="shared" si="1"/>
        <v>Thu</v>
      </c>
      <c r="B193" s="69">
        <v>43622.0</v>
      </c>
      <c r="H193" s="4" t="s">
        <v>454</v>
      </c>
    </row>
    <row r="194">
      <c r="A194" s="67" t="str">
        <f t="shared" si="1"/>
        <v>Fri</v>
      </c>
      <c r="B194" s="69">
        <v>43623.0</v>
      </c>
    </row>
    <row r="195">
      <c r="A195" s="67" t="str">
        <f t="shared" si="1"/>
        <v>Sat</v>
      </c>
      <c r="B195" s="69">
        <v>43624.0</v>
      </c>
    </row>
    <row r="196">
      <c r="A196" s="67" t="str">
        <f t="shared" si="1"/>
        <v>Sun</v>
      </c>
      <c r="B196" s="69">
        <v>43625.0</v>
      </c>
    </row>
    <row r="197">
      <c r="A197" s="67" t="str">
        <f t="shared" si="1"/>
        <v>Mon</v>
      </c>
      <c r="B197" s="69">
        <v>43626.0</v>
      </c>
    </row>
    <row r="198">
      <c r="A198" s="67" t="str">
        <f t="shared" si="1"/>
        <v>Tue</v>
      </c>
      <c r="B198" s="69">
        <v>43627.0</v>
      </c>
    </row>
    <row r="199">
      <c r="A199" s="67" t="str">
        <f t="shared" si="1"/>
        <v>Wed</v>
      </c>
      <c r="B199" s="69">
        <v>43628.0</v>
      </c>
    </row>
    <row r="200">
      <c r="A200" s="67" t="str">
        <f t="shared" si="1"/>
        <v>Thu</v>
      </c>
      <c r="B200" s="69">
        <v>43629.0</v>
      </c>
    </row>
    <row r="201">
      <c r="A201" s="67" t="str">
        <f t="shared" si="1"/>
        <v>Fri</v>
      </c>
      <c r="B201" s="69">
        <v>43630.0</v>
      </c>
      <c r="D201" s="161">
        <v>242.5</v>
      </c>
      <c r="E201" s="4" t="s">
        <v>222</v>
      </c>
      <c r="F201" s="4" t="s">
        <v>459</v>
      </c>
      <c r="G201" s="4" t="s">
        <v>459</v>
      </c>
      <c r="I201" s="4" t="s">
        <v>224</v>
      </c>
      <c r="K201" s="4" t="s">
        <v>231</v>
      </c>
      <c r="L201" s="4" t="s">
        <v>225</v>
      </c>
      <c r="M201" s="4" t="s">
        <v>460</v>
      </c>
      <c r="N201" s="4" t="s">
        <v>232</v>
      </c>
      <c r="O201" s="4" t="s">
        <v>264</v>
      </c>
      <c r="Q201" s="4" t="s">
        <v>461</v>
      </c>
      <c r="R201" s="4" t="s">
        <v>462</v>
      </c>
      <c r="S201" s="4">
        <v>7.0793964E8</v>
      </c>
    </row>
    <row r="202">
      <c r="A202" s="67" t="str">
        <f t="shared" si="1"/>
        <v>Sat</v>
      </c>
      <c r="B202" s="69">
        <v>43631.0</v>
      </c>
      <c r="D202" s="161">
        <v>242.5</v>
      </c>
      <c r="E202" s="4" t="s">
        <v>222</v>
      </c>
      <c r="F202" s="4" t="s">
        <v>459</v>
      </c>
      <c r="I202" s="4" t="s">
        <v>224</v>
      </c>
    </row>
    <row r="203">
      <c r="A203" s="67" t="str">
        <f t="shared" si="1"/>
        <v>Sun</v>
      </c>
      <c r="B203" s="69">
        <v>43632.0</v>
      </c>
      <c r="H203" s="4" t="s">
        <v>459</v>
      </c>
    </row>
    <row r="204">
      <c r="A204" s="67" t="str">
        <f t="shared" si="1"/>
        <v>Mon</v>
      </c>
      <c r="B204" s="69">
        <v>43633.0</v>
      </c>
    </row>
    <row r="205">
      <c r="A205" s="67" t="str">
        <f t="shared" si="1"/>
        <v>Tue</v>
      </c>
      <c r="B205" s="69">
        <v>43634.0</v>
      </c>
    </row>
    <row r="206">
      <c r="A206" s="67" t="str">
        <f t="shared" si="1"/>
        <v>Wed</v>
      </c>
      <c r="B206" s="69">
        <v>43635.0</v>
      </c>
    </row>
    <row r="207">
      <c r="A207" s="67" t="str">
        <f t="shared" si="1"/>
        <v>Thu</v>
      </c>
      <c r="B207" s="69">
        <v>43636.0</v>
      </c>
    </row>
    <row r="208">
      <c r="A208" s="67" t="str">
        <f t="shared" si="1"/>
        <v>Fri</v>
      </c>
      <c r="B208" s="69">
        <v>43637.0</v>
      </c>
    </row>
    <row r="209">
      <c r="A209" s="67" t="str">
        <f t="shared" si="1"/>
        <v>Sat</v>
      </c>
      <c r="B209" s="69">
        <v>43638.0</v>
      </c>
    </row>
    <row r="210">
      <c r="A210" s="67" t="str">
        <f t="shared" si="1"/>
        <v>Sun</v>
      </c>
      <c r="B210" s="69">
        <v>43639.0</v>
      </c>
    </row>
    <row r="211">
      <c r="A211" s="67" t="str">
        <f t="shared" si="1"/>
        <v>Mon</v>
      </c>
      <c r="B211" s="69">
        <v>43640.0</v>
      </c>
    </row>
    <row r="212">
      <c r="A212" s="67" t="str">
        <f t="shared" si="1"/>
        <v>Tue</v>
      </c>
      <c r="B212" s="69">
        <v>43641.0</v>
      </c>
    </row>
    <row r="213">
      <c r="A213" s="67" t="str">
        <f t="shared" si="1"/>
        <v>Wed</v>
      </c>
      <c r="B213" s="69">
        <v>43642.0</v>
      </c>
    </row>
    <row r="214">
      <c r="A214" s="67" t="str">
        <f t="shared" si="1"/>
        <v>Thu</v>
      </c>
      <c r="B214" s="69">
        <v>43643.0</v>
      </c>
    </row>
    <row r="215">
      <c r="A215" s="67" t="str">
        <f t="shared" si="1"/>
        <v>Fri</v>
      </c>
      <c r="B215" s="69">
        <v>43644.0</v>
      </c>
    </row>
    <row r="216">
      <c r="A216" s="67" t="str">
        <f t="shared" si="1"/>
        <v>Sat</v>
      </c>
      <c r="B216" s="69">
        <v>43645.0</v>
      </c>
    </row>
    <row r="217">
      <c r="A217" s="67" t="str">
        <f t="shared" si="1"/>
        <v>Sun</v>
      </c>
      <c r="B217" s="69">
        <v>43646.0</v>
      </c>
    </row>
    <row r="218">
      <c r="A218" s="67" t="str">
        <f t="shared" si="1"/>
        <v>Mon</v>
      </c>
      <c r="B218" s="69">
        <v>43647.0</v>
      </c>
    </row>
    <row r="219">
      <c r="A219" s="67" t="str">
        <f t="shared" si="1"/>
        <v>Tue</v>
      </c>
      <c r="B219" s="69">
        <v>43648.0</v>
      </c>
    </row>
    <row r="220">
      <c r="A220" s="67" t="str">
        <f t="shared" si="1"/>
        <v>Wed</v>
      </c>
      <c r="B220" s="69">
        <v>43649.0</v>
      </c>
    </row>
    <row r="221">
      <c r="A221" s="67" t="str">
        <f t="shared" si="1"/>
        <v>Thu</v>
      </c>
      <c r="B221" s="69">
        <v>43650.0</v>
      </c>
    </row>
    <row r="222">
      <c r="A222" s="67" t="str">
        <f t="shared" si="1"/>
        <v>Fri</v>
      </c>
      <c r="B222" s="69">
        <v>43651.0</v>
      </c>
    </row>
    <row r="223">
      <c r="A223" s="67" t="str">
        <f t="shared" si="1"/>
        <v>Sat</v>
      </c>
      <c r="B223" s="69">
        <v>43652.0</v>
      </c>
    </row>
    <row r="224">
      <c r="A224" s="67" t="str">
        <f t="shared" si="1"/>
        <v>Sun</v>
      </c>
      <c r="B224" s="69">
        <v>43653.0</v>
      </c>
    </row>
    <row r="225">
      <c r="A225" s="67" t="str">
        <f t="shared" si="1"/>
        <v>Mon</v>
      </c>
      <c r="B225" s="69">
        <v>43654.0</v>
      </c>
    </row>
    <row r="226">
      <c r="A226" s="67" t="str">
        <f t="shared" si="1"/>
        <v>Tue</v>
      </c>
      <c r="B226" s="69">
        <v>43655.0</v>
      </c>
    </row>
    <row r="227">
      <c r="A227" s="67" t="str">
        <f t="shared" si="1"/>
        <v>Wed</v>
      </c>
      <c r="B227" s="69">
        <v>43656.0</v>
      </c>
    </row>
    <row r="228">
      <c r="A228" s="67" t="str">
        <f t="shared" si="1"/>
        <v>Thu</v>
      </c>
      <c r="B228" s="69">
        <v>43657.0</v>
      </c>
    </row>
    <row r="229">
      <c r="A229" s="67" t="str">
        <f t="shared" si="1"/>
        <v>Fri</v>
      </c>
      <c r="B229" s="69">
        <v>43658.0</v>
      </c>
    </row>
    <row r="230">
      <c r="A230" s="67" t="str">
        <f t="shared" si="1"/>
        <v>Sat</v>
      </c>
      <c r="B230" s="69">
        <v>43659.0</v>
      </c>
    </row>
    <row r="231">
      <c r="A231" s="67" t="str">
        <f t="shared" si="1"/>
        <v>Sun</v>
      </c>
      <c r="B231" s="69">
        <v>43660.0</v>
      </c>
    </row>
    <row r="232">
      <c r="A232" s="67" t="str">
        <f t="shared" si="1"/>
        <v>Mon</v>
      </c>
      <c r="B232" s="69">
        <v>43661.0</v>
      </c>
    </row>
    <row r="233">
      <c r="A233" s="67" t="str">
        <f t="shared" si="1"/>
        <v>Tue</v>
      </c>
      <c r="B233" s="69">
        <v>43662.0</v>
      </c>
    </row>
    <row r="234">
      <c r="A234" s="67" t="str">
        <f t="shared" si="1"/>
        <v>Wed</v>
      </c>
      <c r="B234" s="69">
        <v>43663.0</v>
      </c>
    </row>
    <row r="235">
      <c r="A235" s="67" t="str">
        <f t="shared" si="1"/>
        <v>Thu</v>
      </c>
      <c r="B235" s="69">
        <v>43664.0</v>
      </c>
    </row>
    <row r="236">
      <c r="A236" s="67" t="str">
        <f t="shared" si="1"/>
        <v>Fri</v>
      </c>
      <c r="B236" s="69">
        <v>43665.0</v>
      </c>
    </row>
    <row r="237">
      <c r="A237" s="67" t="str">
        <f t="shared" si="1"/>
        <v>Sat</v>
      </c>
      <c r="B237" s="69">
        <v>43666.0</v>
      </c>
    </row>
    <row r="238">
      <c r="A238" s="67" t="str">
        <f t="shared" si="1"/>
        <v>Sun</v>
      </c>
      <c r="B238" s="69">
        <v>43667.0</v>
      </c>
    </row>
    <row r="239">
      <c r="A239" s="67" t="str">
        <f t="shared" si="1"/>
        <v>Mon</v>
      </c>
      <c r="B239" s="69">
        <v>43668.0</v>
      </c>
    </row>
    <row r="240">
      <c r="A240" s="67" t="str">
        <f t="shared" si="1"/>
        <v>Tue</v>
      </c>
      <c r="B240" s="69">
        <v>43669.0</v>
      </c>
    </row>
    <row r="241">
      <c r="A241" s="67" t="str">
        <f t="shared" si="1"/>
        <v>Wed</v>
      </c>
      <c r="B241" s="69">
        <v>43670.0</v>
      </c>
    </row>
    <row r="242">
      <c r="A242" s="67" t="str">
        <f t="shared" si="1"/>
        <v>Thu</v>
      </c>
      <c r="B242" s="69">
        <v>43671.0</v>
      </c>
    </row>
    <row r="243">
      <c r="A243" s="67" t="str">
        <f t="shared" si="1"/>
        <v>Fri</v>
      </c>
      <c r="B243" s="69">
        <v>43672.0</v>
      </c>
    </row>
    <row r="244">
      <c r="A244" s="67" t="str">
        <f t="shared" si="1"/>
        <v>Sat</v>
      </c>
      <c r="B244" s="69">
        <v>43673.0</v>
      </c>
    </row>
    <row r="245">
      <c r="A245" s="67" t="str">
        <f t="shared" si="1"/>
        <v>Sun</v>
      </c>
      <c r="B245" s="69">
        <v>43674.0</v>
      </c>
    </row>
    <row r="246">
      <c r="A246" s="67" t="str">
        <f t="shared" si="1"/>
        <v>Mon</v>
      </c>
      <c r="B246" s="69">
        <v>43675.0</v>
      </c>
    </row>
    <row r="247">
      <c r="A247" s="67" t="str">
        <f t="shared" si="1"/>
        <v>Tue</v>
      </c>
      <c r="B247" s="69">
        <v>43676.0</v>
      </c>
    </row>
    <row r="248">
      <c r="A248" s="67" t="str">
        <f t="shared" si="1"/>
        <v>Wed</v>
      </c>
      <c r="B248" s="69">
        <v>43677.0</v>
      </c>
    </row>
    <row r="249">
      <c r="A249" s="67" t="str">
        <f t="shared" si="1"/>
        <v>Thu</v>
      </c>
      <c r="B249" s="69">
        <v>43678.0</v>
      </c>
    </row>
    <row r="250">
      <c r="A250" s="67" t="str">
        <f t="shared" si="1"/>
        <v>Fri</v>
      </c>
      <c r="B250" s="69">
        <v>43679.0</v>
      </c>
    </row>
    <row r="251">
      <c r="A251" s="67" t="str">
        <f t="shared" si="1"/>
        <v>Sat</v>
      </c>
      <c r="B251" s="69">
        <v>43680.0</v>
      </c>
    </row>
    <row r="252">
      <c r="A252" s="67" t="str">
        <f t="shared" si="1"/>
        <v>Sun</v>
      </c>
      <c r="B252" s="69">
        <v>43681.0</v>
      </c>
    </row>
    <row r="253">
      <c r="A253" s="67" t="str">
        <f t="shared" si="1"/>
        <v>Mon</v>
      </c>
      <c r="B253" s="69">
        <v>43682.0</v>
      </c>
    </row>
    <row r="254">
      <c r="A254" s="67" t="str">
        <f t="shared" si="1"/>
        <v>Tue</v>
      </c>
      <c r="B254" s="69">
        <v>43683.0</v>
      </c>
    </row>
    <row r="255">
      <c r="A255" s="67" t="str">
        <f t="shared" si="1"/>
        <v>Wed</v>
      </c>
      <c r="B255" s="69">
        <v>43684.0</v>
      </c>
    </row>
    <row r="256">
      <c r="A256" s="67" t="str">
        <f t="shared" si="1"/>
        <v>Thu</v>
      </c>
      <c r="B256" s="69">
        <v>43685.0</v>
      </c>
    </row>
    <row r="257">
      <c r="A257" s="67" t="str">
        <f t="shared" si="1"/>
        <v>Fri</v>
      </c>
      <c r="B257" s="69">
        <v>43686.0</v>
      </c>
    </row>
    <row r="258">
      <c r="A258" s="67" t="str">
        <f t="shared" si="1"/>
        <v>Sat</v>
      </c>
      <c r="B258" s="69">
        <v>43687.0</v>
      </c>
    </row>
    <row r="259">
      <c r="A259" s="67" t="str">
        <f t="shared" si="1"/>
        <v>Sun</v>
      </c>
      <c r="B259" s="69">
        <v>43688.0</v>
      </c>
    </row>
    <row r="260">
      <c r="A260" s="67" t="str">
        <f t="shared" si="1"/>
        <v>Mon</v>
      </c>
      <c r="B260" s="69">
        <v>43689.0</v>
      </c>
    </row>
    <row r="261">
      <c r="A261" s="67" t="str">
        <f t="shared" si="1"/>
        <v>Tue</v>
      </c>
      <c r="B261" s="69">
        <v>43690.0</v>
      </c>
    </row>
    <row r="262">
      <c r="A262" s="67" t="str">
        <f t="shared" si="1"/>
        <v>Wed</v>
      </c>
      <c r="B262" s="69">
        <v>43691.0</v>
      </c>
    </row>
    <row r="263">
      <c r="A263" s="67" t="str">
        <f t="shared" si="1"/>
        <v>Thu</v>
      </c>
      <c r="B263" s="69">
        <v>43692.0</v>
      </c>
    </row>
    <row r="264">
      <c r="A264" s="67" t="str">
        <f t="shared" si="1"/>
        <v>Fri</v>
      </c>
      <c r="B264" s="69">
        <v>43693.0</v>
      </c>
    </row>
    <row r="265">
      <c r="A265" s="67" t="str">
        <f t="shared" si="1"/>
        <v>Sat</v>
      </c>
      <c r="B265" s="69">
        <v>43694.0</v>
      </c>
    </row>
    <row r="266">
      <c r="A266" s="67" t="str">
        <f t="shared" si="1"/>
        <v>Sun</v>
      </c>
      <c r="B266" s="69">
        <v>43695.0</v>
      </c>
    </row>
    <row r="267">
      <c r="A267" s="67" t="str">
        <f t="shared" si="1"/>
        <v>Mon</v>
      </c>
      <c r="B267" s="69">
        <v>43696.0</v>
      </c>
    </row>
    <row r="268">
      <c r="A268" s="67" t="str">
        <f t="shared" si="1"/>
        <v>Tue</v>
      </c>
      <c r="B268" s="69">
        <v>43697.0</v>
      </c>
    </row>
    <row r="269">
      <c r="A269" s="67" t="str">
        <f t="shared" si="1"/>
        <v>Wed</v>
      </c>
      <c r="B269" s="69">
        <v>43698.0</v>
      </c>
    </row>
    <row r="270">
      <c r="A270" s="67" t="str">
        <f t="shared" si="1"/>
        <v>Thu</v>
      </c>
      <c r="B270" s="69">
        <v>43699.0</v>
      </c>
    </row>
    <row r="271">
      <c r="A271" s="67" t="str">
        <f t="shared" si="1"/>
        <v>Fri</v>
      </c>
      <c r="B271" s="69">
        <v>43700.0</v>
      </c>
    </row>
    <row r="272">
      <c r="A272" s="67" t="str">
        <f t="shared" si="1"/>
        <v>Sat</v>
      </c>
      <c r="B272" s="69">
        <v>43701.0</v>
      </c>
    </row>
    <row r="273">
      <c r="A273" s="67" t="str">
        <f t="shared" si="1"/>
        <v>Sun</v>
      </c>
      <c r="B273" s="69">
        <v>43702.0</v>
      </c>
    </row>
    <row r="274">
      <c r="A274" s="67" t="str">
        <f t="shared" si="1"/>
        <v>Mon</v>
      </c>
      <c r="B274" s="69">
        <v>43703.0</v>
      </c>
    </row>
    <row r="275">
      <c r="A275" s="67" t="str">
        <f t="shared" si="1"/>
        <v>Tue</v>
      </c>
      <c r="B275" s="69">
        <v>43704.0</v>
      </c>
    </row>
    <row r="276">
      <c r="A276" s="67" t="str">
        <f t="shared" si="1"/>
        <v>Wed</v>
      </c>
      <c r="B276" s="69">
        <v>43705.0</v>
      </c>
    </row>
    <row r="277">
      <c r="A277" s="67" t="str">
        <f t="shared" si="1"/>
        <v>Thu</v>
      </c>
      <c r="B277" s="69">
        <v>43706.0</v>
      </c>
    </row>
    <row r="278">
      <c r="A278" s="67" t="str">
        <f t="shared" si="1"/>
        <v>Fri</v>
      </c>
      <c r="B278" s="69">
        <v>43707.0</v>
      </c>
    </row>
    <row r="279">
      <c r="A279" s="67" t="str">
        <f t="shared" si="1"/>
        <v>Sat</v>
      </c>
      <c r="B279" s="69">
        <v>43708.0</v>
      </c>
    </row>
    <row r="280">
      <c r="A280" s="67" t="str">
        <f t="shared" si="1"/>
        <v>Sun</v>
      </c>
      <c r="B280" s="69">
        <v>43709.0</v>
      </c>
    </row>
    <row r="281">
      <c r="A281" s="67" t="str">
        <f t="shared" si="1"/>
        <v>Mon</v>
      </c>
      <c r="B281" s="69">
        <v>43710.0</v>
      </c>
    </row>
    <row r="282">
      <c r="A282" s="67" t="str">
        <f t="shared" si="1"/>
        <v>Tue</v>
      </c>
      <c r="B282" s="69">
        <v>43711.0</v>
      </c>
    </row>
    <row r="283">
      <c r="A283" s="67" t="str">
        <f t="shared" si="1"/>
        <v>Wed</v>
      </c>
      <c r="B283" s="69">
        <v>43712.0</v>
      </c>
    </row>
    <row r="284">
      <c r="A284" s="67" t="str">
        <f t="shared" si="1"/>
        <v>Thu</v>
      </c>
      <c r="B284" s="69">
        <v>43713.0</v>
      </c>
    </row>
    <row r="285">
      <c r="A285" s="67" t="str">
        <f t="shared" si="1"/>
        <v>Fri</v>
      </c>
      <c r="B285" s="69">
        <v>43714.0</v>
      </c>
    </row>
    <row r="286">
      <c r="A286" s="67" t="str">
        <f t="shared" si="1"/>
        <v>Sat</v>
      </c>
      <c r="B286" s="69">
        <v>43715.0</v>
      </c>
    </row>
    <row r="287">
      <c r="A287" s="67" t="str">
        <f t="shared" si="1"/>
        <v>Sun</v>
      </c>
      <c r="B287" s="69">
        <v>43716.0</v>
      </c>
    </row>
    <row r="288">
      <c r="A288" s="67" t="str">
        <f t="shared" si="1"/>
        <v>Mon</v>
      </c>
      <c r="B288" s="69">
        <v>43717.0</v>
      </c>
    </row>
    <row r="289">
      <c r="A289" s="67" t="str">
        <f t="shared" si="1"/>
        <v>Tue</v>
      </c>
      <c r="B289" s="69">
        <v>43718.0</v>
      </c>
    </row>
    <row r="290">
      <c r="A290" s="67" t="str">
        <f t="shared" si="1"/>
        <v>Wed</v>
      </c>
      <c r="B290" s="69">
        <v>43719.0</v>
      </c>
    </row>
    <row r="291">
      <c r="A291" s="67" t="str">
        <f t="shared" si="1"/>
        <v>Thu</v>
      </c>
      <c r="B291" s="69">
        <v>43720.0</v>
      </c>
    </row>
    <row r="292">
      <c r="A292" s="67" t="str">
        <f t="shared" si="1"/>
        <v>Fri</v>
      </c>
      <c r="B292" s="69">
        <v>43721.0</v>
      </c>
    </row>
    <row r="293">
      <c r="A293" s="67" t="str">
        <f t="shared" si="1"/>
        <v>Sat</v>
      </c>
      <c r="B293" s="69">
        <v>43722.0</v>
      </c>
    </row>
    <row r="294">
      <c r="A294" s="67" t="str">
        <f t="shared" si="1"/>
        <v>Sun</v>
      </c>
      <c r="B294" s="69">
        <v>43723.0</v>
      </c>
    </row>
    <row r="295">
      <c r="A295" s="67" t="str">
        <f t="shared" si="1"/>
        <v>Mon</v>
      </c>
      <c r="B295" s="69">
        <v>43724.0</v>
      </c>
    </row>
    <row r="296">
      <c r="A296" s="67" t="str">
        <f t="shared" si="1"/>
        <v>Tue</v>
      </c>
      <c r="B296" s="69">
        <v>43725.0</v>
      </c>
    </row>
    <row r="297">
      <c r="A297" s="67" t="str">
        <f t="shared" si="1"/>
        <v>Wed</v>
      </c>
      <c r="B297" s="69">
        <v>43726.0</v>
      </c>
    </row>
    <row r="298">
      <c r="A298" s="67" t="str">
        <f t="shared" si="1"/>
        <v>Thu</v>
      </c>
      <c r="B298" s="69">
        <v>43727.0</v>
      </c>
    </row>
    <row r="299">
      <c r="A299" s="67" t="str">
        <f t="shared" si="1"/>
        <v>Fri</v>
      </c>
      <c r="B299" s="69">
        <v>43728.0</v>
      </c>
    </row>
    <row r="300">
      <c r="A300" s="67" t="str">
        <f t="shared" si="1"/>
        <v>Sat</v>
      </c>
      <c r="B300" s="69">
        <v>43729.0</v>
      </c>
    </row>
    <row r="301">
      <c r="A301" s="67" t="str">
        <f t="shared" si="1"/>
        <v>Sun</v>
      </c>
      <c r="B301" s="69">
        <v>43730.0</v>
      </c>
    </row>
    <row r="302">
      <c r="A302" s="67" t="str">
        <f t="shared" si="1"/>
        <v>Mon</v>
      </c>
      <c r="B302" s="69">
        <v>43731.0</v>
      </c>
    </row>
    <row r="303">
      <c r="A303" s="67" t="str">
        <f t="shared" si="1"/>
        <v>Tue</v>
      </c>
      <c r="B303" s="69">
        <v>43732.0</v>
      </c>
    </row>
    <row r="304">
      <c r="A304" s="67" t="str">
        <f t="shared" si="1"/>
        <v>Wed</v>
      </c>
      <c r="B304" s="69">
        <v>43733.0</v>
      </c>
    </row>
    <row r="305">
      <c r="A305" s="67" t="str">
        <f t="shared" si="1"/>
        <v>Thu</v>
      </c>
      <c r="B305" s="69">
        <v>43734.0</v>
      </c>
    </row>
    <row r="306">
      <c r="A306" s="67" t="str">
        <f t="shared" si="1"/>
        <v>Fri</v>
      </c>
      <c r="B306" s="69">
        <v>43735.0</v>
      </c>
    </row>
    <row r="307">
      <c r="A307" s="67" t="str">
        <f t="shared" si="1"/>
        <v>Sat</v>
      </c>
      <c r="B307" s="69">
        <v>43736.0</v>
      </c>
    </row>
    <row r="308">
      <c r="A308" s="67" t="str">
        <f t="shared" si="1"/>
        <v>Sun</v>
      </c>
      <c r="B308" s="69">
        <v>43737.0</v>
      </c>
    </row>
    <row r="309">
      <c r="A309" s="67" t="str">
        <f t="shared" si="1"/>
        <v>Mon</v>
      </c>
      <c r="B309" s="69">
        <v>43738.0</v>
      </c>
    </row>
    <row r="310">
      <c r="A310" s="67" t="str">
        <f t="shared" si="1"/>
        <v>Tue</v>
      </c>
      <c r="B310" s="69">
        <v>43739.0</v>
      </c>
    </row>
    <row r="311">
      <c r="A311" s="67" t="str">
        <f t="shared" si="1"/>
        <v>Wed</v>
      </c>
      <c r="B311" s="69">
        <v>43740.0</v>
      </c>
    </row>
    <row r="312">
      <c r="A312" s="67" t="str">
        <f t="shared" si="1"/>
        <v>Thu</v>
      </c>
      <c r="B312" s="69">
        <v>43741.0</v>
      </c>
    </row>
    <row r="313">
      <c r="A313" s="67" t="str">
        <f t="shared" si="1"/>
        <v>Fri</v>
      </c>
      <c r="B313" s="69">
        <v>43742.0</v>
      </c>
    </row>
    <row r="314">
      <c r="A314" s="67" t="str">
        <f t="shared" si="1"/>
        <v>Sat</v>
      </c>
      <c r="B314" s="69">
        <v>43743.0</v>
      </c>
    </row>
    <row r="315">
      <c r="A315" s="67" t="str">
        <f t="shared" si="1"/>
        <v>Sun</v>
      </c>
      <c r="B315" s="69">
        <v>43744.0</v>
      </c>
    </row>
    <row r="316">
      <c r="A316" s="67" t="str">
        <f t="shared" si="1"/>
        <v>Mon</v>
      </c>
      <c r="B316" s="69">
        <v>43745.0</v>
      </c>
    </row>
    <row r="317">
      <c r="A317" s="67" t="str">
        <f t="shared" si="1"/>
        <v>Tue</v>
      </c>
      <c r="B317" s="69">
        <v>43746.0</v>
      </c>
    </row>
    <row r="318">
      <c r="A318" s="67" t="str">
        <f t="shared" si="1"/>
        <v>Wed</v>
      </c>
      <c r="B318" s="69">
        <v>43747.0</v>
      </c>
    </row>
    <row r="319">
      <c r="A319" s="67" t="str">
        <f t="shared" si="1"/>
        <v>Thu</v>
      </c>
      <c r="B319" s="69">
        <v>43748.0</v>
      </c>
    </row>
    <row r="320">
      <c r="A320" s="67" t="str">
        <f t="shared" si="1"/>
        <v>Fri</v>
      </c>
      <c r="B320" s="69">
        <v>43749.0</v>
      </c>
    </row>
    <row r="321">
      <c r="A321" s="67" t="str">
        <f t="shared" si="1"/>
        <v>Sat</v>
      </c>
      <c r="B321" s="69">
        <v>43750.0</v>
      </c>
    </row>
    <row r="322">
      <c r="A322" s="67" t="str">
        <f t="shared" si="1"/>
        <v>Sun</v>
      </c>
      <c r="B322" s="69">
        <v>43751.0</v>
      </c>
    </row>
    <row r="323">
      <c r="A323" s="67" t="str">
        <f t="shared" si="1"/>
        <v>Mon</v>
      </c>
      <c r="B323" s="69">
        <v>43752.0</v>
      </c>
    </row>
    <row r="324">
      <c r="A324" s="67" t="str">
        <f t="shared" si="1"/>
        <v>Tue</v>
      </c>
      <c r="B324" s="69">
        <v>43753.0</v>
      </c>
    </row>
    <row r="325">
      <c r="A325" s="67" t="str">
        <f t="shared" si="1"/>
        <v>Wed</v>
      </c>
      <c r="B325" s="69">
        <v>43754.0</v>
      </c>
    </row>
    <row r="326">
      <c r="A326" s="67" t="str">
        <f t="shared" si="1"/>
        <v>Thu</v>
      </c>
      <c r="B326" s="69">
        <v>43755.0</v>
      </c>
    </row>
    <row r="327">
      <c r="A327" s="67" t="str">
        <f t="shared" si="1"/>
        <v>Fri</v>
      </c>
      <c r="B327" s="69">
        <v>43756.0</v>
      </c>
    </row>
    <row r="328">
      <c r="A328" s="67" t="str">
        <f t="shared" si="1"/>
        <v>Sat</v>
      </c>
      <c r="B328" s="69">
        <v>43757.0</v>
      </c>
    </row>
    <row r="329">
      <c r="A329" s="67" t="str">
        <f t="shared" si="1"/>
        <v>Sun</v>
      </c>
      <c r="B329" s="69">
        <v>43758.0</v>
      </c>
    </row>
    <row r="330">
      <c r="A330" s="67" t="str">
        <f t="shared" si="1"/>
        <v>Mon</v>
      </c>
      <c r="B330" s="69">
        <v>43759.0</v>
      </c>
    </row>
    <row r="331">
      <c r="A331" s="67" t="str">
        <f t="shared" si="1"/>
        <v>Tue</v>
      </c>
      <c r="B331" s="69">
        <v>43760.0</v>
      </c>
    </row>
    <row r="332">
      <c r="A332" s="67" t="str">
        <f t="shared" si="1"/>
        <v>Wed</v>
      </c>
      <c r="B332" s="69">
        <v>43761.0</v>
      </c>
    </row>
    <row r="333">
      <c r="A333" s="67" t="str">
        <f t="shared" si="1"/>
        <v>Thu</v>
      </c>
      <c r="B333" s="69">
        <v>43762.0</v>
      </c>
    </row>
    <row r="334">
      <c r="A334" s="67" t="str">
        <f t="shared" si="1"/>
        <v>Fri</v>
      </c>
      <c r="B334" s="69">
        <v>43763.0</v>
      </c>
    </row>
    <row r="335">
      <c r="A335" s="67" t="str">
        <f t="shared" si="1"/>
        <v>Sat</v>
      </c>
      <c r="B335" s="69">
        <v>43764.0</v>
      </c>
    </row>
    <row r="336">
      <c r="A336" s="67" t="str">
        <f t="shared" si="1"/>
        <v>Sun</v>
      </c>
      <c r="B336" s="69">
        <v>43765.0</v>
      </c>
    </row>
    <row r="337">
      <c r="A337" s="67" t="str">
        <f t="shared" si="1"/>
        <v>Mon</v>
      </c>
      <c r="B337" s="69">
        <v>43766.0</v>
      </c>
    </row>
    <row r="338">
      <c r="A338" s="67" t="str">
        <f t="shared" si="1"/>
        <v>Tue</v>
      </c>
      <c r="B338" s="69">
        <v>43767.0</v>
      </c>
    </row>
    <row r="339">
      <c r="A339" s="67" t="str">
        <f t="shared" si="1"/>
        <v>Wed</v>
      </c>
      <c r="B339" s="69">
        <v>43768.0</v>
      </c>
    </row>
    <row r="340">
      <c r="A340" s="67" t="str">
        <f t="shared" si="1"/>
        <v>Thu</v>
      </c>
      <c r="B340" s="69">
        <v>43769.0</v>
      </c>
    </row>
    <row r="341">
      <c r="A341" s="67" t="str">
        <f t="shared" si="1"/>
        <v>Fri</v>
      </c>
      <c r="B341" s="69">
        <v>43770.0</v>
      </c>
    </row>
    <row r="342">
      <c r="A342" s="67" t="str">
        <f t="shared" si="1"/>
        <v>Sat</v>
      </c>
      <c r="B342" s="69">
        <v>43771.0</v>
      </c>
    </row>
    <row r="343">
      <c r="A343" s="67" t="str">
        <f t="shared" si="1"/>
        <v>Sun</v>
      </c>
      <c r="B343" s="69">
        <v>43772.0</v>
      </c>
    </row>
    <row r="344">
      <c r="A344" s="67" t="str">
        <f t="shared" si="1"/>
        <v>Mon</v>
      </c>
      <c r="B344" s="69">
        <v>43773.0</v>
      </c>
    </row>
    <row r="345">
      <c r="A345" s="67" t="str">
        <f t="shared" si="1"/>
        <v>Tue</v>
      </c>
      <c r="B345" s="69">
        <v>43774.0</v>
      </c>
    </row>
    <row r="346">
      <c r="A346" s="67" t="str">
        <f t="shared" si="1"/>
        <v>Wed</v>
      </c>
      <c r="B346" s="69">
        <v>43775.0</v>
      </c>
    </row>
    <row r="347">
      <c r="A347" s="67" t="str">
        <f t="shared" si="1"/>
        <v>Thu</v>
      </c>
      <c r="B347" s="69">
        <v>43776.0</v>
      </c>
    </row>
    <row r="348">
      <c r="A348" s="67" t="str">
        <f t="shared" si="1"/>
        <v>Fri</v>
      </c>
      <c r="B348" s="69">
        <v>43777.0</v>
      </c>
    </row>
    <row r="349">
      <c r="A349" s="67" t="str">
        <f t="shared" si="1"/>
        <v>Sat</v>
      </c>
      <c r="B349" s="69">
        <v>43778.0</v>
      </c>
    </row>
    <row r="350">
      <c r="A350" s="67" t="str">
        <f t="shared" si="1"/>
        <v>Sun</v>
      </c>
      <c r="B350" s="69">
        <v>43779.0</v>
      </c>
    </row>
    <row r="351">
      <c r="A351" s="67" t="str">
        <f t="shared" si="1"/>
        <v>Mon</v>
      </c>
      <c r="B351" s="69">
        <v>43780.0</v>
      </c>
    </row>
    <row r="352">
      <c r="A352" s="67" t="str">
        <f t="shared" si="1"/>
        <v>Tue</v>
      </c>
      <c r="B352" s="69">
        <v>43781.0</v>
      </c>
    </row>
    <row r="353">
      <c r="A353" s="67" t="str">
        <f t="shared" si="1"/>
        <v>Wed</v>
      </c>
      <c r="B353" s="69">
        <v>43782.0</v>
      </c>
    </row>
    <row r="354">
      <c r="A354" s="67" t="str">
        <f t="shared" si="1"/>
        <v>Thu</v>
      </c>
      <c r="B354" s="69">
        <v>43783.0</v>
      </c>
    </row>
    <row r="355">
      <c r="A355" s="67" t="str">
        <f t="shared" si="1"/>
        <v>Fri</v>
      </c>
      <c r="B355" s="69">
        <v>43784.0</v>
      </c>
    </row>
    <row r="356">
      <c r="A356" s="67" t="str">
        <f t="shared" si="1"/>
        <v>Sat</v>
      </c>
      <c r="B356" s="69">
        <v>43785.0</v>
      </c>
    </row>
    <row r="357">
      <c r="A357" s="67" t="str">
        <f t="shared" si="1"/>
        <v>Sun</v>
      </c>
      <c r="B357" s="69">
        <v>43786.0</v>
      </c>
    </row>
    <row r="358">
      <c r="A358" s="67" t="str">
        <f t="shared" si="1"/>
        <v>Mon</v>
      </c>
      <c r="B358" s="69">
        <v>43787.0</v>
      </c>
    </row>
    <row r="359">
      <c r="A359" s="67" t="str">
        <f t="shared" si="1"/>
        <v>Tue</v>
      </c>
      <c r="B359" s="69">
        <v>43788.0</v>
      </c>
    </row>
    <row r="360">
      <c r="A360" s="67" t="str">
        <f t="shared" si="1"/>
        <v>Wed</v>
      </c>
      <c r="B360" s="69">
        <v>43789.0</v>
      </c>
    </row>
    <row r="361">
      <c r="A361" s="67" t="str">
        <f t="shared" si="1"/>
        <v>Thu</v>
      </c>
      <c r="B361" s="69">
        <v>43790.0</v>
      </c>
    </row>
    <row r="362">
      <c r="A362" s="67" t="str">
        <f t="shared" si="1"/>
        <v>Fri</v>
      </c>
      <c r="B362" s="69">
        <v>43791.0</v>
      </c>
    </row>
    <row r="363">
      <c r="A363" s="67" t="str">
        <f t="shared" si="1"/>
        <v>Sat</v>
      </c>
      <c r="B363" s="69">
        <v>43792.0</v>
      </c>
    </row>
    <row r="364">
      <c r="A364" s="67" t="str">
        <f t="shared" si="1"/>
        <v>Sun</v>
      </c>
      <c r="B364" s="69">
        <v>43793.0</v>
      </c>
    </row>
    <row r="365">
      <c r="A365" s="67" t="str">
        <f t="shared" si="1"/>
        <v>Mon</v>
      </c>
      <c r="B365" s="69">
        <v>43794.0</v>
      </c>
    </row>
    <row r="366">
      <c r="A366" s="67" t="str">
        <f t="shared" si="1"/>
        <v>Tue</v>
      </c>
      <c r="B366" s="69">
        <v>43795.0</v>
      </c>
    </row>
    <row r="367">
      <c r="A367" s="67" t="str">
        <f t="shared" si="1"/>
        <v>Wed</v>
      </c>
      <c r="B367" s="69">
        <v>43796.0</v>
      </c>
    </row>
    <row r="368">
      <c r="A368" s="67" t="str">
        <f t="shared" si="1"/>
        <v>Thu</v>
      </c>
      <c r="B368" s="69">
        <v>43797.0</v>
      </c>
    </row>
    <row r="369">
      <c r="A369" s="67" t="str">
        <f t="shared" si="1"/>
        <v>Fri</v>
      </c>
      <c r="B369" s="69">
        <v>43798.0</v>
      </c>
    </row>
    <row r="370">
      <c r="A370" s="67" t="str">
        <f t="shared" si="1"/>
        <v>Sat</v>
      </c>
      <c r="B370" s="69">
        <v>43799.0</v>
      </c>
    </row>
    <row r="371">
      <c r="A371" s="67" t="str">
        <f t="shared" si="1"/>
        <v>Sun</v>
      </c>
      <c r="B371" s="69">
        <v>43800.0</v>
      </c>
    </row>
    <row r="372">
      <c r="A372" s="67" t="str">
        <f t="shared" si="1"/>
        <v>Mon</v>
      </c>
      <c r="B372" s="69">
        <v>43801.0</v>
      </c>
    </row>
    <row r="373">
      <c r="A373" s="67" t="str">
        <f t="shared" si="1"/>
        <v>Tue</v>
      </c>
      <c r="B373" s="69">
        <v>43802.0</v>
      </c>
    </row>
    <row r="374">
      <c r="A374" s="67" t="str">
        <f t="shared" si="1"/>
        <v>Wed</v>
      </c>
      <c r="B374" s="69">
        <v>43803.0</v>
      </c>
    </row>
    <row r="375">
      <c r="A375" s="67" t="str">
        <f t="shared" si="1"/>
        <v>Thu</v>
      </c>
      <c r="B375" s="69">
        <v>43804.0</v>
      </c>
    </row>
    <row r="376">
      <c r="A376" s="67" t="str">
        <f t="shared" si="1"/>
        <v>Fri</v>
      </c>
      <c r="B376" s="69">
        <v>43805.0</v>
      </c>
    </row>
    <row r="377">
      <c r="A377" s="67" t="str">
        <f t="shared" si="1"/>
        <v>Sat</v>
      </c>
      <c r="B377" s="69">
        <v>43806.0</v>
      </c>
    </row>
    <row r="378">
      <c r="A378" s="67" t="str">
        <f t="shared" si="1"/>
        <v>Sun</v>
      </c>
      <c r="B378" s="69">
        <v>43807.0</v>
      </c>
      <c r="D378" s="161">
        <v>455.9</v>
      </c>
      <c r="E378" s="4" t="s">
        <v>222</v>
      </c>
      <c r="F378" s="4" t="s">
        <v>465</v>
      </c>
      <c r="G378" s="4" t="s">
        <v>465</v>
      </c>
      <c r="I378" s="4" t="s">
        <v>224</v>
      </c>
      <c r="K378" s="4" t="s">
        <v>231</v>
      </c>
      <c r="L378" s="4" t="s">
        <v>240</v>
      </c>
      <c r="M378" s="4" t="s">
        <v>226</v>
      </c>
      <c r="N378" s="4" t="s">
        <v>232</v>
      </c>
      <c r="O378" s="4" t="s">
        <v>264</v>
      </c>
      <c r="R378" s="4" t="s">
        <v>466</v>
      </c>
    </row>
    <row r="379">
      <c r="A379" s="67" t="str">
        <f t="shared" si="1"/>
        <v>Mon</v>
      </c>
      <c r="B379" s="69">
        <v>43808.0</v>
      </c>
      <c r="D379" s="161">
        <v>455.9</v>
      </c>
      <c r="E379" s="4" t="s">
        <v>222</v>
      </c>
      <c r="F379" s="4" t="s">
        <v>465</v>
      </c>
      <c r="I379" s="4" t="s">
        <v>224</v>
      </c>
    </row>
    <row r="380">
      <c r="A380" s="67" t="str">
        <f t="shared" si="1"/>
        <v>Tue</v>
      </c>
      <c r="B380" s="69">
        <v>43809.0</v>
      </c>
      <c r="D380" s="161">
        <v>455.9</v>
      </c>
      <c r="E380" s="4" t="s">
        <v>222</v>
      </c>
      <c r="F380" s="4" t="s">
        <v>465</v>
      </c>
      <c r="I380" s="4" t="s">
        <v>224</v>
      </c>
    </row>
    <row r="381">
      <c r="A381" s="67" t="str">
        <f t="shared" si="1"/>
        <v>Wed</v>
      </c>
      <c r="B381" s="69">
        <v>43810.0</v>
      </c>
      <c r="D381" s="161">
        <v>455.9</v>
      </c>
      <c r="E381" s="4" t="s">
        <v>222</v>
      </c>
      <c r="F381" s="4" t="s">
        <v>465</v>
      </c>
      <c r="I381" s="4" t="s">
        <v>224</v>
      </c>
    </row>
    <row r="382">
      <c r="A382" s="67" t="str">
        <f t="shared" si="1"/>
        <v>Thu</v>
      </c>
      <c r="B382" s="69">
        <v>43811.0</v>
      </c>
      <c r="D382" s="161">
        <v>455.9</v>
      </c>
      <c r="E382" s="4" t="s">
        <v>222</v>
      </c>
      <c r="F382" s="4" t="s">
        <v>465</v>
      </c>
      <c r="I382" s="4" t="s">
        <v>224</v>
      </c>
    </row>
    <row r="383">
      <c r="A383" s="67" t="str">
        <f t="shared" si="1"/>
        <v>Fri</v>
      </c>
      <c r="B383" s="69">
        <v>43812.0</v>
      </c>
      <c r="H383" s="4" t="s">
        <v>465</v>
      </c>
    </row>
    <row r="384">
      <c r="A384" s="67" t="str">
        <f t="shared" si="1"/>
        <v>Sat</v>
      </c>
      <c r="B384" s="69">
        <v>43813.0</v>
      </c>
    </row>
    <row r="385">
      <c r="A385" s="67" t="str">
        <f t="shared" si="1"/>
        <v>Sun</v>
      </c>
      <c r="B385" s="69">
        <v>43814.0</v>
      </c>
    </row>
    <row r="386">
      <c r="A386" s="67" t="str">
        <f t="shared" si="1"/>
        <v>Mon</v>
      </c>
      <c r="B386" s="69">
        <v>43815.0</v>
      </c>
    </row>
    <row r="387">
      <c r="A387" s="67" t="str">
        <f t="shared" si="1"/>
        <v>Tue</v>
      </c>
      <c r="B387" s="69">
        <v>43816.0</v>
      </c>
    </row>
    <row r="388">
      <c r="A388" s="67" t="str">
        <f t="shared" si="1"/>
        <v>Wed</v>
      </c>
      <c r="B388" s="69">
        <v>43817.0</v>
      </c>
    </row>
    <row r="389">
      <c r="A389" s="67" t="str">
        <f t="shared" si="1"/>
        <v>Thu</v>
      </c>
      <c r="B389" s="69">
        <v>43818.0</v>
      </c>
    </row>
    <row r="390">
      <c r="A390" s="67" t="str">
        <f t="shared" si="1"/>
        <v>Fri</v>
      </c>
      <c r="B390" s="69">
        <v>43819.0</v>
      </c>
    </row>
    <row r="391">
      <c r="A391" s="67" t="str">
        <f t="shared" si="1"/>
        <v>Sat</v>
      </c>
      <c r="B391" s="69">
        <v>43820.0</v>
      </c>
    </row>
    <row r="392">
      <c r="A392" s="67" t="str">
        <f t="shared" si="1"/>
        <v>Sun</v>
      </c>
      <c r="B392" s="69">
        <v>43821.0</v>
      </c>
    </row>
    <row r="393">
      <c r="A393" s="67" t="str">
        <f t="shared" si="1"/>
        <v>Mon</v>
      </c>
      <c r="B393" s="69">
        <v>43822.0</v>
      </c>
    </row>
    <row r="394">
      <c r="A394" s="67" t="str">
        <f t="shared" si="1"/>
        <v>Tue</v>
      </c>
      <c r="B394" s="69">
        <v>43823.0</v>
      </c>
    </row>
    <row r="395">
      <c r="A395" s="67" t="str">
        <f t="shared" si="1"/>
        <v>Wed</v>
      </c>
      <c r="B395" s="69">
        <v>43824.0</v>
      </c>
    </row>
    <row r="396">
      <c r="A396" s="67" t="str">
        <f t="shared" si="1"/>
        <v>Thu</v>
      </c>
      <c r="B396" s="69">
        <v>43825.0</v>
      </c>
    </row>
    <row r="397">
      <c r="A397" s="67" t="str">
        <f t="shared" si="1"/>
        <v>Fri</v>
      </c>
      <c r="B397" s="69">
        <v>43826.0</v>
      </c>
    </row>
    <row r="398">
      <c r="A398" s="67" t="str">
        <f t="shared" si="1"/>
        <v>Sat</v>
      </c>
      <c r="B398" s="69">
        <v>43827.0</v>
      </c>
    </row>
    <row r="399">
      <c r="A399" s="67" t="str">
        <f t="shared" si="1"/>
        <v>Sun</v>
      </c>
      <c r="B399" s="69">
        <v>43828.0</v>
      </c>
    </row>
    <row r="400">
      <c r="A400" s="67" t="str">
        <f t="shared" si="1"/>
        <v>Mon</v>
      </c>
      <c r="B400" s="69">
        <v>43829.0</v>
      </c>
    </row>
    <row r="401">
      <c r="A401" s="67" t="str">
        <f t="shared" si="1"/>
        <v>Tue</v>
      </c>
      <c r="B401" s="69">
        <v>43830.0</v>
      </c>
    </row>
  </sheetData>
  <mergeCells count="5">
    <mergeCell ref="A1:C3"/>
    <mergeCell ref="E1:F1"/>
    <mergeCell ref="E2:F2"/>
    <mergeCell ref="E3:F3"/>
    <mergeCell ref="G1:R3"/>
  </mergeCells>
  <conditionalFormatting sqref="K1:L401">
    <cfRule type="cellIs" dxfId="0" priority="1" operator="equal">
      <formula>"Enviar email para hotel"</formula>
    </cfRule>
  </conditionalFormatting>
  <dataValidations>
    <dataValidation type="list" allowBlank="1" sqref="L37:L401">
      <formula1>"Enviar email para hotel,Enviado para o hotel,Código de reserva enviado para hóspede,Verificar dados com o hóspede,URGENTE,Fechado"</formula1>
    </dataValidation>
    <dataValidation type="list" allowBlank="1" sqref="K6:L36">
      <formula1>"Enviar email para hotel,Enviado para o hotel,Código de reserva enviado para hóspede,Fechado"</formula1>
    </dataValidation>
    <dataValidation type="list" allowBlank="1" sqref="K37:K401">
      <formula1>"A PAGAR,PARCIALMENTE PAGO,PAGO"</formula1>
    </dataValidation>
  </dataValidations>
  <hyperlinks>
    <hyperlink display="Sumario" location="Sumario!A1" ref="A4"/>
  </hyperlinks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13.57"/>
    <col customWidth="1" min="4" max="4" width="17.0"/>
  </cols>
  <sheetData>
    <row r="1">
      <c r="A1" s="1"/>
      <c r="B1" s="2"/>
      <c r="C1" s="3"/>
      <c r="D1" s="11" t="s">
        <v>198</v>
      </c>
      <c r="E1" s="153" t="s">
        <v>199</v>
      </c>
      <c r="F1" s="3"/>
      <c r="G1" s="154" t="s">
        <v>200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155"/>
    </row>
    <row r="2">
      <c r="A2" s="13"/>
      <c r="C2" s="15"/>
      <c r="D2" s="9" t="s">
        <v>201</v>
      </c>
      <c r="E2" s="156">
        <v>1213.0</v>
      </c>
      <c r="F2" s="15"/>
      <c r="S2" s="15"/>
      <c r="T2" s="155"/>
    </row>
    <row r="3">
      <c r="A3" s="17"/>
      <c r="B3" s="19"/>
      <c r="C3" s="21"/>
      <c r="D3" s="26" t="s">
        <v>202</v>
      </c>
      <c r="E3" s="157" t="s">
        <v>89</v>
      </c>
      <c r="F3" s="21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21"/>
      <c r="T3" s="155"/>
    </row>
    <row r="4">
      <c r="A4" s="158" t="s">
        <v>203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N4" s="30"/>
      <c r="O4" s="30"/>
      <c r="P4" s="30"/>
      <c r="Q4" s="30"/>
      <c r="R4" s="30"/>
      <c r="S4" s="30"/>
      <c r="T4" s="30"/>
      <c r="U4" s="30"/>
      <c r="V4" s="30"/>
    </row>
    <row r="5">
      <c r="A5" s="42" t="s">
        <v>204</v>
      </c>
      <c r="B5" s="45" t="s">
        <v>33</v>
      </c>
      <c r="C5" s="45" t="s">
        <v>205</v>
      </c>
      <c r="D5" s="45" t="s">
        <v>206</v>
      </c>
      <c r="E5" s="45" t="s">
        <v>207</v>
      </c>
      <c r="F5" s="45" t="s">
        <v>208</v>
      </c>
      <c r="G5" s="45" t="s">
        <v>209</v>
      </c>
      <c r="H5" s="45" t="s">
        <v>210</v>
      </c>
      <c r="I5" s="45" t="s">
        <v>211</v>
      </c>
      <c r="J5" s="45" t="s">
        <v>212</v>
      </c>
      <c r="K5" s="45" t="s">
        <v>213</v>
      </c>
      <c r="L5" s="45" t="s">
        <v>214</v>
      </c>
      <c r="M5" s="45" t="s">
        <v>215</v>
      </c>
      <c r="N5" s="45" t="s">
        <v>216</v>
      </c>
      <c r="O5" s="45" t="s">
        <v>217</v>
      </c>
      <c r="P5" s="45" t="s">
        <v>218</v>
      </c>
      <c r="Q5" s="45" t="s">
        <v>219</v>
      </c>
      <c r="R5" s="45" t="s">
        <v>220</v>
      </c>
      <c r="S5" s="159" t="s">
        <v>221</v>
      </c>
      <c r="T5" s="160"/>
    </row>
    <row r="6" hidden="1">
      <c r="A6" s="67" t="str">
        <f t="shared" ref="A6:A324" si="1">CHOOSE(weekday(B6),"Sun","Mon","Tue","Wed","Thu","Fri","Sat")</f>
        <v>Sat</v>
      </c>
      <c r="B6" s="69">
        <v>43512.0</v>
      </c>
      <c r="F6" s="4" t="s">
        <v>267</v>
      </c>
      <c r="S6" s="15"/>
    </row>
    <row r="7" hidden="1">
      <c r="A7" s="67" t="str">
        <f t="shared" si="1"/>
        <v>Sun</v>
      </c>
      <c r="B7" s="69">
        <v>43513.0</v>
      </c>
      <c r="F7" s="4" t="s">
        <v>267</v>
      </c>
      <c r="S7" s="15"/>
    </row>
    <row r="8" hidden="1">
      <c r="A8" s="67" t="str">
        <f t="shared" si="1"/>
        <v>Mon</v>
      </c>
      <c r="B8" s="69">
        <v>43514.0</v>
      </c>
      <c r="F8" s="4" t="s">
        <v>267</v>
      </c>
      <c r="S8" s="15"/>
    </row>
    <row r="9" hidden="1">
      <c r="A9" s="67" t="str">
        <f t="shared" si="1"/>
        <v>Tue</v>
      </c>
      <c r="B9" s="69">
        <v>43515.0</v>
      </c>
      <c r="F9" s="4" t="s">
        <v>267</v>
      </c>
      <c r="S9" s="15"/>
    </row>
    <row r="10" hidden="1">
      <c r="A10" s="67" t="str">
        <f t="shared" si="1"/>
        <v>Wed</v>
      </c>
      <c r="B10" s="69">
        <v>43516.0</v>
      </c>
      <c r="F10" s="4" t="s">
        <v>267</v>
      </c>
      <c r="S10" s="15"/>
    </row>
    <row r="11" hidden="1">
      <c r="A11" s="67" t="str">
        <f t="shared" si="1"/>
        <v>Thu</v>
      </c>
      <c r="B11" s="69">
        <v>43517.0</v>
      </c>
      <c r="F11" s="4" t="s">
        <v>267</v>
      </c>
      <c r="S11" s="15"/>
    </row>
    <row r="12" hidden="1">
      <c r="A12" s="67" t="str">
        <f t="shared" si="1"/>
        <v>Fri</v>
      </c>
      <c r="B12" s="69">
        <v>43518.0</v>
      </c>
      <c r="F12" s="4" t="s">
        <v>267</v>
      </c>
      <c r="S12" s="15"/>
    </row>
    <row r="13" hidden="1">
      <c r="A13" s="67" t="str">
        <f t="shared" si="1"/>
        <v>Sat</v>
      </c>
      <c r="B13" s="69">
        <v>43519.0</v>
      </c>
      <c r="F13" s="4" t="s">
        <v>267</v>
      </c>
      <c r="S13" s="15"/>
    </row>
    <row r="14" hidden="1">
      <c r="A14" s="67" t="str">
        <f t="shared" si="1"/>
        <v>Sun</v>
      </c>
      <c r="B14" s="69">
        <v>43520.0</v>
      </c>
      <c r="F14" s="4" t="s">
        <v>267</v>
      </c>
      <c r="S14" s="15"/>
    </row>
    <row r="15" hidden="1">
      <c r="A15" s="67" t="str">
        <f t="shared" si="1"/>
        <v>Mon</v>
      </c>
      <c r="B15" s="69">
        <v>43521.0</v>
      </c>
      <c r="F15" s="4" t="s">
        <v>267</v>
      </c>
      <c r="S15" s="15"/>
    </row>
    <row r="16" hidden="1">
      <c r="A16" s="67" t="str">
        <f t="shared" si="1"/>
        <v>Tue</v>
      </c>
      <c r="B16" s="69">
        <v>43522.0</v>
      </c>
      <c r="F16" s="4" t="s">
        <v>267</v>
      </c>
      <c r="S16" s="15"/>
    </row>
    <row r="17" hidden="1">
      <c r="A17" s="67" t="str">
        <f t="shared" si="1"/>
        <v>Wed</v>
      </c>
      <c r="B17" s="69">
        <v>43523.0</v>
      </c>
      <c r="F17" s="4" t="s">
        <v>267</v>
      </c>
      <c r="S17" s="15"/>
    </row>
    <row r="18" hidden="1">
      <c r="A18" s="67" t="str">
        <f t="shared" si="1"/>
        <v>Thu</v>
      </c>
      <c r="B18" s="69">
        <v>43524.0</v>
      </c>
      <c r="F18" s="4" t="s">
        <v>267</v>
      </c>
      <c r="S18" s="15"/>
    </row>
    <row r="19" hidden="1">
      <c r="A19" s="67" t="str">
        <f t="shared" si="1"/>
        <v>Fri</v>
      </c>
      <c r="B19" s="69">
        <v>43525.0</v>
      </c>
      <c r="F19" s="4" t="s">
        <v>267</v>
      </c>
      <c r="S19" s="15"/>
    </row>
    <row r="20" hidden="1">
      <c r="A20" s="67" t="str">
        <f t="shared" si="1"/>
        <v>Sat</v>
      </c>
      <c r="B20" s="69">
        <v>43526.0</v>
      </c>
      <c r="F20" s="4" t="s">
        <v>267</v>
      </c>
      <c r="S20" s="15"/>
    </row>
    <row r="21" hidden="1">
      <c r="A21" s="67" t="str">
        <f t="shared" si="1"/>
        <v>Sun</v>
      </c>
      <c r="B21" s="69">
        <v>43527.0</v>
      </c>
      <c r="F21" s="4" t="s">
        <v>267</v>
      </c>
      <c r="S21" s="15"/>
    </row>
    <row r="22" hidden="1">
      <c r="A22" s="67" t="str">
        <f t="shared" si="1"/>
        <v>Mon</v>
      </c>
      <c r="B22" s="69">
        <v>43528.0</v>
      </c>
      <c r="F22" s="4" t="s">
        <v>267</v>
      </c>
      <c r="S22" s="15"/>
    </row>
    <row r="23" hidden="1">
      <c r="A23" s="67" t="str">
        <f t="shared" si="1"/>
        <v>Tue</v>
      </c>
      <c r="B23" s="69">
        <v>43529.0</v>
      </c>
      <c r="F23" s="4" t="s">
        <v>267</v>
      </c>
      <c r="S23" s="15"/>
    </row>
    <row r="24" hidden="1">
      <c r="A24" s="67" t="str">
        <f t="shared" si="1"/>
        <v>Wed</v>
      </c>
      <c r="B24" s="69">
        <v>43530.0</v>
      </c>
      <c r="F24" s="4" t="s">
        <v>267</v>
      </c>
      <c r="S24" s="15"/>
    </row>
    <row r="25" hidden="1">
      <c r="A25" s="67" t="str">
        <f t="shared" si="1"/>
        <v>Thu</v>
      </c>
      <c r="B25" s="69">
        <v>43531.0</v>
      </c>
      <c r="F25" s="4" t="s">
        <v>267</v>
      </c>
      <c r="S25" s="15"/>
    </row>
    <row r="26" hidden="1">
      <c r="A26" s="67" t="str">
        <f t="shared" si="1"/>
        <v>Fri</v>
      </c>
      <c r="B26" s="69">
        <v>43532.0</v>
      </c>
      <c r="F26" s="4" t="s">
        <v>267</v>
      </c>
      <c r="S26" s="15"/>
    </row>
    <row r="27" hidden="1">
      <c r="A27" s="67" t="str">
        <f t="shared" si="1"/>
        <v>Sat</v>
      </c>
      <c r="B27" s="69">
        <v>43533.0</v>
      </c>
      <c r="F27" s="4" t="s">
        <v>267</v>
      </c>
      <c r="S27" s="15"/>
    </row>
    <row r="28" hidden="1">
      <c r="A28" s="67" t="str">
        <f t="shared" si="1"/>
        <v>Sun</v>
      </c>
      <c r="B28" s="69">
        <v>43534.0</v>
      </c>
      <c r="F28" s="4" t="s">
        <v>267</v>
      </c>
      <c r="S28" s="15"/>
    </row>
    <row r="29" hidden="1">
      <c r="A29" s="67" t="str">
        <f t="shared" si="1"/>
        <v>Mon</v>
      </c>
      <c r="B29" s="69">
        <v>43535.0</v>
      </c>
      <c r="F29" s="4" t="s">
        <v>267</v>
      </c>
      <c r="S29" s="15"/>
    </row>
    <row r="30" hidden="1">
      <c r="A30" s="67" t="str">
        <f t="shared" si="1"/>
        <v>Tue</v>
      </c>
      <c r="B30" s="69">
        <v>43536.0</v>
      </c>
      <c r="F30" s="4" t="s">
        <v>267</v>
      </c>
      <c r="S30" s="15"/>
    </row>
    <row r="31" hidden="1">
      <c r="A31" s="67" t="str">
        <f t="shared" si="1"/>
        <v>Wed</v>
      </c>
      <c r="B31" s="69">
        <v>43537.0</v>
      </c>
      <c r="F31" s="4" t="s">
        <v>267</v>
      </c>
      <c r="S31" s="15"/>
    </row>
    <row r="32" hidden="1">
      <c r="A32" s="67" t="str">
        <f t="shared" si="1"/>
        <v>Thu</v>
      </c>
      <c r="B32" s="69">
        <v>43538.0</v>
      </c>
      <c r="F32" s="4" t="s">
        <v>267</v>
      </c>
      <c r="S32" s="15"/>
    </row>
    <row r="33" hidden="1">
      <c r="A33" s="67" t="str">
        <f t="shared" si="1"/>
        <v>Fri</v>
      </c>
      <c r="B33" s="69">
        <v>43539.0</v>
      </c>
      <c r="F33" s="4" t="s">
        <v>267</v>
      </c>
      <c r="S33" s="15"/>
    </row>
    <row r="34" hidden="1">
      <c r="A34" s="67" t="str">
        <f t="shared" si="1"/>
        <v>Sat</v>
      </c>
      <c r="B34" s="69">
        <v>43540.0</v>
      </c>
      <c r="F34" s="4" t="s">
        <v>267</v>
      </c>
      <c r="S34" s="15"/>
    </row>
    <row r="35" hidden="1">
      <c r="A35" s="67" t="str">
        <f t="shared" si="1"/>
        <v>Sun</v>
      </c>
      <c r="B35" s="69">
        <v>43541.0</v>
      </c>
      <c r="F35" s="4" t="s">
        <v>267</v>
      </c>
      <c r="S35" s="15"/>
    </row>
    <row r="36" hidden="1">
      <c r="A36" s="67" t="str">
        <f t="shared" si="1"/>
        <v>Mon</v>
      </c>
      <c r="B36" s="69">
        <v>43542.0</v>
      </c>
      <c r="F36" s="4" t="s">
        <v>267</v>
      </c>
      <c r="S36" s="15"/>
    </row>
    <row r="37" hidden="1">
      <c r="A37" s="67" t="str">
        <f t="shared" si="1"/>
        <v>Tue</v>
      </c>
      <c r="B37" s="69">
        <v>43543.0</v>
      </c>
      <c r="F37" s="4" t="s">
        <v>267</v>
      </c>
      <c r="S37" s="15"/>
    </row>
    <row r="38" hidden="1">
      <c r="A38" s="67" t="str">
        <f t="shared" si="1"/>
        <v>Wed</v>
      </c>
      <c r="B38" s="69">
        <v>43544.0</v>
      </c>
      <c r="F38" s="4" t="s">
        <v>267</v>
      </c>
      <c r="S38" s="15"/>
    </row>
    <row r="39" hidden="1">
      <c r="A39" s="67" t="str">
        <f t="shared" si="1"/>
        <v>Thu</v>
      </c>
      <c r="B39" s="69">
        <v>43545.0</v>
      </c>
      <c r="F39" s="4" t="s">
        <v>267</v>
      </c>
      <c r="S39" s="15"/>
    </row>
    <row r="40" hidden="1">
      <c r="A40" s="67" t="str">
        <f t="shared" si="1"/>
        <v>Fri</v>
      </c>
      <c r="B40" s="69">
        <v>43546.0</v>
      </c>
      <c r="F40" s="4" t="s">
        <v>267</v>
      </c>
      <c r="S40" s="15"/>
    </row>
    <row r="41" hidden="1">
      <c r="A41" s="67" t="str">
        <f t="shared" si="1"/>
        <v>Sat</v>
      </c>
      <c r="B41" s="69">
        <v>43547.0</v>
      </c>
      <c r="F41" s="4" t="s">
        <v>267</v>
      </c>
      <c r="S41" s="15"/>
    </row>
    <row r="42" hidden="1">
      <c r="A42" s="67" t="str">
        <f t="shared" si="1"/>
        <v>Sun</v>
      </c>
      <c r="B42" s="69">
        <v>43548.0</v>
      </c>
      <c r="F42" s="4" t="s">
        <v>267</v>
      </c>
      <c r="S42" s="15"/>
    </row>
    <row r="43" hidden="1">
      <c r="A43" s="67" t="str">
        <f t="shared" si="1"/>
        <v>Mon</v>
      </c>
      <c r="B43" s="69">
        <v>43549.0</v>
      </c>
      <c r="F43" s="4" t="s">
        <v>267</v>
      </c>
      <c r="S43" s="15"/>
    </row>
    <row r="44" hidden="1">
      <c r="A44" s="67" t="str">
        <f t="shared" si="1"/>
        <v>Tue</v>
      </c>
      <c r="B44" s="69">
        <v>43550.0</v>
      </c>
      <c r="F44" s="4" t="s">
        <v>267</v>
      </c>
      <c r="S44" s="15"/>
    </row>
    <row r="45" hidden="1">
      <c r="A45" s="67" t="str">
        <f t="shared" si="1"/>
        <v>Wed</v>
      </c>
      <c r="B45" s="69">
        <v>43551.0</v>
      </c>
      <c r="F45" s="4" t="s">
        <v>267</v>
      </c>
      <c r="S45" s="15"/>
    </row>
    <row r="46" hidden="1">
      <c r="A46" s="67" t="str">
        <f t="shared" si="1"/>
        <v>Thu</v>
      </c>
      <c r="B46" s="69">
        <v>43552.0</v>
      </c>
      <c r="F46" s="4" t="s">
        <v>267</v>
      </c>
      <c r="S46" s="15"/>
    </row>
    <row r="47" hidden="1">
      <c r="A47" s="67" t="str">
        <f t="shared" si="1"/>
        <v>Fri</v>
      </c>
      <c r="B47" s="69">
        <v>43553.0</v>
      </c>
      <c r="F47" s="4" t="s">
        <v>267</v>
      </c>
      <c r="S47" s="15"/>
    </row>
    <row r="48" hidden="1">
      <c r="A48" s="67" t="str">
        <f t="shared" si="1"/>
        <v>Sat</v>
      </c>
      <c r="B48" s="69">
        <v>43554.0</v>
      </c>
      <c r="F48" s="4" t="s">
        <v>267</v>
      </c>
      <c r="S48" s="15"/>
    </row>
    <row r="49" hidden="1">
      <c r="A49" s="67" t="str">
        <f t="shared" si="1"/>
        <v>Sun</v>
      </c>
      <c r="B49" s="69">
        <v>43555.0</v>
      </c>
      <c r="F49" s="4" t="s">
        <v>267</v>
      </c>
      <c r="S49" s="15"/>
    </row>
    <row r="50" hidden="1">
      <c r="A50" s="67" t="str">
        <f t="shared" si="1"/>
        <v>Mon</v>
      </c>
      <c r="B50" s="69">
        <v>43556.0</v>
      </c>
      <c r="F50" s="4" t="s">
        <v>267</v>
      </c>
      <c r="S50" s="15"/>
    </row>
    <row r="51" hidden="1">
      <c r="A51" s="67" t="str">
        <f t="shared" si="1"/>
        <v>Tue</v>
      </c>
      <c r="B51" s="69">
        <v>43557.0</v>
      </c>
      <c r="F51" s="4" t="s">
        <v>267</v>
      </c>
      <c r="S51" s="15"/>
    </row>
    <row r="52" hidden="1">
      <c r="A52" s="67" t="str">
        <f t="shared" si="1"/>
        <v>Wed</v>
      </c>
      <c r="B52" s="69">
        <v>43558.0</v>
      </c>
      <c r="F52" s="4" t="s">
        <v>267</v>
      </c>
      <c r="S52" s="15"/>
    </row>
    <row r="53" hidden="1">
      <c r="A53" s="67" t="str">
        <f t="shared" si="1"/>
        <v>Thu</v>
      </c>
      <c r="B53" s="69">
        <v>43559.0</v>
      </c>
      <c r="F53" s="4" t="s">
        <v>267</v>
      </c>
      <c r="S53" s="15"/>
    </row>
    <row r="54" hidden="1">
      <c r="A54" s="67" t="str">
        <f t="shared" si="1"/>
        <v>Fri</v>
      </c>
      <c r="B54" s="69">
        <v>43560.0</v>
      </c>
      <c r="F54" s="4" t="s">
        <v>267</v>
      </c>
      <c r="S54" s="15"/>
    </row>
    <row r="55" hidden="1">
      <c r="A55" s="67" t="str">
        <f t="shared" si="1"/>
        <v>Sat</v>
      </c>
      <c r="B55" s="69">
        <v>43561.0</v>
      </c>
      <c r="F55" s="4" t="s">
        <v>267</v>
      </c>
      <c r="S55" s="15"/>
    </row>
    <row r="56" hidden="1">
      <c r="A56" s="67" t="str">
        <f t="shared" si="1"/>
        <v>Sun</v>
      </c>
      <c r="B56" s="69">
        <v>43562.0</v>
      </c>
      <c r="F56" s="4" t="s">
        <v>267</v>
      </c>
      <c r="S56" s="15"/>
    </row>
    <row r="57" hidden="1">
      <c r="A57" s="67" t="str">
        <f t="shared" si="1"/>
        <v>Mon</v>
      </c>
      <c r="B57" s="69">
        <v>43563.0</v>
      </c>
      <c r="F57" s="4" t="s">
        <v>267</v>
      </c>
      <c r="S57" s="15"/>
    </row>
    <row r="58" hidden="1">
      <c r="A58" s="67" t="str">
        <f t="shared" si="1"/>
        <v>Tue</v>
      </c>
      <c r="B58" s="69">
        <v>43564.0</v>
      </c>
      <c r="F58" s="4" t="s">
        <v>267</v>
      </c>
      <c r="S58" s="15"/>
    </row>
    <row r="59" hidden="1">
      <c r="A59" s="67" t="str">
        <f t="shared" si="1"/>
        <v>Wed</v>
      </c>
      <c r="B59" s="69">
        <v>43565.0</v>
      </c>
      <c r="F59" s="4" t="s">
        <v>267</v>
      </c>
      <c r="S59" s="15"/>
    </row>
    <row r="60" hidden="1">
      <c r="A60" s="67" t="str">
        <f t="shared" si="1"/>
        <v>Thu</v>
      </c>
      <c r="B60" s="69">
        <v>43566.0</v>
      </c>
      <c r="F60" s="4" t="s">
        <v>267</v>
      </c>
      <c r="S60" s="15"/>
    </row>
    <row r="61" hidden="1">
      <c r="A61" s="67" t="str">
        <f t="shared" si="1"/>
        <v>Fri</v>
      </c>
      <c r="B61" s="69">
        <v>43567.0</v>
      </c>
      <c r="F61" s="4" t="s">
        <v>267</v>
      </c>
      <c r="S61" s="15"/>
    </row>
    <row r="62" hidden="1">
      <c r="A62" s="67" t="str">
        <f t="shared" si="1"/>
        <v>Sat</v>
      </c>
      <c r="B62" s="69">
        <v>43568.0</v>
      </c>
      <c r="F62" s="4" t="s">
        <v>267</v>
      </c>
      <c r="S62" s="15"/>
    </row>
    <row r="63" hidden="1">
      <c r="A63" s="67" t="str">
        <f t="shared" si="1"/>
        <v>Sun</v>
      </c>
      <c r="B63" s="69">
        <v>43569.0</v>
      </c>
      <c r="F63" s="4" t="s">
        <v>267</v>
      </c>
      <c r="S63" s="15"/>
    </row>
    <row r="64" hidden="1">
      <c r="A64" s="67" t="str">
        <f t="shared" si="1"/>
        <v>Mon</v>
      </c>
      <c r="B64" s="69">
        <v>43570.0</v>
      </c>
      <c r="F64" s="4" t="s">
        <v>267</v>
      </c>
      <c r="S64" s="15"/>
    </row>
    <row r="65" hidden="1">
      <c r="A65" s="67" t="str">
        <f t="shared" si="1"/>
        <v>Tue</v>
      </c>
      <c r="B65" s="69">
        <v>43571.0</v>
      </c>
      <c r="F65" s="4" t="s">
        <v>267</v>
      </c>
      <c r="S65" s="15"/>
    </row>
    <row r="66" hidden="1">
      <c r="A66" s="67" t="str">
        <f t="shared" si="1"/>
        <v>Wed</v>
      </c>
      <c r="B66" s="69">
        <v>43572.0</v>
      </c>
      <c r="F66" s="4" t="s">
        <v>267</v>
      </c>
      <c r="S66" s="15"/>
    </row>
    <row r="67" hidden="1">
      <c r="A67" s="67" t="str">
        <f t="shared" si="1"/>
        <v>Thu</v>
      </c>
      <c r="B67" s="69">
        <v>43573.0</v>
      </c>
      <c r="F67" s="4" t="s">
        <v>267</v>
      </c>
      <c r="S67" s="15"/>
    </row>
    <row r="68" hidden="1">
      <c r="A68" s="67" t="str">
        <f t="shared" si="1"/>
        <v>Fri</v>
      </c>
      <c r="B68" s="69">
        <v>43574.0</v>
      </c>
      <c r="F68" s="4" t="s">
        <v>267</v>
      </c>
      <c r="S68" s="15"/>
    </row>
    <row r="69" hidden="1">
      <c r="A69" s="67" t="str">
        <f t="shared" si="1"/>
        <v>Sat</v>
      </c>
      <c r="B69" s="69">
        <v>43575.0</v>
      </c>
      <c r="F69" s="4" t="s">
        <v>267</v>
      </c>
      <c r="S69" s="15"/>
    </row>
    <row r="70" hidden="1">
      <c r="A70" s="67" t="str">
        <f t="shared" si="1"/>
        <v>Sun</v>
      </c>
      <c r="B70" s="69">
        <v>43576.0</v>
      </c>
      <c r="F70" s="4" t="s">
        <v>267</v>
      </c>
      <c r="S70" s="15"/>
    </row>
    <row r="71" hidden="1">
      <c r="A71" s="67" t="str">
        <f t="shared" si="1"/>
        <v>Mon</v>
      </c>
      <c r="B71" s="69">
        <v>43577.0</v>
      </c>
      <c r="F71" s="4" t="s">
        <v>267</v>
      </c>
      <c r="S71" s="15"/>
    </row>
    <row r="72" hidden="1">
      <c r="A72" s="67" t="str">
        <f t="shared" si="1"/>
        <v>Tue</v>
      </c>
      <c r="B72" s="69">
        <v>43578.0</v>
      </c>
      <c r="F72" s="4" t="s">
        <v>267</v>
      </c>
      <c r="S72" s="15"/>
    </row>
    <row r="73" hidden="1">
      <c r="A73" s="67" t="str">
        <f t="shared" si="1"/>
        <v>Wed</v>
      </c>
      <c r="B73" s="69">
        <v>43579.0</v>
      </c>
      <c r="F73" s="4" t="s">
        <v>267</v>
      </c>
      <c r="S73" s="15"/>
    </row>
    <row r="74" hidden="1">
      <c r="A74" s="67" t="str">
        <f t="shared" si="1"/>
        <v>Thu</v>
      </c>
      <c r="B74" s="69">
        <v>43580.0</v>
      </c>
      <c r="F74" s="4" t="s">
        <v>267</v>
      </c>
      <c r="S74" s="15"/>
    </row>
    <row r="75" hidden="1">
      <c r="A75" s="67" t="str">
        <f t="shared" si="1"/>
        <v>Fri</v>
      </c>
      <c r="B75" s="69">
        <v>43581.0</v>
      </c>
      <c r="F75" s="4" t="s">
        <v>267</v>
      </c>
      <c r="S75" s="15"/>
    </row>
    <row r="76" hidden="1">
      <c r="A76" s="67" t="str">
        <f t="shared" si="1"/>
        <v>Sat</v>
      </c>
      <c r="B76" s="69">
        <v>43582.0</v>
      </c>
      <c r="F76" s="4" t="s">
        <v>267</v>
      </c>
      <c r="S76" s="15"/>
    </row>
    <row r="77" hidden="1">
      <c r="A77" s="67" t="str">
        <f t="shared" si="1"/>
        <v>Sun</v>
      </c>
      <c r="B77" s="69">
        <v>43583.0</v>
      </c>
      <c r="F77" s="4" t="s">
        <v>267</v>
      </c>
      <c r="S77" s="15"/>
    </row>
    <row r="78" hidden="1">
      <c r="A78" s="67" t="str">
        <f t="shared" si="1"/>
        <v>Mon</v>
      </c>
      <c r="B78" s="69">
        <v>43584.0</v>
      </c>
      <c r="F78" s="4" t="s">
        <v>267</v>
      </c>
      <c r="S78" s="15"/>
    </row>
    <row r="79" hidden="1">
      <c r="A79" s="67" t="str">
        <f t="shared" si="1"/>
        <v>Tue</v>
      </c>
      <c r="B79" s="69">
        <v>43585.0</v>
      </c>
      <c r="F79" s="4" t="s">
        <v>267</v>
      </c>
      <c r="S79" s="15"/>
    </row>
    <row r="80" hidden="1">
      <c r="A80" s="67" t="str">
        <f t="shared" si="1"/>
        <v>Wed</v>
      </c>
      <c r="B80" s="69">
        <v>43586.0</v>
      </c>
      <c r="F80" s="4" t="s">
        <v>267</v>
      </c>
      <c r="S80" s="15"/>
    </row>
    <row r="81" hidden="1">
      <c r="A81" s="67" t="str">
        <f t="shared" si="1"/>
        <v>Thu</v>
      </c>
      <c r="B81" s="69">
        <v>43587.0</v>
      </c>
      <c r="F81" s="4" t="s">
        <v>267</v>
      </c>
      <c r="S81" s="15"/>
    </row>
    <row r="82" hidden="1">
      <c r="A82" s="67" t="str">
        <f t="shared" si="1"/>
        <v>Fri</v>
      </c>
      <c r="B82" s="69">
        <v>43588.0</v>
      </c>
      <c r="F82" s="4" t="s">
        <v>267</v>
      </c>
      <c r="S82" s="15"/>
    </row>
    <row r="83" hidden="1">
      <c r="A83" s="67" t="str">
        <f t="shared" si="1"/>
        <v>Sat</v>
      </c>
      <c r="B83" s="69">
        <v>43589.0</v>
      </c>
      <c r="F83" s="4" t="s">
        <v>267</v>
      </c>
      <c r="S83" s="15"/>
    </row>
    <row r="84" hidden="1">
      <c r="A84" s="67" t="str">
        <f t="shared" si="1"/>
        <v>Sun</v>
      </c>
      <c r="B84" s="69">
        <v>43590.0</v>
      </c>
      <c r="F84" s="4" t="s">
        <v>267</v>
      </c>
      <c r="S84" s="15"/>
    </row>
    <row r="85" hidden="1">
      <c r="A85" s="67" t="str">
        <f t="shared" si="1"/>
        <v>Mon</v>
      </c>
      <c r="B85" s="69">
        <v>43591.0</v>
      </c>
      <c r="F85" s="4" t="s">
        <v>267</v>
      </c>
      <c r="S85" s="15"/>
    </row>
    <row r="86" hidden="1">
      <c r="A86" s="67" t="str">
        <f t="shared" si="1"/>
        <v>Tue</v>
      </c>
      <c r="B86" s="69">
        <v>43592.0</v>
      </c>
      <c r="F86" s="4" t="s">
        <v>267</v>
      </c>
      <c r="S86" s="15"/>
    </row>
    <row r="87" hidden="1">
      <c r="A87" s="67" t="str">
        <f t="shared" si="1"/>
        <v>Wed</v>
      </c>
      <c r="B87" s="69">
        <v>43593.0</v>
      </c>
      <c r="F87" s="4" t="s">
        <v>267</v>
      </c>
      <c r="S87" s="15"/>
    </row>
    <row r="88" hidden="1">
      <c r="A88" s="67" t="str">
        <f t="shared" si="1"/>
        <v>Thu</v>
      </c>
      <c r="B88" s="69">
        <v>43594.0</v>
      </c>
      <c r="F88" s="4" t="s">
        <v>267</v>
      </c>
      <c r="S88" s="15"/>
    </row>
    <row r="89" hidden="1">
      <c r="A89" s="67" t="str">
        <f t="shared" si="1"/>
        <v>Fri</v>
      </c>
      <c r="B89" s="69">
        <v>43595.0</v>
      </c>
      <c r="F89" s="4" t="s">
        <v>267</v>
      </c>
      <c r="S89" s="15"/>
    </row>
    <row r="90" hidden="1">
      <c r="A90" s="67" t="str">
        <f t="shared" si="1"/>
        <v>Sat</v>
      </c>
      <c r="B90" s="69">
        <v>43596.0</v>
      </c>
      <c r="F90" s="4" t="s">
        <v>267</v>
      </c>
      <c r="S90" s="15"/>
    </row>
    <row r="91" hidden="1">
      <c r="A91" s="67" t="str">
        <f t="shared" si="1"/>
        <v>Sun</v>
      </c>
      <c r="B91" s="69">
        <v>43597.0</v>
      </c>
      <c r="F91" s="4" t="s">
        <v>267</v>
      </c>
      <c r="S91" s="15"/>
    </row>
    <row r="92" hidden="1">
      <c r="A92" s="67" t="str">
        <f t="shared" si="1"/>
        <v>Mon</v>
      </c>
      <c r="B92" s="69">
        <v>43598.0</v>
      </c>
      <c r="F92" s="4" t="s">
        <v>267</v>
      </c>
      <c r="S92" s="15"/>
    </row>
    <row r="93" hidden="1">
      <c r="A93" s="67" t="str">
        <f t="shared" si="1"/>
        <v>Tue</v>
      </c>
      <c r="B93" s="69">
        <v>43599.0</v>
      </c>
      <c r="F93" s="4" t="s">
        <v>267</v>
      </c>
      <c r="S93" s="15"/>
    </row>
    <row r="94" hidden="1">
      <c r="A94" s="67" t="str">
        <f t="shared" si="1"/>
        <v>Wed</v>
      </c>
      <c r="B94" s="69">
        <v>43600.0</v>
      </c>
      <c r="F94" s="4" t="s">
        <v>267</v>
      </c>
      <c r="S94" s="15"/>
    </row>
    <row r="95" hidden="1">
      <c r="A95" s="67" t="str">
        <f t="shared" si="1"/>
        <v>Thu</v>
      </c>
      <c r="B95" s="69">
        <v>43601.0</v>
      </c>
      <c r="F95" s="4" t="s">
        <v>267</v>
      </c>
      <c r="S95" s="15"/>
    </row>
    <row r="96" hidden="1">
      <c r="A96" s="67" t="str">
        <f t="shared" si="1"/>
        <v>Fri</v>
      </c>
      <c r="B96" s="69">
        <v>43602.0</v>
      </c>
      <c r="F96" s="4" t="s">
        <v>267</v>
      </c>
      <c r="S96" s="15"/>
    </row>
    <row r="97" hidden="1">
      <c r="A97" s="67" t="str">
        <f t="shared" si="1"/>
        <v>Sat</v>
      </c>
      <c r="B97" s="69">
        <v>43603.0</v>
      </c>
      <c r="F97" s="4" t="s">
        <v>267</v>
      </c>
      <c r="S97" s="15"/>
    </row>
    <row r="98" hidden="1">
      <c r="A98" s="67" t="str">
        <f t="shared" si="1"/>
        <v>Sun</v>
      </c>
      <c r="B98" s="69">
        <v>43604.0</v>
      </c>
      <c r="F98" s="4" t="s">
        <v>267</v>
      </c>
      <c r="S98" s="15"/>
    </row>
    <row r="99" hidden="1">
      <c r="A99" s="67" t="str">
        <f t="shared" si="1"/>
        <v>Mon</v>
      </c>
      <c r="B99" s="69">
        <v>43605.0</v>
      </c>
      <c r="F99" s="4" t="s">
        <v>267</v>
      </c>
      <c r="S99" s="15"/>
    </row>
    <row r="100" hidden="1">
      <c r="A100" s="67" t="str">
        <f t="shared" si="1"/>
        <v>Tue</v>
      </c>
      <c r="B100" s="69">
        <v>43606.0</v>
      </c>
      <c r="F100" s="4" t="s">
        <v>267</v>
      </c>
      <c r="S100" s="15"/>
    </row>
    <row r="101" hidden="1">
      <c r="A101" s="67" t="str">
        <f t="shared" si="1"/>
        <v>Wed</v>
      </c>
      <c r="B101" s="69">
        <v>43607.0</v>
      </c>
      <c r="F101" s="4" t="s">
        <v>267</v>
      </c>
      <c r="S101" s="15"/>
    </row>
    <row r="102" hidden="1">
      <c r="A102" s="67" t="str">
        <f t="shared" si="1"/>
        <v>Thu</v>
      </c>
      <c r="B102" s="69">
        <v>43608.0</v>
      </c>
      <c r="F102" s="4" t="s">
        <v>267</v>
      </c>
      <c r="S102" s="15"/>
    </row>
    <row r="103" hidden="1">
      <c r="A103" s="67" t="str">
        <f t="shared" si="1"/>
        <v>Fri</v>
      </c>
      <c r="B103" s="69">
        <v>43609.0</v>
      </c>
      <c r="F103" s="4" t="s">
        <v>267</v>
      </c>
      <c r="S103" s="15"/>
    </row>
    <row r="104" hidden="1">
      <c r="A104" s="67" t="str">
        <f t="shared" si="1"/>
        <v>Sat</v>
      </c>
      <c r="B104" s="69">
        <v>43610.0</v>
      </c>
      <c r="F104" s="4" t="s">
        <v>267</v>
      </c>
      <c r="S104" s="15"/>
    </row>
    <row r="105" hidden="1">
      <c r="A105" s="67" t="str">
        <f t="shared" si="1"/>
        <v>Sun</v>
      </c>
      <c r="B105" s="69">
        <v>43611.0</v>
      </c>
      <c r="F105" s="4" t="s">
        <v>267</v>
      </c>
      <c r="S105" s="15"/>
    </row>
    <row r="106" hidden="1">
      <c r="A106" s="67" t="str">
        <f t="shared" si="1"/>
        <v>Mon</v>
      </c>
      <c r="B106" s="69">
        <v>43612.0</v>
      </c>
      <c r="F106" s="4" t="s">
        <v>267</v>
      </c>
      <c r="S106" s="15"/>
    </row>
    <row r="107" hidden="1">
      <c r="A107" s="67" t="str">
        <f t="shared" si="1"/>
        <v>Tue</v>
      </c>
      <c r="B107" s="69">
        <v>43613.0</v>
      </c>
      <c r="F107" s="4" t="s">
        <v>267</v>
      </c>
      <c r="S107" s="15"/>
    </row>
    <row r="108" hidden="1">
      <c r="A108" s="67" t="str">
        <f t="shared" si="1"/>
        <v>Wed</v>
      </c>
      <c r="B108" s="69">
        <v>43614.0</v>
      </c>
      <c r="F108" s="4" t="s">
        <v>267</v>
      </c>
      <c r="S108" s="15"/>
    </row>
    <row r="109" hidden="1">
      <c r="A109" s="67" t="str">
        <f t="shared" si="1"/>
        <v>Thu</v>
      </c>
      <c r="B109" s="69">
        <v>43615.0</v>
      </c>
      <c r="F109" s="4" t="s">
        <v>267</v>
      </c>
      <c r="S109" s="15"/>
    </row>
    <row r="110">
      <c r="A110" s="67" t="str">
        <f t="shared" si="1"/>
        <v>Fri</v>
      </c>
      <c r="B110" s="69">
        <v>43616.0</v>
      </c>
      <c r="F110" s="4" t="s">
        <v>267</v>
      </c>
      <c r="S110" s="15"/>
    </row>
    <row r="111">
      <c r="A111" s="67" t="str">
        <f t="shared" si="1"/>
        <v>Sat</v>
      </c>
      <c r="B111" s="69">
        <v>43617.0</v>
      </c>
      <c r="D111" s="161">
        <v>241.53</v>
      </c>
      <c r="E111" s="4" t="s">
        <v>222</v>
      </c>
      <c r="F111" s="4" t="s">
        <v>463</v>
      </c>
      <c r="G111" s="4" t="s">
        <v>463</v>
      </c>
      <c r="I111" s="4" t="s">
        <v>224</v>
      </c>
      <c r="K111" s="4" t="s">
        <v>231</v>
      </c>
      <c r="L111" s="4" t="s">
        <v>229</v>
      </c>
      <c r="M111" s="4" t="s">
        <v>226</v>
      </c>
      <c r="N111" s="4" t="s">
        <v>232</v>
      </c>
      <c r="R111" s="4" t="s">
        <v>464</v>
      </c>
      <c r="S111" s="15"/>
    </row>
    <row r="112">
      <c r="A112" s="67" t="str">
        <f t="shared" si="1"/>
        <v>Sun</v>
      </c>
      <c r="B112" s="69">
        <v>43618.0</v>
      </c>
      <c r="D112" s="161">
        <v>241.53</v>
      </c>
      <c r="E112" s="4" t="s">
        <v>222</v>
      </c>
      <c r="F112" s="4" t="s">
        <v>463</v>
      </c>
      <c r="I112" s="4" t="s">
        <v>224</v>
      </c>
      <c r="S112" s="15"/>
    </row>
    <row r="113">
      <c r="A113" s="67" t="str">
        <f t="shared" si="1"/>
        <v>Mon</v>
      </c>
      <c r="B113" s="69">
        <v>43619.0</v>
      </c>
      <c r="H113" s="4" t="s">
        <v>463</v>
      </c>
      <c r="S113" s="15"/>
    </row>
    <row r="114">
      <c r="A114" s="67" t="str">
        <f t="shared" si="1"/>
        <v>Tue</v>
      </c>
      <c r="B114" s="69">
        <v>43620.0</v>
      </c>
      <c r="S114" s="15"/>
    </row>
    <row r="115">
      <c r="A115" s="67" t="str">
        <f t="shared" si="1"/>
        <v>Wed</v>
      </c>
      <c r="B115" s="69">
        <v>43621.0</v>
      </c>
      <c r="S115" s="15"/>
    </row>
    <row r="116">
      <c r="A116" s="67" t="str">
        <f t="shared" si="1"/>
        <v>Thu</v>
      </c>
      <c r="B116" s="69">
        <v>43622.0</v>
      </c>
      <c r="S116" s="15"/>
    </row>
    <row r="117">
      <c r="A117" s="67" t="str">
        <f t="shared" si="1"/>
        <v>Fri</v>
      </c>
      <c r="B117" s="69">
        <v>43623.0</v>
      </c>
      <c r="S117" s="15"/>
    </row>
    <row r="118">
      <c r="A118" s="67" t="str">
        <f t="shared" si="1"/>
        <v>Sat</v>
      </c>
      <c r="B118" s="69">
        <v>43624.0</v>
      </c>
      <c r="S118" s="15"/>
    </row>
    <row r="119">
      <c r="A119" s="67" t="str">
        <f t="shared" si="1"/>
        <v>Sun</v>
      </c>
      <c r="B119" s="69">
        <v>43625.0</v>
      </c>
      <c r="S119" s="15"/>
    </row>
    <row r="120">
      <c r="A120" s="67" t="str">
        <f t="shared" si="1"/>
        <v>Mon</v>
      </c>
      <c r="B120" s="69">
        <v>43626.0</v>
      </c>
      <c r="S120" s="15"/>
    </row>
    <row r="121">
      <c r="A121" s="67" t="str">
        <f t="shared" si="1"/>
        <v>Tue</v>
      </c>
      <c r="B121" s="69">
        <v>43627.0</v>
      </c>
      <c r="S121" s="15"/>
    </row>
    <row r="122">
      <c r="A122" s="67" t="str">
        <f t="shared" si="1"/>
        <v>Wed</v>
      </c>
      <c r="B122" s="69">
        <v>43628.0</v>
      </c>
      <c r="S122" s="15"/>
    </row>
    <row r="123">
      <c r="A123" s="67" t="str">
        <f t="shared" si="1"/>
        <v>Thu</v>
      </c>
      <c r="B123" s="69">
        <v>43629.0</v>
      </c>
      <c r="S123" s="15"/>
    </row>
    <row r="124">
      <c r="A124" s="67" t="str">
        <f t="shared" si="1"/>
        <v>Fri</v>
      </c>
      <c r="B124" s="69">
        <v>43630.0</v>
      </c>
      <c r="S124" s="15"/>
    </row>
    <row r="125">
      <c r="A125" s="67" t="str">
        <f t="shared" si="1"/>
        <v>Sat</v>
      </c>
      <c r="B125" s="69">
        <v>43631.0</v>
      </c>
      <c r="S125" s="15"/>
    </row>
    <row r="126">
      <c r="A126" s="67" t="str">
        <f t="shared" si="1"/>
        <v>Sun</v>
      </c>
      <c r="B126" s="69">
        <v>43632.0</v>
      </c>
      <c r="S126" s="15"/>
    </row>
    <row r="127">
      <c r="A127" s="67" t="str">
        <f t="shared" si="1"/>
        <v>Mon</v>
      </c>
      <c r="B127" s="69">
        <v>43633.0</v>
      </c>
      <c r="S127" s="15"/>
    </row>
    <row r="128">
      <c r="A128" s="67" t="str">
        <f t="shared" si="1"/>
        <v>Tue</v>
      </c>
      <c r="B128" s="69">
        <v>43634.0</v>
      </c>
      <c r="S128" s="15"/>
    </row>
    <row r="129">
      <c r="A129" s="67" t="str">
        <f t="shared" si="1"/>
        <v>Wed</v>
      </c>
      <c r="B129" s="69">
        <v>43635.0</v>
      </c>
      <c r="S129" s="15"/>
    </row>
    <row r="130">
      <c r="A130" s="67" t="str">
        <f t="shared" si="1"/>
        <v>Thu</v>
      </c>
      <c r="B130" s="69">
        <v>43636.0</v>
      </c>
      <c r="S130" s="15"/>
    </row>
    <row r="131">
      <c r="A131" s="67" t="str">
        <f t="shared" si="1"/>
        <v>Fri</v>
      </c>
      <c r="B131" s="69">
        <v>43637.0</v>
      </c>
      <c r="S131" s="15"/>
    </row>
    <row r="132">
      <c r="A132" s="67" t="str">
        <f t="shared" si="1"/>
        <v>Sat</v>
      </c>
      <c r="B132" s="69">
        <v>43638.0</v>
      </c>
      <c r="S132" s="15"/>
    </row>
    <row r="133">
      <c r="A133" s="67" t="str">
        <f t="shared" si="1"/>
        <v>Sun</v>
      </c>
      <c r="B133" s="69">
        <v>43639.0</v>
      </c>
      <c r="S133" s="15"/>
    </row>
    <row r="134">
      <c r="A134" s="67" t="str">
        <f t="shared" si="1"/>
        <v>Mon</v>
      </c>
      <c r="B134" s="69">
        <v>43640.0</v>
      </c>
      <c r="S134" s="15"/>
    </row>
    <row r="135">
      <c r="A135" s="67" t="str">
        <f t="shared" si="1"/>
        <v>Tue</v>
      </c>
      <c r="B135" s="69">
        <v>43641.0</v>
      </c>
      <c r="S135" s="15"/>
    </row>
    <row r="136">
      <c r="A136" s="67" t="str">
        <f t="shared" si="1"/>
        <v>Wed</v>
      </c>
      <c r="B136" s="69">
        <v>43642.0</v>
      </c>
      <c r="S136" s="15"/>
    </row>
    <row r="137">
      <c r="A137" s="67" t="str">
        <f t="shared" si="1"/>
        <v>Thu</v>
      </c>
      <c r="B137" s="69">
        <v>43643.0</v>
      </c>
      <c r="S137" s="15"/>
    </row>
    <row r="138">
      <c r="A138" s="67" t="str">
        <f t="shared" si="1"/>
        <v>Fri</v>
      </c>
      <c r="B138" s="69">
        <v>43644.0</v>
      </c>
      <c r="S138" s="15"/>
    </row>
    <row r="139">
      <c r="A139" s="67" t="str">
        <f t="shared" si="1"/>
        <v>Sat</v>
      </c>
      <c r="B139" s="69">
        <v>43645.0</v>
      </c>
      <c r="S139" s="15"/>
    </row>
    <row r="140">
      <c r="A140" s="67" t="str">
        <f t="shared" si="1"/>
        <v>Sun</v>
      </c>
      <c r="B140" s="69">
        <v>43646.0</v>
      </c>
      <c r="S140" s="15"/>
    </row>
    <row r="141">
      <c r="A141" s="67" t="str">
        <f t="shared" si="1"/>
        <v>Mon</v>
      </c>
      <c r="B141" s="69">
        <v>43647.0</v>
      </c>
      <c r="S141" s="15"/>
    </row>
    <row r="142">
      <c r="A142" s="67" t="str">
        <f t="shared" si="1"/>
        <v>Tue</v>
      </c>
      <c r="B142" s="69">
        <v>43648.0</v>
      </c>
      <c r="S142" s="15"/>
    </row>
    <row r="143">
      <c r="A143" s="67" t="str">
        <f t="shared" si="1"/>
        <v>Wed</v>
      </c>
      <c r="B143" s="69">
        <v>43649.0</v>
      </c>
      <c r="S143" s="15"/>
    </row>
    <row r="144">
      <c r="A144" s="67" t="str">
        <f t="shared" si="1"/>
        <v>Thu</v>
      </c>
      <c r="B144" s="69">
        <v>43650.0</v>
      </c>
      <c r="S144" s="15"/>
    </row>
    <row r="145">
      <c r="A145" s="67" t="str">
        <f t="shared" si="1"/>
        <v>Fri</v>
      </c>
      <c r="B145" s="69">
        <v>43651.0</v>
      </c>
      <c r="S145" s="15"/>
    </row>
    <row r="146">
      <c r="A146" s="67" t="str">
        <f t="shared" si="1"/>
        <v>Sat</v>
      </c>
      <c r="B146" s="69">
        <v>43652.0</v>
      </c>
      <c r="S146" s="15"/>
    </row>
    <row r="147">
      <c r="A147" s="67" t="str">
        <f t="shared" si="1"/>
        <v>Sun</v>
      </c>
      <c r="B147" s="69">
        <v>43653.0</v>
      </c>
      <c r="S147" s="15"/>
    </row>
    <row r="148">
      <c r="A148" s="67" t="str">
        <f t="shared" si="1"/>
        <v>Mon</v>
      </c>
      <c r="B148" s="69">
        <v>43654.0</v>
      </c>
      <c r="S148" s="15"/>
    </row>
    <row r="149">
      <c r="A149" s="67" t="str">
        <f t="shared" si="1"/>
        <v>Tue</v>
      </c>
      <c r="B149" s="69">
        <v>43655.0</v>
      </c>
      <c r="S149" s="15"/>
    </row>
    <row r="150">
      <c r="A150" s="67" t="str">
        <f t="shared" si="1"/>
        <v>Wed</v>
      </c>
      <c r="B150" s="69">
        <v>43656.0</v>
      </c>
      <c r="S150" s="15"/>
    </row>
    <row r="151">
      <c r="A151" s="67" t="str">
        <f t="shared" si="1"/>
        <v>Thu</v>
      </c>
      <c r="B151" s="69">
        <v>43657.0</v>
      </c>
      <c r="S151" s="15"/>
    </row>
    <row r="152">
      <c r="A152" s="67" t="str">
        <f t="shared" si="1"/>
        <v>Fri</v>
      </c>
      <c r="B152" s="69">
        <v>43658.0</v>
      </c>
      <c r="S152" s="15"/>
    </row>
    <row r="153">
      <c r="A153" s="67" t="str">
        <f t="shared" si="1"/>
        <v>Sat</v>
      </c>
      <c r="B153" s="69">
        <v>43659.0</v>
      </c>
      <c r="S153" s="15"/>
    </row>
    <row r="154">
      <c r="A154" s="67" t="str">
        <f t="shared" si="1"/>
        <v>Sun</v>
      </c>
      <c r="B154" s="69">
        <v>43660.0</v>
      </c>
      <c r="S154" s="15"/>
    </row>
    <row r="155">
      <c r="A155" s="67" t="str">
        <f t="shared" si="1"/>
        <v>Mon</v>
      </c>
      <c r="B155" s="69">
        <v>43661.0</v>
      </c>
      <c r="S155" s="15"/>
    </row>
    <row r="156">
      <c r="A156" s="67" t="str">
        <f t="shared" si="1"/>
        <v>Tue</v>
      </c>
      <c r="B156" s="69">
        <v>43662.0</v>
      </c>
      <c r="S156" s="15"/>
    </row>
    <row r="157">
      <c r="A157" s="67" t="str">
        <f t="shared" si="1"/>
        <v>Wed</v>
      </c>
      <c r="B157" s="69">
        <v>43663.0</v>
      </c>
      <c r="S157" s="15"/>
    </row>
    <row r="158">
      <c r="A158" s="67" t="str">
        <f t="shared" si="1"/>
        <v>Thu</v>
      </c>
      <c r="B158" s="69">
        <v>43664.0</v>
      </c>
      <c r="S158" s="15"/>
    </row>
    <row r="159">
      <c r="A159" s="67" t="str">
        <f t="shared" si="1"/>
        <v>Fri</v>
      </c>
      <c r="B159" s="69">
        <v>43665.0</v>
      </c>
      <c r="S159" s="15"/>
    </row>
    <row r="160">
      <c r="A160" s="67" t="str">
        <f t="shared" si="1"/>
        <v>Sat</v>
      </c>
      <c r="B160" s="69">
        <v>43666.0</v>
      </c>
      <c r="S160" s="15"/>
    </row>
    <row r="161">
      <c r="A161" s="67" t="str">
        <f t="shared" si="1"/>
        <v>Sun</v>
      </c>
      <c r="B161" s="69">
        <v>43667.0</v>
      </c>
      <c r="S161" s="15"/>
    </row>
    <row r="162">
      <c r="A162" s="67" t="str">
        <f t="shared" si="1"/>
        <v>Mon</v>
      </c>
      <c r="B162" s="69">
        <v>43668.0</v>
      </c>
      <c r="S162" s="15"/>
    </row>
    <row r="163">
      <c r="A163" s="67" t="str">
        <f t="shared" si="1"/>
        <v>Tue</v>
      </c>
      <c r="B163" s="69">
        <v>43669.0</v>
      </c>
      <c r="S163" s="15"/>
    </row>
    <row r="164">
      <c r="A164" s="67" t="str">
        <f t="shared" si="1"/>
        <v>Wed</v>
      </c>
      <c r="B164" s="69">
        <v>43670.0</v>
      </c>
      <c r="S164" s="15"/>
    </row>
    <row r="165">
      <c r="A165" s="67" t="str">
        <f t="shared" si="1"/>
        <v>Thu</v>
      </c>
      <c r="B165" s="69">
        <v>43671.0</v>
      </c>
      <c r="S165" s="15"/>
    </row>
    <row r="166">
      <c r="A166" s="67" t="str">
        <f t="shared" si="1"/>
        <v>Fri</v>
      </c>
      <c r="B166" s="69">
        <v>43672.0</v>
      </c>
      <c r="S166" s="15"/>
    </row>
    <row r="167">
      <c r="A167" s="67" t="str">
        <f t="shared" si="1"/>
        <v>Sat</v>
      </c>
      <c r="B167" s="69">
        <v>43673.0</v>
      </c>
      <c r="S167" s="15"/>
    </row>
    <row r="168">
      <c r="A168" s="67" t="str">
        <f t="shared" si="1"/>
        <v>Sun</v>
      </c>
      <c r="B168" s="69">
        <v>43674.0</v>
      </c>
      <c r="S168" s="15"/>
    </row>
    <row r="169">
      <c r="A169" s="67" t="str">
        <f t="shared" si="1"/>
        <v>Mon</v>
      </c>
      <c r="B169" s="69">
        <v>43675.0</v>
      </c>
      <c r="S169" s="15"/>
    </row>
    <row r="170">
      <c r="A170" s="67" t="str">
        <f t="shared" si="1"/>
        <v>Tue</v>
      </c>
      <c r="B170" s="69">
        <v>43676.0</v>
      </c>
      <c r="S170" s="15"/>
    </row>
    <row r="171">
      <c r="A171" s="67" t="str">
        <f t="shared" si="1"/>
        <v>Wed</v>
      </c>
      <c r="B171" s="69">
        <v>43677.0</v>
      </c>
      <c r="S171" s="15"/>
    </row>
    <row r="172">
      <c r="A172" s="67" t="str">
        <f t="shared" si="1"/>
        <v>Thu</v>
      </c>
      <c r="B172" s="69">
        <v>43678.0</v>
      </c>
      <c r="S172" s="15"/>
    </row>
    <row r="173">
      <c r="A173" s="67" t="str">
        <f t="shared" si="1"/>
        <v>Fri</v>
      </c>
      <c r="B173" s="69">
        <v>43679.0</v>
      </c>
      <c r="S173" s="15"/>
    </row>
    <row r="174">
      <c r="A174" s="67" t="str">
        <f t="shared" si="1"/>
        <v>Sat</v>
      </c>
      <c r="B174" s="69">
        <v>43680.0</v>
      </c>
      <c r="S174" s="15"/>
    </row>
    <row r="175">
      <c r="A175" s="67" t="str">
        <f t="shared" si="1"/>
        <v>Sun</v>
      </c>
      <c r="B175" s="69">
        <v>43681.0</v>
      </c>
      <c r="S175" s="15"/>
    </row>
    <row r="176">
      <c r="A176" s="67" t="str">
        <f t="shared" si="1"/>
        <v>Mon</v>
      </c>
      <c r="B176" s="69">
        <v>43682.0</v>
      </c>
      <c r="S176" s="15"/>
    </row>
    <row r="177">
      <c r="A177" s="67" t="str">
        <f t="shared" si="1"/>
        <v>Tue</v>
      </c>
      <c r="B177" s="69">
        <v>43683.0</v>
      </c>
      <c r="S177" s="15"/>
    </row>
    <row r="178">
      <c r="A178" s="67" t="str">
        <f t="shared" si="1"/>
        <v>Wed</v>
      </c>
      <c r="B178" s="69">
        <v>43684.0</v>
      </c>
      <c r="S178" s="15"/>
    </row>
    <row r="179">
      <c r="A179" s="67" t="str">
        <f t="shared" si="1"/>
        <v>Thu</v>
      </c>
      <c r="B179" s="69">
        <v>43685.0</v>
      </c>
      <c r="S179" s="15"/>
    </row>
    <row r="180">
      <c r="A180" s="67" t="str">
        <f t="shared" si="1"/>
        <v>Fri</v>
      </c>
      <c r="B180" s="69">
        <v>43686.0</v>
      </c>
      <c r="S180" s="15"/>
    </row>
    <row r="181">
      <c r="A181" s="67" t="str">
        <f t="shared" si="1"/>
        <v>Sat</v>
      </c>
      <c r="B181" s="69">
        <v>43687.0</v>
      </c>
      <c r="S181" s="15"/>
    </row>
    <row r="182">
      <c r="A182" s="67" t="str">
        <f t="shared" si="1"/>
        <v>Sun</v>
      </c>
      <c r="B182" s="69">
        <v>43688.0</v>
      </c>
      <c r="S182" s="15"/>
    </row>
    <row r="183">
      <c r="A183" s="67" t="str">
        <f t="shared" si="1"/>
        <v>Mon</v>
      </c>
      <c r="B183" s="69">
        <v>43689.0</v>
      </c>
      <c r="S183" s="15"/>
    </row>
    <row r="184">
      <c r="A184" s="67" t="str">
        <f t="shared" si="1"/>
        <v>Tue</v>
      </c>
      <c r="B184" s="69">
        <v>43690.0</v>
      </c>
      <c r="S184" s="15"/>
    </row>
    <row r="185">
      <c r="A185" s="67" t="str">
        <f t="shared" si="1"/>
        <v>Wed</v>
      </c>
      <c r="B185" s="69">
        <v>43691.0</v>
      </c>
      <c r="S185" s="15"/>
    </row>
    <row r="186">
      <c r="A186" s="67" t="str">
        <f t="shared" si="1"/>
        <v>Thu</v>
      </c>
      <c r="B186" s="69">
        <v>43692.0</v>
      </c>
      <c r="S186" s="15"/>
    </row>
    <row r="187">
      <c r="A187" s="67" t="str">
        <f t="shared" si="1"/>
        <v>Fri</v>
      </c>
      <c r="B187" s="69">
        <v>43693.0</v>
      </c>
      <c r="S187" s="15"/>
    </row>
    <row r="188">
      <c r="A188" s="67" t="str">
        <f t="shared" si="1"/>
        <v>Sat</v>
      </c>
      <c r="B188" s="69">
        <v>43694.0</v>
      </c>
      <c r="S188" s="15"/>
    </row>
    <row r="189">
      <c r="A189" s="67" t="str">
        <f t="shared" si="1"/>
        <v>Sun</v>
      </c>
      <c r="B189" s="69">
        <v>43695.0</v>
      </c>
      <c r="S189" s="15"/>
    </row>
    <row r="190">
      <c r="A190" s="67" t="str">
        <f t="shared" si="1"/>
        <v>Mon</v>
      </c>
      <c r="B190" s="69">
        <v>43696.0</v>
      </c>
      <c r="S190" s="15"/>
    </row>
    <row r="191">
      <c r="A191" s="67" t="str">
        <f t="shared" si="1"/>
        <v>Tue</v>
      </c>
      <c r="B191" s="69">
        <v>43697.0</v>
      </c>
      <c r="S191" s="15"/>
    </row>
    <row r="192">
      <c r="A192" s="67" t="str">
        <f t="shared" si="1"/>
        <v>Wed</v>
      </c>
      <c r="B192" s="69">
        <v>43698.0</v>
      </c>
      <c r="S192" s="15"/>
    </row>
    <row r="193">
      <c r="A193" s="67" t="str">
        <f t="shared" si="1"/>
        <v>Thu</v>
      </c>
      <c r="B193" s="69">
        <v>43699.0</v>
      </c>
      <c r="S193" s="15"/>
    </row>
    <row r="194">
      <c r="A194" s="67" t="str">
        <f t="shared" si="1"/>
        <v>Fri</v>
      </c>
      <c r="B194" s="69">
        <v>43700.0</v>
      </c>
      <c r="S194" s="15"/>
    </row>
    <row r="195">
      <c r="A195" s="67" t="str">
        <f t="shared" si="1"/>
        <v>Sat</v>
      </c>
      <c r="B195" s="69">
        <v>43701.0</v>
      </c>
      <c r="S195" s="15"/>
    </row>
    <row r="196">
      <c r="A196" s="67" t="str">
        <f t="shared" si="1"/>
        <v>Sun</v>
      </c>
      <c r="B196" s="69">
        <v>43702.0</v>
      </c>
      <c r="S196" s="15"/>
    </row>
    <row r="197">
      <c r="A197" s="67" t="str">
        <f t="shared" si="1"/>
        <v>Mon</v>
      </c>
      <c r="B197" s="69">
        <v>43703.0</v>
      </c>
      <c r="S197" s="15"/>
    </row>
    <row r="198">
      <c r="A198" s="67" t="str">
        <f t="shared" si="1"/>
        <v>Tue</v>
      </c>
      <c r="B198" s="69">
        <v>43704.0</v>
      </c>
      <c r="S198" s="15"/>
    </row>
    <row r="199">
      <c r="A199" s="67" t="str">
        <f t="shared" si="1"/>
        <v>Wed</v>
      </c>
      <c r="B199" s="69">
        <v>43705.0</v>
      </c>
      <c r="S199" s="15"/>
    </row>
    <row r="200">
      <c r="A200" s="67" t="str">
        <f t="shared" si="1"/>
        <v>Thu</v>
      </c>
      <c r="B200" s="69">
        <v>43706.0</v>
      </c>
      <c r="S200" s="15"/>
    </row>
    <row r="201">
      <c r="A201" s="67" t="str">
        <f t="shared" si="1"/>
        <v>Fri</v>
      </c>
      <c r="B201" s="69">
        <v>43707.0</v>
      </c>
      <c r="S201" s="15"/>
    </row>
    <row r="202">
      <c r="A202" s="67" t="str">
        <f t="shared" si="1"/>
        <v>Sat</v>
      </c>
      <c r="B202" s="69">
        <v>43708.0</v>
      </c>
      <c r="S202" s="15"/>
    </row>
    <row r="203">
      <c r="A203" s="67" t="str">
        <f t="shared" si="1"/>
        <v>Sun</v>
      </c>
      <c r="B203" s="69">
        <v>43709.0</v>
      </c>
      <c r="S203" s="15"/>
    </row>
    <row r="204">
      <c r="A204" s="67" t="str">
        <f t="shared" si="1"/>
        <v>Mon</v>
      </c>
      <c r="B204" s="69">
        <v>43710.0</v>
      </c>
      <c r="S204" s="15"/>
    </row>
    <row r="205">
      <c r="A205" s="67" t="str">
        <f t="shared" si="1"/>
        <v>Tue</v>
      </c>
      <c r="B205" s="69">
        <v>43711.0</v>
      </c>
      <c r="S205" s="15"/>
    </row>
    <row r="206">
      <c r="A206" s="67" t="str">
        <f t="shared" si="1"/>
        <v>Wed</v>
      </c>
      <c r="B206" s="69">
        <v>43712.0</v>
      </c>
      <c r="S206" s="15"/>
    </row>
    <row r="207">
      <c r="A207" s="67" t="str">
        <f t="shared" si="1"/>
        <v>Thu</v>
      </c>
      <c r="B207" s="69">
        <v>43713.0</v>
      </c>
      <c r="S207" s="15"/>
    </row>
    <row r="208">
      <c r="A208" s="67" t="str">
        <f t="shared" si="1"/>
        <v>Fri</v>
      </c>
      <c r="B208" s="69">
        <v>43714.0</v>
      </c>
      <c r="S208" s="15"/>
    </row>
    <row r="209">
      <c r="A209" s="67" t="str">
        <f t="shared" si="1"/>
        <v>Sat</v>
      </c>
      <c r="B209" s="69">
        <v>43715.0</v>
      </c>
      <c r="S209" s="15"/>
    </row>
    <row r="210">
      <c r="A210" s="67" t="str">
        <f t="shared" si="1"/>
        <v>Sun</v>
      </c>
      <c r="B210" s="69">
        <v>43716.0</v>
      </c>
      <c r="S210" s="15"/>
    </row>
    <row r="211">
      <c r="A211" s="67" t="str">
        <f t="shared" si="1"/>
        <v>Mon</v>
      </c>
      <c r="B211" s="69">
        <v>43717.0</v>
      </c>
      <c r="S211" s="15"/>
    </row>
    <row r="212">
      <c r="A212" s="67" t="str">
        <f t="shared" si="1"/>
        <v>Tue</v>
      </c>
      <c r="B212" s="69">
        <v>43718.0</v>
      </c>
      <c r="S212" s="15"/>
    </row>
    <row r="213">
      <c r="A213" s="67" t="str">
        <f t="shared" si="1"/>
        <v>Wed</v>
      </c>
      <c r="B213" s="69">
        <v>43719.0</v>
      </c>
      <c r="S213" s="15"/>
    </row>
    <row r="214">
      <c r="A214" s="67" t="str">
        <f t="shared" si="1"/>
        <v>Thu</v>
      </c>
      <c r="B214" s="69">
        <v>43720.0</v>
      </c>
      <c r="S214" s="15"/>
    </row>
    <row r="215">
      <c r="A215" s="67" t="str">
        <f t="shared" si="1"/>
        <v>Fri</v>
      </c>
      <c r="B215" s="69">
        <v>43721.0</v>
      </c>
      <c r="D215" s="161">
        <v>285.50333333333333</v>
      </c>
      <c r="E215" s="4" t="s">
        <v>222</v>
      </c>
      <c r="F215" s="4" t="s">
        <v>467</v>
      </c>
      <c r="G215" s="4" t="s">
        <v>467</v>
      </c>
      <c r="I215" s="4" t="s">
        <v>224</v>
      </c>
      <c r="K215" s="4" t="s">
        <v>231</v>
      </c>
      <c r="L215" s="4" t="s">
        <v>229</v>
      </c>
      <c r="M215" s="4" t="s">
        <v>226</v>
      </c>
      <c r="Q215" s="4" t="s">
        <v>260</v>
      </c>
      <c r="R215" s="4" t="s">
        <v>468</v>
      </c>
      <c r="S215" s="164">
        <v>6.79695699E10</v>
      </c>
    </row>
    <row r="216">
      <c r="A216" s="67" t="str">
        <f t="shared" si="1"/>
        <v>Sat</v>
      </c>
      <c r="B216" s="69">
        <v>43722.0</v>
      </c>
      <c r="D216" s="161">
        <v>285.50333333333333</v>
      </c>
      <c r="E216" s="4" t="s">
        <v>222</v>
      </c>
      <c r="F216" s="4" t="s">
        <v>467</v>
      </c>
      <c r="I216" s="4" t="s">
        <v>224</v>
      </c>
      <c r="S216" s="15"/>
    </row>
    <row r="217">
      <c r="A217" s="67" t="str">
        <f t="shared" si="1"/>
        <v>Sun</v>
      </c>
      <c r="B217" s="69">
        <v>43723.0</v>
      </c>
      <c r="D217" s="161">
        <v>285.50333333333333</v>
      </c>
      <c r="E217" s="4" t="s">
        <v>222</v>
      </c>
      <c r="F217" s="4" t="s">
        <v>467</v>
      </c>
      <c r="I217" s="4" t="s">
        <v>224</v>
      </c>
      <c r="S217" s="15"/>
    </row>
    <row r="218">
      <c r="A218" s="67" t="str">
        <f t="shared" si="1"/>
        <v>Mon</v>
      </c>
      <c r="B218" s="69">
        <v>43724.0</v>
      </c>
      <c r="H218" s="4" t="s">
        <v>467</v>
      </c>
      <c r="S218" s="15"/>
    </row>
    <row r="219">
      <c r="A219" s="67" t="str">
        <f t="shared" si="1"/>
        <v>Tue</v>
      </c>
      <c r="B219" s="69">
        <v>43725.0</v>
      </c>
      <c r="S219" s="15"/>
    </row>
    <row r="220">
      <c r="A220" s="67" t="str">
        <f t="shared" si="1"/>
        <v>Wed</v>
      </c>
      <c r="B220" s="69">
        <v>43726.0</v>
      </c>
      <c r="S220" s="15"/>
    </row>
    <row r="221">
      <c r="A221" s="67" t="str">
        <f t="shared" si="1"/>
        <v>Thu</v>
      </c>
      <c r="B221" s="69">
        <v>43727.0</v>
      </c>
      <c r="S221" s="15"/>
    </row>
    <row r="222">
      <c r="A222" s="67" t="str">
        <f t="shared" si="1"/>
        <v>Fri</v>
      </c>
      <c r="B222" s="69">
        <v>43728.0</v>
      </c>
      <c r="S222" s="15"/>
    </row>
    <row r="223">
      <c r="A223" s="67" t="str">
        <f t="shared" si="1"/>
        <v>Sat</v>
      </c>
      <c r="B223" s="69">
        <v>43729.0</v>
      </c>
      <c r="S223" s="15"/>
    </row>
    <row r="224">
      <c r="A224" s="67" t="str">
        <f t="shared" si="1"/>
        <v>Sun</v>
      </c>
      <c r="B224" s="69">
        <v>43730.0</v>
      </c>
      <c r="S224" s="15"/>
    </row>
    <row r="225">
      <c r="A225" s="67" t="str">
        <f t="shared" si="1"/>
        <v>Mon</v>
      </c>
      <c r="B225" s="69">
        <v>43731.0</v>
      </c>
      <c r="S225" s="15"/>
    </row>
    <row r="226">
      <c r="A226" s="67" t="str">
        <f t="shared" si="1"/>
        <v>Tue</v>
      </c>
      <c r="B226" s="69">
        <v>43732.0</v>
      </c>
      <c r="S226" s="15"/>
    </row>
    <row r="227">
      <c r="A227" s="67" t="str">
        <f t="shared" si="1"/>
        <v>Wed</v>
      </c>
      <c r="B227" s="69">
        <v>43733.0</v>
      </c>
      <c r="S227" s="15"/>
    </row>
    <row r="228">
      <c r="A228" s="67" t="str">
        <f t="shared" si="1"/>
        <v>Thu</v>
      </c>
      <c r="B228" s="69">
        <v>43734.0</v>
      </c>
      <c r="S228" s="15"/>
    </row>
    <row r="229">
      <c r="A229" s="67" t="str">
        <f t="shared" si="1"/>
        <v>Fri</v>
      </c>
      <c r="B229" s="69">
        <v>43735.0</v>
      </c>
      <c r="R229" s="170"/>
      <c r="S229" s="162"/>
    </row>
    <row r="230">
      <c r="A230" s="67" t="str">
        <f t="shared" si="1"/>
        <v>Sat</v>
      </c>
      <c r="B230" s="69">
        <v>43736.0</v>
      </c>
      <c r="S230" s="15"/>
    </row>
    <row r="231">
      <c r="A231" s="67" t="str">
        <f t="shared" si="1"/>
        <v>Sun</v>
      </c>
      <c r="B231" s="69">
        <v>43737.0</v>
      </c>
      <c r="S231" s="15"/>
    </row>
    <row r="232">
      <c r="A232" s="67" t="str">
        <f t="shared" si="1"/>
        <v>Mon</v>
      </c>
      <c r="B232" s="69">
        <v>43738.0</v>
      </c>
      <c r="S232" s="15"/>
    </row>
    <row r="233">
      <c r="A233" s="67" t="str">
        <f t="shared" si="1"/>
        <v>Tue</v>
      </c>
      <c r="B233" s="69">
        <v>43739.0</v>
      </c>
      <c r="S233" s="15"/>
    </row>
    <row r="234">
      <c r="A234" s="67" t="str">
        <f t="shared" si="1"/>
        <v>Wed</v>
      </c>
      <c r="B234" s="69">
        <v>43740.0</v>
      </c>
      <c r="S234" s="15"/>
    </row>
    <row r="235">
      <c r="A235" s="67" t="str">
        <f t="shared" si="1"/>
        <v>Thu</v>
      </c>
      <c r="B235" s="69">
        <v>43741.0</v>
      </c>
      <c r="S235" s="15"/>
    </row>
    <row r="236">
      <c r="A236" s="67" t="str">
        <f t="shared" si="1"/>
        <v>Fri</v>
      </c>
      <c r="B236" s="69">
        <v>43742.0</v>
      </c>
      <c r="S236" s="15"/>
    </row>
    <row r="237">
      <c r="A237" s="67" t="str">
        <f t="shared" si="1"/>
        <v>Sat</v>
      </c>
      <c r="B237" s="69">
        <v>43743.0</v>
      </c>
      <c r="S237" s="15"/>
    </row>
    <row r="238">
      <c r="A238" s="67" t="str">
        <f t="shared" si="1"/>
        <v>Sun</v>
      </c>
      <c r="B238" s="69">
        <v>43744.0</v>
      </c>
      <c r="S238" s="15"/>
    </row>
    <row r="239">
      <c r="A239" s="67" t="str">
        <f t="shared" si="1"/>
        <v>Mon</v>
      </c>
      <c r="B239" s="69">
        <v>43745.0</v>
      </c>
      <c r="S239" s="15"/>
    </row>
    <row r="240">
      <c r="A240" s="67" t="str">
        <f t="shared" si="1"/>
        <v>Tue</v>
      </c>
      <c r="B240" s="69">
        <v>43746.0</v>
      </c>
      <c r="S240" s="15"/>
    </row>
    <row r="241">
      <c r="A241" s="67" t="str">
        <f t="shared" si="1"/>
        <v>Wed</v>
      </c>
      <c r="B241" s="69">
        <v>43747.0</v>
      </c>
      <c r="S241" s="15"/>
    </row>
    <row r="242">
      <c r="A242" s="67" t="str">
        <f t="shared" si="1"/>
        <v>Thu</v>
      </c>
      <c r="B242" s="69">
        <v>43748.0</v>
      </c>
      <c r="S242" s="15"/>
    </row>
    <row r="243">
      <c r="A243" s="67" t="str">
        <f t="shared" si="1"/>
        <v>Fri</v>
      </c>
      <c r="B243" s="69">
        <v>43749.0</v>
      </c>
      <c r="S243" s="15"/>
    </row>
    <row r="244">
      <c r="A244" s="67" t="str">
        <f t="shared" si="1"/>
        <v>Sat</v>
      </c>
      <c r="B244" s="69">
        <v>43750.0</v>
      </c>
      <c r="S244" s="15"/>
    </row>
    <row r="245">
      <c r="A245" s="67" t="str">
        <f t="shared" si="1"/>
        <v>Sun</v>
      </c>
      <c r="B245" s="69">
        <v>43751.0</v>
      </c>
      <c r="S245" s="15"/>
    </row>
    <row r="246">
      <c r="A246" s="67" t="str">
        <f t="shared" si="1"/>
        <v>Mon</v>
      </c>
      <c r="B246" s="69">
        <v>43752.0</v>
      </c>
      <c r="S246" s="15"/>
    </row>
    <row r="247">
      <c r="A247" s="67" t="str">
        <f t="shared" si="1"/>
        <v>Tue</v>
      </c>
      <c r="B247" s="69">
        <v>43753.0</v>
      </c>
      <c r="S247" s="15"/>
    </row>
    <row r="248">
      <c r="A248" s="67" t="str">
        <f t="shared" si="1"/>
        <v>Wed</v>
      </c>
      <c r="B248" s="69">
        <v>43754.0</v>
      </c>
      <c r="S248" s="15"/>
    </row>
    <row r="249">
      <c r="A249" s="67" t="str">
        <f t="shared" si="1"/>
        <v>Thu</v>
      </c>
      <c r="B249" s="69">
        <v>43755.0</v>
      </c>
      <c r="S249" s="15"/>
    </row>
    <row r="250">
      <c r="A250" s="67" t="str">
        <f t="shared" si="1"/>
        <v>Fri</v>
      </c>
      <c r="B250" s="69">
        <v>43756.0</v>
      </c>
      <c r="S250" s="15"/>
    </row>
    <row r="251">
      <c r="A251" s="67" t="str">
        <f t="shared" si="1"/>
        <v>Sat</v>
      </c>
      <c r="B251" s="69">
        <v>43757.0</v>
      </c>
      <c r="S251" s="15"/>
    </row>
    <row r="252">
      <c r="A252" s="67" t="str">
        <f t="shared" si="1"/>
        <v>Sun</v>
      </c>
      <c r="B252" s="69">
        <v>43758.0</v>
      </c>
      <c r="S252" s="15"/>
    </row>
    <row r="253">
      <c r="A253" s="67" t="str">
        <f t="shared" si="1"/>
        <v>Mon</v>
      </c>
      <c r="B253" s="69">
        <v>43759.0</v>
      </c>
      <c r="S253" s="15"/>
    </row>
    <row r="254">
      <c r="A254" s="67" t="str">
        <f t="shared" si="1"/>
        <v>Tue</v>
      </c>
      <c r="B254" s="69">
        <v>43760.0</v>
      </c>
      <c r="S254" s="15"/>
    </row>
    <row r="255">
      <c r="A255" s="67" t="str">
        <f t="shared" si="1"/>
        <v>Wed</v>
      </c>
      <c r="B255" s="69">
        <v>43761.0</v>
      </c>
      <c r="S255" s="15"/>
    </row>
    <row r="256">
      <c r="A256" s="67" t="str">
        <f t="shared" si="1"/>
        <v>Thu</v>
      </c>
      <c r="B256" s="69">
        <v>43762.0</v>
      </c>
      <c r="S256" s="15"/>
    </row>
    <row r="257">
      <c r="A257" s="67" t="str">
        <f t="shared" si="1"/>
        <v>Fri</v>
      </c>
      <c r="B257" s="69">
        <v>43763.0</v>
      </c>
      <c r="S257" s="15"/>
    </row>
    <row r="258">
      <c r="A258" s="67" t="str">
        <f t="shared" si="1"/>
        <v>Sat</v>
      </c>
      <c r="B258" s="69">
        <v>43764.0</v>
      </c>
      <c r="S258" s="15"/>
    </row>
    <row r="259">
      <c r="A259" s="67" t="str">
        <f t="shared" si="1"/>
        <v>Sun</v>
      </c>
      <c r="B259" s="69">
        <v>43765.0</v>
      </c>
      <c r="S259" s="15"/>
    </row>
    <row r="260">
      <c r="A260" s="67" t="str">
        <f t="shared" si="1"/>
        <v>Mon</v>
      </c>
      <c r="B260" s="69">
        <v>43766.0</v>
      </c>
      <c r="S260" s="15"/>
    </row>
    <row r="261">
      <c r="A261" s="67" t="str">
        <f t="shared" si="1"/>
        <v>Tue</v>
      </c>
      <c r="B261" s="69">
        <v>43767.0</v>
      </c>
      <c r="S261" s="15"/>
    </row>
    <row r="262">
      <c r="A262" s="67" t="str">
        <f t="shared" si="1"/>
        <v>Wed</v>
      </c>
      <c r="B262" s="69">
        <v>43768.0</v>
      </c>
      <c r="S262" s="15"/>
    </row>
    <row r="263">
      <c r="A263" s="67" t="str">
        <f t="shared" si="1"/>
        <v>Thu</v>
      </c>
      <c r="B263" s="69">
        <v>43769.0</v>
      </c>
      <c r="S263" s="15"/>
    </row>
    <row r="264">
      <c r="A264" s="67" t="str">
        <f t="shared" si="1"/>
        <v>Fri</v>
      </c>
      <c r="B264" s="69">
        <v>43770.0</v>
      </c>
      <c r="S264" s="15"/>
    </row>
    <row r="265">
      <c r="A265" s="67" t="str">
        <f t="shared" si="1"/>
        <v>Sat</v>
      </c>
      <c r="B265" s="69">
        <v>43771.0</v>
      </c>
      <c r="S265" s="15"/>
    </row>
    <row r="266">
      <c r="A266" s="67" t="str">
        <f t="shared" si="1"/>
        <v>Sun</v>
      </c>
      <c r="B266" s="69">
        <v>43772.0</v>
      </c>
      <c r="S266" s="15"/>
    </row>
    <row r="267">
      <c r="A267" s="67" t="str">
        <f t="shared" si="1"/>
        <v>Mon</v>
      </c>
      <c r="B267" s="69">
        <v>43773.0</v>
      </c>
      <c r="S267" s="15"/>
    </row>
    <row r="268">
      <c r="A268" s="67" t="str">
        <f t="shared" si="1"/>
        <v>Tue</v>
      </c>
      <c r="B268" s="69">
        <v>43774.0</v>
      </c>
      <c r="S268" s="15"/>
    </row>
    <row r="269">
      <c r="A269" s="67" t="str">
        <f t="shared" si="1"/>
        <v>Wed</v>
      </c>
      <c r="B269" s="69">
        <v>43775.0</v>
      </c>
      <c r="S269" s="15"/>
    </row>
    <row r="270">
      <c r="A270" s="67" t="str">
        <f t="shared" si="1"/>
        <v>Thu</v>
      </c>
      <c r="B270" s="69">
        <v>43776.0</v>
      </c>
      <c r="S270" s="15"/>
    </row>
    <row r="271">
      <c r="A271" s="67" t="str">
        <f t="shared" si="1"/>
        <v>Fri</v>
      </c>
      <c r="B271" s="69">
        <v>43777.0</v>
      </c>
      <c r="S271" s="15"/>
    </row>
    <row r="272">
      <c r="A272" s="67" t="str">
        <f t="shared" si="1"/>
        <v>Sat</v>
      </c>
      <c r="B272" s="69">
        <v>43778.0</v>
      </c>
      <c r="S272" s="15"/>
    </row>
    <row r="273">
      <c r="A273" s="67" t="str">
        <f t="shared" si="1"/>
        <v>Sun</v>
      </c>
      <c r="B273" s="69">
        <v>43779.0</v>
      </c>
      <c r="S273" s="15"/>
    </row>
    <row r="274">
      <c r="A274" s="67" t="str">
        <f t="shared" si="1"/>
        <v>Mon</v>
      </c>
      <c r="B274" s="69">
        <v>43780.0</v>
      </c>
      <c r="S274" s="15"/>
    </row>
    <row r="275">
      <c r="A275" s="67" t="str">
        <f t="shared" si="1"/>
        <v>Tue</v>
      </c>
      <c r="B275" s="69">
        <v>43781.0</v>
      </c>
      <c r="S275" s="15"/>
    </row>
    <row r="276">
      <c r="A276" s="67" t="str">
        <f t="shared" si="1"/>
        <v>Wed</v>
      </c>
      <c r="B276" s="69">
        <v>43782.0</v>
      </c>
      <c r="S276" s="15"/>
    </row>
    <row r="277">
      <c r="A277" s="67" t="str">
        <f t="shared" si="1"/>
        <v>Thu</v>
      </c>
      <c r="B277" s="69">
        <v>43783.0</v>
      </c>
      <c r="S277" s="15"/>
    </row>
    <row r="278">
      <c r="A278" s="67" t="str">
        <f t="shared" si="1"/>
        <v>Fri</v>
      </c>
      <c r="B278" s="69">
        <v>43784.0</v>
      </c>
      <c r="S278" s="15"/>
    </row>
    <row r="279">
      <c r="A279" s="67" t="str">
        <f t="shared" si="1"/>
        <v>Sat</v>
      </c>
      <c r="B279" s="69">
        <v>43785.0</v>
      </c>
      <c r="S279" s="15"/>
    </row>
    <row r="280">
      <c r="A280" s="67" t="str">
        <f t="shared" si="1"/>
        <v>Sun</v>
      </c>
      <c r="B280" s="69">
        <v>43786.0</v>
      </c>
      <c r="S280" s="15"/>
    </row>
    <row r="281">
      <c r="A281" s="67" t="str">
        <f t="shared" si="1"/>
        <v>Mon</v>
      </c>
      <c r="B281" s="69">
        <v>43787.0</v>
      </c>
      <c r="S281" s="15"/>
    </row>
    <row r="282">
      <c r="A282" s="67" t="str">
        <f t="shared" si="1"/>
        <v>Tue</v>
      </c>
      <c r="B282" s="69">
        <v>43788.0</v>
      </c>
      <c r="S282" s="15"/>
    </row>
    <row r="283">
      <c r="A283" s="67" t="str">
        <f t="shared" si="1"/>
        <v>Wed</v>
      </c>
      <c r="B283" s="69">
        <v>43789.0</v>
      </c>
      <c r="S283" s="15"/>
    </row>
    <row r="284">
      <c r="A284" s="67" t="str">
        <f t="shared" si="1"/>
        <v>Thu</v>
      </c>
      <c r="B284" s="69">
        <v>43790.0</v>
      </c>
      <c r="S284" s="15"/>
    </row>
    <row r="285">
      <c r="A285" s="67" t="str">
        <f t="shared" si="1"/>
        <v>Fri</v>
      </c>
      <c r="B285" s="69">
        <v>43791.0</v>
      </c>
      <c r="S285" s="15"/>
    </row>
    <row r="286">
      <c r="A286" s="67" t="str">
        <f t="shared" si="1"/>
        <v>Sat</v>
      </c>
      <c r="B286" s="69">
        <v>43792.0</v>
      </c>
      <c r="S286" s="15"/>
    </row>
    <row r="287">
      <c r="A287" s="67" t="str">
        <f t="shared" si="1"/>
        <v>Sun</v>
      </c>
      <c r="B287" s="69">
        <v>43793.0</v>
      </c>
      <c r="S287" s="15"/>
    </row>
    <row r="288">
      <c r="A288" s="67" t="str">
        <f t="shared" si="1"/>
        <v>Mon</v>
      </c>
      <c r="B288" s="69">
        <v>43794.0</v>
      </c>
      <c r="S288" s="15"/>
    </row>
    <row r="289">
      <c r="A289" s="67" t="str">
        <f t="shared" si="1"/>
        <v>Tue</v>
      </c>
      <c r="B289" s="69">
        <v>43795.0</v>
      </c>
      <c r="S289" s="15"/>
    </row>
    <row r="290">
      <c r="A290" s="67" t="str">
        <f t="shared" si="1"/>
        <v>Wed</v>
      </c>
      <c r="B290" s="69">
        <v>43796.0</v>
      </c>
      <c r="S290" s="15"/>
    </row>
    <row r="291">
      <c r="A291" s="67" t="str">
        <f t="shared" si="1"/>
        <v>Thu</v>
      </c>
      <c r="B291" s="69">
        <v>43797.0</v>
      </c>
      <c r="S291" s="15"/>
    </row>
    <row r="292">
      <c r="A292" s="67" t="str">
        <f t="shared" si="1"/>
        <v>Fri</v>
      </c>
      <c r="B292" s="69">
        <v>43798.0</v>
      </c>
      <c r="S292" s="15"/>
    </row>
    <row r="293">
      <c r="A293" s="67" t="str">
        <f t="shared" si="1"/>
        <v>Sat</v>
      </c>
      <c r="B293" s="69">
        <v>43799.0</v>
      </c>
      <c r="S293" s="15"/>
    </row>
    <row r="294">
      <c r="A294" s="67" t="str">
        <f t="shared" si="1"/>
        <v>Sun</v>
      </c>
      <c r="B294" s="69">
        <v>43800.0</v>
      </c>
      <c r="S294" s="15"/>
    </row>
    <row r="295">
      <c r="A295" s="67" t="str">
        <f t="shared" si="1"/>
        <v>Mon</v>
      </c>
      <c r="B295" s="69">
        <v>43801.0</v>
      </c>
      <c r="S295" s="15"/>
    </row>
    <row r="296">
      <c r="A296" s="67" t="str">
        <f t="shared" si="1"/>
        <v>Tue</v>
      </c>
      <c r="B296" s="69">
        <v>43802.0</v>
      </c>
      <c r="S296" s="15"/>
    </row>
    <row r="297">
      <c r="A297" s="67" t="str">
        <f t="shared" si="1"/>
        <v>Wed</v>
      </c>
      <c r="B297" s="69">
        <v>43803.0</v>
      </c>
      <c r="S297" s="15"/>
    </row>
    <row r="298">
      <c r="A298" s="67" t="str">
        <f t="shared" si="1"/>
        <v>Thu</v>
      </c>
      <c r="B298" s="69">
        <v>43804.0</v>
      </c>
      <c r="S298" s="15"/>
    </row>
    <row r="299">
      <c r="A299" s="67" t="str">
        <f t="shared" si="1"/>
        <v>Fri</v>
      </c>
      <c r="B299" s="69">
        <v>43805.0</v>
      </c>
      <c r="S299" s="15"/>
    </row>
    <row r="300">
      <c r="A300" s="67" t="str">
        <f t="shared" si="1"/>
        <v>Sat</v>
      </c>
      <c r="B300" s="69">
        <v>43806.0</v>
      </c>
      <c r="S300" s="15"/>
    </row>
    <row r="301">
      <c r="A301" s="67" t="str">
        <f t="shared" si="1"/>
        <v>Sun</v>
      </c>
      <c r="B301" s="69">
        <v>43807.0</v>
      </c>
      <c r="S301" s="15"/>
    </row>
    <row r="302">
      <c r="A302" s="67" t="str">
        <f t="shared" si="1"/>
        <v>Mon</v>
      </c>
      <c r="B302" s="69">
        <v>43808.0</v>
      </c>
      <c r="S302" s="15"/>
    </row>
    <row r="303">
      <c r="A303" s="67" t="str">
        <f t="shared" si="1"/>
        <v>Tue</v>
      </c>
      <c r="B303" s="69">
        <v>43809.0</v>
      </c>
      <c r="S303" s="15"/>
    </row>
    <row r="304">
      <c r="A304" s="67" t="str">
        <f t="shared" si="1"/>
        <v>Wed</v>
      </c>
      <c r="B304" s="69">
        <v>43810.0</v>
      </c>
      <c r="S304" s="15"/>
    </row>
    <row r="305">
      <c r="A305" s="67" t="str">
        <f t="shared" si="1"/>
        <v>Thu</v>
      </c>
      <c r="B305" s="69">
        <v>43811.0</v>
      </c>
      <c r="S305" s="15"/>
    </row>
    <row r="306">
      <c r="A306" s="67" t="str">
        <f t="shared" si="1"/>
        <v>Fri</v>
      </c>
      <c r="B306" s="69">
        <v>43812.0</v>
      </c>
      <c r="S306" s="15"/>
    </row>
    <row r="307">
      <c r="A307" s="67" t="str">
        <f t="shared" si="1"/>
        <v>Sat</v>
      </c>
      <c r="B307" s="69">
        <v>43813.0</v>
      </c>
      <c r="S307" s="15"/>
    </row>
    <row r="308">
      <c r="A308" s="67" t="str">
        <f t="shared" si="1"/>
        <v>Sun</v>
      </c>
      <c r="B308" s="69">
        <v>43814.0</v>
      </c>
      <c r="S308" s="15"/>
    </row>
    <row r="309">
      <c r="A309" s="67" t="str">
        <f t="shared" si="1"/>
        <v>Mon</v>
      </c>
      <c r="B309" s="69">
        <v>43815.0</v>
      </c>
      <c r="S309" s="15"/>
    </row>
    <row r="310">
      <c r="A310" s="67" t="str">
        <f t="shared" si="1"/>
        <v>Tue</v>
      </c>
      <c r="B310" s="69">
        <v>43816.0</v>
      </c>
      <c r="S310" s="15"/>
    </row>
    <row r="311">
      <c r="A311" s="67" t="str">
        <f t="shared" si="1"/>
        <v>Wed</v>
      </c>
      <c r="B311" s="69">
        <v>43817.0</v>
      </c>
      <c r="S311" s="15"/>
    </row>
    <row r="312">
      <c r="A312" s="67" t="str">
        <f t="shared" si="1"/>
        <v>Thu</v>
      </c>
      <c r="B312" s="69">
        <v>43818.0</v>
      </c>
      <c r="S312" s="15"/>
    </row>
    <row r="313">
      <c r="A313" s="67" t="str">
        <f t="shared" si="1"/>
        <v>Fri</v>
      </c>
      <c r="B313" s="69">
        <v>43819.0</v>
      </c>
      <c r="S313" s="15"/>
    </row>
    <row r="314">
      <c r="A314" s="67" t="str">
        <f t="shared" si="1"/>
        <v>Sat</v>
      </c>
      <c r="B314" s="69">
        <v>43820.0</v>
      </c>
      <c r="S314" s="15"/>
    </row>
    <row r="315">
      <c r="A315" s="67" t="str">
        <f t="shared" si="1"/>
        <v>Sun</v>
      </c>
      <c r="B315" s="69">
        <v>43821.0</v>
      </c>
      <c r="S315" s="15"/>
    </row>
    <row r="316">
      <c r="A316" s="67" t="str">
        <f t="shared" si="1"/>
        <v>Mon</v>
      </c>
      <c r="B316" s="69">
        <v>43822.0</v>
      </c>
      <c r="S316" s="15"/>
    </row>
    <row r="317">
      <c r="A317" s="67" t="str">
        <f t="shared" si="1"/>
        <v>Tue</v>
      </c>
      <c r="B317" s="69">
        <v>43823.0</v>
      </c>
      <c r="S317" s="15"/>
    </row>
    <row r="318">
      <c r="A318" s="67" t="str">
        <f t="shared" si="1"/>
        <v>Wed</v>
      </c>
      <c r="B318" s="69">
        <v>43824.0</v>
      </c>
      <c r="S318" s="15"/>
    </row>
    <row r="319">
      <c r="A319" s="67" t="str">
        <f t="shared" si="1"/>
        <v>Thu</v>
      </c>
      <c r="B319" s="69">
        <v>43825.0</v>
      </c>
      <c r="S319" s="15"/>
    </row>
    <row r="320">
      <c r="A320" s="67" t="str">
        <f t="shared" si="1"/>
        <v>Fri</v>
      </c>
      <c r="B320" s="69">
        <v>43826.0</v>
      </c>
      <c r="S320" s="15"/>
    </row>
    <row r="321">
      <c r="A321" s="67" t="str">
        <f t="shared" si="1"/>
        <v>Sat</v>
      </c>
      <c r="B321" s="69">
        <v>43827.0</v>
      </c>
      <c r="S321" s="15"/>
    </row>
    <row r="322">
      <c r="A322" s="67" t="str">
        <f t="shared" si="1"/>
        <v>Sun</v>
      </c>
      <c r="B322" s="69">
        <v>43828.0</v>
      </c>
      <c r="S322" s="15"/>
    </row>
    <row r="323">
      <c r="A323" s="67" t="str">
        <f t="shared" si="1"/>
        <v>Mon</v>
      </c>
      <c r="B323" s="69">
        <v>43829.0</v>
      </c>
      <c r="S323" s="15"/>
    </row>
    <row r="324">
      <c r="A324" s="67" t="str">
        <f t="shared" si="1"/>
        <v>Tue</v>
      </c>
      <c r="B324" s="69">
        <v>43830.0</v>
      </c>
      <c r="S324" s="15"/>
    </row>
  </sheetData>
  <mergeCells count="5">
    <mergeCell ref="E1:F1"/>
    <mergeCell ref="E2:F2"/>
    <mergeCell ref="E3:F3"/>
    <mergeCell ref="A1:C3"/>
    <mergeCell ref="G1:S3"/>
  </mergeCells>
  <conditionalFormatting sqref="K4:L324">
    <cfRule type="cellIs" dxfId="0" priority="1" operator="equal">
      <formula>"Enviar email para hotel"</formula>
    </cfRule>
  </conditionalFormatting>
  <dataValidations>
    <dataValidation type="list" allowBlank="1" sqref="L6:L324">
      <formula1>"Enviar email para hotel,Enviado para o hotel,Código de reserva enviado para hóspede,Verificar dados com o hóspede,URGENTE,Fechado"</formula1>
    </dataValidation>
    <dataValidation type="list" allowBlank="1" sqref="K6:K324">
      <formula1>"A PAGAR,PARCIALMENTE PAGO,PAGO"</formula1>
    </dataValidation>
  </dataValidations>
  <hyperlinks>
    <hyperlink display="Sumario" location="Sumario!A1" ref="A4"/>
  </hyperlinks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13.57"/>
    <col customWidth="1" min="4" max="4" width="17.0"/>
  </cols>
  <sheetData>
    <row r="1">
      <c r="A1" s="1"/>
      <c r="B1" s="2"/>
      <c r="C1" s="3"/>
      <c r="D1" s="11" t="s">
        <v>198</v>
      </c>
      <c r="E1" s="153" t="s">
        <v>199</v>
      </c>
      <c r="F1" s="3"/>
      <c r="G1" s="154" t="s">
        <v>200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155"/>
    </row>
    <row r="2">
      <c r="A2" s="13"/>
      <c r="C2" s="15"/>
      <c r="D2" s="9" t="s">
        <v>201</v>
      </c>
      <c r="E2" s="156">
        <v>1314.0</v>
      </c>
      <c r="F2" s="15"/>
      <c r="S2" s="15"/>
      <c r="T2" s="155"/>
    </row>
    <row r="3">
      <c r="A3" s="17"/>
      <c r="B3" s="19"/>
      <c r="C3" s="21"/>
      <c r="D3" s="26" t="s">
        <v>202</v>
      </c>
      <c r="E3" s="157" t="s">
        <v>90</v>
      </c>
      <c r="F3" s="21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21"/>
      <c r="T3" s="155"/>
    </row>
    <row r="4">
      <c r="A4" s="158" t="s">
        <v>203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N4" s="30"/>
      <c r="O4" s="30"/>
      <c r="P4" s="30"/>
      <c r="Q4" s="30"/>
      <c r="R4" s="30"/>
      <c r="S4" s="30"/>
      <c r="T4" s="30"/>
      <c r="U4" s="30"/>
      <c r="V4" s="30"/>
    </row>
    <row r="5">
      <c r="A5" s="42" t="s">
        <v>204</v>
      </c>
      <c r="B5" s="45" t="s">
        <v>33</v>
      </c>
      <c r="C5" s="45" t="s">
        <v>205</v>
      </c>
      <c r="D5" s="45" t="s">
        <v>206</v>
      </c>
      <c r="E5" s="45" t="s">
        <v>207</v>
      </c>
      <c r="F5" s="45" t="s">
        <v>208</v>
      </c>
      <c r="G5" s="45" t="s">
        <v>209</v>
      </c>
      <c r="H5" s="45" t="s">
        <v>210</v>
      </c>
      <c r="I5" s="45" t="s">
        <v>211</v>
      </c>
      <c r="J5" s="45" t="s">
        <v>212</v>
      </c>
      <c r="K5" s="45" t="s">
        <v>213</v>
      </c>
      <c r="L5" s="45" t="s">
        <v>214</v>
      </c>
      <c r="M5" s="45" t="s">
        <v>215</v>
      </c>
      <c r="N5" s="45" t="s">
        <v>216</v>
      </c>
      <c r="O5" s="45" t="s">
        <v>217</v>
      </c>
      <c r="P5" s="45" t="s">
        <v>218</v>
      </c>
      <c r="Q5" s="45" t="s">
        <v>219</v>
      </c>
      <c r="R5" s="45" t="s">
        <v>220</v>
      </c>
      <c r="S5" s="159" t="s">
        <v>221</v>
      </c>
      <c r="T5" s="160"/>
    </row>
    <row r="6" hidden="1">
      <c r="A6" s="67" t="str">
        <f t="shared" ref="A6:A324" si="1">CHOOSE(weekday(B6),"Sun","Mon","Tue","Wed","Thu","Fri","Sat")</f>
        <v>Sat</v>
      </c>
      <c r="B6" s="69">
        <v>43512.0</v>
      </c>
      <c r="S6" s="15"/>
    </row>
    <row r="7" hidden="1">
      <c r="A7" s="67" t="str">
        <f t="shared" si="1"/>
        <v>Sun</v>
      </c>
      <c r="B7" s="69">
        <v>43513.0</v>
      </c>
      <c r="S7" s="15"/>
    </row>
    <row r="8" hidden="1">
      <c r="A8" s="67" t="str">
        <f t="shared" si="1"/>
        <v>Mon</v>
      </c>
      <c r="B8" s="69">
        <v>43514.0</v>
      </c>
      <c r="S8" s="15"/>
    </row>
    <row r="9" hidden="1">
      <c r="A9" s="67" t="str">
        <f t="shared" si="1"/>
        <v>Tue</v>
      </c>
      <c r="B9" s="69">
        <v>43515.0</v>
      </c>
      <c r="S9" s="15"/>
    </row>
    <row r="10" hidden="1">
      <c r="A10" s="67" t="str">
        <f t="shared" si="1"/>
        <v>Wed</v>
      </c>
      <c r="B10" s="69">
        <v>43516.0</v>
      </c>
      <c r="S10" s="15"/>
    </row>
    <row r="11" hidden="1">
      <c r="A11" s="67" t="str">
        <f t="shared" si="1"/>
        <v>Thu</v>
      </c>
      <c r="B11" s="69">
        <v>43517.0</v>
      </c>
      <c r="S11" s="15"/>
    </row>
    <row r="12" hidden="1">
      <c r="A12" s="67" t="str">
        <f t="shared" si="1"/>
        <v>Fri</v>
      </c>
      <c r="B12" s="69">
        <v>43518.0</v>
      </c>
      <c r="S12" s="15"/>
    </row>
    <row r="13" hidden="1">
      <c r="A13" s="67" t="str">
        <f t="shared" si="1"/>
        <v>Sat</v>
      </c>
      <c r="B13" s="69">
        <v>43519.0</v>
      </c>
      <c r="S13" s="15"/>
    </row>
    <row r="14" hidden="1">
      <c r="A14" s="67" t="str">
        <f t="shared" si="1"/>
        <v>Sun</v>
      </c>
      <c r="B14" s="69">
        <v>43520.0</v>
      </c>
      <c r="S14" s="15"/>
    </row>
    <row r="15" hidden="1">
      <c r="A15" s="67" t="str">
        <f t="shared" si="1"/>
        <v>Mon</v>
      </c>
      <c r="B15" s="69">
        <v>43521.0</v>
      </c>
      <c r="S15" s="15"/>
    </row>
    <row r="16" hidden="1">
      <c r="A16" s="67" t="str">
        <f t="shared" si="1"/>
        <v>Tue</v>
      </c>
      <c r="B16" s="69">
        <v>43522.0</v>
      </c>
      <c r="S16" s="15"/>
    </row>
    <row r="17" hidden="1">
      <c r="A17" s="67" t="str">
        <f t="shared" si="1"/>
        <v>Wed</v>
      </c>
      <c r="B17" s="69">
        <v>43523.0</v>
      </c>
      <c r="S17" s="15"/>
    </row>
    <row r="18" hidden="1">
      <c r="A18" s="67" t="str">
        <f t="shared" si="1"/>
        <v>Thu</v>
      </c>
      <c r="B18" s="69">
        <v>43524.0</v>
      </c>
      <c r="S18" s="15"/>
    </row>
    <row r="19" hidden="1">
      <c r="A19" s="67" t="str">
        <f t="shared" si="1"/>
        <v>Fri</v>
      </c>
      <c r="B19" s="69">
        <v>43525.0</v>
      </c>
      <c r="D19" s="4">
        <v>1500.0</v>
      </c>
      <c r="E19" s="4" t="s">
        <v>337</v>
      </c>
      <c r="F19" s="4" t="s">
        <v>469</v>
      </c>
      <c r="G19" s="4" t="s">
        <v>469</v>
      </c>
      <c r="I19" s="4" t="s">
        <v>359</v>
      </c>
      <c r="J19" s="4" t="s">
        <v>470</v>
      </c>
      <c r="K19" s="4" t="s">
        <v>231</v>
      </c>
      <c r="L19" s="4" t="s">
        <v>225</v>
      </c>
      <c r="M19" s="4" t="s">
        <v>471</v>
      </c>
      <c r="N19" s="4" t="s">
        <v>472</v>
      </c>
      <c r="S19" s="15"/>
    </row>
    <row r="20" hidden="1">
      <c r="A20" s="67" t="str">
        <f t="shared" si="1"/>
        <v>Sat</v>
      </c>
      <c r="B20" s="69">
        <v>43526.0</v>
      </c>
      <c r="D20" s="4">
        <v>1500.0</v>
      </c>
      <c r="E20" s="4" t="s">
        <v>337</v>
      </c>
      <c r="F20" s="4" t="s">
        <v>469</v>
      </c>
      <c r="I20" s="4" t="s">
        <v>359</v>
      </c>
      <c r="J20" s="4" t="s">
        <v>473</v>
      </c>
      <c r="S20" s="15"/>
    </row>
    <row r="21" hidden="1">
      <c r="A21" s="67" t="str">
        <f t="shared" si="1"/>
        <v>Sun</v>
      </c>
      <c r="B21" s="69">
        <v>43527.0</v>
      </c>
      <c r="D21" s="4">
        <v>1500.0</v>
      </c>
      <c r="E21" s="4" t="s">
        <v>337</v>
      </c>
      <c r="F21" s="4" t="s">
        <v>469</v>
      </c>
      <c r="I21" s="4" t="s">
        <v>359</v>
      </c>
      <c r="S21" s="15"/>
    </row>
    <row r="22" hidden="1">
      <c r="A22" s="67" t="str">
        <f t="shared" si="1"/>
        <v>Mon</v>
      </c>
      <c r="B22" s="69">
        <v>43528.0</v>
      </c>
      <c r="H22" s="4" t="s">
        <v>469</v>
      </c>
      <c r="S22" s="15"/>
    </row>
    <row r="23" hidden="1">
      <c r="A23" s="67" t="str">
        <f t="shared" si="1"/>
        <v>Tue</v>
      </c>
      <c r="B23" s="69">
        <v>43529.0</v>
      </c>
      <c r="D23" s="4">
        <v>485.0</v>
      </c>
      <c r="E23" s="4" t="s">
        <v>222</v>
      </c>
      <c r="F23" s="4" t="s">
        <v>474</v>
      </c>
      <c r="G23" s="4" t="s">
        <v>474</v>
      </c>
      <c r="I23" s="4" t="s">
        <v>359</v>
      </c>
      <c r="S23" s="15"/>
    </row>
    <row r="24" hidden="1">
      <c r="A24" s="67" t="str">
        <f t="shared" si="1"/>
        <v>Wed</v>
      </c>
      <c r="B24" s="69">
        <v>43530.0</v>
      </c>
      <c r="F24" s="4" t="s">
        <v>267</v>
      </c>
      <c r="H24" s="4" t="s">
        <v>474</v>
      </c>
      <c r="S24" s="15"/>
    </row>
    <row r="25" hidden="1">
      <c r="A25" s="67" t="str">
        <f t="shared" si="1"/>
        <v>Thu</v>
      </c>
      <c r="B25" s="69">
        <v>43531.0</v>
      </c>
      <c r="F25" s="4" t="s">
        <v>267</v>
      </c>
      <c r="S25" s="15"/>
    </row>
    <row r="26" hidden="1">
      <c r="A26" s="67" t="str">
        <f t="shared" si="1"/>
        <v>Fri</v>
      </c>
      <c r="B26" s="69">
        <v>43532.0</v>
      </c>
      <c r="F26" s="4" t="s">
        <v>267</v>
      </c>
      <c r="S26" s="15"/>
    </row>
    <row r="27" hidden="1">
      <c r="A27" s="67" t="str">
        <f t="shared" si="1"/>
        <v>Sat</v>
      </c>
      <c r="B27" s="69">
        <v>43533.0</v>
      </c>
      <c r="F27" s="4" t="s">
        <v>267</v>
      </c>
      <c r="S27" s="15"/>
    </row>
    <row r="28" hidden="1">
      <c r="A28" s="67" t="str">
        <f t="shared" si="1"/>
        <v>Sun</v>
      </c>
      <c r="B28" s="69">
        <v>43534.0</v>
      </c>
      <c r="F28" s="4" t="s">
        <v>267</v>
      </c>
      <c r="S28" s="15"/>
    </row>
    <row r="29" hidden="1">
      <c r="A29" s="67" t="str">
        <f t="shared" si="1"/>
        <v>Mon</v>
      </c>
      <c r="B29" s="69">
        <v>43535.0</v>
      </c>
      <c r="F29" s="4" t="s">
        <v>267</v>
      </c>
      <c r="S29" s="15"/>
    </row>
    <row r="30" hidden="1">
      <c r="A30" s="67" t="str">
        <f t="shared" si="1"/>
        <v>Tue</v>
      </c>
      <c r="B30" s="69">
        <v>43536.0</v>
      </c>
      <c r="F30" s="4" t="s">
        <v>267</v>
      </c>
      <c r="S30" s="15"/>
    </row>
    <row r="31" hidden="1">
      <c r="A31" s="67" t="str">
        <f t="shared" si="1"/>
        <v>Wed</v>
      </c>
      <c r="B31" s="69">
        <v>43537.0</v>
      </c>
      <c r="F31" s="4" t="s">
        <v>267</v>
      </c>
      <c r="S31" s="15"/>
    </row>
    <row r="32" hidden="1">
      <c r="A32" s="67" t="str">
        <f t="shared" si="1"/>
        <v>Thu</v>
      </c>
      <c r="B32" s="69">
        <v>43538.0</v>
      </c>
      <c r="F32" s="4" t="s">
        <v>267</v>
      </c>
      <c r="S32" s="15"/>
    </row>
    <row r="33" hidden="1">
      <c r="A33" s="67" t="str">
        <f t="shared" si="1"/>
        <v>Fri</v>
      </c>
      <c r="B33" s="69">
        <v>43539.0</v>
      </c>
      <c r="F33" s="4" t="s">
        <v>267</v>
      </c>
      <c r="S33" s="15"/>
    </row>
    <row r="34" hidden="1">
      <c r="A34" s="67" t="str">
        <f t="shared" si="1"/>
        <v>Sat</v>
      </c>
      <c r="B34" s="69">
        <v>43540.0</v>
      </c>
      <c r="F34" s="4" t="s">
        <v>267</v>
      </c>
      <c r="S34" s="15"/>
    </row>
    <row r="35" hidden="1">
      <c r="A35" s="67" t="str">
        <f t="shared" si="1"/>
        <v>Sun</v>
      </c>
      <c r="B35" s="69">
        <v>43541.0</v>
      </c>
      <c r="F35" s="4" t="s">
        <v>267</v>
      </c>
      <c r="S35" s="15"/>
    </row>
    <row r="36" hidden="1">
      <c r="A36" s="67" t="str">
        <f t="shared" si="1"/>
        <v>Mon</v>
      </c>
      <c r="B36" s="69">
        <v>43542.0</v>
      </c>
      <c r="F36" s="4" t="s">
        <v>267</v>
      </c>
      <c r="S36" s="15"/>
    </row>
    <row r="37" hidden="1">
      <c r="A37" s="67" t="str">
        <f t="shared" si="1"/>
        <v>Tue</v>
      </c>
      <c r="B37" s="69">
        <v>43543.0</v>
      </c>
      <c r="F37" s="4" t="s">
        <v>267</v>
      </c>
      <c r="S37" s="15"/>
    </row>
    <row r="38" hidden="1">
      <c r="A38" s="67" t="str">
        <f t="shared" si="1"/>
        <v>Wed</v>
      </c>
      <c r="B38" s="69">
        <v>43544.0</v>
      </c>
      <c r="F38" s="4" t="s">
        <v>267</v>
      </c>
      <c r="S38" s="15"/>
    </row>
    <row r="39" hidden="1">
      <c r="A39" s="67" t="str">
        <f t="shared" si="1"/>
        <v>Thu</v>
      </c>
      <c r="B39" s="69">
        <v>43545.0</v>
      </c>
      <c r="F39" s="4" t="s">
        <v>267</v>
      </c>
      <c r="S39" s="15"/>
    </row>
    <row r="40" hidden="1">
      <c r="A40" s="67" t="str">
        <f t="shared" si="1"/>
        <v>Fri</v>
      </c>
      <c r="B40" s="69">
        <v>43546.0</v>
      </c>
      <c r="F40" s="4" t="s">
        <v>267</v>
      </c>
      <c r="S40" s="15"/>
    </row>
    <row r="41" hidden="1">
      <c r="A41" s="67" t="str">
        <f t="shared" si="1"/>
        <v>Sat</v>
      </c>
      <c r="B41" s="69">
        <v>43547.0</v>
      </c>
      <c r="F41" s="4" t="s">
        <v>267</v>
      </c>
      <c r="S41" s="15"/>
    </row>
    <row r="42" hidden="1">
      <c r="A42" s="67" t="str">
        <f t="shared" si="1"/>
        <v>Sun</v>
      </c>
      <c r="B42" s="69">
        <v>43548.0</v>
      </c>
      <c r="F42" s="4" t="s">
        <v>267</v>
      </c>
      <c r="S42" s="15"/>
    </row>
    <row r="43" hidden="1">
      <c r="A43" s="67" t="str">
        <f t="shared" si="1"/>
        <v>Mon</v>
      </c>
      <c r="B43" s="69">
        <v>43549.0</v>
      </c>
      <c r="F43" s="4" t="s">
        <v>267</v>
      </c>
      <c r="S43" s="15"/>
    </row>
    <row r="44" hidden="1">
      <c r="A44" s="67" t="str">
        <f t="shared" si="1"/>
        <v>Tue</v>
      </c>
      <c r="B44" s="69">
        <v>43550.0</v>
      </c>
      <c r="F44" s="4" t="s">
        <v>267</v>
      </c>
      <c r="S44" s="15"/>
    </row>
    <row r="45" hidden="1">
      <c r="A45" s="67" t="str">
        <f t="shared" si="1"/>
        <v>Wed</v>
      </c>
      <c r="B45" s="69">
        <v>43551.0</v>
      </c>
      <c r="F45" s="4" t="s">
        <v>267</v>
      </c>
      <c r="S45" s="15"/>
    </row>
    <row r="46" hidden="1">
      <c r="A46" s="67" t="str">
        <f t="shared" si="1"/>
        <v>Thu</v>
      </c>
      <c r="B46" s="69">
        <v>43552.0</v>
      </c>
      <c r="F46" s="4" t="s">
        <v>267</v>
      </c>
      <c r="S46" s="15"/>
    </row>
    <row r="47" hidden="1">
      <c r="A47" s="67" t="str">
        <f t="shared" si="1"/>
        <v>Fri</v>
      </c>
      <c r="B47" s="69">
        <v>43553.0</v>
      </c>
      <c r="F47" s="4" t="s">
        <v>267</v>
      </c>
      <c r="S47" s="15"/>
    </row>
    <row r="48" hidden="1">
      <c r="A48" s="67" t="str">
        <f t="shared" si="1"/>
        <v>Sat</v>
      </c>
      <c r="B48" s="69">
        <v>43554.0</v>
      </c>
      <c r="F48" s="4" t="s">
        <v>267</v>
      </c>
      <c r="S48" s="15"/>
    </row>
    <row r="49" hidden="1">
      <c r="A49" s="67" t="str">
        <f t="shared" si="1"/>
        <v>Sun</v>
      </c>
      <c r="B49" s="69">
        <v>43555.0</v>
      </c>
      <c r="F49" s="4" t="s">
        <v>267</v>
      </c>
      <c r="S49" s="15"/>
    </row>
    <row r="50" hidden="1">
      <c r="A50" s="67" t="str">
        <f t="shared" si="1"/>
        <v>Mon</v>
      </c>
      <c r="B50" s="69">
        <v>43556.0</v>
      </c>
      <c r="F50" s="4" t="s">
        <v>267</v>
      </c>
      <c r="S50" s="15"/>
    </row>
    <row r="51" hidden="1">
      <c r="A51" s="67" t="str">
        <f t="shared" si="1"/>
        <v>Tue</v>
      </c>
      <c r="B51" s="69">
        <v>43557.0</v>
      </c>
      <c r="F51" s="4" t="s">
        <v>267</v>
      </c>
      <c r="S51" s="15"/>
    </row>
    <row r="52" hidden="1">
      <c r="A52" s="67" t="str">
        <f t="shared" si="1"/>
        <v>Wed</v>
      </c>
      <c r="B52" s="69">
        <v>43558.0</v>
      </c>
      <c r="F52" s="4" t="s">
        <v>267</v>
      </c>
      <c r="S52" s="15"/>
    </row>
    <row r="53" hidden="1">
      <c r="A53" s="67" t="str">
        <f t="shared" si="1"/>
        <v>Thu</v>
      </c>
      <c r="B53" s="69">
        <v>43559.0</v>
      </c>
      <c r="F53" s="4" t="s">
        <v>267</v>
      </c>
      <c r="S53" s="15"/>
    </row>
    <row r="54" hidden="1">
      <c r="A54" s="67" t="str">
        <f t="shared" si="1"/>
        <v>Fri</v>
      </c>
      <c r="B54" s="69">
        <v>43560.0</v>
      </c>
      <c r="F54" s="4" t="s">
        <v>267</v>
      </c>
      <c r="S54" s="15"/>
    </row>
    <row r="55" hidden="1">
      <c r="A55" s="67" t="str">
        <f t="shared" si="1"/>
        <v>Sat</v>
      </c>
      <c r="B55" s="69">
        <v>43561.0</v>
      </c>
      <c r="F55" s="4" t="s">
        <v>267</v>
      </c>
      <c r="S55" s="15"/>
    </row>
    <row r="56" hidden="1">
      <c r="A56" s="67" t="str">
        <f t="shared" si="1"/>
        <v>Sun</v>
      </c>
      <c r="B56" s="69">
        <v>43562.0</v>
      </c>
      <c r="F56" s="4" t="s">
        <v>267</v>
      </c>
      <c r="S56" s="15"/>
    </row>
    <row r="57" hidden="1">
      <c r="A57" s="67" t="str">
        <f t="shared" si="1"/>
        <v>Mon</v>
      </c>
      <c r="B57" s="69">
        <v>43563.0</v>
      </c>
      <c r="F57" s="4" t="s">
        <v>267</v>
      </c>
      <c r="S57" s="15"/>
    </row>
    <row r="58" hidden="1">
      <c r="A58" s="67" t="str">
        <f t="shared" si="1"/>
        <v>Tue</v>
      </c>
      <c r="B58" s="69">
        <v>43564.0</v>
      </c>
      <c r="F58" s="4" t="s">
        <v>267</v>
      </c>
      <c r="S58" s="15"/>
    </row>
    <row r="59" hidden="1">
      <c r="A59" s="67" t="str">
        <f t="shared" si="1"/>
        <v>Wed</v>
      </c>
      <c r="B59" s="69">
        <v>43565.0</v>
      </c>
      <c r="F59" s="4" t="s">
        <v>267</v>
      </c>
      <c r="S59" s="15"/>
    </row>
    <row r="60" hidden="1">
      <c r="A60" s="67" t="str">
        <f t="shared" si="1"/>
        <v>Thu</v>
      </c>
      <c r="B60" s="69">
        <v>43566.0</v>
      </c>
      <c r="F60" s="4" t="s">
        <v>267</v>
      </c>
      <c r="S60" s="15"/>
    </row>
    <row r="61" hidden="1">
      <c r="A61" s="67" t="str">
        <f t="shared" si="1"/>
        <v>Fri</v>
      </c>
      <c r="B61" s="69">
        <v>43567.0</v>
      </c>
      <c r="F61" s="4" t="s">
        <v>267</v>
      </c>
      <c r="S61" s="15"/>
    </row>
    <row r="62" hidden="1">
      <c r="A62" s="67" t="str">
        <f t="shared" si="1"/>
        <v>Sat</v>
      </c>
      <c r="B62" s="69">
        <v>43568.0</v>
      </c>
      <c r="F62" s="4" t="s">
        <v>267</v>
      </c>
      <c r="S62" s="15"/>
    </row>
    <row r="63" hidden="1">
      <c r="A63" s="67" t="str">
        <f t="shared" si="1"/>
        <v>Sun</v>
      </c>
      <c r="B63" s="69">
        <v>43569.0</v>
      </c>
      <c r="F63" s="4" t="s">
        <v>267</v>
      </c>
      <c r="S63" s="15"/>
    </row>
    <row r="64" hidden="1">
      <c r="A64" s="67" t="str">
        <f t="shared" si="1"/>
        <v>Mon</v>
      </c>
      <c r="B64" s="69">
        <v>43570.0</v>
      </c>
      <c r="F64" s="4" t="s">
        <v>267</v>
      </c>
      <c r="S64" s="15"/>
    </row>
    <row r="65" hidden="1">
      <c r="A65" s="67" t="str">
        <f t="shared" si="1"/>
        <v>Tue</v>
      </c>
      <c r="B65" s="69">
        <v>43571.0</v>
      </c>
      <c r="F65" s="4" t="s">
        <v>267</v>
      </c>
      <c r="S65" s="15"/>
    </row>
    <row r="66" hidden="1">
      <c r="A66" s="67" t="str">
        <f t="shared" si="1"/>
        <v>Wed</v>
      </c>
      <c r="B66" s="69">
        <v>43572.0</v>
      </c>
      <c r="F66" s="4" t="s">
        <v>267</v>
      </c>
      <c r="S66" s="15"/>
    </row>
    <row r="67" hidden="1">
      <c r="A67" s="67" t="str">
        <f t="shared" si="1"/>
        <v>Thu</v>
      </c>
      <c r="B67" s="69">
        <v>43573.0</v>
      </c>
      <c r="F67" s="4" t="s">
        <v>267</v>
      </c>
      <c r="S67" s="15"/>
    </row>
    <row r="68" hidden="1">
      <c r="A68" s="67" t="str">
        <f t="shared" si="1"/>
        <v>Fri</v>
      </c>
      <c r="B68" s="69">
        <v>43574.0</v>
      </c>
      <c r="F68" s="4" t="s">
        <v>267</v>
      </c>
      <c r="S68" s="15"/>
    </row>
    <row r="69" hidden="1">
      <c r="A69" s="67" t="str">
        <f t="shared" si="1"/>
        <v>Sat</v>
      </c>
      <c r="B69" s="69">
        <v>43575.0</v>
      </c>
      <c r="F69" s="4" t="s">
        <v>267</v>
      </c>
      <c r="S69" s="15"/>
    </row>
    <row r="70" hidden="1">
      <c r="A70" s="67" t="str">
        <f t="shared" si="1"/>
        <v>Sun</v>
      </c>
      <c r="B70" s="69">
        <v>43576.0</v>
      </c>
      <c r="F70" s="4" t="s">
        <v>267</v>
      </c>
      <c r="S70" s="15"/>
    </row>
    <row r="71" hidden="1">
      <c r="A71" s="67" t="str">
        <f t="shared" si="1"/>
        <v>Mon</v>
      </c>
      <c r="B71" s="69">
        <v>43577.0</v>
      </c>
      <c r="F71" s="4" t="s">
        <v>267</v>
      </c>
      <c r="S71" s="15"/>
    </row>
    <row r="72" hidden="1">
      <c r="A72" s="67" t="str">
        <f t="shared" si="1"/>
        <v>Tue</v>
      </c>
      <c r="B72" s="69">
        <v>43578.0</v>
      </c>
      <c r="F72" s="4" t="s">
        <v>267</v>
      </c>
      <c r="S72" s="15"/>
    </row>
    <row r="73" hidden="1">
      <c r="A73" s="67" t="str">
        <f t="shared" si="1"/>
        <v>Wed</v>
      </c>
      <c r="B73" s="69">
        <v>43579.0</v>
      </c>
      <c r="F73" s="4" t="s">
        <v>267</v>
      </c>
      <c r="S73" s="15"/>
    </row>
    <row r="74" hidden="1">
      <c r="A74" s="67" t="str">
        <f t="shared" si="1"/>
        <v>Thu</v>
      </c>
      <c r="B74" s="69">
        <v>43580.0</v>
      </c>
      <c r="F74" s="4" t="s">
        <v>267</v>
      </c>
      <c r="S74" s="15"/>
    </row>
    <row r="75" hidden="1">
      <c r="A75" s="67" t="str">
        <f t="shared" si="1"/>
        <v>Fri</v>
      </c>
      <c r="B75" s="69">
        <v>43581.0</v>
      </c>
      <c r="F75" s="4" t="s">
        <v>267</v>
      </c>
      <c r="S75" s="15"/>
    </row>
    <row r="76" hidden="1">
      <c r="A76" s="67" t="str">
        <f t="shared" si="1"/>
        <v>Sat</v>
      </c>
      <c r="B76" s="69">
        <v>43582.0</v>
      </c>
      <c r="F76" s="4" t="s">
        <v>267</v>
      </c>
      <c r="S76" s="15"/>
    </row>
    <row r="77" hidden="1">
      <c r="A77" s="67" t="str">
        <f t="shared" si="1"/>
        <v>Sun</v>
      </c>
      <c r="B77" s="69">
        <v>43583.0</v>
      </c>
      <c r="F77" s="4" t="s">
        <v>267</v>
      </c>
      <c r="S77" s="15"/>
    </row>
    <row r="78" hidden="1">
      <c r="A78" s="67" t="str">
        <f t="shared" si="1"/>
        <v>Mon</v>
      </c>
      <c r="B78" s="69">
        <v>43584.0</v>
      </c>
      <c r="F78" s="4" t="s">
        <v>267</v>
      </c>
      <c r="S78" s="15"/>
    </row>
    <row r="79" hidden="1">
      <c r="A79" s="67" t="str">
        <f t="shared" si="1"/>
        <v>Tue</v>
      </c>
      <c r="B79" s="69">
        <v>43585.0</v>
      </c>
      <c r="F79" s="4" t="s">
        <v>267</v>
      </c>
      <c r="S79" s="15"/>
    </row>
    <row r="80" hidden="1">
      <c r="A80" s="67" t="str">
        <f t="shared" si="1"/>
        <v>Wed</v>
      </c>
      <c r="B80" s="69">
        <v>43586.0</v>
      </c>
      <c r="F80" s="4" t="s">
        <v>267</v>
      </c>
      <c r="S80" s="15"/>
    </row>
    <row r="81" hidden="1">
      <c r="A81" s="67" t="str">
        <f t="shared" si="1"/>
        <v>Thu</v>
      </c>
      <c r="B81" s="69">
        <v>43587.0</v>
      </c>
      <c r="F81" s="4" t="s">
        <v>267</v>
      </c>
      <c r="S81" s="15"/>
    </row>
    <row r="82" hidden="1">
      <c r="A82" s="67" t="str">
        <f t="shared" si="1"/>
        <v>Fri</v>
      </c>
      <c r="B82" s="69">
        <v>43588.0</v>
      </c>
      <c r="F82" s="4" t="s">
        <v>267</v>
      </c>
      <c r="S82" s="15"/>
    </row>
    <row r="83" hidden="1">
      <c r="A83" s="67" t="str">
        <f t="shared" si="1"/>
        <v>Sat</v>
      </c>
      <c r="B83" s="69">
        <v>43589.0</v>
      </c>
      <c r="F83" s="4" t="s">
        <v>267</v>
      </c>
      <c r="S83" s="15"/>
    </row>
    <row r="84" hidden="1">
      <c r="A84" s="67" t="str">
        <f t="shared" si="1"/>
        <v>Sun</v>
      </c>
      <c r="B84" s="69">
        <v>43590.0</v>
      </c>
      <c r="F84" s="4" t="s">
        <v>267</v>
      </c>
      <c r="S84" s="15"/>
    </row>
    <row r="85" hidden="1">
      <c r="A85" s="67" t="str">
        <f t="shared" si="1"/>
        <v>Mon</v>
      </c>
      <c r="B85" s="69">
        <v>43591.0</v>
      </c>
      <c r="F85" s="4" t="s">
        <v>267</v>
      </c>
      <c r="S85" s="15"/>
    </row>
    <row r="86" hidden="1">
      <c r="A86" s="67" t="str">
        <f t="shared" si="1"/>
        <v>Tue</v>
      </c>
      <c r="B86" s="69">
        <v>43592.0</v>
      </c>
      <c r="F86" s="4" t="s">
        <v>267</v>
      </c>
      <c r="S86" s="15"/>
    </row>
    <row r="87" hidden="1">
      <c r="A87" s="67" t="str">
        <f t="shared" si="1"/>
        <v>Wed</v>
      </c>
      <c r="B87" s="69">
        <v>43593.0</v>
      </c>
      <c r="F87" s="4" t="s">
        <v>267</v>
      </c>
      <c r="S87" s="15"/>
    </row>
    <row r="88" hidden="1">
      <c r="A88" s="67" t="str">
        <f t="shared" si="1"/>
        <v>Thu</v>
      </c>
      <c r="B88" s="69">
        <v>43594.0</v>
      </c>
      <c r="F88" s="4" t="s">
        <v>267</v>
      </c>
      <c r="S88" s="15"/>
    </row>
    <row r="89" hidden="1">
      <c r="A89" s="67" t="str">
        <f t="shared" si="1"/>
        <v>Fri</v>
      </c>
      <c r="B89" s="69">
        <v>43595.0</v>
      </c>
      <c r="F89" s="4" t="s">
        <v>267</v>
      </c>
      <c r="S89" s="15"/>
    </row>
    <row r="90" hidden="1">
      <c r="A90" s="67" t="str">
        <f t="shared" si="1"/>
        <v>Sat</v>
      </c>
      <c r="B90" s="69">
        <v>43596.0</v>
      </c>
      <c r="F90" s="4" t="s">
        <v>267</v>
      </c>
      <c r="S90" s="15"/>
    </row>
    <row r="91" hidden="1">
      <c r="A91" s="67" t="str">
        <f t="shared" si="1"/>
        <v>Sun</v>
      </c>
      <c r="B91" s="69">
        <v>43597.0</v>
      </c>
      <c r="F91" s="4" t="s">
        <v>267</v>
      </c>
      <c r="S91" s="15"/>
    </row>
    <row r="92" hidden="1">
      <c r="A92" s="67" t="str">
        <f t="shared" si="1"/>
        <v>Mon</v>
      </c>
      <c r="B92" s="69">
        <v>43598.0</v>
      </c>
      <c r="F92" s="4" t="s">
        <v>267</v>
      </c>
      <c r="S92" s="15"/>
    </row>
    <row r="93" hidden="1">
      <c r="A93" s="67" t="str">
        <f t="shared" si="1"/>
        <v>Tue</v>
      </c>
      <c r="B93" s="69">
        <v>43599.0</v>
      </c>
      <c r="F93" s="4" t="s">
        <v>267</v>
      </c>
      <c r="S93" s="15"/>
    </row>
    <row r="94" hidden="1">
      <c r="A94" s="67" t="str">
        <f t="shared" si="1"/>
        <v>Wed</v>
      </c>
      <c r="B94" s="69">
        <v>43600.0</v>
      </c>
      <c r="F94" s="4" t="s">
        <v>267</v>
      </c>
      <c r="S94" s="15"/>
    </row>
    <row r="95" hidden="1">
      <c r="A95" s="67" t="str">
        <f t="shared" si="1"/>
        <v>Thu</v>
      </c>
      <c r="B95" s="69">
        <v>43601.0</v>
      </c>
      <c r="F95" s="4" t="s">
        <v>267</v>
      </c>
      <c r="S95" s="15"/>
    </row>
    <row r="96" hidden="1">
      <c r="A96" s="67" t="str">
        <f t="shared" si="1"/>
        <v>Fri</v>
      </c>
      <c r="B96" s="69">
        <v>43602.0</v>
      </c>
      <c r="F96" s="4" t="s">
        <v>267</v>
      </c>
      <c r="S96" s="15"/>
    </row>
    <row r="97" hidden="1">
      <c r="A97" s="67" t="str">
        <f t="shared" si="1"/>
        <v>Sat</v>
      </c>
      <c r="B97" s="69">
        <v>43603.0</v>
      </c>
      <c r="F97" s="4" t="s">
        <v>267</v>
      </c>
      <c r="S97" s="15"/>
    </row>
    <row r="98" hidden="1">
      <c r="A98" s="67" t="str">
        <f t="shared" si="1"/>
        <v>Sun</v>
      </c>
      <c r="B98" s="69">
        <v>43604.0</v>
      </c>
      <c r="F98" s="4" t="s">
        <v>267</v>
      </c>
      <c r="S98" s="15"/>
    </row>
    <row r="99" hidden="1">
      <c r="A99" s="67" t="str">
        <f t="shared" si="1"/>
        <v>Mon</v>
      </c>
      <c r="B99" s="69">
        <v>43605.0</v>
      </c>
      <c r="F99" s="4" t="s">
        <v>267</v>
      </c>
      <c r="S99" s="15"/>
    </row>
    <row r="100" hidden="1">
      <c r="A100" s="67" t="str">
        <f t="shared" si="1"/>
        <v>Tue</v>
      </c>
      <c r="B100" s="69">
        <v>43606.0</v>
      </c>
      <c r="F100" s="4" t="s">
        <v>267</v>
      </c>
      <c r="S100" s="15"/>
    </row>
    <row r="101" hidden="1">
      <c r="A101" s="67" t="str">
        <f t="shared" si="1"/>
        <v>Wed</v>
      </c>
      <c r="B101" s="69">
        <v>43607.0</v>
      </c>
      <c r="F101" s="4" t="s">
        <v>267</v>
      </c>
      <c r="S101" s="15"/>
    </row>
    <row r="102" hidden="1">
      <c r="A102" s="67" t="str">
        <f t="shared" si="1"/>
        <v>Thu</v>
      </c>
      <c r="B102" s="69">
        <v>43608.0</v>
      </c>
      <c r="F102" s="4" t="s">
        <v>267</v>
      </c>
      <c r="S102" s="15"/>
    </row>
    <row r="103" hidden="1">
      <c r="A103" s="67" t="str">
        <f t="shared" si="1"/>
        <v>Fri</v>
      </c>
      <c r="B103" s="69">
        <v>43609.0</v>
      </c>
      <c r="F103" s="4" t="s">
        <v>267</v>
      </c>
      <c r="S103" s="15"/>
    </row>
    <row r="104" hidden="1">
      <c r="A104" s="67" t="str">
        <f t="shared" si="1"/>
        <v>Sat</v>
      </c>
      <c r="B104" s="69">
        <v>43610.0</v>
      </c>
      <c r="F104" s="4" t="s">
        <v>267</v>
      </c>
      <c r="S104" s="15"/>
    </row>
    <row r="105" hidden="1">
      <c r="A105" s="67" t="str">
        <f t="shared" si="1"/>
        <v>Sun</v>
      </c>
      <c r="B105" s="69">
        <v>43611.0</v>
      </c>
      <c r="F105" s="4" t="s">
        <v>267</v>
      </c>
      <c r="S105" s="15"/>
    </row>
    <row r="106" hidden="1">
      <c r="A106" s="67" t="str">
        <f t="shared" si="1"/>
        <v>Mon</v>
      </c>
      <c r="B106" s="69">
        <v>43612.0</v>
      </c>
      <c r="F106" s="4" t="s">
        <v>267</v>
      </c>
      <c r="S106" s="15"/>
    </row>
    <row r="107" hidden="1">
      <c r="A107" s="67" t="str">
        <f t="shared" si="1"/>
        <v>Tue</v>
      </c>
      <c r="B107" s="69">
        <v>43613.0</v>
      </c>
      <c r="F107" s="4" t="s">
        <v>267</v>
      </c>
      <c r="S107" s="15"/>
    </row>
    <row r="108" hidden="1">
      <c r="A108" s="67" t="str">
        <f t="shared" si="1"/>
        <v>Wed</v>
      </c>
      <c r="B108" s="69">
        <v>43614.0</v>
      </c>
      <c r="F108" s="4" t="s">
        <v>267</v>
      </c>
      <c r="S108" s="15"/>
    </row>
    <row r="109">
      <c r="A109" s="67" t="str">
        <f t="shared" si="1"/>
        <v>Thu</v>
      </c>
      <c r="B109" s="69">
        <v>43615.0</v>
      </c>
      <c r="F109" s="4" t="s">
        <v>267</v>
      </c>
      <c r="S109" s="15"/>
    </row>
    <row r="110">
      <c r="A110" s="67" t="str">
        <f t="shared" si="1"/>
        <v>Fri</v>
      </c>
      <c r="B110" s="69">
        <v>43616.0</v>
      </c>
      <c r="F110" s="4" t="s">
        <v>267</v>
      </c>
      <c r="S110" s="15"/>
    </row>
    <row r="111">
      <c r="A111" s="67" t="str">
        <f t="shared" si="1"/>
        <v>Sat</v>
      </c>
      <c r="B111" s="69">
        <v>43617.0</v>
      </c>
      <c r="D111" s="161">
        <v>291.0</v>
      </c>
      <c r="E111" s="4" t="s">
        <v>222</v>
      </c>
      <c r="F111" s="4" t="s">
        <v>475</v>
      </c>
      <c r="G111" s="4" t="s">
        <v>475</v>
      </c>
      <c r="I111" s="4" t="s">
        <v>224</v>
      </c>
      <c r="K111" s="4" t="s">
        <v>231</v>
      </c>
      <c r="L111" s="4" t="s">
        <v>229</v>
      </c>
      <c r="M111" s="4" t="s">
        <v>476</v>
      </c>
      <c r="N111" s="4" t="s">
        <v>477</v>
      </c>
      <c r="Q111" s="4" t="s">
        <v>478</v>
      </c>
      <c r="R111" s="4" t="s">
        <v>479</v>
      </c>
      <c r="S111" s="162">
        <v>5.757044977E9</v>
      </c>
    </row>
    <row r="112">
      <c r="A112" s="67" t="str">
        <f t="shared" si="1"/>
        <v>Sun</v>
      </c>
      <c r="B112" s="69">
        <v>43618.0</v>
      </c>
      <c r="H112" s="4" t="s">
        <v>475</v>
      </c>
      <c r="S112" s="15"/>
    </row>
    <row r="113">
      <c r="A113" s="67" t="str">
        <f t="shared" si="1"/>
        <v>Mon</v>
      </c>
      <c r="B113" s="69">
        <v>43619.0</v>
      </c>
      <c r="S113" s="15"/>
    </row>
    <row r="114">
      <c r="A114" s="67" t="str">
        <f t="shared" si="1"/>
        <v>Tue</v>
      </c>
      <c r="B114" s="69">
        <v>43620.0</v>
      </c>
      <c r="S114" s="15"/>
    </row>
    <row r="115">
      <c r="A115" s="67" t="str">
        <f t="shared" si="1"/>
        <v>Wed</v>
      </c>
      <c r="B115" s="69">
        <v>43621.0</v>
      </c>
      <c r="S115" s="15"/>
    </row>
    <row r="116">
      <c r="A116" s="67" t="str">
        <f t="shared" si="1"/>
        <v>Thu</v>
      </c>
      <c r="B116" s="69">
        <v>43622.0</v>
      </c>
      <c r="S116" s="15"/>
    </row>
    <row r="117">
      <c r="A117" s="67" t="str">
        <f t="shared" si="1"/>
        <v>Fri</v>
      </c>
      <c r="B117" s="69">
        <v>43623.0</v>
      </c>
      <c r="D117" s="4">
        <v>250.0</v>
      </c>
      <c r="E117" s="4" t="s">
        <v>337</v>
      </c>
      <c r="F117" s="4" t="s">
        <v>480</v>
      </c>
      <c r="G117" s="4" t="s">
        <v>480</v>
      </c>
      <c r="I117" s="4" t="s">
        <v>224</v>
      </c>
      <c r="K117" s="4" t="s">
        <v>481</v>
      </c>
      <c r="L117" s="4" t="s">
        <v>229</v>
      </c>
      <c r="M117" s="4" t="s">
        <v>482</v>
      </c>
      <c r="Q117" s="4" t="s">
        <v>483</v>
      </c>
      <c r="R117" s="4" t="s">
        <v>484</v>
      </c>
      <c r="S117" s="162" t="s">
        <v>485</v>
      </c>
    </row>
    <row r="118">
      <c r="A118" s="67" t="str">
        <f t="shared" si="1"/>
        <v>Sat</v>
      </c>
      <c r="B118" s="69">
        <v>43624.0</v>
      </c>
      <c r="D118" s="4">
        <v>250.0</v>
      </c>
      <c r="E118" s="4" t="s">
        <v>337</v>
      </c>
      <c r="F118" s="4" t="s">
        <v>480</v>
      </c>
      <c r="I118" s="4" t="s">
        <v>224</v>
      </c>
      <c r="S118" s="15"/>
    </row>
    <row r="119">
      <c r="A119" s="67" t="str">
        <f t="shared" si="1"/>
        <v>Sun</v>
      </c>
      <c r="B119" s="69">
        <v>43625.0</v>
      </c>
      <c r="D119" s="4">
        <v>250.0</v>
      </c>
      <c r="E119" s="4" t="s">
        <v>337</v>
      </c>
      <c r="F119" s="4" t="s">
        <v>480</v>
      </c>
      <c r="I119" s="4" t="s">
        <v>224</v>
      </c>
      <c r="S119" s="15"/>
    </row>
    <row r="120">
      <c r="A120" s="67" t="str">
        <f t="shared" si="1"/>
        <v>Mon</v>
      </c>
      <c r="B120" s="69">
        <v>43626.0</v>
      </c>
      <c r="H120" s="4" t="s">
        <v>480</v>
      </c>
      <c r="S120" s="15"/>
    </row>
    <row r="121">
      <c r="A121" s="67" t="str">
        <f t="shared" si="1"/>
        <v>Tue</v>
      </c>
      <c r="B121" s="69">
        <v>43627.0</v>
      </c>
      <c r="S121" s="15"/>
    </row>
    <row r="122">
      <c r="A122" s="67" t="str">
        <f t="shared" si="1"/>
        <v>Wed</v>
      </c>
      <c r="B122" s="69">
        <v>43628.0</v>
      </c>
      <c r="S122" s="15"/>
    </row>
    <row r="123">
      <c r="A123" s="67" t="str">
        <f t="shared" si="1"/>
        <v>Thu</v>
      </c>
      <c r="B123" s="69">
        <v>43629.0</v>
      </c>
      <c r="S123" s="15"/>
    </row>
    <row r="124">
      <c r="A124" s="67" t="str">
        <f t="shared" si="1"/>
        <v>Fri</v>
      </c>
      <c r="B124" s="69">
        <v>43630.0</v>
      </c>
      <c r="S124" s="15"/>
    </row>
    <row r="125">
      <c r="A125" s="67" t="str">
        <f t="shared" si="1"/>
        <v>Sat</v>
      </c>
      <c r="B125" s="69">
        <v>43631.0</v>
      </c>
      <c r="S125" s="15"/>
    </row>
    <row r="126">
      <c r="A126" s="67" t="str">
        <f t="shared" si="1"/>
        <v>Sun</v>
      </c>
      <c r="B126" s="69">
        <v>43632.0</v>
      </c>
      <c r="S126" s="15"/>
    </row>
    <row r="127">
      <c r="A127" s="67" t="str">
        <f t="shared" si="1"/>
        <v>Mon</v>
      </c>
      <c r="B127" s="69">
        <v>43633.0</v>
      </c>
      <c r="S127" s="15"/>
    </row>
    <row r="128">
      <c r="A128" s="67" t="str">
        <f t="shared" si="1"/>
        <v>Tue</v>
      </c>
      <c r="B128" s="69">
        <v>43634.0</v>
      </c>
      <c r="S128" s="15"/>
    </row>
    <row r="129">
      <c r="A129" s="67" t="str">
        <f t="shared" si="1"/>
        <v>Wed</v>
      </c>
      <c r="B129" s="69">
        <v>43635.0</v>
      </c>
      <c r="S129" s="15"/>
    </row>
    <row r="130">
      <c r="A130" s="67" t="str">
        <f t="shared" si="1"/>
        <v>Thu</v>
      </c>
      <c r="B130" s="69">
        <v>43636.0</v>
      </c>
      <c r="S130" s="15"/>
    </row>
    <row r="131">
      <c r="A131" s="67" t="str">
        <f t="shared" si="1"/>
        <v>Fri</v>
      </c>
      <c r="B131" s="69">
        <v>43637.0</v>
      </c>
      <c r="S131" s="15"/>
    </row>
    <row r="132">
      <c r="A132" s="67" t="str">
        <f t="shared" si="1"/>
        <v>Sat</v>
      </c>
      <c r="B132" s="69">
        <v>43638.0</v>
      </c>
      <c r="S132" s="15"/>
    </row>
    <row r="133">
      <c r="A133" s="67" t="str">
        <f t="shared" si="1"/>
        <v>Sun</v>
      </c>
      <c r="B133" s="69">
        <v>43639.0</v>
      </c>
      <c r="S133" s="15"/>
    </row>
    <row r="134">
      <c r="A134" s="67" t="str">
        <f t="shared" si="1"/>
        <v>Mon</v>
      </c>
      <c r="B134" s="69">
        <v>43640.0</v>
      </c>
      <c r="S134" s="15"/>
    </row>
    <row r="135">
      <c r="A135" s="67" t="str">
        <f t="shared" si="1"/>
        <v>Tue</v>
      </c>
      <c r="B135" s="69">
        <v>43641.0</v>
      </c>
      <c r="S135" s="15"/>
    </row>
    <row r="136">
      <c r="A136" s="67" t="str">
        <f t="shared" si="1"/>
        <v>Wed</v>
      </c>
      <c r="B136" s="69">
        <v>43642.0</v>
      </c>
      <c r="S136" s="15"/>
    </row>
    <row r="137">
      <c r="A137" s="67" t="str">
        <f t="shared" si="1"/>
        <v>Thu</v>
      </c>
      <c r="B137" s="69">
        <v>43643.0</v>
      </c>
      <c r="S137" s="15"/>
    </row>
    <row r="138">
      <c r="A138" s="67" t="str">
        <f t="shared" si="1"/>
        <v>Fri</v>
      </c>
      <c r="B138" s="69">
        <v>43644.0</v>
      </c>
      <c r="S138" s="15"/>
    </row>
    <row r="139">
      <c r="A139" s="67" t="str">
        <f t="shared" si="1"/>
        <v>Sat</v>
      </c>
      <c r="B139" s="69">
        <v>43645.0</v>
      </c>
      <c r="S139" s="15"/>
    </row>
    <row r="140">
      <c r="A140" s="67" t="str">
        <f t="shared" si="1"/>
        <v>Sun</v>
      </c>
      <c r="B140" s="69">
        <v>43646.0</v>
      </c>
      <c r="S140" s="15"/>
    </row>
    <row r="141">
      <c r="A141" s="67" t="str">
        <f t="shared" si="1"/>
        <v>Mon</v>
      </c>
      <c r="B141" s="69">
        <v>43647.0</v>
      </c>
      <c r="S141" s="15"/>
    </row>
    <row r="142">
      <c r="A142" s="67" t="str">
        <f t="shared" si="1"/>
        <v>Tue</v>
      </c>
      <c r="B142" s="69">
        <v>43648.0</v>
      </c>
      <c r="S142" s="15"/>
    </row>
    <row r="143">
      <c r="A143" s="67" t="str">
        <f t="shared" si="1"/>
        <v>Wed</v>
      </c>
      <c r="B143" s="69">
        <v>43649.0</v>
      </c>
      <c r="S143" s="15"/>
    </row>
    <row r="144">
      <c r="A144" s="67" t="str">
        <f t="shared" si="1"/>
        <v>Thu</v>
      </c>
      <c r="B144" s="69">
        <v>43650.0</v>
      </c>
      <c r="S144" s="15"/>
    </row>
    <row r="145">
      <c r="A145" s="67" t="str">
        <f t="shared" si="1"/>
        <v>Fri</v>
      </c>
      <c r="B145" s="69">
        <v>43651.0</v>
      </c>
      <c r="S145" s="15"/>
    </row>
    <row r="146">
      <c r="A146" s="67" t="str">
        <f t="shared" si="1"/>
        <v>Sat</v>
      </c>
      <c r="B146" s="69">
        <v>43652.0</v>
      </c>
      <c r="S146" s="15"/>
    </row>
    <row r="147">
      <c r="A147" s="67" t="str">
        <f t="shared" si="1"/>
        <v>Sun</v>
      </c>
      <c r="B147" s="69">
        <v>43653.0</v>
      </c>
      <c r="S147" s="15"/>
    </row>
    <row r="148">
      <c r="A148" s="67" t="str">
        <f t="shared" si="1"/>
        <v>Mon</v>
      </c>
      <c r="B148" s="69">
        <v>43654.0</v>
      </c>
      <c r="S148" s="15"/>
    </row>
    <row r="149">
      <c r="A149" s="67" t="str">
        <f t="shared" si="1"/>
        <v>Tue</v>
      </c>
      <c r="B149" s="69">
        <v>43655.0</v>
      </c>
      <c r="S149" s="15"/>
    </row>
    <row r="150">
      <c r="A150" s="67" t="str">
        <f t="shared" si="1"/>
        <v>Wed</v>
      </c>
      <c r="B150" s="69">
        <v>43656.0</v>
      </c>
      <c r="S150" s="15"/>
    </row>
    <row r="151">
      <c r="A151" s="67" t="str">
        <f t="shared" si="1"/>
        <v>Thu</v>
      </c>
      <c r="B151" s="69">
        <v>43657.0</v>
      </c>
      <c r="S151" s="15"/>
    </row>
    <row r="152">
      <c r="A152" s="67" t="str">
        <f t="shared" si="1"/>
        <v>Fri</v>
      </c>
      <c r="B152" s="69">
        <v>43658.0</v>
      </c>
      <c r="S152" s="15"/>
    </row>
    <row r="153">
      <c r="A153" s="67" t="str">
        <f t="shared" si="1"/>
        <v>Sat</v>
      </c>
      <c r="B153" s="69">
        <v>43659.0</v>
      </c>
      <c r="S153" s="15"/>
    </row>
    <row r="154">
      <c r="A154" s="67" t="str">
        <f t="shared" si="1"/>
        <v>Sun</v>
      </c>
      <c r="B154" s="69">
        <v>43660.0</v>
      </c>
      <c r="S154" s="15"/>
    </row>
    <row r="155">
      <c r="A155" s="67" t="str">
        <f t="shared" si="1"/>
        <v>Mon</v>
      </c>
      <c r="B155" s="69">
        <v>43661.0</v>
      </c>
      <c r="S155" s="15"/>
    </row>
    <row r="156">
      <c r="A156" s="67" t="str">
        <f t="shared" si="1"/>
        <v>Tue</v>
      </c>
      <c r="B156" s="69">
        <v>43662.0</v>
      </c>
      <c r="S156" s="15"/>
    </row>
    <row r="157">
      <c r="A157" s="67" t="str">
        <f t="shared" si="1"/>
        <v>Wed</v>
      </c>
      <c r="B157" s="69">
        <v>43663.0</v>
      </c>
      <c r="S157" s="15"/>
    </row>
    <row r="158">
      <c r="A158" s="67" t="str">
        <f t="shared" si="1"/>
        <v>Thu</v>
      </c>
      <c r="B158" s="69">
        <v>43664.0</v>
      </c>
      <c r="S158" s="15"/>
    </row>
    <row r="159">
      <c r="A159" s="67" t="str">
        <f t="shared" si="1"/>
        <v>Fri</v>
      </c>
      <c r="B159" s="69">
        <v>43665.0</v>
      </c>
      <c r="S159" s="15"/>
    </row>
    <row r="160">
      <c r="A160" s="67" t="str">
        <f t="shared" si="1"/>
        <v>Sat</v>
      </c>
      <c r="B160" s="69">
        <v>43666.0</v>
      </c>
      <c r="S160" s="15"/>
    </row>
    <row r="161">
      <c r="A161" s="67" t="str">
        <f t="shared" si="1"/>
        <v>Sun</v>
      </c>
      <c r="B161" s="69">
        <v>43667.0</v>
      </c>
      <c r="S161" s="15"/>
    </row>
    <row r="162">
      <c r="A162" s="67" t="str">
        <f t="shared" si="1"/>
        <v>Mon</v>
      </c>
      <c r="B162" s="69">
        <v>43668.0</v>
      </c>
      <c r="S162" s="15"/>
    </row>
    <row r="163">
      <c r="A163" s="67" t="str">
        <f t="shared" si="1"/>
        <v>Tue</v>
      </c>
      <c r="B163" s="69">
        <v>43669.0</v>
      </c>
      <c r="S163" s="15"/>
    </row>
    <row r="164">
      <c r="A164" s="67" t="str">
        <f t="shared" si="1"/>
        <v>Wed</v>
      </c>
      <c r="B164" s="69">
        <v>43670.0</v>
      </c>
      <c r="S164" s="15"/>
    </row>
    <row r="165">
      <c r="A165" s="67" t="str">
        <f t="shared" si="1"/>
        <v>Thu</v>
      </c>
      <c r="B165" s="69">
        <v>43671.0</v>
      </c>
      <c r="S165" s="15"/>
    </row>
    <row r="166">
      <c r="A166" s="67" t="str">
        <f t="shared" si="1"/>
        <v>Fri</v>
      </c>
      <c r="B166" s="69">
        <v>43672.0</v>
      </c>
      <c r="S166" s="15"/>
    </row>
    <row r="167">
      <c r="A167" s="67" t="str">
        <f t="shared" si="1"/>
        <v>Sat</v>
      </c>
      <c r="B167" s="69">
        <v>43673.0</v>
      </c>
      <c r="S167" s="15"/>
    </row>
    <row r="168">
      <c r="A168" s="67" t="str">
        <f t="shared" si="1"/>
        <v>Sun</v>
      </c>
      <c r="B168" s="69">
        <v>43674.0</v>
      </c>
      <c r="S168" s="15"/>
    </row>
    <row r="169">
      <c r="A169" s="67" t="str">
        <f t="shared" si="1"/>
        <v>Mon</v>
      </c>
      <c r="B169" s="69">
        <v>43675.0</v>
      </c>
      <c r="S169" s="15"/>
    </row>
    <row r="170">
      <c r="A170" s="67" t="str">
        <f t="shared" si="1"/>
        <v>Tue</v>
      </c>
      <c r="B170" s="69">
        <v>43676.0</v>
      </c>
      <c r="S170" s="15"/>
    </row>
    <row r="171">
      <c r="A171" s="67" t="str">
        <f t="shared" si="1"/>
        <v>Wed</v>
      </c>
      <c r="B171" s="69">
        <v>43677.0</v>
      </c>
      <c r="S171" s="15"/>
    </row>
    <row r="172">
      <c r="A172" s="67" t="str">
        <f t="shared" si="1"/>
        <v>Thu</v>
      </c>
      <c r="B172" s="69">
        <v>43678.0</v>
      </c>
      <c r="S172" s="15"/>
    </row>
    <row r="173">
      <c r="A173" s="67" t="str">
        <f t="shared" si="1"/>
        <v>Fri</v>
      </c>
      <c r="B173" s="69">
        <v>43679.0</v>
      </c>
      <c r="S173" s="15"/>
    </row>
    <row r="174">
      <c r="A174" s="67" t="str">
        <f t="shared" si="1"/>
        <v>Sat</v>
      </c>
      <c r="B174" s="69">
        <v>43680.0</v>
      </c>
      <c r="S174" s="15"/>
    </row>
    <row r="175">
      <c r="A175" s="67" t="str">
        <f t="shared" si="1"/>
        <v>Sun</v>
      </c>
      <c r="B175" s="69">
        <v>43681.0</v>
      </c>
      <c r="S175" s="15"/>
    </row>
    <row r="176">
      <c r="A176" s="67" t="str">
        <f t="shared" si="1"/>
        <v>Mon</v>
      </c>
      <c r="B176" s="69">
        <v>43682.0</v>
      </c>
      <c r="S176" s="15"/>
    </row>
    <row r="177">
      <c r="A177" s="67" t="str">
        <f t="shared" si="1"/>
        <v>Tue</v>
      </c>
      <c r="B177" s="69">
        <v>43683.0</v>
      </c>
      <c r="S177" s="15"/>
    </row>
    <row r="178">
      <c r="A178" s="67" t="str">
        <f t="shared" si="1"/>
        <v>Wed</v>
      </c>
      <c r="B178" s="69">
        <v>43684.0</v>
      </c>
      <c r="S178" s="15"/>
    </row>
    <row r="179">
      <c r="A179" s="67" t="str">
        <f t="shared" si="1"/>
        <v>Thu</v>
      </c>
      <c r="B179" s="69">
        <v>43685.0</v>
      </c>
      <c r="S179" s="15"/>
    </row>
    <row r="180">
      <c r="A180" s="67" t="str">
        <f t="shared" si="1"/>
        <v>Fri</v>
      </c>
      <c r="B180" s="69">
        <v>43686.0</v>
      </c>
      <c r="S180" s="15"/>
    </row>
    <row r="181">
      <c r="A181" s="67" t="str">
        <f t="shared" si="1"/>
        <v>Sat</v>
      </c>
      <c r="B181" s="69">
        <v>43687.0</v>
      </c>
      <c r="S181" s="15"/>
    </row>
    <row r="182">
      <c r="A182" s="67" t="str">
        <f t="shared" si="1"/>
        <v>Sun</v>
      </c>
      <c r="B182" s="69">
        <v>43688.0</v>
      </c>
      <c r="S182" s="15"/>
    </row>
    <row r="183">
      <c r="A183" s="67" t="str">
        <f t="shared" si="1"/>
        <v>Mon</v>
      </c>
      <c r="B183" s="69">
        <v>43689.0</v>
      </c>
      <c r="S183" s="15"/>
    </row>
    <row r="184">
      <c r="A184" s="67" t="str">
        <f t="shared" si="1"/>
        <v>Tue</v>
      </c>
      <c r="B184" s="69">
        <v>43690.0</v>
      </c>
      <c r="S184" s="15"/>
    </row>
    <row r="185">
      <c r="A185" s="67" t="str">
        <f t="shared" si="1"/>
        <v>Wed</v>
      </c>
      <c r="B185" s="69">
        <v>43691.0</v>
      </c>
      <c r="S185" s="15"/>
    </row>
    <row r="186">
      <c r="A186" s="67" t="str">
        <f t="shared" si="1"/>
        <v>Thu</v>
      </c>
      <c r="B186" s="69">
        <v>43692.0</v>
      </c>
      <c r="S186" s="15"/>
    </row>
    <row r="187">
      <c r="A187" s="67" t="str">
        <f t="shared" si="1"/>
        <v>Fri</v>
      </c>
      <c r="B187" s="69">
        <v>43693.0</v>
      </c>
      <c r="S187" s="15"/>
    </row>
    <row r="188">
      <c r="A188" s="67" t="str">
        <f t="shared" si="1"/>
        <v>Sat</v>
      </c>
      <c r="B188" s="69">
        <v>43694.0</v>
      </c>
      <c r="S188" s="15"/>
    </row>
    <row r="189">
      <c r="A189" s="67" t="str">
        <f t="shared" si="1"/>
        <v>Sun</v>
      </c>
      <c r="B189" s="69">
        <v>43695.0</v>
      </c>
      <c r="S189" s="15"/>
    </row>
    <row r="190">
      <c r="A190" s="67" t="str">
        <f t="shared" si="1"/>
        <v>Mon</v>
      </c>
      <c r="B190" s="69">
        <v>43696.0</v>
      </c>
      <c r="S190" s="15"/>
    </row>
    <row r="191">
      <c r="A191" s="67" t="str">
        <f t="shared" si="1"/>
        <v>Tue</v>
      </c>
      <c r="B191" s="69">
        <v>43697.0</v>
      </c>
      <c r="S191" s="15"/>
    </row>
    <row r="192">
      <c r="A192" s="67" t="str">
        <f t="shared" si="1"/>
        <v>Wed</v>
      </c>
      <c r="B192" s="69">
        <v>43698.0</v>
      </c>
      <c r="S192" s="15"/>
    </row>
    <row r="193">
      <c r="A193" s="67" t="str">
        <f t="shared" si="1"/>
        <v>Thu</v>
      </c>
      <c r="B193" s="69">
        <v>43699.0</v>
      </c>
      <c r="S193" s="15"/>
    </row>
    <row r="194">
      <c r="A194" s="67" t="str">
        <f t="shared" si="1"/>
        <v>Fri</v>
      </c>
      <c r="B194" s="69">
        <v>43700.0</v>
      </c>
      <c r="S194" s="15"/>
    </row>
    <row r="195">
      <c r="A195" s="67" t="str">
        <f t="shared" si="1"/>
        <v>Sat</v>
      </c>
      <c r="B195" s="69">
        <v>43701.0</v>
      </c>
      <c r="S195" s="15"/>
    </row>
    <row r="196">
      <c r="A196" s="67" t="str">
        <f t="shared" si="1"/>
        <v>Sun</v>
      </c>
      <c r="B196" s="69">
        <v>43702.0</v>
      </c>
      <c r="S196" s="15"/>
    </row>
    <row r="197">
      <c r="A197" s="67" t="str">
        <f t="shared" si="1"/>
        <v>Mon</v>
      </c>
      <c r="B197" s="69">
        <v>43703.0</v>
      </c>
      <c r="S197" s="15"/>
    </row>
    <row r="198">
      <c r="A198" s="67" t="str">
        <f t="shared" si="1"/>
        <v>Tue</v>
      </c>
      <c r="B198" s="69">
        <v>43704.0</v>
      </c>
      <c r="S198" s="15"/>
    </row>
    <row r="199">
      <c r="A199" s="67" t="str">
        <f t="shared" si="1"/>
        <v>Wed</v>
      </c>
      <c r="B199" s="69">
        <v>43705.0</v>
      </c>
      <c r="S199" s="15"/>
    </row>
    <row r="200">
      <c r="A200" s="67" t="str">
        <f t="shared" si="1"/>
        <v>Thu</v>
      </c>
      <c r="B200" s="69">
        <v>43706.0</v>
      </c>
      <c r="S200" s="15"/>
    </row>
    <row r="201">
      <c r="A201" s="67" t="str">
        <f t="shared" si="1"/>
        <v>Fri</v>
      </c>
      <c r="B201" s="69">
        <v>43707.0</v>
      </c>
      <c r="S201" s="15"/>
    </row>
    <row r="202">
      <c r="A202" s="67" t="str">
        <f t="shared" si="1"/>
        <v>Sat</v>
      </c>
      <c r="B202" s="69">
        <v>43708.0</v>
      </c>
      <c r="S202" s="15"/>
    </row>
    <row r="203">
      <c r="A203" s="67" t="str">
        <f t="shared" si="1"/>
        <v>Sun</v>
      </c>
      <c r="B203" s="69">
        <v>43709.0</v>
      </c>
      <c r="S203" s="15"/>
    </row>
    <row r="204">
      <c r="A204" s="67" t="str">
        <f t="shared" si="1"/>
        <v>Mon</v>
      </c>
      <c r="B204" s="69">
        <v>43710.0</v>
      </c>
      <c r="S204" s="15"/>
    </row>
    <row r="205">
      <c r="A205" s="67" t="str">
        <f t="shared" si="1"/>
        <v>Tue</v>
      </c>
      <c r="B205" s="69">
        <v>43711.0</v>
      </c>
      <c r="S205" s="15"/>
    </row>
    <row r="206">
      <c r="A206" s="67" t="str">
        <f t="shared" si="1"/>
        <v>Wed</v>
      </c>
      <c r="B206" s="69">
        <v>43712.0</v>
      </c>
      <c r="S206" s="15"/>
    </row>
    <row r="207">
      <c r="A207" s="67" t="str">
        <f t="shared" si="1"/>
        <v>Thu</v>
      </c>
      <c r="B207" s="69">
        <v>43713.0</v>
      </c>
      <c r="S207" s="15"/>
    </row>
    <row r="208">
      <c r="A208" s="67" t="str">
        <f t="shared" si="1"/>
        <v>Fri</v>
      </c>
      <c r="B208" s="69">
        <v>43714.0</v>
      </c>
      <c r="S208" s="15"/>
    </row>
    <row r="209">
      <c r="A209" s="67" t="str">
        <f t="shared" si="1"/>
        <v>Sat</v>
      </c>
      <c r="B209" s="69">
        <v>43715.0</v>
      </c>
      <c r="S209" s="15"/>
    </row>
    <row r="210">
      <c r="A210" s="67" t="str">
        <f t="shared" si="1"/>
        <v>Sun</v>
      </c>
      <c r="B210" s="69">
        <v>43716.0</v>
      </c>
      <c r="S210" s="15"/>
    </row>
    <row r="211">
      <c r="A211" s="67" t="str">
        <f t="shared" si="1"/>
        <v>Mon</v>
      </c>
      <c r="B211" s="69">
        <v>43717.0</v>
      </c>
      <c r="S211" s="15"/>
    </row>
    <row r="212">
      <c r="A212" s="67" t="str">
        <f t="shared" si="1"/>
        <v>Tue</v>
      </c>
      <c r="B212" s="69">
        <v>43718.0</v>
      </c>
      <c r="S212" s="15"/>
    </row>
    <row r="213">
      <c r="A213" s="67" t="str">
        <f t="shared" si="1"/>
        <v>Wed</v>
      </c>
      <c r="B213" s="69">
        <v>43719.0</v>
      </c>
      <c r="S213" s="15"/>
    </row>
    <row r="214">
      <c r="A214" s="67" t="str">
        <f t="shared" si="1"/>
        <v>Thu</v>
      </c>
      <c r="B214" s="69">
        <v>43720.0</v>
      </c>
      <c r="S214" s="15"/>
    </row>
    <row r="215">
      <c r="A215" s="67" t="str">
        <f t="shared" si="1"/>
        <v>Fri</v>
      </c>
      <c r="B215" s="69">
        <v>43721.0</v>
      </c>
      <c r="S215" s="15"/>
    </row>
    <row r="216">
      <c r="A216" s="67" t="str">
        <f t="shared" si="1"/>
        <v>Sat</v>
      </c>
      <c r="B216" s="69">
        <v>43722.0</v>
      </c>
      <c r="S216" s="15"/>
    </row>
    <row r="217">
      <c r="A217" s="67" t="str">
        <f t="shared" si="1"/>
        <v>Sun</v>
      </c>
      <c r="B217" s="69">
        <v>43723.0</v>
      </c>
      <c r="S217" s="15"/>
    </row>
    <row r="218">
      <c r="A218" s="67" t="str">
        <f t="shared" si="1"/>
        <v>Mon</v>
      </c>
      <c r="B218" s="69">
        <v>43724.0</v>
      </c>
      <c r="S218" s="15"/>
    </row>
    <row r="219">
      <c r="A219" s="67" t="str">
        <f t="shared" si="1"/>
        <v>Tue</v>
      </c>
      <c r="B219" s="69">
        <v>43725.0</v>
      </c>
      <c r="S219" s="15"/>
    </row>
    <row r="220">
      <c r="A220" s="67" t="str">
        <f t="shared" si="1"/>
        <v>Wed</v>
      </c>
      <c r="B220" s="69">
        <v>43726.0</v>
      </c>
      <c r="S220" s="15"/>
    </row>
    <row r="221">
      <c r="A221" s="67" t="str">
        <f t="shared" si="1"/>
        <v>Thu</v>
      </c>
      <c r="B221" s="69">
        <v>43727.0</v>
      </c>
      <c r="S221" s="15"/>
    </row>
    <row r="222">
      <c r="A222" s="67" t="str">
        <f t="shared" si="1"/>
        <v>Fri</v>
      </c>
      <c r="B222" s="69">
        <v>43728.0</v>
      </c>
      <c r="S222" s="15"/>
    </row>
    <row r="223">
      <c r="A223" s="67" t="str">
        <f t="shared" si="1"/>
        <v>Sat</v>
      </c>
      <c r="B223" s="69">
        <v>43729.0</v>
      </c>
      <c r="S223" s="15"/>
    </row>
    <row r="224">
      <c r="A224" s="67" t="str">
        <f t="shared" si="1"/>
        <v>Sun</v>
      </c>
      <c r="B224" s="69">
        <v>43730.0</v>
      </c>
      <c r="S224" s="15"/>
    </row>
    <row r="225">
      <c r="A225" s="67" t="str">
        <f t="shared" si="1"/>
        <v>Mon</v>
      </c>
      <c r="B225" s="69">
        <v>43731.0</v>
      </c>
      <c r="S225" s="15"/>
    </row>
    <row r="226">
      <c r="A226" s="67" t="str">
        <f t="shared" si="1"/>
        <v>Tue</v>
      </c>
      <c r="B226" s="69">
        <v>43732.0</v>
      </c>
      <c r="S226" s="15"/>
    </row>
    <row r="227">
      <c r="A227" s="67" t="str">
        <f t="shared" si="1"/>
        <v>Wed</v>
      </c>
      <c r="B227" s="69">
        <v>43733.0</v>
      </c>
      <c r="S227" s="15"/>
    </row>
    <row r="228">
      <c r="A228" s="67" t="str">
        <f t="shared" si="1"/>
        <v>Thu</v>
      </c>
      <c r="B228" s="69">
        <v>43734.0</v>
      </c>
      <c r="S228" s="15"/>
    </row>
    <row r="229">
      <c r="A229" s="67" t="str">
        <f t="shared" si="1"/>
        <v>Fri</v>
      </c>
      <c r="B229" s="69">
        <v>43735.0</v>
      </c>
      <c r="D229" s="4">
        <v>261.9</v>
      </c>
      <c r="E229" s="4" t="s">
        <v>222</v>
      </c>
      <c r="F229" s="4" t="s">
        <v>487</v>
      </c>
      <c r="G229" s="4" t="s">
        <v>487</v>
      </c>
      <c r="I229" s="4" t="s">
        <v>224</v>
      </c>
      <c r="K229" s="4" t="s">
        <v>231</v>
      </c>
      <c r="L229" s="4" t="s">
        <v>225</v>
      </c>
      <c r="M229" s="4" t="s">
        <v>226</v>
      </c>
      <c r="N229" s="4" t="s">
        <v>232</v>
      </c>
      <c r="O229" s="4" t="s">
        <v>264</v>
      </c>
      <c r="Q229" s="4" t="s">
        <v>488</v>
      </c>
      <c r="R229" s="170" t="s">
        <v>489</v>
      </c>
      <c r="S229" s="162">
        <v>4.7025832987E10</v>
      </c>
    </row>
    <row r="230">
      <c r="A230" s="67" t="str">
        <f t="shared" si="1"/>
        <v>Sat</v>
      </c>
      <c r="B230" s="69">
        <v>43736.0</v>
      </c>
      <c r="D230" s="4">
        <v>261.9</v>
      </c>
      <c r="E230" s="4" t="s">
        <v>222</v>
      </c>
      <c r="F230" s="4" t="s">
        <v>487</v>
      </c>
      <c r="I230" s="4" t="s">
        <v>224</v>
      </c>
      <c r="S230" s="15"/>
    </row>
    <row r="231">
      <c r="A231" s="67" t="str">
        <f t="shared" si="1"/>
        <v>Sun</v>
      </c>
      <c r="B231" s="69">
        <v>43737.0</v>
      </c>
      <c r="H231" s="4" t="s">
        <v>487</v>
      </c>
      <c r="S231" s="15"/>
    </row>
    <row r="232">
      <c r="A232" s="67" t="str">
        <f t="shared" si="1"/>
        <v>Mon</v>
      </c>
      <c r="B232" s="69">
        <v>43738.0</v>
      </c>
      <c r="S232" s="15"/>
    </row>
    <row r="233">
      <c r="A233" s="67" t="str">
        <f t="shared" si="1"/>
        <v>Tue</v>
      </c>
      <c r="B233" s="69">
        <v>43739.0</v>
      </c>
      <c r="S233" s="15"/>
    </row>
    <row r="234">
      <c r="A234" s="67" t="str">
        <f t="shared" si="1"/>
        <v>Wed</v>
      </c>
      <c r="B234" s="69">
        <v>43740.0</v>
      </c>
      <c r="S234" s="15"/>
    </row>
    <row r="235">
      <c r="A235" s="67" t="str">
        <f t="shared" si="1"/>
        <v>Thu</v>
      </c>
      <c r="B235" s="69">
        <v>43741.0</v>
      </c>
      <c r="S235" s="15"/>
    </row>
    <row r="236">
      <c r="A236" s="67" t="str">
        <f t="shared" si="1"/>
        <v>Fri</v>
      </c>
      <c r="B236" s="69">
        <v>43742.0</v>
      </c>
      <c r="S236" s="15"/>
    </row>
    <row r="237">
      <c r="A237" s="67" t="str">
        <f t="shared" si="1"/>
        <v>Sat</v>
      </c>
      <c r="B237" s="69">
        <v>43743.0</v>
      </c>
      <c r="S237" s="15"/>
    </row>
    <row r="238">
      <c r="A238" s="67" t="str">
        <f t="shared" si="1"/>
        <v>Sun</v>
      </c>
      <c r="B238" s="69">
        <v>43744.0</v>
      </c>
      <c r="S238" s="15"/>
    </row>
    <row r="239">
      <c r="A239" s="67" t="str">
        <f t="shared" si="1"/>
        <v>Mon</v>
      </c>
      <c r="B239" s="69">
        <v>43745.0</v>
      </c>
      <c r="S239" s="15"/>
    </row>
    <row r="240">
      <c r="A240" s="67" t="str">
        <f t="shared" si="1"/>
        <v>Tue</v>
      </c>
      <c r="B240" s="69">
        <v>43746.0</v>
      </c>
      <c r="S240" s="15"/>
    </row>
    <row r="241">
      <c r="A241" s="67" t="str">
        <f t="shared" si="1"/>
        <v>Wed</v>
      </c>
      <c r="B241" s="69">
        <v>43747.0</v>
      </c>
      <c r="S241" s="15"/>
    </row>
    <row r="242">
      <c r="A242" s="67" t="str">
        <f t="shared" si="1"/>
        <v>Thu</v>
      </c>
      <c r="B242" s="69">
        <v>43748.0</v>
      </c>
      <c r="S242" s="15"/>
    </row>
    <row r="243">
      <c r="A243" s="67" t="str">
        <f t="shared" si="1"/>
        <v>Fri</v>
      </c>
      <c r="B243" s="69">
        <v>43749.0</v>
      </c>
      <c r="S243" s="15"/>
    </row>
    <row r="244">
      <c r="A244" s="67" t="str">
        <f t="shared" si="1"/>
        <v>Sat</v>
      </c>
      <c r="B244" s="69">
        <v>43750.0</v>
      </c>
      <c r="S244" s="15"/>
    </row>
    <row r="245">
      <c r="A245" s="67" t="str">
        <f t="shared" si="1"/>
        <v>Sun</v>
      </c>
      <c r="B245" s="69">
        <v>43751.0</v>
      </c>
      <c r="S245" s="15"/>
    </row>
    <row r="246">
      <c r="A246" s="67" t="str">
        <f t="shared" si="1"/>
        <v>Mon</v>
      </c>
      <c r="B246" s="69">
        <v>43752.0</v>
      </c>
      <c r="S246" s="15"/>
    </row>
    <row r="247">
      <c r="A247" s="67" t="str">
        <f t="shared" si="1"/>
        <v>Tue</v>
      </c>
      <c r="B247" s="69">
        <v>43753.0</v>
      </c>
      <c r="S247" s="15"/>
    </row>
    <row r="248">
      <c r="A248" s="67" t="str">
        <f t="shared" si="1"/>
        <v>Wed</v>
      </c>
      <c r="B248" s="69">
        <v>43754.0</v>
      </c>
      <c r="S248" s="15"/>
    </row>
    <row r="249">
      <c r="A249" s="67" t="str">
        <f t="shared" si="1"/>
        <v>Thu</v>
      </c>
      <c r="B249" s="69">
        <v>43755.0</v>
      </c>
      <c r="S249" s="15"/>
    </row>
    <row r="250">
      <c r="A250" s="67" t="str">
        <f t="shared" si="1"/>
        <v>Fri</v>
      </c>
      <c r="B250" s="69">
        <v>43756.0</v>
      </c>
      <c r="S250" s="15"/>
    </row>
    <row r="251">
      <c r="A251" s="67" t="str">
        <f t="shared" si="1"/>
        <v>Sat</v>
      </c>
      <c r="B251" s="69">
        <v>43757.0</v>
      </c>
      <c r="S251" s="15"/>
    </row>
    <row r="252">
      <c r="A252" s="67" t="str">
        <f t="shared" si="1"/>
        <v>Sun</v>
      </c>
      <c r="B252" s="69">
        <v>43758.0</v>
      </c>
      <c r="S252" s="15"/>
    </row>
    <row r="253">
      <c r="A253" s="67" t="str">
        <f t="shared" si="1"/>
        <v>Mon</v>
      </c>
      <c r="B253" s="69">
        <v>43759.0</v>
      </c>
      <c r="S253" s="15"/>
    </row>
    <row r="254">
      <c r="A254" s="67" t="str">
        <f t="shared" si="1"/>
        <v>Tue</v>
      </c>
      <c r="B254" s="69">
        <v>43760.0</v>
      </c>
      <c r="S254" s="15"/>
    </row>
    <row r="255">
      <c r="A255" s="67" t="str">
        <f t="shared" si="1"/>
        <v>Wed</v>
      </c>
      <c r="B255" s="69">
        <v>43761.0</v>
      </c>
      <c r="S255" s="15"/>
    </row>
    <row r="256">
      <c r="A256" s="67" t="str">
        <f t="shared" si="1"/>
        <v>Thu</v>
      </c>
      <c r="B256" s="69">
        <v>43762.0</v>
      </c>
      <c r="S256" s="15"/>
    </row>
    <row r="257">
      <c r="A257" s="67" t="str">
        <f t="shared" si="1"/>
        <v>Fri</v>
      </c>
      <c r="B257" s="69">
        <v>43763.0</v>
      </c>
      <c r="S257" s="15"/>
    </row>
    <row r="258">
      <c r="A258" s="67" t="str">
        <f t="shared" si="1"/>
        <v>Sat</v>
      </c>
      <c r="B258" s="69">
        <v>43764.0</v>
      </c>
      <c r="S258" s="15"/>
    </row>
    <row r="259">
      <c r="A259" s="67" t="str">
        <f t="shared" si="1"/>
        <v>Sun</v>
      </c>
      <c r="B259" s="69">
        <v>43765.0</v>
      </c>
      <c r="S259" s="15"/>
    </row>
    <row r="260">
      <c r="A260" s="67" t="str">
        <f t="shared" si="1"/>
        <v>Mon</v>
      </c>
      <c r="B260" s="69">
        <v>43766.0</v>
      </c>
      <c r="S260" s="15"/>
    </row>
    <row r="261">
      <c r="A261" s="67" t="str">
        <f t="shared" si="1"/>
        <v>Tue</v>
      </c>
      <c r="B261" s="69">
        <v>43767.0</v>
      </c>
      <c r="S261" s="15"/>
    </row>
    <row r="262">
      <c r="A262" s="67" t="str">
        <f t="shared" si="1"/>
        <v>Wed</v>
      </c>
      <c r="B262" s="69">
        <v>43768.0</v>
      </c>
      <c r="S262" s="15"/>
    </row>
    <row r="263">
      <c r="A263" s="67" t="str">
        <f t="shared" si="1"/>
        <v>Thu</v>
      </c>
      <c r="B263" s="69">
        <v>43769.0</v>
      </c>
      <c r="S263" s="15"/>
    </row>
    <row r="264">
      <c r="A264" s="67" t="str">
        <f t="shared" si="1"/>
        <v>Fri</v>
      </c>
      <c r="B264" s="69">
        <v>43770.0</v>
      </c>
      <c r="S264" s="15"/>
    </row>
    <row r="265">
      <c r="A265" s="67" t="str">
        <f t="shared" si="1"/>
        <v>Sat</v>
      </c>
      <c r="B265" s="69">
        <v>43771.0</v>
      </c>
      <c r="S265" s="15"/>
    </row>
    <row r="266">
      <c r="A266" s="67" t="str">
        <f t="shared" si="1"/>
        <v>Sun</v>
      </c>
      <c r="B266" s="69">
        <v>43772.0</v>
      </c>
      <c r="S266" s="15"/>
    </row>
    <row r="267">
      <c r="A267" s="67" t="str">
        <f t="shared" si="1"/>
        <v>Mon</v>
      </c>
      <c r="B267" s="69">
        <v>43773.0</v>
      </c>
      <c r="S267" s="15"/>
    </row>
    <row r="268">
      <c r="A268" s="67" t="str">
        <f t="shared" si="1"/>
        <v>Tue</v>
      </c>
      <c r="B268" s="69">
        <v>43774.0</v>
      </c>
      <c r="S268" s="15"/>
    </row>
    <row r="269">
      <c r="A269" s="67" t="str">
        <f t="shared" si="1"/>
        <v>Wed</v>
      </c>
      <c r="B269" s="69">
        <v>43775.0</v>
      </c>
      <c r="S269" s="15"/>
    </row>
    <row r="270">
      <c r="A270" s="67" t="str">
        <f t="shared" si="1"/>
        <v>Thu</v>
      </c>
      <c r="B270" s="69">
        <v>43776.0</v>
      </c>
      <c r="S270" s="15"/>
    </row>
    <row r="271">
      <c r="A271" s="67" t="str">
        <f t="shared" si="1"/>
        <v>Fri</v>
      </c>
      <c r="B271" s="69">
        <v>43777.0</v>
      </c>
      <c r="S271" s="15"/>
    </row>
    <row r="272">
      <c r="A272" s="67" t="str">
        <f t="shared" si="1"/>
        <v>Sat</v>
      </c>
      <c r="B272" s="69">
        <v>43778.0</v>
      </c>
      <c r="S272" s="15"/>
    </row>
    <row r="273">
      <c r="A273" s="67" t="str">
        <f t="shared" si="1"/>
        <v>Sun</v>
      </c>
      <c r="B273" s="69">
        <v>43779.0</v>
      </c>
      <c r="S273" s="15"/>
    </row>
    <row r="274">
      <c r="A274" s="67" t="str">
        <f t="shared" si="1"/>
        <v>Mon</v>
      </c>
      <c r="B274" s="69">
        <v>43780.0</v>
      </c>
      <c r="S274" s="15"/>
    </row>
    <row r="275">
      <c r="A275" s="67" t="str">
        <f t="shared" si="1"/>
        <v>Tue</v>
      </c>
      <c r="B275" s="69">
        <v>43781.0</v>
      </c>
      <c r="S275" s="15"/>
    </row>
    <row r="276">
      <c r="A276" s="67" t="str">
        <f t="shared" si="1"/>
        <v>Wed</v>
      </c>
      <c r="B276" s="69">
        <v>43782.0</v>
      </c>
      <c r="S276" s="15"/>
    </row>
    <row r="277">
      <c r="A277" s="67" t="str">
        <f t="shared" si="1"/>
        <v>Thu</v>
      </c>
      <c r="B277" s="69">
        <v>43783.0</v>
      </c>
      <c r="S277" s="15"/>
    </row>
    <row r="278">
      <c r="A278" s="67" t="str">
        <f t="shared" si="1"/>
        <v>Fri</v>
      </c>
      <c r="B278" s="69">
        <v>43784.0</v>
      </c>
      <c r="S278" s="15"/>
    </row>
    <row r="279">
      <c r="A279" s="67" t="str">
        <f t="shared" si="1"/>
        <v>Sat</v>
      </c>
      <c r="B279" s="69">
        <v>43785.0</v>
      </c>
      <c r="S279" s="15"/>
    </row>
    <row r="280">
      <c r="A280" s="67" t="str">
        <f t="shared" si="1"/>
        <v>Sun</v>
      </c>
      <c r="B280" s="69">
        <v>43786.0</v>
      </c>
      <c r="S280" s="15"/>
    </row>
    <row r="281">
      <c r="A281" s="67" t="str">
        <f t="shared" si="1"/>
        <v>Mon</v>
      </c>
      <c r="B281" s="69">
        <v>43787.0</v>
      </c>
      <c r="S281" s="15"/>
    </row>
    <row r="282">
      <c r="A282" s="67" t="str">
        <f t="shared" si="1"/>
        <v>Tue</v>
      </c>
      <c r="B282" s="69">
        <v>43788.0</v>
      </c>
      <c r="S282" s="15"/>
    </row>
    <row r="283">
      <c r="A283" s="67" t="str">
        <f t="shared" si="1"/>
        <v>Wed</v>
      </c>
      <c r="B283" s="69">
        <v>43789.0</v>
      </c>
      <c r="S283" s="15"/>
    </row>
    <row r="284">
      <c r="A284" s="67" t="str">
        <f t="shared" si="1"/>
        <v>Thu</v>
      </c>
      <c r="B284" s="69">
        <v>43790.0</v>
      </c>
      <c r="S284" s="15"/>
    </row>
    <row r="285">
      <c r="A285" s="67" t="str">
        <f t="shared" si="1"/>
        <v>Fri</v>
      </c>
      <c r="B285" s="69">
        <v>43791.0</v>
      </c>
      <c r="S285" s="15"/>
    </row>
    <row r="286">
      <c r="A286" s="67" t="str">
        <f t="shared" si="1"/>
        <v>Sat</v>
      </c>
      <c r="B286" s="69">
        <v>43792.0</v>
      </c>
      <c r="S286" s="15"/>
    </row>
    <row r="287">
      <c r="A287" s="67" t="str">
        <f t="shared" si="1"/>
        <v>Sun</v>
      </c>
      <c r="B287" s="69">
        <v>43793.0</v>
      </c>
      <c r="S287" s="15"/>
    </row>
    <row r="288">
      <c r="A288" s="67" t="str">
        <f t="shared" si="1"/>
        <v>Mon</v>
      </c>
      <c r="B288" s="69">
        <v>43794.0</v>
      </c>
      <c r="S288" s="15"/>
    </row>
    <row r="289">
      <c r="A289" s="67" t="str">
        <f t="shared" si="1"/>
        <v>Tue</v>
      </c>
      <c r="B289" s="69">
        <v>43795.0</v>
      </c>
      <c r="S289" s="15"/>
    </row>
    <row r="290">
      <c r="A290" s="67" t="str">
        <f t="shared" si="1"/>
        <v>Wed</v>
      </c>
      <c r="B290" s="69">
        <v>43796.0</v>
      </c>
      <c r="S290" s="15"/>
    </row>
    <row r="291">
      <c r="A291" s="67" t="str">
        <f t="shared" si="1"/>
        <v>Thu</v>
      </c>
      <c r="B291" s="69">
        <v>43797.0</v>
      </c>
      <c r="S291" s="15"/>
    </row>
    <row r="292">
      <c r="A292" s="67" t="str">
        <f t="shared" si="1"/>
        <v>Fri</v>
      </c>
      <c r="B292" s="69">
        <v>43798.0</v>
      </c>
      <c r="S292" s="15"/>
    </row>
    <row r="293">
      <c r="A293" s="67" t="str">
        <f t="shared" si="1"/>
        <v>Sat</v>
      </c>
      <c r="B293" s="69">
        <v>43799.0</v>
      </c>
      <c r="S293" s="15"/>
    </row>
    <row r="294">
      <c r="A294" s="67" t="str">
        <f t="shared" si="1"/>
        <v>Sun</v>
      </c>
      <c r="B294" s="69">
        <v>43800.0</v>
      </c>
      <c r="S294" s="15"/>
    </row>
    <row r="295">
      <c r="A295" s="67" t="str">
        <f t="shared" si="1"/>
        <v>Mon</v>
      </c>
      <c r="B295" s="69">
        <v>43801.0</v>
      </c>
      <c r="S295" s="15"/>
    </row>
    <row r="296">
      <c r="A296" s="67" t="str">
        <f t="shared" si="1"/>
        <v>Tue</v>
      </c>
      <c r="B296" s="69">
        <v>43802.0</v>
      </c>
      <c r="S296" s="15"/>
    </row>
    <row r="297">
      <c r="A297" s="67" t="str">
        <f t="shared" si="1"/>
        <v>Wed</v>
      </c>
      <c r="B297" s="69">
        <v>43803.0</v>
      </c>
      <c r="S297" s="15"/>
    </row>
    <row r="298">
      <c r="A298" s="67" t="str">
        <f t="shared" si="1"/>
        <v>Thu</v>
      </c>
      <c r="B298" s="69">
        <v>43804.0</v>
      </c>
      <c r="S298" s="15"/>
    </row>
    <row r="299">
      <c r="A299" s="67" t="str">
        <f t="shared" si="1"/>
        <v>Fri</v>
      </c>
      <c r="B299" s="69">
        <v>43805.0</v>
      </c>
      <c r="S299" s="15"/>
    </row>
    <row r="300">
      <c r="A300" s="67" t="str">
        <f t="shared" si="1"/>
        <v>Sat</v>
      </c>
      <c r="B300" s="69">
        <v>43806.0</v>
      </c>
      <c r="S300" s="15"/>
    </row>
    <row r="301">
      <c r="A301" s="67" t="str">
        <f t="shared" si="1"/>
        <v>Sun</v>
      </c>
      <c r="B301" s="69">
        <v>43807.0</v>
      </c>
      <c r="S301" s="15"/>
    </row>
    <row r="302">
      <c r="A302" s="67" t="str">
        <f t="shared" si="1"/>
        <v>Mon</v>
      </c>
      <c r="B302" s="69">
        <v>43808.0</v>
      </c>
      <c r="S302" s="15"/>
    </row>
    <row r="303">
      <c r="A303" s="67" t="str">
        <f t="shared" si="1"/>
        <v>Tue</v>
      </c>
      <c r="B303" s="69">
        <v>43809.0</v>
      </c>
      <c r="S303" s="15"/>
    </row>
    <row r="304">
      <c r="A304" s="67" t="str">
        <f t="shared" si="1"/>
        <v>Wed</v>
      </c>
      <c r="B304" s="69">
        <v>43810.0</v>
      </c>
      <c r="S304" s="15"/>
    </row>
    <row r="305">
      <c r="A305" s="67" t="str">
        <f t="shared" si="1"/>
        <v>Thu</v>
      </c>
      <c r="B305" s="69">
        <v>43811.0</v>
      </c>
      <c r="S305" s="15"/>
    </row>
    <row r="306">
      <c r="A306" s="67" t="str">
        <f t="shared" si="1"/>
        <v>Fri</v>
      </c>
      <c r="B306" s="69">
        <v>43812.0</v>
      </c>
      <c r="S306" s="15"/>
    </row>
    <row r="307">
      <c r="A307" s="67" t="str">
        <f t="shared" si="1"/>
        <v>Sat</v>
      </c>
      <c r="B307" s="69">
        <v>43813.0</v>
      </c>
      <c r="S307" s="15"/>
    </row>
    <row r="308">
      <c r="A308" s="67" t="str">
        <f t="shared" si="1"/>
        <v>Sun</v>
      </c>
      <c r="B308" s="69">
        <v>43814.0</v>
      </c>
      <c r="S308" s="15"/>
    </row>
    <row r="309">
      <c r="A309" s="67" t="str">
        <f t="shared" si="1"/>
        <v>Mon</v>
      </c>
      <c r="B309" s="69">
        <v>43815.0</v>
      </c>
      <c r="S309" s="15"/>
    </row>
    <row r="310">
      <c r="A310" s="67" t="str">
        <f t="shared" si="1"/>
        <v>Tue</v>
      </c>
      <c r="B310" s="69">
        <v>43816.0</v>
      </c>
      <c r="S310" s="15"/>
    </row>
    <row r="311">
      <c r="A311" s="67" t="str">
        <f t="shared" si="1"/>
        <v>Wed</v>
      </c>
      <c r="B311" s="69">
        <v>43817.0</v>
      </c>
      <c r="S311" s="15"/>
    </row>
    <row r="312">
      <c r="A312" s="67" t="str">
        <f t="shared" si="1"/>
        <v>Thu</v>
      </c>
      <c r="B312" s="69">
        <v>43818.0</v>
      </c>
      <c r="S312" s="15"/>
    </row>
    <row r="313">
      <c r="A313" s="67" t="str">
        <f t="shared" si="1"/>
        <v>Fri</v>
      </c>
      <c r="B313" s="69">
        <v>43819.0</v>
      </c>
      <c r="S313" s="15"/>
    </row>
    <row r="314">
      <c r="A314" s="67" t="str">
        <f t="shared" si="1"/>
        <v>Sat</v>
      </c>
      <c r="B314" s="69">
        <v>43820.0</v>
      </c>
      <c r="S314" s="15"/>
    </row>
    <row r="315">
      <c r="A315" s="67" t="str">
        <f t="shared" si="1"/>
        <v>Sun</v>
      </c>
      <c r="B315" s="69">
        <v>43821.0</v>
      </c>
      <c r="S315" s="15"/>
    </row>
    <row r="316">
      <c r="A316" s="67" t="str">
        <f t="shared" si="1"/>
        <v>Mon</v>
      </c>
      <c r="B316" s="69">
        <v>43822.0</v>
      </c>
      <c r="S316" s="15"/>
    </row>
    <row r="317">
      <c r="A317" s="67" t="str">
        <f t="shared" si="1"/>
        <v>Tue</v>
      </c>
      <c r="B317" s="69">
        <v>43823.0</v>
      </c>
      <c r="S317" s="15"/>
    </row>
    <row r="318">
      <c r="A318" s="67" t="str">
        <f t="shared" si="1"/>
        <v>Wed</v>
      </c>
      <c r="B318" s="69">
        <v>43824.0</v>
      </c>
      <c r="S318" s="15"/>
    </row>
    <row r="319">
      <c r="A319" s="67" t="str">
        <f t="shared" si="1"/>
        <v>Thu</v>
      </c>
      <c r="B319" s="69">
        <v>43825.0</v>
      </c>
      <c r="S319" s="15"/>
    </row>
    <row r="320">
      <c r="A320" s="67" t="str">
        <f t="shared" si="1"/>
        <v>Fri</v>
      </c>
      <c r="B320" s="69">
        <v>43826.0</v>
      </c>
      <c r="S320" s="15"/>
    </row>
    <row r="321">
      <c r="A321" s="67" t="str">
        <f t="shared" si="1"/>
        <v>Sat</v>
      </c>
      <c r="B321" s="69">
        <v>43827.0</v>
      </c>
      <c r="S321" s="15"/>
    </row>
    <row r="322">
      <c r="A322" s="67" t="str">
        <f t="shared" si="1"/>
        <v>Sun</v>
      </c>
      <c r="B322" s="69">
        <v>43828.0</v>
      </c>
      <c r="S322" s="15"/>
    </row>
    <row r="323">
      <c r="A323" s="67" t="str">
        <f t="shared" si="1"/>
        <v>Mon</v>
      </c>
      <c r="B323" s="69">
        <v>43829.0</v>
      </c>
      <c r="S323" s="15"/>
    </row>
    <row r="324">
      <c r="A324" s="67" t="str">
        <f t="shared" si="1"/>
        <v>Tue</v>
      </c>
      <c r="B324" s="69">
        <v>43830.0</v>
      </c>
      <c r="S324" s="15"/>
    </row>
  </sheetData>
  <mergeCells count="5">
    <mergeCell ref="E1:F1"/>
    <mergeCell ref="E2:F2"/>
    <mergeCell ref="E3:F3"/>
    <mergeCell ref="A1:C3"/>
    <mergeCell ref="G1:S3"/>
  </mergeCells>
  <conditionalFormatting sqref="K4:L324">
    <cfRule type="cellIs" dxfId="0" priority="1" operator="equal">
      <formula>"Enviar email para hotel"</formula>
    </cfRule>
  </conditionalFormatting>
  <dataValidations>
    <dataValidation type="list" allowBlank="1" sqref="L6:L324">
      <formula1>"Enviar email para hotel,Enviado para o hotel,Código de reserva enviado para hóspede,Verificar dados com o hóspede,URGENTE,Fechado"</formula1>
    </dataValidation>
    <dataValidation type="list" allowBlank="1" sqref="K6:K324">
      <formula1>"A PAGAR,PARCIALMENTE PAGO,PAGO"</formula1>
    </dataValidation>
  </dataValidations>
  <hyperlinks>
    <hyperlink display="Sumario" location="Sumario!A1" ref="A4"/>
  </hyperlinks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13.57"/>
    <col customWidth="1" min="4" max="4" width="17.0"/>
  </cols>
  <sheetData>
    <row r="1">
      <c r="A1" s="1"/>
      <c r="B1" s="2"/>
      <c r="C1" s="3"/>
      <c r="D1" s="11" t="s">
        <v>198</v>
      </c>
      <c r="E1" s="153" t="s">
        <v>199</v>
      </c>
      <c r="F1" s="3"/>
      <c r="G1" s="154" t="s">
        <v>486</v>
      </c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155"/>
    </row>
    <row r="2">
      <c r="A2" s="13"/>
      <c r="C2" s="15"/>
      <c r="D2" s="9" t="s">
        <v>201</v>
      </c>
      <c r="E2" s="156">
        <v>1404.0</v>
      </c>
      <c r="F2" s="15"/>
      <c r="R2" s="15"/>
      <c r="S2" s="155"/>
    </row>
    <row r="3">
      <c r="A3" s="17"/>
      <c r="B3" s="19"/>
      <c r="C3" s="21"/>
      <c r="D3" s="26" t="s">
        <v>202</v>
      </c>
      <c r="E3" s="157" t="s">
        <v>395</v>
      </c>
      <c r="F3" s="21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21"/>
      <c r="S3" s="155"/>
    </row>
    <row r="4">
      <c r="A4" s="158" t="s">
        <v>203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O4" s="30"/>
      <c r="P4" s="30"/>
      <c r="Q4" s="30"/>
      <c r="R4" s="30"/>
      <c r="S4" s="30"/>
      <c r="T4" s="30"/>
      <c r="U4" s="30"/>
      <c r="V4" s="30"/>
      <c r="W4" s="30"/>
    </row>
    <row r="5">
      <c r="A5" s="42" t="s">
        <v>204</v>
      </c>
      <c r="B5" s="45" t="s">
        <v>33</v>
      </c>
      <c r="C5" s="45" t="s">
        <v>205</v>
      </c>
      <c r="D5" s="45" t="s">
        <v>206</v>
      </c>
      <c r="E5" s="45" t="s">
        <v>207</v>
      </c>
      <c r="F5" s="45" t="s">
        <v>208</v>
      </c>
      <c r="G5" s="45" t="s">
        <v>209</v>
      </c>
      <c r="H5" s="45" t="s">
        <v>210</v>
      </c>
      <c r="I5" s="45" t="s">
        <v>211</v>
      </c>
      <c r="J5" s="45" t="s">
        <v>212</v>
      </c>
      <c r="K5" s="45" t="s">
        <v>213</v>
      </c>
      <c r="L5" s="45" t="s">
        <v>214</v>
      </c>
      <c r="M5" s="45" t="s">
        <v>215</v>
      </c>
      <c r="N5" s="45" t="s">
        <v>216</v>
      </c>
      <c r="O5" s="45" t="s">
        <v>217</v>
      </c>
      <c r="P5" s="45" t="s">
        <v>218</v>
      </c>
      <c r="Q5" s="45" t="s">
        <v>219</v>
      </c>
      <c r="R5" s="160" t="s">
        <v>220</v>
      </c>
      <c r="S5" s="160" t="s">
        <v>221</v>
      </c>
    </row>
    <row r="6" hidden="1">
      <c r="A6" s="67" t="str">
        <f t="shared" ref="A6:A1272" si="1">CHOOSE(weekday(B6),"Sun","Mon","Tue","Wed","Thu","Fri","Sat")</f>
        <v>Thu</v>
      </c>
      <c r="B6" s="69">
        <v>42614.0</v>
      </c>
      <c r="D6" s="171"/>
      <c r="M6" s="166"/>
      <c r="N6" s="166"/>
      <c r="O6" s="166"/>
      <c r="P6" s="166"/>
      <c r="Q6" s="166"/>
      <c r="R6" s="166"/>
      <c r="S6" s="166"/>
    </row>
    <row r="7" hidden="1">
      <c r="A7" s="67" t="str">
        <f t="shared" si="1"/>
        <v>Fri</v>
      </c>
      <c r="B7" s="69">
        <v>42615.0</v>
      </c>
      <c r="D7" s="171"/>
    </row>
    <row r="8" hidden="1">
      <c r="A8" s="67" t="str">
        <f t="shared" si="1"/>
        <v>Sat</v>
      </c>
      <c r="B8" s="69">
        <v>42616.0</v>
      </c>
      <c r="D8" s="171"/>
      <c r="M8" s="166"/>
      <c r="N8" s="166"/>
      <c r="O8" s="166"/>
      <c r="P8" s="166"/>
      <c r="Q8" s="166"/>
      <c r="R8" s="166"/>
      <c r="S8" s="166"/>
    </row>
    <row r="9" hidden="1">
      <c r="A9" s="67" t="str">
        <f t="shared" si="1"/>
        <v>Sun</v>
      </c>
      <c r="B9" s="69">
        <v>42617.0</v>
      </c>
      <c r="D9" s="171"/>
    </row>
    <row r="10" hidden="1">
      <c r="A10" s="67" t="str">
        <f t="shared" si="1"/>
        <v>Mon</v>
      </c>
      <c r="B10" s="69">
        <v>42618.0</v>
      </c>
      <c r="D10" s="171"/>
    </row>
    <row r="11" hidden="1">
      <c r="A11" s="67" t="str">
        <f t="shared" si="1"/>
        <v>Tue</v>
      </c>
      <c r="B11" s="69">
        <v>42619.0</v>
      </c>
      <c r="D11" s="171"/>
    </row>
    <row r="12" hidden="1">
      <c r="A12" s="67" t="str">
        <f t="shared" si="1"/>
        <v>Wed</v>
      </c>
      <c r="B12" s="69">
        <v>42620.0</v>
      </c>
      <c r="D12" s="171"/>
    </row>
    <row r="13" hidden="1">
      <c r="A13" s="67" t="str">
        <f t="shared" si="1"/>
        <v>Thu</v>
      </c>
      <c r="B13" s="69">
        <v>42621.0</v>
      </c>
      <c r="D13" s="171"/>
    </row>
    <row r="14" hidden="1">
      <c r="A14" s="67" t="str">
        <f t="shared" si="1"/>
        <v>Fri</v>
      </c>
      <c r="B14" s="69">
        <v>42622.0</v>
      </c>
      <c r="D14" s="171"/>
    </row>
    <row r="15" hidden="1">
      <c r="A15" s="67" t="str">
        <f t="shared" si="1"/>
        <v>Sat</v>
      </c>
      <c r="B15" s="69">
        <v>42623.0</v>
      </c>
      <c r="D15" s="171"/>
    </row>
    <row r="16" hidden="1">
      <c r="A16" s="67" t="str">
        <f t="shared" si="1"/>
        <v>Sun</v>
      </c>
      <c r="B16" s="69">
        <v>42624.0</v>
      </c>
      <c r="D16" s="171"/>
    </row>
    <row r="17" hidden="1">
      <c r="A17" s="67" t="str">
        <f t="shared" si="1"/>
        <v>Mon</v>
      </c>
      <c r="B17" s="69">
        <v>42625.0</v>
      </c>
      <c r="D17" s="171"/>
    </row>
    <row r="18" hidden="1">
      <c r="A18" s="67" t="str">
        <f t="shared" si="1"/>
        <v>Tue</v>
      </c>
      <c r="B18" s="69">
        <v>42626.0</v>
      </c>
      <c r="D18" s="171"/>
    </row>
    <row r="19" hidden="1">
      <c r="A19" s="67" t="str">
        <f t="shared" si="1"/>
        <v>Wed</v>
      </c>
      <c r="B19" s="69">
        <v>42627.0</v>
      </c>
      <c r="D19" s="172">
        <v>250.0</v>
      </c>
      <c r="E19" s="4" t="s">
        <v>490</v>
      </c>
      <c r="F19" s="4" t="s">
        <v>491</v>
      </c>
      <c r="G19" s="4" t="s">
        <v>491</v>
      </c>
      <c r="I19" s="4" t="s">
        <v>395</v>
      </c>
      <c r="J19" s="4" t="s">
        <v>492</v>
      </c>
      <c r="K19" s="4"/>
      <c r="L19" s="4" t="s">
        <v>293</v>
      </c>
    </row>
    <row r="20" hidden="1">
      <c r="A20" s="67" t="str">
        <f t="shared" si="1"/>
        <v>Thu</v>
      </c>
      <c r="B20" s="69">
        <v>42628.0</v>
      </c>
      <c r="D20" s="172">
        <v>250.0</v>
      </c>
      <c r="E20" s="4" t="s">
        <v>490</v>
      </c>
      <c r="F20" s="4" t="s">
        <v>491</v>
      </c>
      <c r="I20" s="4" t="s">
        <v>395</v>
      </c>
      <c r="J20" s="4" t="s">
        <v>492</v>
      </c>
      <c r="K20" s="4"/>
      <c r="L20" s="4" t="s">
        <v>293</v>
      </c>
    </row>
    <row r="21" hidden="1">
      <c r="A21" s="67" t="str">
        <f t="shared" si="1"/>
        <v>Fri</v>
      </c>
      <c r="B21" s="69">
        <v>42629.0</v>
      </c>
      <c r="D21" s="171"/>
      <c r="H21" s="4" t="s">
        <v>491</v>
      </c>
      <c r="M21" s="166"/>
      <c r="N21" s="166"/>
      <c r="O21" s="166"/>
      <c r="P21" s="166"/>
      <c r="Q21" s="166"/>
      <c r="R21" s="166"/>
      <c r="S21" s="166"/>
    </row>
    <row r="22" hidden="1">
      <c r="A22" s="67" t="str">
        <f t="shared" si="1"/>
        <v>Sat</v>
      </c>
      <c r="B22" s="69">
        <v>42630.0</v>
      </c>
      <c r="D22" s="171"/>
    </row>
    <row r="23" hidden="1">
      <c r="A23" s="67" t="str">
        <f t="shared" si="1"/>
        <v>Sun</v>
      </c>
      <c r="B23" s="69">
        <v>42631.0</v>
      </c>
      <c r="D23" s="171"/>
    </row>
    <row r="24" hidden="1">
      <c r="A24" s="67" t="str">
        <f t="shared" si="1"/>
        <v>Mon</v>
      </c>
      <c r="B24" s="69">
        <v>42632.0</v>
      </c>
      <c r="D24" s="171"/>
    </row>
    <row r="25" hidden="1">
      <c r="A25" s="67" t="str">
        <f t="shared" si="1"/>
        <v>Tue</v>
      </c>
      <c r="B25" s="69">
        <v>42633.0</v>
      </c>
      <c r="D25" s="171"/>
    </row>
    <row r="26" hidden="1">
      <c r="A26" s="67" t="str">
        <f t="shared" si="1"/>
        <v>Wed</v>
      </c>
      <c r="B26" s="69">
        <v>42634.0</v>
      </c>
      <c r="D26" s="171"/>
    </row>
    <row r="27" hidden="1">
      <c r="A27" s="67" t="str">
        <f t="shared" si="1"/>
        <v>Thu</v>
      </c>
      <c r="B27" s="69">
        <v>42635.0</v>
      </c>
      <c r="D27" s="171"/>
    </row>
    <row r="28" hidden="1">
      <c r="A28" s="67" t="str">
        <f t="shared" si="1"/>
        <v>Fri</v>
      </c>
      <c r="B28" s="69">
        <v>42636.0</v>
      </c>
      <c r="D28" s="172">
        <v>250.0</v>
      </c>
      <c r="E28" s="4" t="s">
        <v>493</v>
      </c>
      <c r="F28" s="4" t="s">
        <v>494</v>
      </c>
      <c r="G28" s="4" t="s">
        <v>494</v>
      </c>
      <c r="I28" s="4" t="s">
        <v>395</v>
      </c>
      <c r="J28" s="4" t="s">
        <v>495</v>
      </c>
      <c r="K28" s="4"/>
      <c r="L28" s="4" t="s">
        <v>293</v>
      </c>
    </row>
    <row r="29" hidden="1">
      <c r="A29" s="67" t="str">
        <f t="shared" si="1"/>
        <v>Sat</v>
      </c>
      <c r="B29" s="69">
        <v>42637.0</v>
      </c>
      <c r="D29" s="172">
        <v>250.0</v>
      </c>
      <c r="E29" s="4" t="s">
        <v>493</v>
      </c>
      <c r="F29" s="4" t="s">
        <v>494</v>
      </c>
      <c r="I29" s="4" t="s">
        <v>395</v>
      </c>
      <c r="J29" s="4" t="s">
        <v>495</v>
      </c>
      <c r="K29" s="4"/>
      <c r="L29" s="4" t="s">
        <v>293</v>
      </c>
    </row>
    <row r="30" hidden="1">
      <c r="A30" s="67" t="str">
        <f t="shared" si="1"/>
        <v>Sun</v>
      </c>
      <c r="B30" s="69">
        <v>42638.0</v>
      </c>
      <c r="D30" s="171"/>
      <c r="H30" s="4" t="s">
        <v>494</v>
      </c>
    </row>
    <row r="31" hidden="1">
      <c r="A31" s="67" t="str">
        <f t="shared" si="1"/>
        <v>Mon</v>
      </c>
      <c r="B31" s="69">
        <v>42639.0</v>
      </c>
      <c r="D31" s="171"/>
    </row>
    <row r="32" hidden="1">
      <c r="A32" s="67" t="str">
        <f t="shared" si="1"/>
        <v>Tue</v>
      </c>
      <c r="B32" s="69">
        <v>42640.0</v>
      </c>
      <c r="D32" s="171"/>
    </row>
    <row r="33" hidden="1">
      <c r="A33" s="67" t="str">
        <f t="shared" si="1"/>
        <v>Wed</v>
      </c>
      <c r="B33" s="69">
        <v>42641.0</v>
      </c>
      <c r="D33" s="171"/>
    </row>
    <row r="34" hidden="1">
      <c r="A34" s="67" t="str">
        <f t="shared" si="1"/>
        <v>Thu</v>
      </c>
      <c r="B34" s="69">
        <v>42642.0</v>
      </c>
      <c r="D34" s="171"/>
    </row>
    <row r="35" hidden="1">
      <c r="A35" s="67" t="str">
        <f t="shared" si="1"/>
        <v>Fri</v>
      </c>
      <c r="B35" s="69">
        <v>42643.0</v>
      </c>
      <c r="D35" s="172">
        <v>241.5</v>
      </c>
      <c r="E35" s="4" t="s">
        <v>222</v>
      </c>
      <c r="F35" s="4" t="s">
        <v>496</v>
      </c>
      <c r="I35" s="4" t="s">
        <v>395</v>
      </c>
      <c r="J35" s="4" t="s">
        <v>497</v>
      </c>
      <c r="K35" s="4"/>
      <c r="L35" s="4" t="s">
        <v>293</v>
      </c>
    </row>
    <row r="36" hidden="1">
      <c r="A36" s="67" t="str">
        <f t="shared" si="1"/>
        <v>Sat</v>
      </c>
      <c r="B36" s="69">
        <v>42644.0</v>
      </c>
      <c r="D36" s="172">
        <v>241.5</v>
      </c>
      <c r="E36" s="4" t="s">
        <v>222</v>
      </c>
      <c r="F36" s="4" t="s">
        <v>496</v>
      </c>
      <c r="I36" s="4" t="s">
        <v>395</v>
      </c>
      <c r="J36" s="4" t="s">
        <v>497</v>
      </c>
      <c r="K36" s="4"/>
      <c r="L36" s="4" t="s">
        <v>293</v>
      </c>
    </row>
    <row r="37" hidden="1">
      <c r="A37" s="67" t="str">
        <f t="shared" si="1"/>
        <v>Sun</v>
      </c>
      <c r="B37" s="69">
        <v>42645.0</v>
      </c>
      <c r="D37" s="171"/>
      <c r="G37" s="4" t="s">
        <v>496</v>
      </c>
    </row>
    <row r="38" hidden="1">
      <c r="A38" s="67" t="str">
        <f t="shared" si="1"/>
        <v>Mon</v>
      </c>
      <c r="B38" s="69">
        <v>42646.0</v>
      </c>
      <c r="D38" s="171"/>
    </row>
    <row r="39" hidden="1">
      <c r="A39" s="67" t="str">
        <f t="shared" si="1"/>
        <v>Tue</v>
      </c>
      <c r="B39" s="69">
        <v>42647.0</v>
      </c>
      <c r="D39" s="171"/>
    </row>
    <row r="40" hidden="1">
      <c r="A40" s="67" t="str">
        <f t="shared" si="1"/>
        <v>Wed</v>
      </c>
      <c r="B40" s="69">
        <v>42648.0</v>
      </c>
      <c r="D40" s="171"/>
    </row>
    <row r="41" hidden="1">
      <c r="A41" s="67" t="str">
        <f t="shared" si="1"/>
        <v>Thu</v>
      </c>
      <c r="B41" s="69">
        <v>42649.0</v>
      </c>
      <c r="D41" s="172">
        <v>329.4</v>
      </c>
      <c r="E41" s="4" t="s">
        <v>222</v>
      </c>
      <c r="F41" s="4" t="s">
        <v>498</v>
      </c>
      <c r="G41" s="4" t="s">
        <v>498</v>
      </c>
      <c r="I41" s="4" t="s">
        <v>395</v>
      </c>
      <c r="J41" s="4" t="s">
        <v>499</v>
      </c>
      <c r="K41" s="4"/>
      <c r="L41" s="4" t="s">
        <v>293</v>
      </c>
    </row>
    <row r="42" hidden="1">
      <c r="A42" s="67" t="str">
        <f t="shared" si="1"/>
        <v>Fri</v>
      </c>
      <c r="B42" s="69">
        <v>42650.0</v>
      </c>
      <c r="D42" s="172">
        <v>329.4</v>
      </c>
      <c r="E42" s="4" t="s">
        <v>222</v>
      </c>
      <c r="F42" s="4" t="s">
        <v>498</v>
      </c>
      <c r="I42" s="4" t="s">
        <v>395</v>
      </c>
      <c r="J42" s="4" t="s">
        <v>499</v>
      </c>
      <c r="K42" s="4"/>
      <c r="L42" s="4" t="s">
        <v>293</v>
      </c>
    </row>
    <row r="43" hidden="1">
      <c r="A43" s="67" t="str">
        <f t="shared" si="1"/>
        <v>Sat</v>
      </c>
      <c r="B43" s="69">
        <v>42651.0</v>
      </c>
      <c r="D43" s="172">
        <v>329.4</v>
      </c>
      <c r="E43" s="4" t="s">
        <v>222</v>
      </c>
      <c r="F43" s="4" t="s">
        <v>498</v>
      </c>
      <c r="I43" s="4" t="s">
        <v>395</v>
      </c>
      <c r="J43" s="4" t="s">
        <v>499</v>
      </c>
      <c r="K43" s="4"/>
      <c r="L43" s="4" t="s">
        <v>293</v>
      </c>
    </row>
    <row r="44" hidden="1">
      <c r="A44" s="67" t="str">
        <f t="shared" si="1"/>
        <v>Sun</v>
      </c>
      <c r="B44" s="69">
        <v>42652.0</v>
      </c>
      <c r="D44" s="172">
        <v>329.4</v>
      </c>
      <c r="E44" s="4" t="s">
        <v>222</v>
      </c>
      <c r="F44" s="4" t="s">
        <v>498</v>
      </c>
      <c r="I44" s="4" t="s">
        <v>395</v>
      </c>
      <c r="J44" s="4" t="s">
        <v>499</v>
      </c>
      <c r="K44" s="4"/>
      <c r="L44" s="4" t="s">
        <v>293</v>
      </c>
    </row>
    <row r="45" hidden="1">
      <c r="A45" s="67" t="str">
        <f t="shared" si="1"/>
        <v>Mon</v>
      </c>
      <c r="B45" s="69">
        <v>42653.0</v>
      </c>
      <c r="D45" s="172">
        <v>329.4</v>
      </c>
      <c r="E45" s="4" t="s">
        <v>222</v>
      </c>
      <c r="F45" s="4" t="s">
        <v>498</v>
      </c>
      <c r="I45" s="4" t="s">
        <v>395</v>
      </c>
      <c r="J45" s="4" t="s">
        <v>499</v>
      </c>
      <c r="K45" s="4"/>
      <c r="L45" s="4" t="s">
        <v>293</v>
      </c>
    </row>
    <row r="46" hidden="1">
      <c r="A46" s="67" t="str">
        <f t="shared" si="1"/>
        <v>Tue</v>
      </c>
      <c r="B46" s="69">
        <v>42654.0</v>
      </c>
      <c r="D46" s="171"/>
      <c r="H46" s="4" t="s">
        <v>498</v>
      </c>
    </row>
    <row r="47" hidden="1">
      <c r="A47" s="67" t="str">
        <f t="shared" si="1"/>
        <v>Wed</v>
      </c>
      <c r="B47" s="69">
        <v>42655.0</v>
      </c>
      <c r="D47" s="172">
        <v>329.4</v>
      </c>
      <c r="E47" s="4" t="s">
        <v>222</v>
      </c>
      <c r="F47" s="4" t="s">
        <v>500</v>
      </c>
      <c r="I47" s="4" t="s">
        <v>395</v>
      </c>
      <c r="K47" s="4"/>
      <c r="L47" s="4" t="s">
        <v>293</v>
      </c>
    </row>
    <row r="48" hidden="1">
      <c r="A48" s="67" t="str">
        <f t="shared" si="1"/>
        <v>Thu</v>
      </c>
      <c r="B48" s="69">
        <v>42656.0</v>
      </c>
      <c r="D48" s="172">
        <v>329.4</v>
      </c>
      <c r="E48" s="4" t="s">
        <v>222</v>
      </c>
      <c r="F48" s="4" t="s">
        <v>500</v>
      </c>
      <c r="I48" s="4" t="s">
        <v>395</v>
      </c>
      <c r="K48" s="4"/>
      <c r="L48" s="4" t="s">
        <v>293</v>
      </c>
    </row>
    <row r="49" hidden="1">
      <c r="A49" s="67" t="str">
        <f t="shared" si="1"/>
        <v>Fri</v>
      </c>
      <c r="B49" s="69">
        <v>42657.0</v>
      </c>
      <c r="D49" s="172">
        <v>329.4</v>
      </c>
      <c r="E49" s="4" t="s">
        <v>222</v>
      </c>
      <c r="F49" s="4" t="s">
        <v>500</v>
      </c>
      <c r="I49" s="4" t="s">
        <v>395</v>
      </c>
      <c r="K49" s="4"/>
      <c r="L49" s="4" t="s">
        <v>293</v>
      </c>
    </row>
    <row r="50" hidden="1">
      <c r="A50" s="67" t="str">
        <f t="shared" si="1"/>
        <v>Sat</v>
      </c>
      <c r="B50" s="69">
        <v>42658.0</v>
      </c>
      <c r="D50" s="172">
        <v>329.4</v>
      </c>
      <c r="E50" s="4" t="s">
        <v>222</v>
      </c>
      <c r="F50" s="4" t="s">
        <v>500</v>
      </c>
      <c r="I50" s="4" t="s">
        <v>395</v>
      </c>
      <c r="K50" s="4"/>
      <c r="L50" s="4" t="s">
        <v>293</v>
      </c>
    </row>
    <row r="51" hidden="1">
      <c r="A51" s="67" t="str">
        <f t="shared" si="1"/>
        <v>Sun</v>
      </c>
      <c r="B51" s="69">
        <v>42659.0</v>
      </c>
      <c r="D51" s="171"/>
      <c r="H51" s="4" t="s">
        <v>500</v>
      </c>
    </row>
    <row r="52" hidden="1">
      <c r="A52" s="67" t="str">
        <f t="shared" si="1"/>
        <v>Mon</v>
      </c>
      <c r="B52" s="69">
        <v>42660.0</v>
      </c>
      <c r="D52" s="171"/>
    </row>
    <row r="53" hidden="1">
      <c r="A53" s="67" t="str">
        <f t="shared" si="1"/>
        <v>Tue</v>
      </c>
      <c r="B53" s="69">
        <v>42661.0</v>
      </c>
      <c r="D53" s="171"/>
    </row>
    <row r="54" hidden="1">
      <c r="A54" s="67" t="str">
        <f t="shared" si="1"/>
        <v>Wed</v>
      </c>
      <c r="B54" s="69">
        <v>42662.0</v>
      </c>
      <c r="D54" s="172">
        <v>241.0</v>
      </c>
      <c r="E54" s="4" t="s">
        <v>222</v>
      </c>
      <c r="F54" s="4" t="s">
        <v>501</v>
      </c>
      <c r="G54" s="4" t="s">
        <v>501</v>
      </c>
      <c r="I54" s="4" t="s">
        <v>395</v>
      </c>
      <c r="K54" s="4"/>
      <c r="L54" s="4" t="s">
        <v>293</v>
      </c>
    </row>
    <row r="55" hidden="1">
      <c r="A55" s="67" t="str">
        <f t="shared" si="1"/>
        <v>Thu</v>
      </c>
      <c r="B55" s="69">
        <v>42663.0</v>
      </c>
      <c r="D55" s="171"/>
      <c r="H55" s="4" t="s">
        <v>501</v>
      </c>
    </row>
    <row r="56" hidden="1">
      <c r="A56" s="67" t="str">
        <f t="shared" si="1"/>
        <v>Fri</v>
      </c>
      <c r="B56" s="69">
        <v>42664.0</v>
      </c>
      <c r="D56" s="172">
        <v>200.0</v>
      </c>
      <c r="E56" s="4" t="s">
        <v>337</v>
      </c>
      <c r="F56" s="4" t="s">
        <v>502</v>
      </c>
      <c r="G56" s="4" t="s">
        <v>502</v>
      </c>
      <c r="I56" s="4" t="s">
        <v>503</v>
      </c>
      <c r="J56" s="4" t="s">
        <v>504</v>
      </c>
      <c r="K56" s="4"/>
      <c r="L56" s="4" t="s">
        <v>293</v>
      </c>
    </row>
    <row r="57" hidden="1">
      <c r="A57" s="67" t="str">
        <f t="shared" si="1"/>
        <v>Sat</v>
      </c>
      <c r="B57" s="69">
        <v>42665.0</v>
      </c>
      <c r="D57" s="172">
        <v>200.0</v>
      </c>
      <c r="E57" s="4" t="s">
        <v>337</v>
      </c>
      <c r="F57" s="4" t="s">
        <v>502</v>
      </c>
      <c r="I57" s="4" t="s">
        <v>503</v>
      </c>
      <c r="J57" s="4" t="s">
        <v>504</v>
      </c>
      <c r="K57" s="4"/>
      <c r="L57" s="4" t="s">
        <v>293</v>
      </c>
    </row>
    <row r="58" hidden="1">
      <c r="A58" s="67" t="str">
        <f t="shared" si="1"/>
        <v>Sun</v>
      </c>
      <c r="B58" s="69">
        <v>42666.0</v>
      </c>
      <c r="D58" s="171"/>
      <c r="H58" s="4" t="s">
        <v>502</v>
      </c>
    </row>
    <row r="59" hidden="1">
      <c r="A59" s="67" t="str">
        <f t="shared" si="1"/>
        <v>Mon</v>
      </c>
      <c r="B59" s="69">
        <v>42667.0</v>
      </c>
      <c r="D59" s="171"/>
    </row>
    <row r="60" hidden="1">
      <c r="A60" s="67" t="str">
        <f t="shared" si="1"/>
        <v>Tue</v>
      </c>
      <c r="B60" s="69">
        <v>42668.0</v>
      </c>
      <c r="D60" s="171"/>
    </row>
    <row r="61" hidden="1">
      <c r="A61" s="67" t="str">
        <f t="shared" si="1"/>
        <v>Wed</v>
      </c>
      <c r="B61" s="69">
        <v>42669.0</v>
      </c>
      <c r="D61" s="171"/>
    </row>
    <row r="62" hidden="1">
      <c r="A62" s="67" t="str">
        <f t="shared" si="1"/>
        <v>Thu</v>
      </c>
      <c r="B62" s="69">
        <v>42670.0</v>
      </c>
      <c r="D62" s="171"/>
    </row>
    <row r="63" hidden="1">
      <c r="A63" s="67" t="str">
        <f t="shared" si="1"/>
        <v>Fri</v>
      </c>
      <c r="B63" s="69">
        <v>42671.0</v>
      </c>
      <c r="D63" s="171"/>
    </row>
    <row r="64" hidden="1">
      <c r="A64" s="67" t="str">
        <f t="shared" si="1"/>
        <v>Sat</v>
      </c>
      <c r="B64" s="69">
        <v>42672.0</v>
      </c>
      <c r="D64" s="171"/>
    </row>
    <row r="65" hidden="1">
      <c r="A65" s="67" t="str">
        <f t="shared" si="1"/>
        <v>Sun</v>
      </c>
      <c r="B65" s="69">
        <v>42673.0</v>
      </c>
      <c r="D65" s="173">
        <v>337.6666666666667</v>
      </c>
      <c r="E65" s="4" t="s">
        <v>222</v>
      </c>
      <c r="F65" s="4" t="s">
        <v>505</v>
      </c>
      <c r="G65" s="4" t="s">
        <v>505</v>
      </c>
      <c r="I65" s="4" t="s">
        <v>395</v>
      </c>
      <c r="K65" s="4"/>
      <c r="L65" s="4" t="s">
        <v>293</v>
      </c>
    </row>
    <row r="66" hidden="1">
      <c r="A66" s="67" t="str">
        <f t="shared" si="1"/>
        <v>Mon</v>
      </c>
      <c r="B66" s="69">
        <v>42674.0</v>
      </c>
      <c r="D66" s="173">
        <v>337.6666666666667</v>
      </c>
      <c r="E66" s="4" t="s">
        <v>222</v>
      </c>
      <c r="F66" s="4" t="s">
        <v>505</v>
      </c>
      <c r="I66" s="4" t="s">
        <v>395</v>
      </c>
      <c r="K66" s="4"/>
      <c r="L66" s="4" t="s">
        <v>293</v>
      </c>
    </row>
    <row r="67" hidden="1">
      <c r="A67" s="67" t="str">
        <f t="shared" si="1"/>
        <v>Tue</v>
      </c>
      <c r="B67" s="69">
        <v>42675.0</v>
      </c>
      <c r="D67" s="173">
        <v>337.6666666666667</v>
      </c>
      <c r="E67" s="4" t="s">
        <v>222</v>
      </c>
      <c r="F67" s="4" t="s">
        <v>505</v>
      </c>
      <c r="I67" s="4" t="s">
        <v>395</v>
      </c>
      <c r="K67" s="4"/>
      <c r="L67" s="4" t="s">
        <v>293</v>
      </c>
    </row>
    <row r="68" hidden="1">
      <c r="A68" s="67" t="str">
        <f t="shared" si="1"/>
        <v>Wed</v>
      </c>
      <c r="B68" s="69">
        <v>42676.0</v>
      </c>
      <c r="D68" s="172">
        <v>300.0</v>
      </c>
      <c r="E68" s="4" t="s">
        <v>337</v>
      </c>
      <c r="F68" s="4" t="s">
        <v>506</v>
      </c>
      <c r="G68" s="4" t="s">
        <v>506</v>
      </c>
      <c r="H68" s="4" t="s">
        <v>505</v>
      </c>
      <c r="I68" s="4" t="s">
        <v>395</v>
      </c>
      <c r="J68" s="4" t="s">
        <v>495</v>
      </c>
      <c r="K68" s="4"/>
      <c r="L68" s="4" t="s">
        <v>293</v>
      </c>
    </row>
    <row r="69" hidden="1">
      <c r="A69" s="67" t="str">
        <f t="shared" si="1"/>
        <v>Thu</v>
      </c>
      <c r="B69" s="69">
        <v>42677.0</v>
      </c>
      <c r="D69" s="172">
        <v>300.0</v>
      </c>
      <c r="E69" s="4" t="s">
        <v>337</v>
      </c>
      <c r="F69" s="4" t="s">
        <v>506</v>
      </c>
      <c r="I69" s="4" t="s">
        <v>395</v>
      </c>
      <c r="J69" s="4" t="s">
        <v>495</v>
      </c>
      <c r="K69" s="4"/>
      <c r="L69" s="4" t="s">
        <v>293</v>
      </c>
    </row>
    <row r="70" hidden="1">
      <c r="A70" s="67" t="str">
        <f t="shared" si="1"/>
        <v>Fri</v>
      </c>
      <c r="B70" s="69">
        <v>42678.0</v>
      </c>
      <c r="D70" s="172">
        <v>300.0</v>
      </c>
      <c r="E70" s="4" t="s">
        <v>337</v>
      </c>
      <c r="F70" s="4" t="s">
        <v>506</v>
      </c>
      <c r="I70" s="4" t="s">
        <v>395</v>
      </c>
      <c r="J70" s="4" t="s">
        <v>495</v>
      </c>
      <c r="K70" s="4"/>
      <c r="L70" s="4" t="s">
        <v>293</v>
      </c>
    </row>
    <row r="71" hidden="1">
      <c r="A71" s="67" t="str">
        <f t="shared" si="1"/>
        <v>Sat</v>
      </c>
      <c r="B71" s="69">
        <v>42679.0</v>
      </c>
      <c r="D71" s="172">
        <v>300.0</v>
      </c>
      <c r="E71" s="4" t="s">
        <v>337</v>
      </c>
      <c r="F71" s="4" t="s">
        <v>506</v>
      </c>
      <c r="I71" s="4" t="s">
        <v>395</v>
      </c>
      <c r="J71" s="4" t="s">
        <v>495</v>
      </c>
      <c r="K71" s="4"/>
      <c r="L71" s="4" t="s">
        <v>293</v>
      </c>
    </row>
    <row r="72" hidden="1">
      <c r="A72" s="67" t="str">
        <f t="shared" si="1"/>
        <v>Sun</v>
      </c>
      <c r="B72" s="69">
        <v>42680.0</v>
      </c>
      <c r="D72" s="171"/>
      <c r="H72" s="4" t="s">
        <v>506</v>
      </c>
    </row>
    <row r="73" hidden="1">
      <c r="A73" s="67" t="str">
        <f t="shared" si="1"/>
        <v>Mon</v>
      </c>
      <c r="B73" s="69">
        <v>42681.0</v>
      </c>
      <c r="D73" s="171"/>
    </row>
    <row r="74" hidden="1">
      <c r="A74" s="67" t="str">
        <f t="shared" si="1"/>
        <v>Tue</v>
      </c>
      <c r="B74" s="69">
        <v>42682.0</v>
      </c>
      <c r="D74" s="171"/>
    </row>
    <row r="75" hidden="1">
      <c r="A75" s="67" t="str">
        <f t="shared" si="1"/>
        <v>Wed</v>
      </c>
      <c r="B75" s="69">
        <v>42683.0</v>
      </c>
      <c r="D75" s="171"/>
    </row>
    <row r="76" hidden="1">
      <c r="A76" s="67" t="str">
        <f t="shared" si="1"/>
        <v>Thu</v>
      </c>
      <c r="B76" s="69">
        <v>42684.0</v>
      </c>
      <c r="D76" s="171"/>
    </row>
    <row r="77" hidden="1">
      <c r="A77" s="67" t="str">
        <f t="shared" si="1"/>
        <v>Fri</v>
      </c>
      <c r="B77" s="69">
        <v>42685.0</v>
      </c>
      <c r="D77" s="172">
        <v>339.0</v>
      </c>
      <c r="E77" s="4" t="s">
        <v>222</v>
      </c>
      <c r="F77" s="4" t="s">
        <v>507</v>
      </c>
      <c r="G77" s="4" t="s">
        <v>507</v>
      </c>
      <c r="I77" s="4" t="s">
        <v>395</v>
      </c>
      <c r="K77" s="4"/>
      <c r="L77" s="4" t="s">
        <v>293</v>
      </c>
    </row>
    <row r="78" hidden="1">
      <c r="A78" s="67" t="str">
        <f t="shared" si="1"/>
        <v>Sat</v>
      </c>
      <c r="B78" s="69">
        <v>42686.0</v>
      </c>
      <c r="D78" s="171"/>
      <c r="H78" s="4" t="s">
        <v>507</v>
      </c>
    </row>
    <row r="79" hidden="1">
      <c r="A79" s="67" t="str">
        <f t="shared" si="1"/>
        <v>Sun</v>
      </c>
      <c r="B79" s="69">
        <v>42687.0</v>
      </c>
      <c r="D79" s="172">
        <v>355.0</v>
      </c>
      <c r="E79" s="4" t="s">
        <v>222</v>
      </c>
      <c r="F79" s="4" t="s">
        <v>508</v>
      </c>
      <c r="G79" s="4" t="s">
        <v>508</v>
      </c>
      <c r="I79" s="4" t="s">
        <v>503</v>
      </c>
      <c r="K79" s="4"/>
      <c r="L79" s="4" t="s">
        <v>293</v>
      </c>
    </row>
    <row r="80" hidden="1">
      <c r="A80" s="67" t="str">
        <f t="shared" si="1"/>
        <v>Mon</v>
      </c>
      <c r="B80" s="69">
        <v>42688.0</v>
      </c>
      <c r="D80" s="172">
        <v>355.0</v>
      </c>
      <c r="E80" s="4" t="s">
        <v>222</v>
      </c>
      <c r="F80" s="4" t="s">
        <v>508</v>
      </c>
      <c r="I80" s="4" t="s">
        <v>503</v>
      </c>
      <c r="K80" s="4"/>
      <c r="L80" s="4" t="s">
        <v>293</v>
      </c>
    </row>
    <row r="81" hidden="1">
      <c r="A81" s="67" t="str">
        <f t="shared" si="1"/>
        <v>Tue</v>
      </c>
      <c r="B81" s="69">
        <v>42689.0</v>
      </c>
      <c r="D81" s="171"/>
      <c r="H81" s="4" t="s">
        <v>508</v>
      </c>
    </row>
    <row r="82" hidden="1">
      <c r="A82" s="67" t="str">
        <f t="shared" si="1"/>
        <v>Wed</v>
      </c>
      <c r="B82" s="69">
        <v>42690.0</v>
      </c>
      <c r="D82" s="171"/>
    </row>
    <row r="83" hidden="1">
      <c r="A83" s="67" t="str">
        <f t="shared" si="1"/>
        <v>Thu</v>
      </c>
      <c r="B83" s="69">
        <v>42691.0</v>
      </c>
      <c r="D83" s="171"/>
    </row>
    <row r="84" hidden="1">
      <c r="A84" s="67" t="str">
        <f t="shared" si="1"/>
        <v>Fri</v>
      </c>
      <c r="B84" s="69">
        <v>42692.0</v>
      </c>
      <c r="D84" s="174">
        <v>339.3333333333333</v>
      </c>
      <c r="E84" s="4" t="s">
        <v>222</v>
      </c>
      <c r="F84" s="4" t="s">
        <v>509</v>
      </c>
      <c r="G84" s="4" t="s">
        <v>509</v>
      </c>
      <c r="I84" s="4" t="s">
        <v>395</v>
      </c>
      <c r="K84" s="4"/>
      <c r="L84" s="4" t="s">
        <v>293</v>
      </c>
    </row>
    <row r="85" hidden="1">
      <c r="A85" s="67" t="str">
        <f t="shared" si="1"/>
        <v>Sat</v>
      </c>
      <c r="B85" s="69">
        <v>42693.0</v>
      </c>
      <c r="D85" s="174">
        <v>339.3333333333333</v>
      </c>
      <c r="E85" s="4" t="s">
        <v>222</v>
      </c>
      <c r="F85" s="4" t="s">
        <v>509</v>
      </c>
      <c r="I85" s="4" t="s">
        <v>395</v>
      </c>
      <c r="K85" s="4"/>
      <c r="L85" s="4" t="s">
        <v>293</v>
      </c>
    </row>
    <row r="86" hidden="1">
      <c r="A86" s="67" t="str">
        <f t="shared" si="1"/>
        <v>Sun</v>
      </c>
      <c r="B86" s="69">
        <v>42694.0</v>
      </c>
      <c r="D86" s="174">
        <v>339.3333333333333</v>
      </c>
      <c r="E86" s="4" t="s">
        <v>222</v>
      </c>
      <c r="F86" s="4" t="s">
        <v>509</v>
      </c>
      <c r="I86" s="4" t="s">
        <v>395</v>
      </c>
      <c r="K86" s="4"/>
      <c r="L86" s="4" t="s">
        <v>293</v>
      </c>
    </row>
    <row r="87" hidden="1">
      <c r="A87" s="67" t="str">
        <f t="shared" si="1"/>
        <v>Mon</v>
      </c>
      <c r="B87" s="69">
        <v>42695.0</v>
      </c>
      <c r="D87" s="171"/>
      <c r="H87" s="4" t="s">
        <v>509</v>
      </c>
    </row>
    <row r="88" hidden="1">
      <c r="A88" s="67" t="str">
        <f t="shared" si="1"/>
        <v>Tue</v>
      </c>
      <c r="B88" s="69">
        <v>42696.0</v>
      </c>
      <c r="D88" s="171"/>
    </row>
    <row r="89" hidden="1">
      <c r="A89" s="67" t="str">
        <f t="shared" si="1"/>
        <v>Wed</v>
      </c>
      <c r="B89" s="69">
        <v>42697.0</v>
      </c>
      <c r="D89" s="171"/>
    </row>
    <row r="90" hidden="1">
      <c r="A90" s="67" t="str">
        <f t="shared" si="1"/>
        <v>Thu</v>
      </c>
      <c r="B90" s="69">
        <v>42698.0</v>
      </c>
      <c r="D90" s="171"/>
    </row>
    <row r="91" hidden="1">
      <c r="A91" s="67" t="str">
        <f t="shared" si="1"/>
        <v>Fri</v>
      </c>
      <c r="B91" s="69">
        <v>42699.0</v>
      </c>
      <c r="D91" s="171"/>
    </row>
    <row r="92" hidden="1">
      <c r="A92" s="67" t="str">
        <f t="shared" si="1"/>
        <v>Sat</v>
      </c>
      <c r="B92" s="69">
        <v>42700.0</v>
      </c>
      <c r="D92" s="171"/>
    </row>
    <row r="93" hidden="1">
      <c r="A93" s="67" t="str">
        <f t="shared" si="1"/>
        <v>Sun</v>
      </c>
      <c r="B93" s="69">
        <v>42701.0</v>
      </c>
      <c r="D93" s="171"/>
    </row>
    <row r="94" hidden="1">
      <c r="A94" s="67" t="str">
        <f t="shared" si="1"/>
        <v>Mon</v>
      </c>
      <c r="B94" s="69">
        <v>42702.0</v>
      </c>
      <c r="D94" s="171"/>
    </row>
    <row r="95" hidden="1">
      <c r="A95" s="67" t="str">
        <f t="shared" si="1"/>
        <v>Tue</v>
      </c>
      <c r="B95" s="69">
        <v>42703.0</v>
      </c>
      <c r="D95" s="175">
        <v>506.6666666666667</v>
      </c>
    </row>
    <row r="96" hidden="1">
      <c r="A96" s="67" t="str">
        <f t="shared" si="1"/>
        <v>Wed</v>
      </c>
      <c r="B96" s="69">
        <v>42704.0</v>
      </c>
      <c r="D96" s="171"/>
    </row>
    <row r="97" hidden="1">
      <c r="A97" s="67" t="str">
        <f t="shared" si="1"/>
        <v>Thu</v>
      </c>
      <c r="B97" s="69">
        <v>42705.0</v>
      </c>
      <c r="D97" s="171"/>
    </row>
    <row r="98" hidden="1">
      <c r="A98" s="67" t="str">
        <f t="shared" si="1"/>
        <v>Fri</v>
      </c>
      <c r="B98" s="69">
        <v>42706.0</v>
      </c>
      <c r="D98" s="172">
        <v>338.5</v>
      </c>
      <c r="E98" s="4" t="s">
        <v>222</v>
      </c>
      <c r="F98" s="4" t="s">
        <v>510</v>
      </c>
      <c r="G98" s="4" t="s">
        <v>510</v>
      </c>
      <c r="I98" s="4" t="s">
        <v>395</v>
      </c>
      <c r="J98" s="4" t="s">
        <v>511</v>
      </c>
      <c r="K98" s="4"/>
      <c r="L98" s="4" t="s">
        <v>293</v>
      </c>
    </row>
    <row r="99" hidden="1">
      <c r="A99" s="67" t="str">
        <f t="shared" si="1"/>
        <v>Sat</v>
      </c>
      <c r="B99" s="69">
        <v>42707.0</v>
      </c>
      <c r="D99" s="172">
        <v>338.5</v>
      </c>
      <c r="E99" s="4" t="s">
        <v>222</v>
      </c>
      <c r="F99" s="4" t="s">
        <v>510</v>
      </c>
      <c r="I99" s="4" t="s">
        <v>395</v>
      </c>
      <c r="J99" s="4" t="s">
        <v>511</v>
      </c>
      <c r="K99" s="4"/>
      <c r="L99" s="4" t="s">
        <v>293</v>
      </c>
    </row>
    <row r="100" hidden="1">
      <c r="A100" s="67" t="str">
        <f t="shared" si="1"/>
        <v>Sun</v>
      </c>
      <c r="B100" s="69">
        <v>42708.0</v>
      </c>
      <c r="D100" s="172">
        <v>338.5</v>
      </c>
      <c r="E100" s="4" t="s">
        <v>222</v>
      </c>
      <c r="F100" s="4" t="s">
        <v>510</v>
      </c>
      <c r="I100" s="4" t="s">
        <v>395</v>
      </c>
      <c r="J100" s="4" t="s">
        <v>511</v>
      </c>
      <c r="K100" s="4"/>
      <c r="L100" s="4" t="s">
        <v>293</v>
      </c>
    </row>
    <row r="101" hidden="1">
      <c r="A101" s="67" t="str">
        <f t="shared" si="1"/>
        <v>Mon</v>
      </c>
      <c r="B101" s="69">
        <v>42709.0</v>
      </c>
      <c r="D101" s="172">
        <v>338.5</v>
      </c>
      <c r="E101" s="4" t="s">
        <v>222</v>
      </c>
      <c r="F101" s="4" t="s">
        <v>510</v>
      </c>
      <c r="I101" s="4" t="s">
        <v>395</v>
      </c>
      <c r="J101" s="4" t="s">
        <v>511</v>
      </c>
      <c r="K101" s="4"/>
      <c r="L101" s="4" t="s">
        <v>293</v>
      </c>
    </row>
    <row r="102" hidden="1">
      <c r="A102" s="67" t="str">
        <f t="shared" si="1"/>
        <v>Tue</v>
      </c>
      <c r="B102" s="69">
        <v>42710.0</v>
      </c>
      <c r="D102" s="172">
        <v>339.0</v>
      </c>
      <c r="E102" s="4" t="s">
        <v>222</v>
      </c>
      <c r="F102" s="4" t="s">
        <v>509</v>
      </c>
      <c r="H102" s="4" t="s">
        <v>510</v>
      </c>
      <c r="I102" s="4" t="s">
        <v>395</v>
      </c>
      <c r="K102" s="4"/>
      <c r="L102" s="4" t="s">
        <v>293</v>
      </c>
    </row>
    <row r="103" hidden="1">
      <c r="A103" s="67" t="str">
        <f t="shared" si="1"/>
        <v>Wed</v>
      </c>
      <c r="B103" s="69">
        <v>42711.0</v>
      </c>
      <c r="D103" s="172">
        <v>339.0</v>
      </c>
      <c r="E103" s="4" t="s">
        <v>222</v>
      </c>
      <c r="F103" s="4" t="s">
        <v>509</v>
      </c>
      <c r="I103" s="4" t="s">
        <v>395</v>
      </c>
      <c r="K103" s="4"/>
      <c r="L103" s="4" t="s">
        <v>293</v>
      </c>
    </row>
    <row r="104" hidden="1">
      <c r="A104" s="67" t="str">
        <f t="shared" si="1"/>
        <v>Thu</v>
      </c>
      <c r="B104" s="69">
        <v>42712.0</v>
      </c>
      <c r="D104" s="172">
        <v>339.0</v>
      </c>
      <c r="E104" s="4" t="s">
        <v>222</v>
      </c>
      <c r="F104" s="4" t="s">
        <v>509</v>
      </c>
      <c r="I104" s="4" t="s">
        <v>395</v>
      </c>
      <c r="K104" s="4"/>
      <c r="L104" s="4" t="s">
        <v>293</v>
      </c>
    </row>
    <row r="105" hidden="1">
      <c r="A105" s="67" t="str">
        <f t="shared" si="1"/>
        <v>Fri</v>
      </c>
      <c r="B105" s="69">
        <v>42713.0</v>
      </c>
      <c r="D105" s="176">
        <v>338.0</v>
      </c>
      <c r="E105" s="4" t="s">
        <v>222</v>
      </c>
      <c r="F105" s="4" t="s">
        <v>513</v>
      </c>
      <c r="G105" s="4" t="s">
        <v>513</v>
      </c>
      <c r="H105" s="4" t="s">
        <v>509</v>
      </c>
      <c r="I105" s="4" t="s">
        <v>395</v>
      </c>
      <c r="K105" s="4"/>
      <c r="L105" s="4" t="s">
        <v>293</v>
      </c>
    </row>
    <row r="106" hidden="1">
      <c r="A106" s="67" t="str">
        <f t="shared" si="1"/>
        <v>Sat</v>
      </c>
      <c r="B106" s="69">
        <v>42714.0</v>
      </c>
      <c r="D106" s="176">
        <v>338.0</v>
      </c>
      <c r="E106" s="4" t="s">
        <v>222</v>
      </c>
      <c r="F106" s="4" t="s">
        <v>513</v>
      </c>
      <c r="I106" s="4" t="s">
        <v>395</v>
      </c>
      <c r="K106" s="4"/>
      <c r="L106" s="4" t="s">
        <v>293</v>
      </c>
    </row>
    <row r="107" hidden="1">
      <c r="A107" s="67" t="str">
        <f t="shared" si="1"/>
        <v>Sun</v>
      </c>
      <c r="B107" s="69">
        <v>42715.0</v>
      </c>
      <c r="D107" s="171"/>
      <c r="H107" s="4" t="s">
        <v>513</v>
      </c>
    </row>
    <row r="108" hidden="1">
      <c r="A108" s="67" t="str">
        <f t="shared" si="1"/>
        <v>Mon</v>
      </c>
      <c r="B108" s="69">
        <v>42716.0</v>
      </c>
      <c r="D108" s="171"/>
    </row>
    <row r="109" hidden="1">
      <c r="A109" s="67" t="str">
        <f t="shared" si="1"/>
        <v>Tue</v>
      </c>
      <c r="B109" s="69">
        <v>42717.0</v>
      </c>
      <c r="D109" s="176">
        <v>338.75</v>
      </c>
      <c r="E109" s="4" t="s">
        <v>222</v>
      </c>
      <c r="F109" s="4" t="s">
        <v>514</v>
      </c>
      <c r="G109" s="4" t="s">
        <v>514</v>
      </c>
      <c r="I109" s="4" t="s">
        <v>395</v>
      </c>
      <c r="K109" s="4"/>
      <c r="L109" s="4" t="s">
        <v>293</v>
      </c>
    </row>
    <row r="110" hidden="1">
      <c r="A110" s="67" t="str">
        <f t="shared" si="1"/>
        <v>Wed</v>
      </c>
      <c r="B110" s="69">
        <v>42718.0</v>
      </c>
      <c r="D110" s="176">
        <v>338.75</v>
      </c>
      <c r="E110" s="4" t="s">
        <v>222</v>
      </c>
      <c r="F110" s="4" t="s">
        <v>514</v>
      </c>
      <c r="I110" s="4" t="s">
        <v>395</v>
      </c>
      <c r="K110" s="4"/>
      <c r="L110" s="4" t="s">
        <v>293</v>
      </c>
    </row>
    <row r="111" hidden="1">
      <c r="A111" s="67" t="str">
        <f t="shared" si="1"/>
        <v>Thu</v>
      </c>
      <c r="B111" s="69">
        <v>42719.0</v>
      </c>
      <c r="D111" s="176">
        <v>338.75</v>
      </c>
      <c r="E111" s="4" t="s">
        <v>222</v>
      </c>
      <c r="F111" s="4" t="s">
        <v>514</v>
      </c>
      <c r="I111" s="4" t="s">
        <v>395</v>
      </c>
      <c r="K111" s="4"/>
      <c r="L111" s="4" t="s">
        <v>293</v>
      </c>
    </row>
    <row r="112" hidden="1">
      <c r="A112" s="67" t="str">
        <f t="shared" si="1"/>
        <v>Fri</v>
      </c>
      <c r="B112" s="69">
        <v>42720.0</v>
      </c>
      <c r="D112" s="176">
        <v>338.75</v>
      </c>
      <c r="E112" s="4" t="s">
        <v>222</v>
      </c>
      <c r="F112" s="4" t="s">
        <v>514</v>
      </c>
      <c r="I112" s="4" t="s">
        <v>395</v>
      </c>
      <c r="K112" s="4"/>
      <c r="L112" s="4" t="s">
        <v>293</v>
      </c>
    </row>
    <row r="113" hidden="1">
      <c r="A113" s="67" t="str">
        <f t="shared" si="1"/>
        <v>Sat</v>
      </c>
      <c r="B113" s="69">
        <v>42721.0</v>
      </c>
      <c r="D113" s="172">
        <v>382.0</v>
      </c>
      <c r="E113" s="4" t="s">
        <v>222</v>
      </c>
      <c r="F113" s="4" t="s">
        <v>515</v>
      </c>
      <c r="G113" s="4" t="s">
        <v>515</v>
      </c>
      <c r="H113" s="4" t="s">
        <v>514</v>
      </c>
      <c r="I113" s="4" t="s">
        <v>503</v>
      </c>
    </row>
    <row r="114" hidden="1">
      <c r="A114" s="67" t="str">
        <f t="shared" si="1"/>
        <v>Sun</v>
      </c>
      <c r="B114" s="69">
        <v>42722.0</v>
      </c>
      <c r="D114" s="172">
        <v>382.0</v>
      </c>
      <c r="E114" s="4" t="s">
        <v>222</v>
      </c>
      <c r="F114" s="4" t="s">
        <v>515</v>
      </c>
      <c r="I114" s="4" t="s">
        <v>503</v>
      </c>
    </row>
    <row r="115" hidden="1">
      <c r="A115" s="67" t="str">
        <f t="shared" si="1"/>
        <v>Mon</v>
      </c>
      <c r="B115" s="69">
        <v>42723.0</v>
      </c>
      <c r="D115" s="172">
        <v>382.0</v>
      </c>
      <c r="E115" s="4" t="s">
        <v>222</v>
      </c>
      <c r="F115" s="4" t="s">
        <v>515</v>
      </c>
      <c r="I115" s="4" t="s">
        <v>503</v>
      </c>
    </row>
    <row r="116" hidden="1">
      <c r="A116" s="67" t="str">
        <f t="shared" si="1"/>
        <v>Tue</v>
      </c>
      <c r="B116" s="69">
        <v>42724.0</v>
      </c>
      <c r="D116" s="172">
        <v>382.0</v>
      </c>
      <c r="E116" s="4" t="s">
        <v>222</v>
      </c>
      <c r="F116" s="4" t="s">
        <v>515</v>
      </c>
      <c r="I116" s="4" t="s">
        <v>503</v>
      </c>
    </row>
    <row r="117" hidden="1">
      <c r="A117" s="67" t="str">
        <f t="shared" si="1"/>
        <v>Wed</v>
      </c>
      <c r="B117" s="69">
        <v>42725.0</v>
      </c>
      <c r="D117" s="172">
        <v>382.0</v>
      </c>
      <c r="E117" s="4" t="s">
        <v>222</v>
      </c>
      <c r="F117" s="4" t="s">
        <v>515</v>
      </c>
      <c r="I117" s="4" t="s">
        <v>503</v>
      </c>
    </row>
    <row r="118" hidden="1">
      <c r="A118" s="67" t="str">
        <f t="shared" si="1"/>
        <v>Thu</v>
      </c>
      <c r="B118" s="69">
        <v>42726.0</v>
      </c>
      <c r="D118" s="172">
        <v>382.0</v>
      </c>
      <c r="E118" s="4" t="s">
        <v>222</v>
      </c>
      <c r="F118" s="4" t="s">
        <v>515</v>
      </c>
      <c r="I118" s="4" t="s">
        <v>503</v>
      </c>
    </row>
    <row r="119" hidden="1">
      <c r="A119" s="67" t="str">
        <f t="shared" si="1"/>
        <v>Fri</v>
      </c>
      <c r="B119" s="69">
        <v>42727.0</v>
      </c>
      <c r="D119" s="172">
        <v>382.0</v>
      </c>
      <c r="E119" s="4" t="s">
        <v>222</v>
      </c>
      <c r="F119" s="4" t="s">
        <v>515</v>
      </c>
      <c r="I119" s="4" t="s">
        <v>503</v>
      </c>
    </row>
    <row r="120" hidden="1">
      <c r="A120" s="67" t="str">
        <f t="shared" si="1"/>
        <v>Sat</v>
      </c>
      <c r="B120" s="69">
        <v>42728.0</v>
      </c>
      <c r="C120" s="4" t="s">
        <v>196</v>
      </c>
      <c r="D120" s="171"/>
      <c r="H120" s="4" t="s">
        <v>516</v>
      </c>
    </row>
    <row r="121" hidden="1">
      <c r="A121" s="67" t="str">
        <f t="shared" si="1"/>
        <v>Sun</v>
      </c>
      <c r="B121" s="69">
        <v>42729.0</v>
      </c>
      <c r="C121" s="4" t="s">
        <v>196</v>
      </c>
      <c r="D121" s="171"/>
    </row>
    <row r="122" hidden="1">
      <c r="A122" s="67" t="str">
        <f t="shared" si="1"/>
        <v>Mon</v>
      </c>
      <c r="B122" s="69">
        <v>42730.0</v>
      </c>
      <c r="D122" s="172">
        <v>1000.0</v>
      </c>
      <c r="E122" s="4" t="s">
        <v>517</v>
      </c>
      <c r="G122" s="4" t="s">
        <v>517</v>
      </c>
      <c r="I122" s="4" t="s">
        <v>395</v>
      </c>
      <c r="K122" s="4"/>
      <c r="L122" s="4" t="s">
        <v>293</v>
      </c>
    </row>
    <row r="123" hidden="1">
      <c r="A123" s="67" t="str">
        <f t="shared" si="1"/>
        <v>Tue</v>
      </c>
      <c r="B123" s="69">
        <v>42731.0</v>
      </c>
      <c r="D123" s="172">
        <v>1000.0</v>
      </c>
      <c r="E123" s="4" t="s">
        <v>517</v>
      </c>
      <c r="I123" s="4" t="s">
        <v>395</v>
      </c>
      <c r="K123" s="4"/>
      <c r="L123" s="4" t="s">
        <v>293</v>
      </c>
    </row>
    <row r="124" hidden="1">
      <c r="A124" s="67" t="str">
        <f t="shared" si="1"/>
        <v>Wed</v>
      </c>
      <c r="B124" s="69">
        <v>42732.0</v>
      </c>
      <c r="D124" s="172">
        <v>1000.0</v>
      </c>
      <c r="E124" s="4" t="s">
        <v>517</v>
      </c>
      <c r="I124" s="4" t="s">
        <v>395</v>
      </c>
      <c r="K124" s="4"/>
      <c r="L124" s="4" t="s">
        <v>293</v>
      </c>
    </row>
    <row r="125" hidden="1">
      <c r="A125" s="67" t="str">
        <f t="shared" si="1"/>
        <v>Thu</v>
      </c>
      <c r="B125" s="69">
        <v>42733.0</v>
      </c>
      <c r="D125" s="172">
        <v>1000.0</v>
      </c>
      <c r="E125" s="4" t="s">
        <v>517</v>
      </c>
      <c r="I125" s="4" t="s">
        <v>395</v>
      </c>
      <c r="K125" s="4"/>
      <c r="L125" s="4" t="s">
        <v>293</v>
      </c>
    </row>
    <row r="126" hidden="1">
      <c r="A126" s="67" t="str">
        <f t="shared" si="1"/>
        <v>Fri</v>
      </c>
      <c r="B126" s="69">
        <v>42734.0</v>
      </c>
      <c r="D126" s="172">
        <v>1000.0</v>
      </c>
      <c r="E126" s="4" t="s">
        <v>517</v>
      </c>
      <c r="I126" s="4" t="s">
        <v>395</v>
      </c>
      <c r="K126" s="4"/>
      <c r="L126" s="4" t="s">
        <v>293</v>
      </c>
    </row>
    <row r="127" hidden="1">
      <c r="A127" s="67" t="str">
        <f t="shared" si="1"/>
        <v>Sat</v>
      </c>
      <c r="B127" s="69">
        <v>42735.0</v>
      </c>
      <c r="C127" s="4" t="s">
        <v>518</v>
      </c>
      <c r="D127" s="172">
        <v>1000.0</v>
      </c>
      <c r="E127" s="4" t="s">
        <v>517</v>
      </c>
      <c r="I127" s="4" t="s">
        <v>395</v>
      </c>
      <c r="K127" s="4"/>
      <c r="L127" s="4" t="s">
        <v>293</v>
      </c>
    </row>
    <row r="128" hidden="1">
      <c r="A128" s="67" t="str">
        <f t="shared" si="1"/>
        <v>Sun</v>
      </c>
      <c r="B128" s="69">
        <v>42736.0</v>
      </c>
      <c r="C128" s="4" t="s">
        <v>518</v>
      </c>
      <c r="D128" s="172">
        <v>1000.0</v>
      </c>
      <c r="E128" s="4" t="s">
        <v>517</v>
      </c>
      <c r="I128" s="4" t="s">
        <v>395</v>
      </c>
      <c r="K128" s="4"/>
      <c r="L128" s="4" t="s">
        <v>293</v>
      </c>
    </row>
    <row r="129" hidden="1">
      <c r="A129" s="67" t="str">
        <f t="shared" si="1"/>
        <v>Mon</v>
      </c>
      <c r="B129" s="69">
        <v>42737.0</v>
      </c>
      <c r="D129" s="172">
        <v>1000.0</v>
      </c>
      <c r="E129" s="4" t="s">
        <v>517</v>
      </c>
      <c r="I129" s="4" t="s">
        <v>395</v>
      </c>
      <c r="K129" s="4"/>
      <c r="L129" s="4" t="s">
        <v>293</v>
      </c>
    </row>
    <row r="130" hidden="1">
      <c r="A130" s="67" t="str">
        <f t="shared" si="1"/>
        <v>Tue</v>
      </c>
      <c r="B130" s="69">
        <v>42738.0</v>
      </c>
      <c r="D130" s="172">
        <v>1000.0</v>
      </c>
      <c r="E130" s="4" t="s">
        <v>517</v>
      </c>
      <c r="I130" s="4" t="s">
        <v>395</v>
      </c>
      <c r="K130" s="4"/>
      <c r="L130" s="4" t="s">
        <v>293</v>
      </c>
    </row>
    <row r="131" hidden="1">
      <c r="A131" s="67" t="str">
        <f t="shared" si="1"/>
        <v>Wed</v>
      </c>
      <c r="B131" s="69">
        <v>42739.0</v>
      </c>
      <c r="D131" s="172">
        <v>1000.0</v>
      </c>
      <c r="E131" s="4" t="s">
        <v>517</v>
      </c>
      <c r="I131" s="4" t="s">
        <v>395</v>
      </c>
      <c r="K131" s="4"/>
      <c r="L131" s="4" t="s">
        <v>293</v>
      </c>
    </row>
    <row r="132" hidden="1">
      <c r="A132" s="67" t="str">
        <f t="shared" si="1"/>
        <v>Thu</v>
      </c>
      <c r="B132" s="69">
        <v>42740.0</v>
      </c>
      <c r="D132" s="171"/>
      <c r="H132" s="4" t="s">
        <v>517</v>
      </c>
    </row>
    <row r="133" hidden="1">
      <c r="A133" s="67" t="str">
        <f t="shared" si="1"/>
        <v>Fri</v>
      </c>
      <c r="B133" s="69">
        <v>42741.0</v>
      </c>
      <c r="D133" s="172">
        <v>436.0</v>
      </c>
      <c r="E133" s="4" t="s">
        <v>222</v>
      </c>
      <c r="F133" s="4" t="s">
        <v>519</v>
      </c>
      <c r="G133" s="4" t="s">
        <v>519</v>
      </c>
      <c r="I133" s="4" t="s">
        <v>395</v>
      </c>
      <c r="K133" s="4"/>
      <c r="L133" s="4" t="s">
        <v>293</v>
      </c>
    </row>
    <row r="134" hidden="1">
      <c r="A134" s="67" t="str">
        <f t="shared" si="1"/>
        <v>Sat</v>
      </c>
      <c r="B134" s="69">
        <v>42742.0</v>
      </c>
      <c r="D134" s="177">
        <v>804.1666666666666</v>
      </c>
      <c r="E134" s="4" t="s">
        <v>222</v>
      </c>
      <c r="F134" s="4" t="s">
        <v>521</v>
      </c>
      <c r="G134" s="4" t="s">
        <v>521</v>
      </c>
      <c r="H134" s="4" t="s">
        <v>519</v>
      </c>
      <c r="I134" s="4" t="s">
        <v>395</v>
      </c>
      <c r="J134" s="4" t="s">
        <v>522</v>
      </c>
      <c r="K134" s="4"/>
      <c r="L134" s="4" t="s">
        <v>293</v>
      </c>
    </row>
    <row r="135" hidden="1">
      <c r="A135" s="67" t="str">
        <f t="shared" si="1"/>
        <v>Sun</v>
      </c>
      <c r="B135" s="69">
        <v>42743.0</v>
      </c>
      <c r="D135" s="177">
        <v>804.1666666666666</v>
      </c>
      <c r="E135" s="4" t="s">
        <v>222</v>
      </c>
      <c r="F135" s="4" t="s">
        <v>521</v>
      </c>
      <c r="I135" s="4" t="s">
        <v>395</v>
      </c>
      <c r="J135" s="4" t="s">
        <v>522</v>
      </c>
      <c r="K135" s="4"/>
      <c r="L135" s="4" t="s">
        <v>293</v>
      </c>
    </row>
    <row r="136" hidden="1">
      <c r="A136" s="67" t="str">
        <f t="shared" si="1"/>
        <v>Mon</v>
      </c>
      <c r="B136" s="69">
        <v>42744.0</v>
      </c>
      <c r="D136" s="177">
        <v>804.1666666666666</v>
      </c>
      <c r="E136" s="4" t="s">
        <v>222</v>
      </c>
      <c r="F136" s="4" t="s">
        <v>521</v>
      </c>
      <c r="I136" s="4" t="s">
        <v>395</v>
      </c>
      <c r="J136" s="4" t="s">
        <v>522</v>
      </c>
      <c r="K136" s="4"/>
      <c r="L136" s="4" t="s">
        <v>293</v>
      </c>
    </row>
    <row r="137" hidden="1">
      <c r="A137" s="67" t="str">
        <f t="shared" si="1"/>
        <v>Tue</v>
      </c>
      <c r="B137" s="69">
        <v>42745.0</v>
      </c>
      <c r="D137" s="177">
        <v>804.1666666666666</v>
      </c>
      <c r="E137" s="4" t="s">
        <v>222</v>
      </c>
      <c r="F137" s="4" t="s">
        <v>521</v>
      </c>
      <c r="I137" s="4" t="s">
        <v>395</v>
      </c>
      <c r="J137" s="4" t="s">
        <v>522</v>
      </c>
      <c r="K137" s="4"/>
      <c r="L137" s="4" t="s">
        <v>293</v>
      </c>
    </row>
    <row r="138" hidden="1">
      <c r="A138" s="67" t="str">
        <f t="shared" si="1"/>
        <v>Wed</v>
      </c>
      <c r="B138" s="69">
        <v>42746.0</v>
      </c>
      <c r="D138" s="177">
        <v>804.1666666666666</v>
      </c>
      <c r="E138" s="4" t="s">
        <v>222</v>
      </c>
      <c r="F138" s="4" t="s">
        <v>521</v>
      </c>
      <c r="I138" s="4" t="s">
        <v>395</v>
      </c>
      <c r="J138" s="4" t="s">
        <v>522</v>
      </c>
      <c r="K138" s="4"/>
      <c r="L138" s="4" t="s">
        <v>293</v>
      </c>
    </row>
    <row r="139" hidden="1">
      <c r="A139" s="67" t="str">
        <f t="shared" si="1"/>
        <v>Thu</v>
      </c>
      <c r="B139" s="69">
        <v>42747.0</v>
      </c>
      <c r="D139" s="177">
        <v>804.1666666666666</v>
      </c>
      <c r="E139" s="4" t="s">
        <v>222</v>
      </c>
      <c r="F139" s="4" t="s">
        <v>521</v>
      </c>
      <c r="I139" s="4" t="s">
        <v>395</v>
      </c>
      <c r="J139" s="4" t="s">
        <v>522</v>
      </c>
      <c r="K139" s="4"/>
      <c r="L139" s="4" t="s">
        <v>293</v>
      </c>
    </row>
    <row r="140" hidden="1">
      <c r="A140" s="67" t="str">
        <f t="shared" si="1"/>
        <v>Fri</v>
      </c>
      <c r="B140" s="69">
        <v>42748.0</v>
      </c>
      <c r="D140" s="176">
        <v>728.0</v>
      </c>
      <c r="E140" s="4" t="s">
        <v>222</v>
      </c>
      <c r="F140" s="4" t="s">
        <v>523</v>
      </c>
      <c r="G140" s="4" t="s">
        <v>523</v>
      </c>
      <c r="H140" s="4" t="s">
        <v>521</v>
      </c>
      <c r="I140" s="4" t="s">
        <v>395</v>
      </c>
      <c r="K140" s="4"/>
      <c r="L140" s="4" t="s">
        <v>293</v>
      </c>
    </row>
    <row r="141" hidden="1">
      <c r="A141" s="67" t="str">
        <f t="shared" si="1"/>
        <v>Sat</v>
      </c>
      <c r="B141" s="69">
        <v>42749.0</v>
      </c>
      <c r="D141" s="176">
        <v>728.0</v>
      </c>
      <c r="E141" s="4" t="s">
        <v>222</v>
      </c>
      <c r="F141" s="4" t="s">
        <v>523</v>
      </c>
      <c r="I141" s="4" t="s">
        <v>395</v>
      </c>
      <c r="K141" s="4"/>
      <c r="L141" s="4" t="s">
        <v>293</v>
      </c>
    </row>
    <row r="142" hidden="1">
      <c r="A142" s="67" t="str">
        <f t="shared" si="1"/>
        <v>Sun</v>
      </c>
      <c r="B142" s="69">
        <v>42750.0</v>
      </c>
      <c r="D142" s="171"/>
      <c r="H142" s="4" t="s">
        <v>523</v>
      </c>
    </row>
    <row r="143" hidden="1">
      <c r="A143" s="67" t="str">
        <f t="shared" si="1"/>
        <v>Mon</v>
      </c>
      <c r="B143" s="69">
        <v>42751.0</v>
      </c>
      <c r="D143" s="175">
        <v>788.1666666666666</v>
      </c>
      <c r="E143" s="4" t="s">
        <v>222</v>
      </c>
      <c r="F143" s="4" t="s">
        <v>526</v>
      </c>
      <c r="G143" s="4" t="s">
        <v>526</v>
      </c>
      <c r="I143" s="4" t="s">
        <v>395</v>
      </c>
      <c r="K143" s="4"/>
      <c r="L143" s="4" t="s">
        <v>293</v>
      </c>
    </row>
    <row r="144" hidden="1">
      <c r="A144" s="67" t="str">
        <f t="shared" si="1"/>
        <v>Tue</v>
      </c>
      <c r="B144" s="69">
        <v>42752.0</v>
      </c>
      <c r="D144" s="175">
        <v>788.1666666666666</v>
      </c>
      <c r="E144" s="4" t="s">
        <v>222</v>
      </c>
      <c r="F144" s="4" t="s">
        <v>526</v>
      </c>
      <c r="I144" s="4" t="s">
        <v>395</v>
      </c>
      <c r="K144" s="4"/>
      <c r="L144" s="4" t="s">
        <v>293</v>
      </c>
    </row>
    <row r="145" hidden="1">
      <c r="A145" s="67" t="str">
        <f t="shared" si="1"/>
        <v>Wed</v>
      </c>
      <c r="B145" s="69">
        <v>42753.0</v>
      </c>
      <c r="D145" s="175">
        <v>788.1666666666666</v>
      </c>
      <c r="E145" s="4" t="s">
        <v>222</v>
      </c>
      <c r="F145" s="4" t="s">
        <v>526</v>
      </c>
      <c r="I145" s="4" t="s">
        <v>395</v>
      </c>
      <c r="K145" s="4"/>
      <c r="L145" s="4" t="s">
        <v>293</v>
      </c>
    </row>
    <row r="146" hidden="1">
      <c r="A146" s="67" t="str">
        <f t="shared" si="1"/>
        <v>Thu</v>
      </c>
      <c r="B146" s="69">
        <v>42754.0</v>
      </c>
      <c r="D146" s="175">
        <v>788.1666666666666</v>
      </c>
      <c r="E146" s="4" t="s">
        <v>222</v>
      </c>
      <c r="F146" s="4" t="s">
        <v>526</v>
      </c>
      <c r="I146" s="4" t="s">
        <v>395</v>
      </c>
      <c r="K146" s="4"/>
      <c r="L146" s="4" t="s">
        <v>293</v>
      </c>
    </row>
    <row r="147" hidden="1">
      <c r="A147" s="67" t="str">
        <f t="shared" si="1"/>
        <v>Fri</v>
      </c>
      <c r="B147" s="69">
        <v>42755.0</v>
      </c>
      <c r="D147" s="175">
        <v>788.1666666666666</v>
      </c>
      <c r="E147" s="4" t="s">
        <v>222</v>
      </c>
      <c r="F147" s="4" t="s">
        <v>526</v>
      </c>
      <c r="I147" s="4" t="s">
        <v>395</v>
      </c>
      <c r="K147" s="4"/>
      <c r="L147" s="4" t="s">
        <v>293</v>
      </c>
    </row>
    <row r="148" hidden="1">
      <c r="A148" s="67" t="str">
        <f t="shared" si="1"/>
        <v>Sat</v>
      </c>
      <c r="B148" s="69">
        <v>42756.0</v>
      </c>
      <c r="D148" s="175">
        <v>788.1666666666666</v>
      </c>
      <c r="E148" s="4" t="s">
        <v>222</v>
      </c>
      <c r="F148" s="4" t="s">
        <v>526</v>
      </c>
      <c r="I148" s="4" t="s">
        <v>395</v>
      </c>
      <c r="K148" s="4"/>
      <c r="L148" s="4" t="s">
        <v>293</v>
      </c>
    </row>
    <row r="149" hidden="1">
      <c r="A149" s="67" t="str">
        <f t="shared" si="1"/>
        <v>Sun</v>
      </c>
      <c r="B149" s="69">
        <v>42757.0</v>
      </c>
      <c r="D149" s="172">
        <v>727.0</v>
      </c>
      <c r="E149" s="4" t="s">
        <v>222</v>
      </c>
      <c r="F149" s="4" t="s">
        <v>533</v>
      </c>
      <c r="G149" s="4" t="s">
        <v>533</v>
      </c>
      <c r="H149" s="4" t="s">
        <v>526</v>
      </c>
      <c r="I149" s="4" t="s">
        <v>503</v>
      </c>
      <c r="K149" s="4"/>
      <c r="L149" s="4" t="s">
        <v>293</v>
      </c>
    </row>
    <row r="150" hidden="1">
      <c r="A150" s="67" t="str">
        <f t="shared" si="1"/>
        <v>Mon</v>
      </c>
      <c r="B150" s="69">
        <v>42758.0</v>
      </c>
      <c r="D150" s="172">
        <v>727.0</v>
      </c>
      <c r="E150" s="4" t="s">
        <v>222</v>
      </c>
      <c r="F150" s="4" t="s">
        <v>533</v>
      </c>
      <c r="I150" s="4" t="s">
        <v>503</v>
      </c>
      <c r="K150" s="4"/>
      <c r="L150" s="4" t="s">
        <v>293</v>
      </c>
    </row>
    <row r="151" hidden="1">
      <c r="A151" s="67" t="str">
        <f t="shared" si="1"/>
        <v>Tue</v>
      </c>
      <c r="B151" s="69">
        <v>42759.0</v>
      </c>
      <c r="D151" s="172">
        <v>727.0</v>
      </c>
      <c r="E151" s="4" t="s">
        <v>222</v>
      </c>
      <c r="F151" s="4" t="s">
        <v>533</v>
      </c>
      <c r="I151" s="4" t="s">
        <v>503</v>
      </c>
      <c r="K151" s="4"/>
      <c r="L151" s="4" t="s">
        <v>293</v>
      </c>
    </row>
    <row r="152" hidden="1">
      <c r="A152" s="67" t="str">
        <f t="shared" si="1"/>
        <v>Wed</v>
      </c>
      <c r="B152" s="69">
        <v>42760.0</v>
      </c>
      <c r="D152" s="172">
        <v>727.0</v>
      </c>
      <c r="E152" s="4" t="s">
        <v>222</v>
      </c>
      <c r="F152" s="4" t="s">
        <v>533</v>
      </c>
      <c r="I152" s="4" t="s">
        <v>503</v>
      </c>
      <c r="K152" s="4"/>
      <c r="L152" s="4" t="s">
        <v>293</v>
      </c>
    </row>
    <row r="153" hidden="1">
      <c r="A153" s="67" t="str">
        <f t="shared" si="1"/>
        <v>Thu</v>
      </c>
      <c r="B153" s="69">
        <v>42761.0</v>
      </c>
      <c r="D153" s="172">
        <v>727.0</v>
      </c>
      <c r="E153" s="4" t="s">
        <v>222</v>
      </c>
      <c r="F153" s="4" t="s">
        <v>533</v>
      </c>
      <c r="I153" s="4" t="s">
        <v>503</v>
      </c>
      <c r="K153" s="4"/>
      <c r="L153" s="4" t="s">
        <v>293</v>
      </c>
    </row>
    <row r="154" hidden="1">
      <c r="A154" s="67" t="str">
        <f t="shared" si="1"/>
        <v>Fri</v>
      </c>
      <c r="B154" s="69">
        <v>42762.0</v>
      </c>
      <c r="D154" s="176">
        <v>728.0</v>
      </c>
      <c r="E154" s="4" t="s">
        <v>222</v>
      </c>
      <c r="F154" s="4" t="s">
        <v>540</v>
      </c>
      <c r="H154" s="4" t="s">
        <v>533</v>
      </c>
      <c r="I154" s="4" t="s">
        <v>395</v>
      </c>
      <c r="K154" s="4"/>
      <c r="L154" s="4" t="s">
        <v>293</v>
      </c>
    </row>
    <row r="155" hidden="1">
      <c r="A155" s="67" t="str">
        <f t="shared" si="1"/>
        <v>Sat</v>
      </c>
      <c r="B155" s="69">
        <v>42763.0</v>
      </c>
      <c r="D155" s="176">
        <v>728.0</v>
      </c>
      <c r="E155" s="4" t="s">
        <v>222</v>
      </c>
      <c r="F155" s="4" t="s">
        <v>540</v>
      </c>
      <c r="I155" s="4" t="s">
        <v>395</v>
      </c>
      <c r="K155" s="4"/>
      <c r="L155" s="4" t="s">
        <v>293</v>
      </c>
    </row>
    <row r="156" hidden="1">
      <c r="A156" s="67" t="str">
        <f t="shared" si="1"/>
        <v>Sun</v>
      </c>
      <c r="B156" s="69">
        <v>42764.0</v>
      </c>
      <c r="D156" s="176">
        <v>486.0</v>
      </c>
      <c r="E156" s="4" t="s">
        <v>222</v>
      </c>
      <c r="F156" s="4" t="s">
        <v>543</v>
      </c>
      <c r="G156" s="4" t="s">
        <v>543</v>
      </c>
      <c r="H156" s="4" t="s">
        <v>540</v>
      </c>
      <c r="I156" s="4" t="s">
        <v>395</v>
      </c>
      <c r="K156" s="4"/>
      <c r="L156" s="4" t="s">
        <v>293</v>
      </c>
    </row>
    <row r="157" hidden="1">
      <c r="A157" s="67" t="str">
        <f t="shared" si="1"/>
        <v>Mon</v>
      </c>
      <c r="B157" s="69">
        <v>42765.0</v>
      </c>
      <c r="D157" s="176">
        <v>486.0</v>
      </c>
      <c r="E157" s="4" t="s">
        <v>222</v>
      </c>
      <c r="F157" s="4" t="s">
        <v>543</v>
      </c>
      <c r="I157" s="4" t="s">
        <v>395</v>
      </c>
      <c r="K157" s="4"/>
      <c r="L157" s="4" t="s">
        <v>293</v>
      </c>
    </row>
    <row r="158" hidden="1">
      <c r="A158" s="67" t="str">
        <f t="shared" si="1"/>
        <v>Tue</v>
      </c>
      <c r="B158" s="69">
        <v>42766.0</v>
      </c>
      <c r="D158" s="175">
        <v>500.6666666666667</v>
      </c>
      <c r="E158" s="4" t="s">
        <v>222</v>
      </c>
      <c r="F158" s="4" t="s">
        <v>546</v>
      </c>
      <c r="G158" s="4" t="s">
        <v>546</v>
      </c>
      <c r="H158" s="4" t="s">
        <v>543</v>
      </c>
      <c r="I158" s="4" t="s">
        <v>503</v>
      </c>
      <c r="K158" s="4"/>
      <c r="L158" s="4" t="s">
        <v>293</v>
      </c>
    </row>
    <row r="159" hidden="1">
      <c r="A159" s="67" t="str">
        <f t="shared" si="1"/>
        <v>Wed</v>
      </c>
      <c r="B159" s="69">
        <v>42767.0</v>
      </c>
      <c r="D159" s="175">
        <v>500.6666666666667</v>
      </c>
      <c r="E159" s="4" t="s">
        <v>222</v>
      </c>
      <c r="F159" s="4" t="s">
        <v>546</v>
      </c>
      <c r="I159" s="4" t="s">
        <v>503</v>
      </c>
      <c r="K159" s="4"/>
      <c r="L159" s="4" t="s">
        <v>293</v>
      </c>
    </row>
    <row r="160" hidden="1">
      <c r="A160" s="67" t="str">
        <f t="shared" si="1"/>
        <v>Thu</v>
      </c>
      <c r="B160" s="69">
        <v>42768.0</v>
      </c>
      <c r="D160" s="175">
        <v>500.6666666666667</v>
      </c>
      <c r="E160" s="4" t="s">
        <v>222</v>
      </c>
      <c r="F160" s="4" t="s">
        <v>546</v>
      </c>
      <c r="I160" s="4" t="s">
        <v>503</v>
      </c>
      <c r="K160" s="4"/>
      <c r="L160" s="4" t="s">
        <v>293</v>
      </c>
    </row>
    <row r="161" hidden="1">
      <c r="A161" s="67" t="str">
        <f t="shared" si="1"/>
        <v>Fri</v>
      </c>
      <c r="B161" s="69">
        <v>42769.0</v>
      </c>
      <c r="D161" s="176">
        <v>545.0</v>
      </c>
      <c r="E161" s="4" t="s">
        <v>222</v>
      </c>
      <c r="F161" s="4" t="s">
        <v>555</v>
      </c>
      <c r="G161" s="4" t="s">
        <v>555</v>
      </c>
      <c r="H161" s="4" t="s">
        <v>546</v>
      </c>
      <c r="I161" s="4" t="s">
        <v>395</v>
      </c>
      <c r="J161" s="4" t="s">
        <v>556</v>
      </c>
      <c r="K161" s="4"/>
      <c r="L161" s="4" t="s">
        <v>293</v>
      </c>
    </row>
    <row r="162" hidden="1">
      <c r="A162" s="67" t="str">
        <f t="shared" si="1"/>
        <v>Sat</v>
      </c>
      <c r="B162" s="69">
        <v>42770.0</v>
      </c>
      <c r="D162" s="176">
        <v>545.0</v>
      </c>
      <c r="E162" s="4" t="s">
        <v>222</v>
      </c>
      <c r="F162" s="4" t="s">
        <v>555</v>
      </c>
      <c r="I162" s="4" t="s">
        <v>395</v>
      </c>
      <c r="J162" s="4" t="s">
        <v>556</v>
      </c>
      <c r="K162" s="4"/>
      <c r="L162" s="4" t="s">
        <v>293</v>
      </c>
    </row>
    <row r="163" hidden="1">
      <c r="A163" s="67" t="str">
        <f t="shared" si="1"/>
        <v>Sun</v>
      </c>
      <c r="B163" s="69">
        <v>42771.0</v>
      </c>
      <c r="D163" s="171"/>
      <c r="E163" s="4" t="s">
        <v>222</v>
      </c>
      <c r="K163" s="4"/>
      <c r="L163" s="4" t="s">
        <v>293</v>
      </c>
    </row>
    <row r="164" hidden="1">
      <c r="A164" s="67" t="str">
        <f t="shared" si="1"/>
        <v>Mon</v>
      </c>
      <c r="B164" s="69">
        <v>42772.0</v>
      </c>
      <c r="D164" s="176">
        <v>727.6</v>
      </c>
      <c r="E164" s="4" t="s">
        <v>222</v>
      </c>
      <c r="F164" s="4" t="s">
        <v>558</v>
      </c>
      <c r="G164" s="4" t="s">
        <v>558</v>
      </c>
      <c r="H164" s="4" t="s">
        <v>555</v>
      </c>
      <c r="I164" s="4" t="s">
        <v>395</v>
      </c>
      <c r="K164" s="4"/>
      <c r="L164" s="4" t="s">
        <v>293</v>
      </c>
    </row>
    <row r="165" hidden="1">
      <c r="A165" s="67" t="str">
        <f t="shared" si="1"/>
        <v>Tue</v>
      </c>
      <c r="B165" s="69">
        <v>42773.0</v>
      </c>
      <c r="D165" s="176">
        <v>727.6</v>
      </c>
      <c r="E165" s="4" t="s">
        <v>222</v>
      </c>
      <c r="F165" s="4" t="s">
        <v>558</v>
      </c>
      <c r="I165" s="4" t="s">
        <v>395</v>
      </c>
      <c r="K165" s="4"/>
      <c r="L165" s="4" t="s">
        <v>293</v>
      </c>
    </row>
    <row r="166" hidden="1">
      <c r="A166" s="67" t="str">
        <f t="shared" si="1"/>
        <v>Wed</v>
      </c>
      <c r="B166" s="69">
        <v>42774.0</v>
      </c>
      <c r="D166" s="176">
        <v>727.6</v>
      </c>
      <c r="E166" s="4" t="s">
        <v>222</v>
      </c>
      <c r="F166" s="4" t="s">
        <v>558</v>
      </c>
      <c r="I166" s="4" t="s">
        <v>395</v>
      </c>
      <c r="K166" s="4"/>
      <c r="L166" s="4" t="s">
        <v>293</v>
      </c>
    </row>
    <row r="167" hidden="1">
      <c r="A167" s="67" t="str">
        <f t="shared" si="1"/>
        <v>Thu</v>
      </c>
      <c r="B167" s="69">
        <v>42775.0</v>
      </c>
      <c r="D167" s="176">
        <v>727.6</v>
      </c>
      <c r="E167" s="4" t="s">
        <v>222</v>
      </c>
      <c r="F167" s="4" t="s">
        <v>558</v>
      </c>
      <c r="I167" s="4" t="s">
        <v>395</v>
      </c>
      <c r="K167" s="4"/>
      <c r="L167" s="4" t="s">
        <v>293</v>
      </c>
    </row>
    <row r="168" hidden="1">
      <c r="A168" s="67" t="str">
        <f t="shared" si="1"/>
        <v>Fri</v>
      </c>
      <c r="B168" s="69">
        <v>42776.0</v>
      </c>
      <c r="D168" s="176">
        <v>727.6</v>
      </c>
      <c r="E168" s="4" t="s">
        <v>222</v>
      </c>
      <c r="F168" s="4" t="s">
        <v>558</v>
      </c>
      <c r="I168" s="4" t="s">
        <v>395</v>
      </c>
      <c r="K168" s="4"/>
      <c r="L168" s="4" t="s">
        <v>293</v>
      </c>
    </row>
    <row r="169" hidden="1">
      <c r="A169" s="67" t="str">
        <f t="shared" si="1"/>
        <v>Sat</v>
      </c>
      <c r="B169" s="69">
        <v>42777.0</v>
      </c>
      <c r="D169" s="176">
        <v>727.6</v>
      </c>
      <c r="E169" s="4" t="s">
        <v>222</v>
      </c>
      <c r="F169" s="4" t="s">
        <v>558</v>
      </c>
      <c r="I169" s="4" t="s">
        <v>395</v>
      </c>
      <c r="K169" s="4"/>
      <c r="L169" s="4" t="s">
        <v>293</v>
      </c>
    </row>
    <row r="170" hidden="1">
      <c r="A170" s="67" t="str">
        <f t="shared" si="1"/>
        <v>Sun</v>
      </c>
      <c r="B170" s="69">
        <v>42778.0</v>
      </c>
      <c r="D170" s="176">
        <v>727.6</v>
      </c>
      <c r="E170" s="4" t="s">
        <v>222</v>
      </c>
      <c r="F170" s="4" t="s">
        <v>558</v>
      </c>
      <c r="I170" s="4" t="s">
        <v>395</v>
      </c>
      <c r="K170" s="4"/>
      <c r="L170" s="4" t="s">
        <v>293</v>
      </c>
    </row>
    <row r="171" hidden="1">
      <c r="A171" s="67" t="str">
        <f t="shared" si="1"/>
        <v>Mon</v>
      </c>
      <c r="B171" s="69">
        <v>42779.0</v>
      </c>
      <c r="D171" s="176">
        <v>727.6</v>
      </c>
      <c r="E171" s="4" t="s">
        <v>222</v>
      </c>
      <c r="F171" s="4" t="s">
        <v>558</v>
      </c>
      <c r="I171" s="4" t="s">
        <v>395</v>
      </c>
      <c r="K171" s="4"/>
      <c r="L171" s="4" t="s">
        <v>293</v>
      </c>
    </row>
    <row r="172" hidden="1">
      <c r="A172" s="67" t="str">
        <f t="shared" si="1"/>
        <v>Tue</v>
      </c>
      <c r="B172" s="69">
        <v>42780.0</v>
      </c>
      <c r="D172" s="176">
        <v>727.6</v>
      </c>
      <c r="E172" s="4" t="s">
        <v>222</v>
      </c>
      <c r="F172" s="4" t="s">
        <v>558</v>
      </c>
      <c r="I172" s="4" t="s">
        <v>395</v>
      </c>
      <c r="K172" s="4"/>
      <c r="L172" s="4" t="s">
        <v>293</v>
      </c>
    </row>
    <row r="173" hidden="1">
      <c r="A173" s="67" t="str">
        <f t="shared" si="1"/>
        <v>Wed</v>
      </c>
      <c r="B173" s="69">
        <v>42781.0</v>
      </c>
      <c r="D173" s="176">
        <v>727.6</v>
      </c>
      <c r="E173" s="4" t="s">
        <v>222</v>
      </c>
      <c r="F173" s="4" t="s">
        <v>558</v>
      </c>
      <c r="I173" s="4" t="s">
        <v>395</v>
      </c>
      <c r="K173" s="4"/>
      <c r="L173" s="4" t="s">
        <v>293</v>
      </c>
    </row>
    <row r="174" hidden="1">
      <c r="A174" s="67" t="str">
        <f t="shared" si="1"/>
        <v>Thu</v>
      </c>
      <c r="B174" s="69">
        <v>42782.0</v>
      </c>
      <c r="D174" s="172">
        <v>700.0</v>
      </c>
      <c r="E174" s="4" t="s">
        <v>222</v>
      </c>
      <c r="F174" s="4" t="s">
        <v>566</v>
      </c>
      <c r="G174" s="4" t="s">
        <v>566</v>
      </c>
      <c r="H174" s="4" t="s">
        <v>558</v>
      </c>
      <c r="I174" s="4" t="s">
        <v>503</v>
      </c>
    </row>
    <row r="175" hidden="1">
      <c r="A175" s="67" t="str">
        <f t="shared" si="1"/>
        <v>Fri</v>
      </c>
      <c r="B175" s="69">
        <v>42783.0</v>
      </c>
      <c r="D175" s="172">
        <v>700.0</v>
      </c>
      <c r="E175" s="4" t="s">
        <v>222</v>
      </c>
      <c r="F175" s="4" t="s">
        <v>566</v>
      </c>
      <c r="I175" s="4" t="s">
        <v>503</v>
      </c>
    </row>
    <row r="176" hidden="1">
      <c r="A176" s="67" t="str">
        <f t="shared" si="1"/>
        <v>Sat</v>
      </c>
      <c r="B176" s="69">
        <v>42784.0</v>
      </c>
      <c r="D176" s="172">
        <v>700.0</v>
      </c>
      <c r="E176" s="4" t="s">
        <v>222</v>
      </c>
      <c r="F176" s="4" t="s">
        <v>566</v>
      </c>
      <c r="I176" s="4" t="s">
        <v>503</v>
      </c>
    </row>
    <row r="177" hidden="1">
      <c r="A177" s="67" t="str">
        <f t="shared" si="1"/>
        <v>Sun</v>
      </c>
      <c r="B177" s="69">
        <v>42785.0</v>
      </c>
      <c r="D177" s="172">
        <v>700.0</v>
      </c>
      <c r="E177" s="4" t="s">
        <v>222</v>
      </c>
      <c r="F177" s="4" t="s">
        <v>566</v>
      </c>
      <c r="I177" s="4" t="s">
        <v>503</v>
      </c>
    </row>
    <row r="178" hidden="1">
      <c r="A178" s="67" t="str">
        <f t="shared" si="1"/>
        <v>Mon</v>
      </c>
      <c r="B178" s="69">
        <v>42786.0</v>
      </c>
      <c r="D178" s="171"/>
      <c r="H178" s="4" t="s">
        <v>566</v>
      </c>
    </row>
    <row r="179" hidden="1">
      <c r="A179" s="67" t="str">
        <f t="shared" si="1"/>
        <v>Tue</v>
      </c>
      <c r="B179" s="69">
        <v>42787.0</v>
      </c>
      <c r="D179" s="171"/>
    </row>
    <row r="180" hidden="1">
      <c r="A180" s="67" t="str">
        <f t="shared" si="1"/>
        <v>Wed</v>
      </c>
      <c r="B180" s="69">
        <v>42788.0</v>
      </c>
      <c r="D180" s="171"/>
    </row>
    <row r="181" hidden="1">
      <c r="A181" s="67" t="str">
        <f t="shared" si="1"/>
        <v>Thu</v>
      </c>
      <c r="B181" s="69">
        <v>42789.0</v>
      </c>
      <c r="D181" s="171"/>
    </row>
    <row r="182" hidden="1">
      <c r="A182" s="67" t="str">
        <f t="shared" si="1"/>
        <v>Fri</v>
      </c>
      <c r="B182" s="69">
        <v>42790.0</v>
      </c>
      <c r="C182" s="4" t="s">
        <v>572</v>
      </c>
      <c r="D182" s="171"/>
    </row>
    <row r="183" hidden="1">
      <c r="A183" s="67" t="str">
        <f t="shared" si="1"/>
        <v>Sat</v>
      </c>
      <c r="B183" s="69">
        <v>42791.0</v>
      </c>
      <c r="C183" s="4" t="s">
        <v>572</v>
      </c>
      <c r="D183" s="176">
        <v>945.75</v>
      </c>
      <c r="E183" s="4" t="s">
        <v>222</v>
      </c>
      <c r="F183" s="4" t="s">
        <v>573</v>
      </c>
      <c r="G183" s="4" t="s">
        <v>573</v>
      </c>
      <c r="I183" s="4" t="s">
        <v>395</v>
      </c>
      <c r="K183" s="4"/>
      <c r="L183" s="4" t="s">
        <v>293</v>
      </c>
    </row>
    <row r="184" hidden="1">
      <c r="A184" s="67" t="str">
        <f t="shared" si="1"/>
        <v>Sun</v>
      </c>
      <c r="B184" s="69">
        <v>42792.0</v>
      </c>
      <c r="C184" s="4" t="s">
        <v>572</v>
      </c>
      <c r="D184" s="176">
        <v>945.75</v>
      </c>
      <c r="E184" s="4" t="s">
        <v>222</v>
      </c>
      <c r="F184" s="4" t="s">
        <v>573</v>
      </c>
      <c r="I184" s="4" t="s">
        <v>395</v>
      </c>
      <c r="K184" s="4"/>
      <c r="L184" s="4" t="s">
        <v>293</v>
      </c>
    </row>
    <row r="185" hidden="1">
      <c r="A185" s="67" t="str">
        <f t="shared" si="1"/>
        <v>Mon</v>
      </c>
      <c r="B185" s="69">
        <v>42793.0</v>
      </c>
      <c r="C185" s="4" t="s">
        <v>572</v>
      </c>
      <c r="D185" s="176">
        <v>945.75</v>
      </c>
      <c r="E185" s="4" t="s">
        <v>222</v>
      </c>
      <c r="F185" s="4" t="s">
        <v>573</v>
      </c>
      <c r="I185" s="4" t="s">
        <v>395</v>
      </c>
      <c r="K185" s="4"/>
      <c r="L185" s="4" t="s">
        <v>293</v>
      </c>
    </row>
    <row r="186" hidden="1">
      <c r="A186" s="67" t="str">
        <f t="shared" si="1"/>
        <v>Tue</v>
      </c>
      <c r="B186" s="69">
        <v>42794.0</v>
      </c>
      <c r="C186" s="4" t="s">
        <v>572</v>
      </c>
      <c r="D186" s="176">
        <v>945.75</v>
      </c>
      <c r="E186" s="4" t="s">
        <v>222</v>
      </c>
      <c r="F186" s="4" t="s">
        <v>573</v>
      </c>
      <c r="I186" s="4" t="s">
        <v>395</v>
      </c>
      <c r="K186" s="4"/>
      <c r="L186" s="4" t="s">
        <v>293</v>
      </c>
    </row>
    <row r="187" hidden="1">
      <c r="A187" s="67" t="str">
        <f t="shared" si="1"/>
        <v>Wed</v>
      </c>
      <c r="B187" s="69">
        <v>42795.0</v>
      </c>
      <c r="C187" s="4" t="s">
        <v>572</v>
      </c>
      <c r="D187" s="180"/>
      <c r="H187" s="4" t="s">
        <v>573</v>
      </c>
      <c r="I187" s="4" t="s">
        <v>395</v>
      </c>
    </row>
    <row r="188" hidden="1">
      <c r="A188" s="67" t="str">
        <f t="shared" si="1"/>
        <v>Thu</v>
      </c>
      <c r="B188" s="69">
        <v>42796.0</v>
      </c>
      <c r="D188" s="181"/>
    </row>
    <row r="189" hidden="1">
      <c r="A189" s="67" t="str">
        <f t="shared" si="1"/>
        <v>Fri</v>
      </c>
      <c r="B189" s="69">
        <v>42797.0</v>
      </c>
      <c r="D189" s="181"/>
    </row>
    <row r="190" hidden="1">
      <c r="A190" s="67" t="str">
        <f t="shared" si="1"/>
        <v>Sat</v>
      </c>
      <c r="B190" s="69">
        <v>42798.0</v>
      </c>
      <c r="D190" s="181"/>
    </row>
    <row r="191" hidden="1">
      <c r="A191" s="67" t="str">
        <f t="shared" si="1"/>
        <v>Sun</v>
      </c>
      <c r="B191" s="69">
        <v>42799.0</v>
      </c>
      <c r="D191" s="181"/>
    </row>
    <row r="192" hidden="1">
      <c r="A192" s="67" t="str">
        <f t="shared" si="1"/>
        <v>Mon</v>
      </c>
      <c r="B192" s="69">
        <v>42800.0</v>
      </c>
      <c r="D192" s="181"/>
    </row>
    <row r="193" hidden="1">
      <c r="A193" s="67" t="str">
        <f t="shared" si="1"/>
        <v>Tue</v>
      </c>
      <c r="B193" s="69">
        <v>42801.0</v>
      </c>
      <c r="D193" s="181"/>
    </row>
    <row r="194" hidden="1">
      <c r="A194" s="67" t="str">
        <f t="shared" si="1"/>
        <v>Wed</v>
      </c>
      <c r="B194" s="69">
        <v>42802.0</v>
      </c>
      <c r="D194" s="181"/>
    </row>
    <row r="195" hidden="1">
      <c r="A195" s="67" t="str">
        <f t="shared" si="1"/>
        <v>Thu</v>
      </c>
      <c r="B195" s="69">
        <v>42803.0</v>
      </c>
      <c r="D195" s="181"/>
    </row>
    <row r="196" hidden="1">
      <c r="A196" s="67" t="str">
        <f t="shared" si="1"/>
        <v>Fri</v>
      </c>
      <c r="B196" s="69">
        <v>42804.0</v>
      </c>
      <c r="D196" s="181"/>
    </row>
    <row r="197" hidden="1">
      <c r="A197" s="67" t="str">
        <f t="shared" si="1"/>
        <v>Sat</v>
      </c>
      <c r="B197" s="69">
        <v>42805.0</v>
      </c>
      <c r="D197" s="181"/>
    </row>
    <row r="198" hidden="1">
      <c r="A198" s="67" t="str">
        <f t="shared" si="1"/>
        <v>Sun</v>
      </c>
      <c r="B198" s="69">
        <v>42806.0</v>
      </c>
      <c r="D198" s="181"/>
    </row>
    <row r="199" hidden="1">
      <c r="A199" s="67" t="str">
        <f t="shared" si="1"/>
        <v>Mon</v>
      </c>
      <c r="B199" s="69">
        <v>42807.0</v>
      </c>
      <c r="D199" s="181"/>
    </row>
    <row r="200" hidden="1">
      <c r="A200" s="67" t="str">
        <f t="shared" si="1"/>
        <v>Tue</v>
      </c>
      <c r="B200" s="69">
        <v>42808.0</v>
      </c>
      <c r="D200" s="181"/>
    </row>
    <row r="201" hidden="1">
      <c r="A201" s="67" t="str">
        <f t="shared" si="1"/>
        <v>Wed</v>
      </c>
      <c r="B201" s="69">
        <v>42809.0</v>
      </c>
      <c r="D201" s="181"/>
    </row>
    <row r="202" hidden="1">
      <c r="A202" s="67" t="str">
        <f t="shared" si="1"/>
        <v>Thu</v>
      </c>
      <c r="B202" s="69">
        <v>42810.0</v>
      </c>
      <c r="D202" s="181"/>
    </row>
    <row r="203" hidden="1">
      <c r="A203" s="67" t="str">
        <f t="shared" si="1"/>
        <v>Fri</v>
      </c>
      <c r="B203" s="69">
        <v>42811.0</v>
      </c>
      <c r="D203" s="176">
        <v>889.0</v>
      </c>
      <c r="E203" s="4" t="s">
        <v>222</v>
      </c>
      <c r="F203" s="4" t="s">
        <v>588</v>
      </c>
      <c r="G203" s="4" t="s">
        <v>588</v>
      </c>
      <c r="I203" s="4" t="s">
        <v>395</v>
      </c>
      <c r="K203" s="4"/>
      <c r="L203" s="4" t="s">
        <v>293</v>
      </c>
    </row>
    <row r="204" hidden="1">
      <c r="A204" s="67" t="str">
        <f t="shared" si="1"/>
        <v>Sat</v>
      </c>
      <c r="B204" s="69">
        <v>42812.0</v>
      </c>
      <c r="D204" s="176">
        <v>889.0</v>
      </c>
      <c r="E204" s="4" t="s">
        <v>222</v>
      </c>
      <c r="F204" s="4" t="s">
        <v>588</v>
      </c>
      <c r="I204" s="4" t="s">
        <v>395</v>
      </c>
      <c r="K204" s="4"/>
      <c r="L204" s="4" t="s">
        <v>293</v>
      </c>
    </row>
    <row r="205" hidden="1">
      <c r="A205" s="67" t="str">
        <f t="shared" si="1"/>
        <v>Sun</v>
      </c>
      <c r="B205" s="69">
        <v>42813.0</v>
      </c>
      <c r="D205" s="176">
        <v>889.0</v>
      </c>
      <c r="E205" s="4" t="s">
        <v>222</v>
      </c>
      <c r="F205" s="4" t="s">
        <v>588</v>
      </c>
      <c r="I205" s="4" t="s">
        <v>395</v>
      </c>
      <c r="K205" s="4"/>
      <c r="L205" s="4" t="s">
        <v>293</v>
      </c>
    </row>
    <row r="206" hidden="1">
      <c r="A206" s="67" t="str">
        <f t="shared" si="1"/>
        <v>Mon</v>
      </c>
      <c r="B206" s="69">
        <v>42814.0</v>
      </c>
      <c r="D206" s="171"/>
      <c r="H206" s="4" t="s">
        <v>588</v>
      </c>
    </row>
    <row r="207" hidden="1">
      <c r="A207" s="67" t="str">
        <f t="shared" si="1"/>
        <v>Tue</v>
      </c>
      <c r="B207" s="69">
        <v>42815.0</v>
      </c>
      <c r="D207" s="171"/>
    </row>
    <row r="208" hidden="1">
      <c r="A208" s="67" t="str">
        <f t="shared" si="1"/>
        <v>Wed</v>
      </c>
      <c r="B208" s="69">
        <v>42816.0</v>
      </c>
      <c r="D208" s="171"/>
    </row>
    <row r="209" hidden="1">
      <c r="A209" s="67" t="str">
        <f t="shared" si="1"/>
        <v>Thu</v>
      </c>
      <c r="B209" s="69">
        <v>42817.0</v>
      </c>
      <c r="D209" s="182">
        <v>339.75</v>
      </c>
      <c r="E209" t="s">
        <v>222</v>
      </c>
      <c r="F209" t="s">
        <v>592</v>
      </c>
      <c r="G209" t="s">
        <v>592</v>
      </c>
      <c r="I209" t="s">
        <v>395</v>
      </c>
      <c r="J209" t="s">
        <v>593</v>
      </c>
      <c r="K209" s="4"/>
      <c r="L209" s="4" t="s">
        <v>293</v>
      </c>
    </row>
    <row r="210" hidden="1">
      <c r="A210" s="67" t="str">
        <f t="shared" si="1"/>
        <v>Fri</v>
      </c>
      <c r="B210" s="69">
        <v>42818.0</v>
      </c>
      <c r="D210" s="176">
        <v>339.75</v>
      </c>
      <c r="E210" s="4" t="s">
        <v>222</v>
      </c>
      <c r="F210" s="4" t="s">
        <v>592</v>
      </c>
      <c r="I210" s="4" t="s">
        <v>395</v>
      </c>
      <c r="J210" s="4" t="s">
        <v>593</v>
      </c>
      <c r="K210" s="4"/>
      <c r="L210" s="4" t="s">
        <v>293</v>
      </c>
    </row>
    <row r="211" hidden="1">
      <c r="A211" s="67" t="str">
        <f t="shared" si="1"/>
        <v>Sat</v>
      </c>
      <c r="B211" s="69">
        <v>42819.0</v>
      </c>
      <c r="D211" s="176">
        <v>339.75</v>
      </c>
      <c r="E211" s="4" t="s">
        <v>222</v>
      </c>
      <c r="F211" s="4" t="s">
        <v>592</v>
      </c>
      <c r="I211" s="4" t="s">
        <v>395</v>
      </c>
      <c r="J211" s="4" t="s">
        <v>593</v>
      </c>
      <c r="K211" s="4"/>
      <c r="L211" s="4" t="s">
        <v>293</v>
      </c>
    </row>
    <row r="212" hidden="1">
      <c r="A212" s="67" t="str">
        <f t="shared" si="1"/>
        <v>Sun</v>
      </c>
      <c r="B212" s="69">
        <v>42820.0</v>
      </c>
      <c r="D212" s="176">
        <v>339.75</v>
      </c>
      <c r="E212" s="4" t="s">
        <v>222</v>
      </c>
      <c r="F212" s="4" t="s">
        <v>592</v>
      </c>
      <c r="I212" s="4" t="s">
        <v>395</v>
      </c>
      <c r="J212" s="4" t="s">
        <v>593</v>
      </c>
      <c r="K212" s="4"/>
      <c r="L212" s="4" t="s">
        <v>293</v>
      </c>
    </row>
    <row r="213" hidden="1">
      <c r="A213" s="67" t="str">
        <f t="shared" si="1"/>
        <v>Mon</v>
      </c>
      <c r="B213" s="69">
        <v>42821.0</v>
      </c>
      <c r="D213" s="171"/>
      <c r="H213" s="4" t="s">
        <v>592</v>
      </c>
      <c r="J213" s="4" t="s">
        <v>593</v>
      </c>
      <c r="K213" s="4"/>
      <c r="L213" s="4" t="s">
        <v>293</v>
      </c>
    </row>
    <row r="214" hidden="1">
      <c r="A214" s="67" t="str">
        <f t="shared" si="1"/>
        <v>Tue</v>
      </c>
      <c r="B214" s="69">
        <v>42822.0</v>
      </c>
      <c r="D214" s="171"/>
    </row>
    <row r="215" hidden="1">
      <c r="A215" s="67" t="str">
        <f t="shared" si="1"/>
        <v>Wed</v>
      </c>
      <c r="B215" s="69">
        <v>42823.0</v>
      </c>
      <c r="D215" s="171"/>
    </row>
    <row r="216" hidden="1">
      <c r="A216" s="67" t="str">
        <f t="shared" si="1"/>
        <v>Thu</v>
      </c>
      <c r="B216" s="69">
        <v>42824.0</v>
      </c>
      <c r="D216" s="172">
        <v>300.0</v>
      </c>
      <c r="E216" s="4" t="s">
        <v>337</v>
      </c>
      <c r="F216" s="4" t="s">
        <v>601</v>
      </c>
      <c r="G216" s="4" t="s">
        <v>601</v>
      </c>
      <c r="I216" s="4" t="s">
        <v>503</v>
      </c>
    </row>
    <row r="217" hidden="1">
      <c r="A217" s="67" t="str">
        <f t="shared" si="1"/>
        <v>Fri</v>
      </c>
      <c r="B217" s="69">
        <v>42825.0</v>
      </c>
      <c r="D217" s="171"/>
      <c r="H217" s="4" t="s">
        <v>601</v>
      </c>
    </row>
    <row r="218" hidden="1">
      <c r="A218" s="67" t="str">
        <f t="shared" si="1"/>
        <v>Sat</v>
      </c>
      <c r="B218" s="69">
        <v>42826.0</v>
      </c>
      <c r="D218" s="176">
        <v>338.5</v>
      </c>
      <c r="E218" s="4" t="s">
        <v>222</v>
      </c>
      <c r="F218" s="4" t="s">
        <v>602</v>
      </c>
      <c r="I218" s="4" t="s">
        <v>395</v>
      </c>
      <c r="K218" s="4"/>
      <c r="L218" s="4" t="s">
        <v>293</v>
      </c>
    </row>
    <row r="219" hidden="1">
      <c r="A219" s="67" t="str">
        <f t="shared" si="1"/>
        <v>Sun</v>
      </c>
      <c r="B219" s="69">
        <v>42827.0</v>
      </c>
      <c r="D219" s="176">
        <v>338.5</v>
      </c>
      <c r="E219" s="4" t="s">
        <v>222</v>
      </c>
      <c r="F219" s="4" t="s">
        <v>602</v>
      </c>
      <c r="I219" s="4" t="s">
        <v>395</v>
      </c>
      <c r="K219" s="4"/>
      <c r="L219" s="4" t="s">
        <v>293</v>
      </c>
    </row>
    <row r="220" hidden="1">
      <c r="A220" s="67" t="str">
        <f t="shared" si="1"/>
        <v>Mon</v>
      </c>
      <c r="B220" s="69">
        <v>42828.0</v>
      </c>
      <c r="D220" s="171"/>
      <c r="F220" s="4" t="s">
        <v>603</v>
      </c>
      <c r="H220" s="4" t="s">
        <v>602</v>
      </c>
    </row>
    <row r="221" hidden="1">
      <c r="A221" s="67" t="str">
        <f t="shared" si="1"/>
        <v>Tue</v>
      </c>
      <c r="B221" s="69">
        <v>42829.0</v>
      </c>
      <c r="D221" s="171"/>
      <c r="F221" s="4" t="s">
        <v>603</v>
      </c>
    </row>
    <row r="222" hidden="1">
      <c r="A222" s="67" t="str">
        <f t="shared" si="1"/>
        <v>Wed</v>
      </c>
      <c r="B222" s="69">
        <v>42830.0</v>
      </c>
      <c r="D222" s="171"/>
      <c r="F222" s="4" t="s">
        <v>603</v>
      </c>
    </row>
    <row r="223" hidden="1">
      <c r="A223" s="67" t="str">
        <f t="shared" si="1"/>
        <v>Thu</v>
      </c>
      <c r="B223" s="69">
        <v>42831.0</v>
      </c>
      <c r="D223" s="171"/>
      <c r="F223" s="4" t="s">
        <v>603</v>
      </c>
    </row>
    <row r="224" hidden="1">
      <c r="A224" s="67" t="str">
        <f t="shared" si="1"/>
        <v>Fri</v>
      </c>
      <c r="B224" s="69">
        <v>42832.0</v>
      </c>
      <c r="D224" s="171"/>
      <c r="F224" s="4" t="s">
        <v>603</v>
      </c>
    </row>
    <row r="225" hidden="1">
      <c r="A225" s="67" t="str">
        <f t="shared" si="1"/>
        <v>Sat</v>
      </c>
      <c r="B225" s="69">
        <v>42833.0</v>
      </c>
      <c r="D225" s="171"/>
      <c r="F225" s="4" t="s">
        <v>603</v>
      </c>
    </row>
    <row r="226" hidden="1">
      <c r="A226" s="67" t="str">
        <f t="shared" si="1"/>
        <v>Sun</v>
      </c>
      <c r="B226" s="69">
        <v>42834.0</v>
      </c>
      <c r="D226" s="171"/>
      <c r="F226" s="4" t="s">
        <v>603</v>
      </c>
    </row>
    <row r="227" hidden="1">
      <c r="A227" s="67" t="str">
        <f t="shared" si="1"/>
        <v>Mon</v>
      </c>
      <c r="B227" s="69">
        <v>42835.0</v>
      </c>
      <c r="D227" s="171"/>
      <c r="F227" s="4" t="s">
        <v>603</v>
      </c>
    </row>
    <row r="228" hidden="1">
      <c r="A228" s="67" t="str">
        <f t="shared" si="1"/>
        <v>Tue</v>
      </c>
      <c r="B228" s="69">
        <v>42836.0</v>
      </c>
      <c r="D228" s="171"/>
    </row>
    <row r="229" hidden="1">
      <c r="A229" s="67" t="str">
        <f t="shared" si="1"/>
        <v>Wed</v>
      </c>
      <c r="B229" s="69">
        <v>42837.0</v>
      </c>
      <c r="D229" s="171"/>
    </row>
    <row r="230" hidden="1">
      <c r="A230" s="67" t="str">
        <f t="shared" si="1"/>
        <v>Thu</v>
      </c>
      <c r="B230" s="69">
        <v>42838.0</v>
      </c>
      <c r="D230" s="175">
        <v>339.3333333333333</v>
      </c>
      <c r="E230" s="4" t="s">
        <v>222</v>
      </c>
      <c r="F230" s="4" t="s">
        <v>610</v>
      </c>
      <c r="G230" s="4" t="s">
        <v>610</v>
      </c>
      <c r="I230" s="4" t="s">
        <v>395</v>
      </c>
      <c r="J230" s="4" t="s">
        <v>611</v>
      </c>
      <c r="K230" s="4"/>
      <c r="L230" s="4" t="s">
        <v>293</v>
      </c>
    </row>
    <row r="231" hidden="1">
      <c r="A231" s="67" t="str">
        <f t="shared" si="1"/>
        <v>Fri</v>
      </c>
      <c r="B231" s="69">
        <v>42839.0</v>
      </c>
      <c r="D231" s="175">
        <v>339.3333333333333</v>
      </c>
      <c r="E231" s="4" t="s">
        <v>222</v>
      </c>
      <c r="F231" s="4" t="s">
        <v>610</v>
      </c>
      <c r="I231" s="4" t="s">
        <v>395</v>
      </c>
      <c r="J231" s="4" t="s">
        <v>611</v>
      </c>
      <c r="K231" s="4"/>
      <c r="L231" s="4" t="s">
        <v>293</v>
      </c>
    </row>
    <row r="232" hidden="1">
      <c r="A232" s="67" t="str">
        <f t="shared" si="1"/>
        <v>Sat</v>
      </c>
      <c r="B232" s="69">
        <v>42840.0</v>
      </c>
      <c r="D232" s="175">
        <v>339.3333333333333</v>
      </c>
      <c r="E232" s="4" t="s">
        <v>222</v>
      </c>
      <c r="F232" s="4" t="s">
        <v>610</v>
      </c>
      <c r="I232" s="4" t="s">
        <v>395</v>
      </c>
      <c r="J232" s="4" t="s">
        <v>611</v>
      </c>
      <c r="K232" s="4"/>
      <c r="L232" s="4" t="s">
        <v>293</v>
      </c>
    </row>
    <row r="233" hidden="1">
      <c r="A233" s="67" t="str">
        <f t="shared" si="1"/>
        <v>Sun</v>
      </c>
      <c r="B233" s="69">
        <v>42841.0</v>
      </c>
      <c r="D233" s="171"/>
      <c r="H233" s="4" t="s">
        <v>610</v>
      </c>
    </row>
    <row r="234" hidden="1">
      <c r="A234" s="67" t="str">
        <f t="shared" si="1"/>
        <v>Mon</v>
      </c>
      <c r="B234" s="69">
        <v>42842.0</v>
      </c>
      <c r="D234" s="171"/>
    </row>
    <row r="235" hidden="1">
      <c r="A235" s="67" t="str">
        <f t="shared" si="1"/>
        <v>Tue</v>
      </c>
      <c r="B235" s="69">
        <v>42843.0</v>
      </c>
      <c r="D235" s="171"/>
    </row>
    <row r="236" hidden="1">
      <c r="A236" s="67" t="str">
        <f t="shared" si="1"/>
        <v>Wed</v>
      </c>
      <c r="B236" s="69">
        <v>42844.0</v>
      </c>
      <c r="D236" s="176">
        <v>315.2</v>
      </c>
      <c r="F236" s="4" t="s">
        <v>612</v>
      </c>
      <c r="G236" s="4" t="s">
        <v>612</v>
      </c>
      <c r="I236" s="4" t="s">
        <v>395</v>
      </c>
      <c r="K236" s="4"/>
      <c r="L236" s="4" t="s">
        <v>293</v>
      </c>
    </row>
    <row r="237" hidden="1">
      <c r="A237" s="67" t="str">
        <f t="shared" si="1"/>
        <v>Thu</v>
      </c>
      <c r="B237" s="69">
        <v>42845.0</v>
      </c>
      <c r="D237" s="176">
        <v>315.2</v>
      </c>
      <c r="F237" s="4" t="s">
        <v>612</v>
      </c>
      <c r="I237" s="4" t="s">
        <v>395</v>
      </c>
      <c r="K237" s="4"/>
      <c r="L237" s="4" t="s">
        <v>293</v>
      </c>
    </row>
    <row r="238" hidden="1">
      <c r="A238" s="67" t="str">
        <f t="shared" si="1"/>
        <v>Fri</v>
      </c>
      <c r="B238" s="69">
        <v>42846.0</v>
      </c>
      <c r="D238" s="176">
        <v>315.2</v>
      </c>
      <c r="F238" s="4" t="s">
        <v>612</v>
      </c>
      <c r="I238" s="4" t="s">
        <v>395</v>
      </c>
      <c r="K238" s="4"/>
      <c r="L238" s="4" t="s">
        <v>293</v>
      </c>
    </row>
    <row r="239" hidden="1">
      <c r="A239" s="67" t="str">
        <f t="shared" si="1"/>
        <v>Sat</v>
      </c>
      <c r="B239" s="69">
        <v>42847.0</v>
      </c>
      <c r="D239" s="176">
        <v>315.2</v>
      </c>
      <c r="F239" s="4" t="s">
        <v>612</v>
      </c>
      <c r="I239" s="4" t="s">
        <v>395</v>
      </c>
      <c r="K239" s="4"/>
      <c r="L239" s="4" t="s">
        <v>293</v>
      </c>
    </row>
    <row r="240" hidden="1">
      <c r="A240" s="67" t="str">
        <f t="shared" si="1"/>
        <v>Sun</v>
      </c>
      <c r="B240" s="69">
        <v>42848.0</v>
      </c>
      <c r="D240" s="176">
        <v>315.2</v>
      </c>
      <c r="F240" s="4" t="s">
        <v>612</v>
      </c>
      <c r="I240" s="4" t="s">
        <v>395</v>
      </c>
      <c r="K240" s="4"/>
      <c r="L240" s="4" t="s">
        <v>293</v>
      </c>
    </row>
    <row r="241" hidden="1">
      <c r="A241" s="67" t="str">
        <f t="shared" si="1"/>
        <v>Mon</v>
      </c>
      <c r="B241" s="69">
        <v>42849.0</v>
      </c>
      <c r="D241" s="171"/>
      <c r="H241" s="4" t="s">
        <v>612</v>
      </c>
    </row>
    <row r="242" hidden="1">
      <c r="A242" s="67" t="str">
        <f t="shared" si="1"/>
        <v>Tue</v>
      </c>
      <c r="B242" s="69">
        <v>42850.0</v>
      </c>
      <c r="D242" s="171"/>
    </row>
    <row r="243" hidden="1">
      <c r="A243" s="67" t="str">
        <f t="shared" si="1"/>
        <v>Wed</v>
      </c>
      <c r="B243" s="69">
        <v>42851.0</v>
      </c>
      <c r="D243" s="171"/>
    </row>
    <row r="244" hidden="1">
      <c r="A244" s="67" t="str">
        <f t="shared" si="1"/>
        <v>Thu</v>
      </c>
      <c r="B244" s="69">
        <v>42852.0</v>
      </c>
      <c r="D244" s="171"/>
    </row>
    <row r="245" hidden="1">
      <c r="A245" s="67" t="str">
        <f t="shared" si="1"/>
        <v>Fri</v>
      </c>
      <c r="B245" s="69">
        <v>42853.0</v>
      </c>
      <c r="D245" s="175">
        <v>339.6666666666667</v>
      </c>
      <c r="E245" s="4" t="s">
        <v>222</v>
      </c>
      <c r="F245" s="4" t="s">
        <v>616</v>
      </c>
      <c r="G245" s="4" t="s">
        <v>616</v>
      </c>
      <c r="I245" s="4" t="s">
        <v>395</v>
      </c>
      <c r="K245" s="4"/>
      <c r="L245" s="4" t="s">
        <v>293</v>
      </c>
    </row>
    <row r="246" hidden="1">
      <c r="A246" s="67" t="str">
        <f t="shared" si="1"/>
        <v>Sat</v>
      </c>
      <c r="B246" s="69">
        <v>42854.0</v>
      </c>
      <c r="D246" s="175">
        <v>339.6666666666667</v>
      </c>
      <c r="E246" s="4" t="s">
        <v>222</v>
      </c>
      <c r="F246" s="4" t="s">
        <v>616</v>
      </c>
      <c r="I246" s="4" t="s">
        <v>395</v>
      </c>
      <c r="K246" s="4"/>
      <c r="L246" s="4" t="s">
        <v>293</v>
      </c>
    </row>
    <row r="247" hidden="1">
      <c r="A247" s="67" t="str">
        <f t="shared" si="1"/>
        <v>Sun</v>
      </c>
      <c r="B247" s="69">
        <v>42855.0</v>
      </c>
      <c r="D247" s="175">
        <v>339.6666666666667</v>
      </c>
      <c r="E247" s="4" t="s">
        <v>222</v>
      </c>
      <c r="F247" s="4" t="s">
        <v>616</v>
      </c>
      <c r="I247" s="4" t="s">
        <v>395</v>
      </c>
      <c r="K247" s="4"/>
      <c r="L247" s="4" t="s">
        <v>293</v>
      </c>
    </row>
    <row r="248" hidden="1">
      <c r="A248" s="67" t="str">
        <f t="shared" si="1"/>
        <v>Mon</v>
      </c>
      <c r="B248" s="69">
        <v>42856.0</v>
      </c>
      <c r="D248" s="171"/>
      <c r="H248" s="4" t="s">
        <v>616</v>
      </c>
    </row>
    <row r="249" hidden="1">
      <c r="A249" s="67" t="str">
        <f t="shared" si="1"/>
        <v>Tue</v>
      </c>
      <c r="B249" s="69">
        <v>42857.0</v>
      </c>
      <c r="D249" s="171"/>
    </row>
    <row r="250" hidden="1">
      <c r="A250" s="67" t="str">
        <f t="shared" si="1"/>
        <v>Wed</v>
      </c>
      <c r="B250" s="69">
        <v>42858.0</v>
      </c>
      <c r="D250" s="171"/>
    </row>
    <row r="251" hidden="1">
      <c r="A251" s="67" t="str">
        <f t="shared" si="1"/>
        <v>Thu</v>
      </c>
      <c r="B251" s="69">
        <v>42859.0</v>
      </c>
      <c r="D251" s="171"/>
    </row>
    <row r="252" hidden="1">
      <c r="A252" s="67" t="str">
        <f t="shared" si="1"/>
        <v>Fri</v>
      </c>
      <c r="B252" s="69">
        <v>42860.0</v>
      </c>
      <c r="D252" s="171"/>
    </row>
    <row r="253" hidden="1">
      <c r="A253" s="67" t="str">
        <f t="shared" si="1"/>
        <v>Sat</v>
      </c>
      <c r="B253" s="69">
        <v>42861.0</v>
      </c>
      <c r="D253" s="175">
        <v>339.14285714285717</v>
      </c>
      <c r="E253" s="4" t="s">
        <v>222</v>
      </c>
      <c r="F253" s="4" t="s">
        <v>617</v>
      </c>
      <c r="G253" s="4" t="s">
        <v>617</v>
      </c>
      <c r="I253" s="4" t="s">
        <v>395</v>
      </c>
      <c r="J253" s="4" t="s">
        <v>618</v>
      </c>
      <c r="K253" s="4"/>
      <c r="L253" s="4" t="s">
        <v>293</v>
      </c>
    </row>
    <row r="254" hidden="1">
      <c r="A254" s="67" t="str">
        <f t="shared" si="1"/>
        <v>Sun</v>
      </c>
      <c r="B254" s="69">
        <v>42862.0</v>
      </c>
      <c r="D254" s="175">
        <v>339.14285714285717</v>
      </c>
      <c r="E254" s="4" t="s">
        <v>222</v>
      </c>
      <c r="F254" s="4" t="s">
        <v>617</v>
      </c>
      <c r="I254" s="4" t="s">
        <v>395</v>
      </c>
      <c r="J254" s="4" t="s">
        <v>618</v>
      </c>
      <c r="K254" s="4"/>
      <c r="L254" s="4" t="s">
        <v>293</v>
      </c>
    </row>
    <row r="255" hidden="1">
      <c r="A255" s="67" t="str">
        <f t="shared" si="1"/>
        <v>Mon</v>
      </c>
      <c r="B255" s="69">
        <v>42863.0</v>
      </c>
      <c r="D255" s="175">
        <v>339.14285714285717</v>
      </c>
      <c r="E255" s="4" t="s">
        <v>222</v>
      </c>
      <c r="F255" s="4" t="s">
        <v>617</v>
      </c>
      <c r="I255" s="4" t="s">
        <v>395</v>
      </c>
      <c r="J255" s="4" t="s">
        <v>618</v>
      </c>
      <c r="K255" s="4"/>
      <c r="L255" s="4" t="s">
        <v>293</v>
      </c>
    </row>
    <row r="256" hidden="1">
      <c r="A256" s="67" t="str">
        <f t="shared" si="1"/>
        <v>Tue</v>
      </c>
      <c r="B256" s="69">
        <v>42864.0</v>
      </c>
      <c r="D256" s="175">
        <v>339.14285714285717</v>
      </c>
      <c r="E256" s="4" t="s">
        <v>222</v>
      </c>
      <c r="F256" s="4" t="s">
        <v>617</v>
      </c>
      <c r="I256" s="4" t="s">
        <v>395</v>
      </c>
      <c r="J256" s="4" t="s">
        <v>618</v>
      </c>
      <c r="K256" s="4"/>
      <c r="L256" s="4" t="s">
        <v>293</v>
      </c>
    </row>
    <row r="257" hidden="1">
      <c r="A257" s="67" t="str">
        <f t="shared" si="1"/>
        <v>Wed</v>
      </c>
      <c r="B257" s="69">
        <v>42865.0</v>
      </c>
      <c r="D257" s="175">
        <v>339.14285714285717</v>
      </c>
      <c r="E257" s="4" t="s">
        <v>222</v>
      </c>
      <c r="F257" s="4" t="s">
        <v>617</v>
      </c>
      <c r="I257" s="4" t="s">
        <v>395</v>
      </c>
      <c r="J257" s="4" t="s">
        <v>618</v>
      </c>
      <c r="K257" s="4"/>
      <c r="L257" s="4" t="s">
        <v>293</v>
      </c>
    </row>
    <row r="258" hidden="1">
      <c r="A258" s="67" t="str">
        <f t="shared" si="1"/>
        <v>Thu</v>
      </c>
      <c r="B258" s="69">
        <v>42866.0</v>
      </c>
      <c r="D258" s="175">
        <v>339.14285714285717</v>
      </c>
      <c r="E258" s="4" t="s">
        <v>222</v>
      </c>
      <c r="F258" s="4" t="s">
        <v>617</v>
      </c>
      <c r="I258" s="4" t="s">
        <v>395</v>
      </c>
      <c r="J258" s="4" t="s">
        <v>618</v>
      </c>
      <c r="K258" s="4"/>
      <c r="L258" s="4" t="s">
        <v>293</v>
      </c>
    </row>
    <row r="259" hidden="1">
      <c r="A259" s="67" t="str">
        <f t="shared" si="1"/>
        <v>Fri</v>
      </c>
      <c r="B259" s="69">
        <v>42867.0</v>
      </c>
      <c r="D259" s="175">
        <v>339.14285714285717</v>
      </c>
      <c r="E259" s="4" t="s">
        <v>222</v>
      </c>
      <c r="F259" s="4" t="s">
        <v>617</v>
      </c>
      <c r="I259" s="4" t="s">
        <v>395</v>
      </c>
      <c r="J259" s="4" t="s">
        <v>618</v>
      </c>
      <c r="K259" s="4"/>
      <c r="L259" s="4" t="s">
        <v>293</v>
      </c>
    </row>
    <row r="260" hidden="1">
      <c r="A260" s="67" t="str">
        <f t="shared" si="1"/>
        <v>Sat</v>
      </c>
      <c r="B260" s="69">
        <v>42868.0</v>
      </c>
      <c r="D260" s="171"/>
      <c r="G260" s="4" t="s">
        <v>617</v>
      </c>
    </row>
    <row r="261" hidden="1">
      <c r="A261" s="67" t="str">
        <f t="shared" si="1"/>
        <v>Sun</v>
      </c>
      <c r="B261" s="69">
        <v>42869.0</v>
      </c>
      <c r="D261" s="171"/>
    </row>
    <row r="262" hidden="1">
      <c r="A262" s="67" t="str">
        <f t="shared" si="1"/>
        <v>Mon</v>
      </c>
      <c r="B262" s="69">
        <v>42870.0</v>
      </c>
      <c r="D262" s="171"/>
    </row>
    <row r="263" hidden="1">
      <c r="A263" s="67" t="str">
        <f t="shared" si="1"/>
        <v>Tue</v>
      </c>
      <c r="B263" s="69">
        <v>42871.0</v>
      </c>
      <c r="D263" s="171"/>
    </row>
    <row r="264" hidden="1">
      <c r="A264" s="67" t="str">
        <f t="shared" si="1"/>
        <v>Wed</v>
      </c>
      <c r="B264" s="69">
        <v>42872.0</v>
      </c>
      <c r="D264" s="171"/>
    </row>
    <row r="265" hidden="1">
      <c r="A265" s="67" t="str">
        <f t="shared" si="1"/>
        <v>Thu</v>
      </c>
      <c r="B265" s="69">
        <v>42873.0</v>
      </c>
      <c r="D265" s="171"/>
    </row>
    <row r="266" hidden="1">
      <c r="A266" s="67" t="str">
        <f t="shared" si="1"/>
        <v>Fri</v>
      </c>
      <c r="B266" s="69">
        <v>42874.0</v>
      </c>
      <c r="D266" s="171"/>
    </row>
    <row r="267" hidden="1">
      <c r="A267" s="67" t="str">
        <f t="shared" si="1"/>
        <v>Sat</v>
      </c>
      <c r="B267" s="69">
        <v>42875.0</v>
      </c>
      <c r="D267" s="171"/>
    </row>
    <row r="268" hidden="1">
      <c r="A268" s="67" t="str">
        <f t="shared" si="1"/>
        <v>Sun</v>
      </c>
      <c r="B268" s="69">
        <v>42876.0</v>
      </c>
      <c r="D268" s="171"/>
    </row>
    <row r="269" hidden="1">
      <c r="A269" s="67" t="str">
        <f t="shared" si="1"/>
        <v>Mon</v>
      </c>
      <c r="B269" s="69">
        <v>42877.0</v>
      </c>
      <c r="D269" s="171"/>
    </row>
    <row r="270" hidden="1">
      <c r="A270" s="67" t="str">
        <f t="shared" si="1"/>
        <v>Tue</v>
      </c>
      <c r="B270" s="69">
        <v>42878.0</v>
      </c>
      <c r="D270" s="172">
        <v>332.57</v>
      </c>
      <c r="E270" s="4" t="s">
        <v>222</v>
      </c>
      <c r="F270" s="4" t="s">
        <v>619</v>
      </c>
      <c r="G270" s="4" t="s">
        <v>619</v>
      </c>
      <c r="I270" s="4" t="s">
        <v>503</v>
      </c>
    </row>
    <row r="271" hidden="1">
      <c r="A271" s="67" t="str">
        <f t="shared" si="1"/>
        <v>Wed</v>
      </c>
      <c r="B271" s="69">
        <v>42879.0</v>
      </c>
      <c r="D271" s="172">
        <v>332.57</v>
      </c>
      <c r="E271" s="4" t="s">
        <v>222</v>
      </c>
      <c r="F271" s="4" t="s">
        <v>619</v>
      </c>
      <c r="I271" s="4" t="s">
        <v>503</v>
      </c>
    </row>
    <row r="272" hidden="1">
      <c r="A272" s="67" t="str">
        <f t="shared" si="1"/>
        <v>Thu</v>
      </c>
      <c r="B272" s="69">
        <v>42880.0</v>
      </c>
      <c r="D272" s="172">
        <v>332.57</v>
      </c>
      <c r="E272" s="4" t="s">
        <v>222</v>
      </c>
      <c r="F272" s="4" t="s">
        <v>619</v>
      </c>
      <c r="I272" s="4" t="s">
        <v>503</v>
      </c>
    </row>
    <row r="273" hidden="1">
      <c r="A273" s="67" t="str">
        <f t="shared" si="1"/>
        <v>Fri</v>
      </c>
      <c r="B273" s="69">
        <v>42881.0</v>
      </c>
      <c r="D273" s="172">
        <v>332.57</v>
      </c>
      <c r="E273" s="4" t="s">
        <v>222</v>
      </c>
      <c r="F273" s="4" t="s">
        <v>619</v>
      </c>
      <c r="I273" s="4" t="s">
        <v>503</v>
      </c>
    </row>
    <row r="274" hidden="1">
      <c r="A274" s="67" t="str">
        <f t="shared" si="1"/>
        <v>Sat</v>
      </c>
      <c r="B274" s="69">
        <v>42882.0</v>
      </c>
      <c r="D274" s="172">
        <v>332.57</v>
      </c>
      <c r="E274" s="4" t="s">
        <v>222</v>
      </c>
      <c r="F274" s="4" t="s">
        <v>619</v>
      </c>
      <c r="I274" s="4" t="s">
        <v>503</v>
      </c>
    </row>
    <row r="275" hidden="1">
      <c r="A275" s="67" t="str">
        <f t="shared" si="1"/>
        <v>Sun</v>
      </c>
      <c r="B275" s="69">
        <v>42883.0</v>
      </c>
      <c r="D275" s="172">
        <v>332.57</v>
      </c>
      <c r="E275" s="4" t="s">
        <v>222</v>
      </c>
      <c r="F275" s="4" t="s">
        <v>619</v>
      </c>
      <c r="I275" s="4" t="s">
        <v>503</v>
      </c>
    </row>
    <row r="276" hidden="1">
      <c r="A276" s="67" t="str">
        <f t="shared" si="1"/>
        <v>Mon</v>
      </c>
      <c r="B276" s="69">
        <v>42884.0</v>
      </c>
      <c r="D276" s="172">
        <v>332.57</v>
      </c>
      <c r="E276" s="4" t="s">
        <v>222</v>
      </c>
      <c r="F276" s="4" t="s">
        <v>619</v>
      </c>
      <c r="I276" s="4" t="s">
        <v>503</v>
      </c>
    </row>
    <row r="277" hidden="1">
      <c r="A277" s="67" t="str">
        <f t="shared" si="1"/>
        <v>Tue</v>
      </c>
      <c r="B277" s="69">
        <v>42885.0</v>
      </c>
      <c r="D277" s="171"/>
      <c r="H277" s="4" t="s">
        <v>619</v>
      </c>
    </row>
    <row r="278" hidden="1">
      <c r="A278" s="67" t="str">
        <f t="shared" si="1"/>
        <v>Wed</v>
      </c>
      <c r="B278" s="69">
        <v>42886.0</v>
      </c>
      <c r="D278" s="171"/>
    </row>
    <row r="279" hidden="1">
      <c r="A279" s="67" t="str">
        <f t="shared" si="1"/>
        <v>Thu</v>
      </c>
      <c r="B279" s="69">
        <v>42887.0</v>
      </c>
      <c r="D279" s="171"/>
    </row>
    <row r="280" hidden="1">
      <c r="A280" s="67" t="str">
        <f t="shared" si="1"/>
        <v>Fri</v>
      </c>
      <c r="B280" s="69">
        <v>42888.0</v>
      </c>
      <c r="D280" s="171"/>
    </row>
    <row r="281" hidden="1">
      <c r="A281" s="67" t="str">
        <f t="shared" si="1"/>
        <v>Sat</v>
      </c>
      <c r="B281" s="69">
        <v>42889.0</v>
      </c>
      <c r="D281" s="171"/>
    </row>
    <row r="282" hidden="1">
      <c r="A282" s="67" t="str">
        <f t="shared" si="1"/>
        <v>Sun</v>
      </c>
      <c r="B282" s="69">
        <v>42890.0</v>
      </c>
      <c r="D282" s="171"/>
    </row>
    <row r="283" hidden="1">
      <c r="A283" s="67" t="str">
        <f t="shared" si="1"/>
        <v>Mon</v>
      </c>
      <c r="B283" s="69">
        <v>42891.0</v>
      </c>
      <c r="D283" s="171"/>
    </row>
    <row r="284" hidden="1">
      <c r="A284" s="67" t="str">
        <f t="shared" si="1"/>
        <v>Tue</v>
      </c>
      <c r="B284" s="69">
        <v>42892.0</v>
      </c>
      <c r="D284" s="171"/>
    </row>
    <row r="285" hidden="1">
      <c r="A285" s="67" t="str">
        <f t="shared" si="1"/>
        <v>Wed</v>
      </c>
      <c r="B285" s="69">
        <v>42893.0</v>
      </c>
      <c r="D285" s="171"/>
    </row>
    <row r="286" hidden="1">
      <c r="A286" s="67" t="str">
        <f t="shared" si="1"/>
        <v>Thu</v>
      </c>
      <c r="B286" s="69">
        <v>42894.0</v>
      </c>
      <c r="D286" s="171"/>
    </row>
    <row r="287" hidden="1">
      <c r="A287" s="67" t="str">
        <f t="shared" si="1"/>
        <v>Fri</v>
      </c>
      <c r="B287" s="69">
        <v>42895.0</v>
      </c>
      <c r="D287" s="176">
        <v>0.0</v>
      </c>
      <c r="E287" s="4" t="s">
        <v>620</v>
      </c>
      <c r="F287" s="4" t="s">
        <v>621</v>
      </c>
      <c r="G287" s="4" t="s">
        <v>621</v>
      </c>
      <c r="I287" s="4" t="s">
        <v>395</v>
      </c>
    </row>
    <row r="288" hidden="1">
      <c r="A288" s="67" t="str">
        <f t="shared" si="1"/>
        <v>Sat</v>
      </c>
      <c r="B288" s="69">
        <v>42896.0</v>
      </c>
      <c r="D288" s="176">
        <v>0.0</v>
      </c>
      <c r="E288" s="4" t="s">
        <v>620</v>
      </c>
      <c r="F288" s="4" t="s">
        <v>621</v>
      </c>
      <c r="I288" s="4" t="s">
        <v>395</v>
      </c>
    </row>
    <row r="289" hidden="1">
      <c r="A289" s="67" t="str">
        <f t="shared" si="1"/>
        <v>Sun</v>
      </c>
      <c r="B289" s="69">
        <v>42897.0</v>
      </c>
      <c r="D289" s="171"/>
      <c r="H289" s="4" t="s">
        <v>621</v>
      </c>
    </row>
    <row r="290" hidden="1">
      <c r="A290" s="67" t="str">
        <f t="shared" si="1"/>
        <v>Mon</v>
      </c>
      <c r="B290" s="69">
        <v>42898.0</v>
      </c>
      <c r="D290" s="171"/>
    </row>
    <row r="291" hidden="1">
      <c r="A291" s="67" t="str">
        <f t="shared" si="1"/>
        <v>Tue</v>
      </c>
      <c r="B291" s="69">
        <v>42899.0</v>
      </c>
      <c r="D291" s="171"/>
    </row>
    <row r="292" hidden="1">
      <c r="A292" s="67" t="str">
        <f t="shared" si="1"/>
        <v>Wed</v>
      </c>
      <c r="B292" s="69">
        <v>42900.0</v>
      </c>
      <c r="D292" s="171"/>
    </row>
    <row r="293" hidden="1">
      <c r="A293" s="67" t="str">
        <f t="shared" si="1"/>
        <v>Thu</v>
      </c>
      <c r="B293" s="69">
        <v>42901.0</v>
      </c>
      <c r="C293" s="4" t="s">
        <v>622</v>
      </c>
      <c r="D293" s="171"/>
    </row>
    <row r="294" hidden="1">
      <c r="A294" s="67" t="str">
        <f t="shared" si="1"/>
        <v>Fri</v>
      </c>
      <c r="B294" s="69">
        <v>42902.0</v>
      </c>
      <c r="D294" s="171"/>
    </row>
    <row r="295" hidden="1">
      <c r="A295" s="67" t="str">
        <f t="shared" si="1"/>
        <v>Sat</v>
      </c>
      <c r="B295" s="69">
        <v>42903.0</v>
      </c>
      <c r="D295" s="171"/>
    </row>
    <row r="296" hidden="1">
      <c r="A296" s="67" t="str">
        <f t="shared" si="1"/>
        <v>Sun</v>
      </c>
      <c r="B296" s="69">
        <v>42904.0</v>
      </c>
      <c r="D296" s="171"/>
    </row>
    <row r="297" hidden="1">
      <c r="A297" s="67" t="str">
        <f t="shared" si="1"/>
        <v>Mon</v>
      </c>
      <c r="B297" s="69">
        <v>42905.0</v>
      </c>
      <c r="D297" s="171"/>
    </row>
    <row r="298" hidden="1">
      <c r="A298" s="67" t="str">
        <f t="shared" si="1"/>
        <v>Tue</v>
      </c>
      <c r="B298" s="69">
        <v>42906.0</v>
      </c>
      <c r="D298" s="171"/>
    </row>
    <row r="299" hidden="1">
      <c r="A299" s="67" t="str">
        <f t="shared" si="1"/>
        <v>Wed</v>
      </c>
      <c r="B299" s="69">
        <v>42907.0</v>
      </c>
      <c r="D299" s="171"/>
    </row>
    <row r="300" hidden="1">
      <c r="A300" s="67" t="str">
        <f t="shared" si="1"/>
        <v>Thu</v>
      </c>
      <c r="B300" s="69">
        <v>42908.0</v>
      </c>
      <c r="D300" s="171"/>
    </row>
    <row r="301" hidden="1">
      <c r="A301" s="67" t="str">
        <f t="shared" si="1"/>
        <v>Fri</v>
      </c>
      <c r="B301" s="69">
        <v>42909.0</v>
      </c>
      <c r="C301" s="4" t="s">
        <v>626</v>
      </c>
      <c r="D301" s="176">
        <v>436.5</v>
      </c>
      <c r="E301" s="4" t="s">
        <v>222</v>
      </c>
      <c r="F301" s="4" t="s">
        <v>610</v>
      </c>
      <c r="G301" s="4" t="s">
        <v>610</v>
      </c>
      <c r="I301" s="4" t="s">
        <v>395</v>
      </c>
      <c r="K301" s="4"/>
      <c r="L301" s="4" t="s">
        <v>293</v>
      </c>
    </row>
    <row r="302" hidden="1">
      <c r="A302" s="67" t="str">
        <f t="shared" si="1"/>
        <v>Sat</v>
      </c>
      <c r="B302" s="69">
        <v>42910.0</v>
      </c>
      <c r="C302" s="4" t="s">
        <v>626</v>
      </c>
      <c r="D302" s="176">
        <v>436.5</v>
      </c>
      <c r="E302" s="4" t="s">
        <v>222</v>
      </c>
      <c r="F302" s="4" t="s">
        <v>610</v>
      </c>
      <c r="I302" s="4" t="s">
        <v>395</v>
      </c>
      <c r="K302" s="4"/>
      <c r="L302" s="4" t="s">
        <v>293</v>
      </c>
    </row>
    <row r="303" hidden="1">
      <c r="A303" s="67" t="str">
        <f t="shared" si="1"/>
        <v>Sun</v>
      </c>
      <c r="B303" s="69">
        <v>42911.0</v>
      </c>
      <c r="C303" s="4" t="s">
        <v>626</v>
      </c>
      <c r="D303" s="171"/>
      <c r="H303" s="4" t="s">
        <v>610</v>
      </c>
    </row>
    <row r="304" hidden="1">
      <c r="A304" s="67" t="str">
        <f t="shared" si="1"/>
        <v>Mon</v>
      </c>
      <c r="B304" s="69">
        <v>42912.0</v>
      </c>
      <c r="D304" s="171"/>
    </row>
    <row r="305" hidden="1">
      <c r="A305" s="67" t="str">
        <f t="shared" si="1"/>
        <v>Tue</v>
      </c>
      <c r="B305" s="69">
        <v>42913.0</v>
      </c>
      <c r="D305" s="171"/>
    </row>
    <row r="306" hidden="1">
      <c r="A306" s="67" t="str">
        <f t="shared" si="1"/>
        <v>Wed</v>
      </c>
      <c r="B306" s="69">
        <v>42914.0</v>
      </c>
      <c r="D306" s="171"/>
    </row>
    <row r="307" hidden="1">
      <c r="A307" s="67" t="str">
        <f t="shared" si="1"/>
        <v>Thu</v>
      </c>
      <c r="B307" s="69">
        <v>42915.0</v>
      </c>
      <c r="D307" s="171"/>
    </row>
    <row r="308" hidden="1">
      <c r="A308" s="67" t="str">
        <f t="shared" si="1"/>
        <v>Fri</v>
      </c>
      <c r="B308" s="69">
        <v>42916.0</v>
      </c>
      <c r="D308" s="171"/>
    </row>
    <row r="309" hidden="1">
      <c r="A309" s="67" t="str">
        <f t="shared" si="1"/>
        <v>Sat</v>
      </c>
      <c r="B309" s="69">
        <v>42917.0</v>
      </c>
      <c r="D309" s="176">
        <v>242.5</v>
      </c>
      <c r="E309" s="4" t="s">
        <v>222</v>
      </c>
      <c r="F309" s="4" t="s">
        <v>627</v>
      </c>
      <c r="G309" s="4" t="s">
        <v>627</v>
      </c>
      <c r="I309" s="4" t="s">
        <v>395</v>
      </c>
      <c r="J309" s="4" t="s">
        <v>628</v>
      </c>
      <c r="K309" s="4"/>
      <c r="L309" s="4" t="s">
        <v>293</v>
      </c>
    </row>
    <row r="310" hidden="1">
      <c r="A310" s="67" t="str">
        <f t="shared" si="1"/>
        <v>Sun</v>
      </c>
      <c r="B310" s="69">
        <v>42918.0</v>
      </c>
      <c r="D310" s="176">
        <v>242.5</v>
      </c>
      <c r="E310" s="4" t="s">
        <v>222</v>
      </c>
      <c r="F310" s="4" t="s">
        <v>627</v>
      </c>
      <c r="I310" s="4" t="s">
        <v>395</v>
      </c>
      <c r="J310" s="4" t="s">
        <v>628</v>
      </c>
      <c r="K310" s="4"/>
      <c r="L310" s="4" t="s">
        <v>293</v>
      </c>
    </row>
    <row r="311" hidden="1">
      <c r="A311" s="67" t="str">
        <f t="shared" si="1"/>
        <v>Mon</v>
      </c>
      <c r="B311" s="69">
        <v>42919.0</v>
      </c>
      <c r="D311" s="171"/>
      <c r="H311" s="4" t="s">
        <v>627</v>
      </c>
    </row>
    <row r="312" hidden="1">
      <c r="A312" s="67" t="str">
        <f t="shared" si="1"/>
        <v>Tue</v>
      </c>
      <c r="B312" s="69">
        <v>42920.0</v>
      </c>
      <c r="D312" s="171"/>
    </row>
    <row r="313" hidden="1">
      <c r="A313" s="67" t="str">
        <f t="shared" si="1"/>
        <v>Wed</v>
      </c>
      <c r="B313" s="69">
        <v>42921.0</v>
      </c>
      <c r="D313" s="171"/>
    </row>
    <row r="314" hidden="1">
      <c r="A314" s="67" t="str">
        <f t="shared" si="1"/>
        <v>Thu</v>
      </c>
      <c r="B314" s="69">
        <v>42922.0</v>
      </c>
      <c r="D314" s="171"/>
    </row>
    <row r="315" hidden="1">
      <c r="A315" s="67" t="str">
        <f t="shared" si="1"/>
        <v>Fri</v>
      </c>
      <c r="B315" s="69">
        <v>42923.0</v>
      </c>
      <c r="D315" s="176">
        <v>242.6</v>
      </c>
      <c r="E315" s="4" t="s">
        <v>222</v>
      </c>
      <c r="F315" s="4" t="s">
        <v>629</v>
      </c>
      <c r="G315" s="4" t="s">
        <v>629</v>
      </c>
      <c r="I315" s="4" t="s">
        <v>395</v>
      </c>
      <c r="K315" s="4"/>
      <c r="L315" s="4" t="s">
        <v>293</v>
      </c>
    </row>
    <row r="316" hidden="1">
      <c r="A316" s="67" t="str">
        <f t="shared" si="1"/>
        <v>Sat</v>
      </c>
      <c r="B316" s="69">
        <v>42924.0</v>
      </c>
      <c r="D316" s="176">
        <v>242.6</v>
      </c>
      <c r="E316" s="4" t="s">
        <v>222</v>
      </c>
      <c r="F316" s="4" t="s">
        <v>629</v>
      </c>
      <c r="I316" s="4" t="s">
        <v>395</v>
      </c>
      <c r="K316" s="4"/>
      <c r="L316" s="4" t="s">
        <v>293</v>
      </c>
    </row>
    <row r="317" hidden="1">
      <c r="A317" s="67" t="str">
        <f t="shared" si="1"/>
        <v>Sun</v>
      </c>
      <c r="B317" s="69">
        <v>42925.0</v>
      </c>
      <c r="D317" s="176">
        <v>242.6</v>
      </c>
      <c r="E317" s="4" t="s">
        <v>222</v>
      </c>
      <c r="F317" s="4" t="s">
        <v>629</v>
      </c>
      <c r="I317" s="4" t="s">
        <v>395</v>
      </c>
      <c r="K317" s="4"/>
      <c r="L317" s="4" t="s">
        <v>293</v>
      </c>
    </row>
    <row r="318" hidden="1">
      <c r="A318" s="67" t="str">
        <f t="shared" si="1"/>
        <v>Mon</v>
      </c>
      <c r="B318" s="69">
        <v>42926.0</v>
      </c>
      <c r="D318" s="176">
        <v>242.6</v>
      </c>
      <c r="E318" s="4" t="s">
        <v>222</v>
      </c>
      <c r="F318" s="4" t="s">
        <v>629</v>
      </c>
      <c r="I318" s="4" t="s">
        <v>395</v>
      </c>
      <c r="K318" s="4"/>
      <c r="L318" s="4" t="s">
        <v>293</v>
      </c>
    </row>
    <row r="319" hidden="1">
      <c r="A319" s="67" t="str">
        <f t="shared" si="1"/>
        <v>Tue</v>
      </c>
      <c r="B319" s="69">
        <v>42927.0</v>
      </c>
      <c r="D319" s="176">
        <v>242.6</v>
      </c>
      <c r="E319" s="4" t="s">
        <v>222</v>
      </c>
      <c r="F319" s="4" t="s">
        <v>629</v>
      </c>
      <c r="I319" s="4" t="s">
        <v>395</v>
      </c>
      <c r="K319" s="4"/>
      <c r="L319" s="4" t="s">
        <v>293</v>
      </c>
    </row>
    <row r="320" hidden="1">
      <c r="A320" s="67" t="str">
        <f t="shared" si="1"/>
        <v>Wed</v>
      </c>
      <c r="B320" s="69">
        <v>42928.0</v>
      </c>
      <c r="D320" s="171"/>
      <c r="H320" s="4" t="s">
        <v>629</v>
      </c>
    </row>
    <row r="321" hidden="1">
      <c r="A321" s="67" t="str">
        <f t="shared" si="1"/>
        <v>Thu</v>
      </c>
      <c r="B321" s="69">
        <v>42929.0</v>
      </c>
      <c r="D321" s="171"/>
    </row>
    <row r="322" hidden="1">
      <c r="A322" s="67" t="str">
        <f t="shared" si="1"/>
        <v>Fri</v>
      </c>
      <c r="B322" s="69">
        <v>42930.0</v>
      </c>
      <c r="D322" s="175">
        <v>242.33333333333334</v>
      </c>
      <c r="E322" s="4" t="s">
        <v>222</v>
      </c>
      <c r="F322" s="4" t="s">
        <v>630</v>
      </c>
      <c r="G322" s="4" t="s">
        <v>630</v>
      </c>
      <c r="I322" s="4" t="s">
        <v>395</v>
      </c>
      <c r="J322" s="4" t="s">
        <v>631</v>
      </c>
      <c r="K322" s="4"/>
      <c r="L322" s="4" t="s">
        <v>293</v>
      </c>
    </row>
    <row r="323" hidden="1">
      <c r="A323" s="67" t="str">
        <f t="shared" si="1"/>
        <v>Sat</v>
      </c>
      <c r="B323" s="69">
        <v>42931.0</v>
      </c>
      <c r="D323" s="175">
        <v>242.33333333333334</v>
      </c>
      <c r="E323" s="4" t="s">
        <v>222</v>
      </c>
      <c r="F323" s="4" t="s">
        <v>630</v>
      </c>
      <c r="I323" s="4" t="s">
        <v>395</v>
      </c>
      <c r="J323" s="4" t="s">
        <v>631</v>
      </c>
      <c r="K323" s="4"/>
      <c r="L323" s="4" t="s">
        <v>293</v>
      </c>
    </row>
    <row r="324" hidden="1">
      <c r="A324" s="67" t="str">
        <f t="shared" si="1"/>
        <v>Sun</v>
      </c>
      <c r="B324" s="69">
        <v>42932.0</v>
      </c>
      <c r="D324" s="175">
        <v>242.33333333333334</v>
      </c>
      <c r="E324" s="4" t="s">
        <v>222</v>
      </c>
      <c r="F324" s="4" t="s">
        <v>630</v>
      </c>
      <c r="I324" s="4" t="s">
        <v>395</v>
      </c>
      <c r="J324" s="4" t="s">
        <v>631</v>
      </c>
      <c r="K324" s="4"/>
      <c r="L324" s="4" t="s">
        <v>293</v>
      </c>
    </row>
    <row r="325" hidden="1">
      <c r="A325" s="67" t="str">
        <f t="shared" si="1"/>
        <v>Mon</v>
      </c>
      <c r="B325" s="69">
        <v>42933.0</v>
      </c>
      <c r="D325" s="176">
        <v>241.0</v>
      </c>
      <c r="E325" s="4" t="s">
        <v>222</v>
      </c>
      <c r="F325" s="4" t="s">
        <v>632</v>
      </c>
      <c r="G325" s="4" t="s">
        <v>632</v>
      </c>
      <c r="H325" s="4" t="s">
        <v>630</v>
      </c>
      <c r="K325" s="4"/>
      <c r="L325" s="4" t="s">
        <v>293</v>
      </c>
    </row>
    <row r="326" hidden="1">
      <c r="A326" s="67" t="str">
        <f t="shared" si="1"/>
        <v>Tue</v>
      </c>
      <c r="B326" s="69">
        <v>42934.0</v>
      </c>
      <c r="D326" s="176">
        <v>241.0</v>
      </c>
      <c r="E326" s="4" t="s">
        <v>222</v>
      </c>
      <c r="F326" s="4" t="s">
        <v>632</v>
      </c>
      <c r="K326" s="4"/>
      <c r="L326" s="4" t="s">
        <v>293</v>
      </c>
    </row>
    <row r="327" hidden="1">
      <c r="A327" s="67" t="str">
        <f t="shared" si="1"/>
        <v>Wed</v>
      </c>
      <c r="B327" s="69">
        <v>42935.0</v>
      </c>
      <c r="D327" s="171"/>
      <c r="H327" s="4" t="s">
        <v>632</v>
      </c>
    </row>
    <row r="328" hidden="1">
      <c r="A328" s="67" t="str">
        <f t="shared" si="1"/>
        <v>Thu</v>
      </c>
      <c r="B328" s="69">
        <v>42936.0</v>
      </c>
      <c r="D328" s="171"/>
    </row>
    <row r="329" hidden="1">
      <c r="A329" s="67" t="str">
        <f t="shared" si="1"/>
        <v>Fri</v>
      </c>
      <c r="B329" s="69">
        <v>42937.0</v>
      </c>
      <c r="D329" s="171"/>
    </row>
    <row r="330" hidden="1">
      <c r="A330" s="67" t="str">
        <f t="shared" si="1"/>
        <v>Sat</v>
      </c>
      <c r="B330" s="69">
        <v>42938.0</v>
      </c>
      <c r="D330" s="171"/>
    </row>
    <row r="331" hidden="1">
      <c r="A331" s="67" t="str">
        <f t="shared" si="1"/>
        <v>Sun</v>
      </c>
      <c r="B331" s="69">
        <v>42939.0</v>
      </c>
      <c r="D331" s="176">
        <v>242.25</v>
      </c>
      <c r="E331" s="4" t="s">
        <v>222</v>
      </c>
      <c r="F331" s="4" t="s">
        <v>633</v>
      </c>
      <c r="G331" s="4" t="s">
        <v>633</v>
      </c>
      <c r="I331" s="4" t="s">
        <v>395</v>
      </c>
      <c r="K331" s="4"/>
      <c r="L331" s="4" t="s">
        <v>293</v>
      </c>
    </row>
    <row r="332" hidden="1">
      <c r="A332" s="67" t="str">
        <f t="shared" si="1"/>
        <v>Mon</v>
      </c>
      <c r="B332" s="69">
        <v>42940.0</v>
      </c>
      <c r="D332" s="176">
        <v>242.25</v>
      </c>
      <c r="E332" s="4" t="s">
        <v>222</v>
      </c>
      <c r="F332" s="4" t="s">
        <v>633</v>
      </c>
      <c r="I332" s="4" t="s">
        <v>395</v>
      </c>
      <c r="K332" s="4"/>
      <c r="L332" s="4" t="s">
        <v>293</v>
      </c>
    </row>
    <row r="333" hidden="1">
      <c r="A333" s="67" t="str">
        <f t="shared" si="1"/>
        <v>Tue</v>
      </c>
      <c r="B333" s="69">
        <v>42941.0</v>
      </c>
      <c r="D333" s="176">
        <v>242.25</v>
      </c>
      <c r="E333" s="4" t="s">
        <v>222</v>
      </c>
      <c r="F333" s="4" t="s">
        <v>633</v>
      </c>
      <c r="I333" s="4" t="s">
        <v>395</v>
      </c>
      <c r="K333" s="4"/>
      <c r="L333" s="4" t="s">
        <v>293</v>
      </c>
    </row>
    <row r="334" hidden="1">
      <c r="A334" s="67" t="str">
        <f t="shared" si="1"/>
        <v>Wed</v>
      </c>
      <c r="B334" s="69">
        <v>42942.0</v>
      </c>
      <c r="D334" s="176">
        <v>242.25</v>
      </c>
      <c r="E334" s="4" t="s">
        <v>222</v>
      </c>
      <c r="F334" s="4" t="s">
        <v>633</v>
      </c>
      <c r="I334" s="4" t="s">
        <v>395</v>
      </c>
      <c r="K334" s="4"/>
      <c r="L334" s="4" t="s">
        <v>293</v>
      </c>
    </row>
    <row r="335" hidden="1">
      <c r="A335" s="67" t="str">
        <f t="shared" si="1"/>
        <v>Thu</v>
      </c>
      <c r="B335" s="69">
        <v>42943.0</v>
      </c>
      <c r="D335" s="171"/>
      <c r="H335" s="4" t="s">
        <v>633</v>
      </c>
    </row>
    <row r="336" hidden="1">
      <c r="A336" s="67" t="str">
        <f t="shared" si="1"/>
        <v>Fri</v>
      </c>
      <c r="B336" s="69">
        <v>42944.0</v>
      </c>
      <c r="D336" s="176">
        <v>242.0</v>
      </c>
      <c r="E336" s="4" t="s">
        <v>222</v>
      </c>
      <c r="F336" s="4" t="s">
        <v>634</v>
      </c>
      <c r="G336" s="4" t="s">
        <v>634</v>
      </c>
      <c r="I336" s="4" t="s">
        <v>395</v>
      </c>
      <c r="K336" s="4"/>
      <c r="L336" s="4" t="s">
        <v>293</v>
      </c>
    </row>
    <row r="337" hidden="1">
      <c r="A337" s="67" t="str">
        <f t="shared" si="1"/>
        <v>Sat</v>
      </c>
      <c r="B337" s="69">
        <v>42945.0</v>
      </c>
      <c r="D337" s="176">
        <v>242.0</v>
      </c>
      <c r="E337" s="4" t="s">
        <v>222</v>
      </c>
      <c r="F337" s="4" t="s">
        <v>634</v>
      </c>
      <c r="I337" s="4" t="s">
        <v>395</v>
      </c>
      <c r="K337" s="4"/>
      <c r="L337" s="4" t="s">
        <v>293</v>
      </c>
    </row>
    <row r="338" hidden="1">
      <c r="A338" s="67" t="str">
        <f t="shared" si="1"/>
        <v>Sun</v>
      </c>
      <c r="B338" s="69">
        <v>42946.0</v>
      </c>
      <c r="D338" s="171"/>
      <c r="H338" s="4" t="s">
        <v>634</v>
      </c>
    </row>
    <row r="339" hidden="1">
      <c r="A339" s="67" t="str">
        <f t="shared" si="1"/>
        <v>Mon</v>
      </c>
      <c r="B339" s="69">
        <v>42947.0</v>
      </c>
      <c r="D339" s="171"/>
    </row>
    <row r="340" hidden="1">
      <c r="A340" s="67" t="str">
        <f t="shared" si="1"/>
        <v>Tue</v>
      </c>
      <c r="B340" s="69">
        <v>42948.0</v>
      </c>
      <c r="D340" s="171"/>
    </row>
    <row r="341" hidden="1">
      <c r="A341" s="67" t="str">
        <f t="shared" si="1"/>
        <v>Wed</v>
      </c>
      <c r="B341" s="69">
        <v>42949.0</v>
      </c>
      <c r="D341" s="171"/>
    </row>
    <row r="342" hidden="1">
      <c r="A342" s="67" t="str">
        <f t="shared" si="1"/>
        <v>Thu</v>
      </c>
      <c r="B342" s="69">
        <v>42950.0</v>
      </c>
      <c r="D342" s="171"/>
    </row>
    <row r="343" hidden="1">
      <c r="A343" s="67" t="str">
        <f t="shared" si="1"/>
        <v>Fri</v>
      </c>
      <c r="B343" s="69">
        <v>42951.0</v>
      </c>
      <c r="D343" s="171"/>
    </row>
    <row r="344" hidden="1">
      <c r="A344" s="67" t="str">
        <f t="shared" si="1"/>
        <v>Sat</v>
      </c>
      <c r="B344" s="69">
        <v>42952.0</v>
      </c>
      <c r="D344" s="171"/>
    </row>
    <row r="345" hidden="1">
      <c r="A345" s="67" t="str">
        <f t="shared" si="1"/>
        <v>Sun</v>
      </c>
      <c r="B345" s="69">
        <v>42953.0</v>
      </c>
      <c r="D345" s="171"/>
    </row>
    <row r="346" hidden="1">
      <c r="A346" s="67" t="str">
        <f t="shared" si="1"/>
        <v>Mon</v>
      </c>
      <c r="B346" s="69">
        <v>42954.0</v>
      </c>
      <c r="D346" s="171"/>
    </row>
    <row r="347" hidden="1">
      <c r="A347" s="67" t="str">
        <f t="shared" si="1"/>
        <v>Tue</v>
      </c>
      <c r="B347" s="69">
        <v>42955.0</v>
      </c>
      <c r="D347" s="171"/>
    </row>
    <row r="348" hidden="1">
      <c r="A348" s="67" t="str">
        <f t="shared" si="1"/>
        <v>Wed</v>
      </c>
      <c r="B348" s="69">
        <v>42956.0</v>
      </c>
      <c r="D348" s="171"/>
    </row>
    <row r="349" hidden="1">
      <c r="A349" s="67" t="str">
        <f t="shared" si="1"/>
        <v>Thu</v>
      </c>
      <c r="B349" s="69">
        <v>42957.0</v>
      </c>
      <c r="D349" s="171"/>
    </row>
    <row r="350" hidden="1">
      <c r="A350" s="67" t="str">
        <f t="shared" si="1"/>
        <v>Fri</v>
      </c>
      <c r="B350" s="69">
        <v>42958.0</v>
      </c>
      <c r="D350" s="171"/>
    </row>
    <row r="351" hidden="1">
      <c r="A351" s="67" t="str">
        <f t="shared" si="1"/>
        <v>Sat</v>
      </c>
      <c r="B351" s="69">
        <v>42959.0</v>
      </c>
      <c r="D351" s="171"/>
    </row>
    <row r="352" hidden="1">
      <c r="A352" s="67" t="str">
        <f t="shared" si="1"/>
        <v>Sun</v>
      </c>
      <c r="B352" s="69">
        <v>42960.0</v>
      </c>
      <c r="D352" s="171"/>
    </row>
    <row r="353" hidden="1">
      <c r="A353" s="67" t="str">
        <f t="shared" si="1"/>
        <v>Mon</v>
      </c>
      <c r="B353" s="69">
        <v>42961.0</v>
      </c>
      <c r="D353" s="171"/>
    </row>
    <row r="354" hidden="1">
      <c r="A354" s="67" t="str">
        <f t="shared" si="1"/>
        <v>Tue</v>
      </c>
      <c r="B354" s="69">
        <v>42962.0</v>
      </c>
      <c r="D354" s="171"/>
    </row>
    <row r="355" hidden="1">
      <c r="A355" s="67" t="str">
        <f t="shared" si="1"/>
        <v>Wed</v>
      </c>
      <c r="B355" s="69">
        <v>42963.0</v>
      </c>
      <c r="D355" s="171"/>
    </row>
    <row r="356" hidden="1">
      <c r="A356" s="67" t="str">
        <f t="shared" si="1"/>
        <v>Thu</v>
      </c>
      <c r="B356" s="69">
        <v>42964.0</v>
      </c>
      <c r="D356" s="171"/>
    </row>
    <row r="357" hidden="1">
      <c r="A357" s="67" t="str">
        <f t="shared" si="1"/>
        <v>Fri</v>
      </c>
      <c r="B357" s="69">
        <v>42965.0</v>
      </c>
      <c r="D357" s="171"/>
    </row>
    <row r="358" hidden="1">
      <c r="A358" s="67" t="str">
        <f t="shared" si="1"/>
        <v>Sat</v>
      </c>
      <c r="B358" s="69">
        <v>42966.0</v>
      </c>
      <c r="D358" s="171"/>
    </row>
    <row r="359" hidden="1">
      <c r="A359" s="67" t="str">
        <f t="shared" si="1"/>
        <v>Sun</v>
      </c>
      <c r="B359" s="69">
        <v>42967.0</v>
      </c>
      <c r="D359" s="171"/>
    </row>
    <row r="360" hidden="1">
      <c r="A360" s="67" t="str">
        <f t="shared" si="1"/>
        <v>Mon</v>
      </c>
      <c r="B360" s="69">
        <v>42968.0</v>
      </c>
      <c r="D360" s="171"/>
    </row>
    <row r="361" hidden="1">
      <c r="A361" s="67" t="str">
        <f t="shared" si="1"/>
        <v>Tue</v>
      </c>
      <c r="B361" s="69">
        <v>42969.0</v>
      </c>
      <c r="D361" s="171"/>
    </row>
    <row r="362" hidden="1">
      <c r="A362" s="67" t="str">
        <f t="shared" si="1"/>
        <v>Wed</v>
      </c>
      <c r="B362" s="69">
        <v>42970.0</v>
      </c>
      <c r="D362" s="171"/>
    </row>
    <row r="363" hidden="1">
      <c r="A363" s="67" t="str">
        <f t="shared" si="1"/>
        <v>Thu</v>
      </c>
      <c r="B363" s="69">
        <v>42971.0</v>
      </c>
      <c r="D363" s="171"/>
    </row>
    <row r="364" hidden="1">
      <c r="A364" s="67" t="str">
        <f t="shared" si="1"/>
        <v>Fri</v>
      </c>
      <c r="B364" s="69">
        <v>42972.0</v>
      </c>
      <c r="D364" s="175">
        <v>242.33333333333334</v>
      </c>
      <c r="E364" s="4" t="s">
        <v>222</v>
      </c>
      <c r="F364" s="4" t="s">
        <v>635</v>
      </c>
      <c r="G364" s="4" t="s">
        <v>635</v>
      </c>
      <c r="I364" s="4" t="s">
        <v>395</v>
      </c>
      <c r="J364" s="4" t="s">
        <v>636</v>
      </c>
    </row>
    <row r="365" hidden="1">
      <c r="A365" s="67" t="str">
        <f t="shared" si="1"/>
        <v>Sat</v>
      </c>
      <c r="B365" s="69">
        <v>42973.0</v>
      </c>
      <c r="D365" s="175">
        <v>242.33333333333334</v>
      </c>
      <c r="E365" s="4" t="s">
        <v>222</v>
      </c>
      <c r="F365" s="4" t="s">
        <v>635</v>
      </c>
      <c r="I365" s="4" t="s">
        <v>395</v>
      </c>
    </row>
    <row r="366" hidden="1">
      <c r="A366" s="67" t="str">
        <f t="shared" si="1"/>
        <v>Sun</v>
      </c>
      <c r="B366" s="69">
        <v>42974.0</v>
      </c>
      <c r="D366" s="175">
        <v>242.33333333333334</v>
      </c>
      <c r="E366" s="4" t="s">
        <v>222</v>
      </c>
      <c r="F366" s="4" t="s">
        <v>635</v>
      </c>
      <c r="I366" s="4" t="s">
        <v>395</v>
      </c>
    </row>
    <row r="367" hidden="1">
      <c r="A367" s="67" t="str">
        <f t="shared" si="1"/>
        <v>Mon</v>
      </c>
      <c r="B367" s="69">
        <v>42975.0</v>
      </c>
      <c r="D367" s="171"/>
      <c r="H367" s="4" t="s">
        <v>635</v>
      </c>
    </row>
    <row r="368" hidden="1">
      <c r="A368" s="67" t="str">
        <f t="shared" si="1"/>
        <v>Tue</v>
      </c>
      <c r="B368" s="69">
        <v>42976.0</v>
      </c>
      <c r="D368" s="171"/>
    </row>
    <row r="369" hidden="1">
      <c r="A369" s="67" t="str">
        <f t="shared" si="1"/>
        <v>Wed</v>
      </c>
      <c r="B369" s="69">
        <v>42977.0</v>
      </c>
      <c r="D369" s="171"/>
    </row>
    <row r="370" hidden="1">
      <c r="A370" s="67" t="str">
        <f t="shared" si="1"/>
        <v>Thu</v>
      </c>
      <c r="B370" s="69">
        <v>42978.0</v>
      </c>
      <c r="D370" s="171"/>
    </row>
    <row r="371" hidden="1">
      <c r="A371" s="67" t="str">
        <f t="shared" si="1"/>
        <v>Fri</v>
      </c>
      <c r="B371" s="69">
        <v>42979.0</v>
      </c>
      <c r="D371" s="176">
        <v>242.5</v>
      </c>
      <c r="E371" s="4" t="s">
        <v>222</v>
      </c>
      <c r="F371" s="4" t="s">
        <v>637</v>
      </c>
      <c r="G371" s="4" t="s">
        <v>637</v>
      </c>
      <c r="I371" s="4" t="s">
        <v>395</v>
      </c>
    </row>
    <row r="372" hidden="1">
      <c r="A372" s="67" t="str">
        <f t="shared" si="1"/>
        <v>Sat</v>
      </c>
      <c r="B372" s="69">
        <v>42980.0</v>
      </c>
      <c r="D372" s="176">
        <v>242.5</v>
      </c>
      <c r="E372" s="4" t="s">
        <v>222</v>
      </c>
      <c r="F372" s="4" t="s">
        <v>637</v>
      </c>
      <c r="I372" s="4" t="s">
        <v>395</v>
      </c>
    </row>
    <row r="373" hidden="1">
      <c r="A373" s="67" t="str">
        <f t="shared" si="1"/>
        <v>Sun</v>
      </c>
      <c r="B373" s="69">
        <v>42981.0</v>
      </c>
      <c r="D373" s="171"/>
      <c r="H373" s="4" t="s">
        <v>637</v>
      </c>
    </row>
    <row r="374" hidden="1">
      <c r="A374" s="67" t="str">
        <f t="shared" si="1"/>
        <v>Mon</v>
      </c>
      <c r="B374" s="69">
        <v>42982.0</v>
      </c>
      <c r="D374" s="171"/>
    </row>
    <row r="375" hidden="1">
      <c r="A375" s="67" t="str">
        <f t="shared" si="1"/>
        <v>Tue</v>
      </c>
      <c r="B375" s="69">
        <v>42983.0</v>
      </c>
      <c r="D375" s="171"/>
    </row>
    <row r="376" hidden="1">
      <c r="A376" s="67" t="str">
        <f t="shared" si="1"/>
        <v>Wed</v>
      </c>
      <c r="B376" s="69">
        <v>42984.0</v>
      </c>
      <c r="D376" s="171"/>
    </row>
    <row r="377" hidden="1">
      <c r="A377" s="67" t="str">
        <f t="shared" si="1"/>
        <v>Thu</v>
      </c>
      <c r="B377" s="69">
        <v>42985.0</v>
      </c>
      <c r="C377" s="4" t="s">
        <v>638</v>
      </c>
      <c r="D377" s="171"/>
    </row>
    <row r="378" hidden="1">
      <c r="A378" s="67" t="str">
        <f t="shared" si="1"/>
        <v>Fri</v>
      </c>
      <c r="B378" s="69">
        <v>42986.0</v>
      </c>
      <c r="D378" s="171"/>
    </row>
    <row r="379" hidden="1">
      <c r="A379" s="67" t="str">
        <f t="shared" si="1"/>
        <v>Sat</v>
      </c>
      <c r="B379" s="69">
        <v>42987.0</v>
      </c>
      <c r="D379" s="171"/>
    </row>
    <row r="380" hidden="1">
      <c r="A380" s="67" t="str">
        <f t="shared" si="1"/>
        <v>Sun</v>
      </c>
      <c r="B380" s="69">
        <v>42988.0</v>
      </c>
      <c r="D380" s="171"/>
    </row>
    <row r="381" hidden="1">
      <c r="A381" s="67" t="str">
        <f t="shared" si="1"/>
        <v>Mon</v>
      </c>
      <c r="B381" s="69">
        <v>42989.0</v>
      </c>
      <c r="D381" s="171"/>
    </row>
    <row r="382" hidden="1">
      <c r="A382" s="67" t="str">
        <f t="shared" si="1"/>
        <v>Tue</v>
      </c>
      <c r="B382" s="69">
        <v>42990.0</v>
      </c>
      <c r="D382" s="171"/>
    </row>
    <row r="383" hidden="1">
      <c r="A383" s="67" t="str">
        <f t="shared" si="1"/>
        <v>Wed</v>
      </c>
      <c r="B383" s="69">
        <v>42991.0</v>
      </c>
      <c r="D383" s="171"/>
    </row>
    <row r="384" hidden="1">
      <c r="A384" s="67" t="str">
        <f t="shared" si="1"/>
        <v>Thu</v>
      </c>
      <c r="B384" s="69">
        <v>42992.0</v>
      </c>
      <c r="D384" s="171"/>
    </row>
    <row r="385" hidden="1">
      <c r="A385" s="67" t="str">
        <f t="shared" si="1"/>
        <v>Fri</v>
      </c>
      <c r="B385" s="69">
        <v>42993.0</v>
      </c>
      <c r="C385" s="4" t="s">
        <v>638</v>
      </c>
      <c r="D385" s="176">
        <v>338.5</v>
      </c>
      <c r="E385" s="4" t="s">
        <v>222</v>
      </c>
      <c r="F385" s="4" t="s">
        <v>639</v>
      </c>
      <c r="G385" s="4" t="s">
        <v>639</v>
      </c>
      <c r="I385" s="4" t="s">
        <v>395</v>
      </c>
    </row>
    <row r="386" hidden="1">
      <c r="A386" s="67" t="str">
        <f t="shared" si="1"/>
        <v>Sat</v>
      </c>
      <c r="B386" s="69">
        <v>42994.0</v>
      </c>
      <c r="D386" s="176">
        <v>338.5</v>
      </c>
      <c r="E386" s="4" t="s">
        <v>222</v>
      </c>
      <c r="F386" s="4" t="s">
        <v>639</v>
      </c>
      <c r="I386" s="4" t="s">
        <v>395</v>
      </c>
    </row>
    <row r="387" hidden="1">
      <c r="A387" s="67" t="str">
        <f t="shared" si="1"/>
        <v>Sun</v>
      </c>
      <c r="B387" s="69">
        <v>42995.0</v>
      </c>
      <c r="D387" s="171"/>
      <c r="H387" s="4" t="s">
        <v>639</v>
      </c>
    </row>
    <row r="388" hidden="1">
      <c r="A388" s="67" t="str">
        <f t="shared" si="1"/>
        <v>Mon</v>
      </c>
      <c r="B388" s="69">
        <v>42996.0</v>
      </c>
      <c r="D388" s="171"/>
    </row>
    <row r="389" hidden="1">
      <c r="A389" s="67" t="str">
        <f t="shared" si="1"/>
        <v>Tue</v>
      </c>
      <c r="B389" s="69">
        <v>42997.0</v>
      </c>
      <c r="D389" s="171"/>
    </row>
    <row r="390" hidden="1">
      <c r="A390" s="67" t="str">
        <f t="shared" si="1"/>
        <v>Wed</v>
      </c>
      <c r="B390" s="69">
        <v>42998.0</v>
      </c>
      <c r="D390" s="171"/>
    </row>
    <row r="391" hidden="1">
      <c r="A391" s="67" t="str">
        <f t="shared" si="1"/>
        <v>Thu</v>
      </c>
      <c r="B391" s="69">
        <v>42999.0</v>
      </c>
      <c r="D391" s="171"/>
    </row>
    <row r="392" hidden="1">
      <c r="A392" s="67" t="str">
        <f t="shared" si="1"/>
        <v>Fri</v>
      </c>
      <c r="B392" s="69">
        <v>43000.0</v>
      </c>
      <c r="D392" s="171"/>
    </row>
    <row r="393" hidden="1">
      <c r="A393" s="67" t="str">
        <f t="shared" si="1"/>
        <v>Sat</v>
      </c>
      <c r="B393" s="69">
        <v>43001.0</v>
      </c>
      <c r="D393" s="171"/>
    </row>
    <row r="394" hidden="1">
      <c r="A394" s="67" t="str">
        <f t="shared" si="1"/>
        <v>Sun</v>
      </c>
      <c r="B394" s="69">
        <v>43002.0</v>
      </c>
      <c r="D394" s="171"/>
    </row>
    <row r="395" hidden="1">
      <c r="A395" s="67" t="str">
        <f t="shared" si="1"/>
        <v>Mon</v>
      </c>
      <c r="B395" s="69">
        <v>43003.0</v>
      </c>
      <c r="D395" s="171"/>
    </row>
    <row r="396" hidden="1">
      <c r="A396" s="67" t="str">
        <f t="shared" si="1"/>
        <v>Tue</v>
      </c>
      <c r="B396" s="69">
        <v>43004.0</v>
      </c>
      <c r="D396" s="171"/>
    </row>
    <row r="397" hidden="1">
      <c r="A397" s="67" t="str">
        <f t="shared" si="1"/>
        <v>Wed</v>
      </c>
      <c r="B397" s="69">
        <v>43005.0</v>
      </c>
      <c r="D397" s="171"/>
    </row>
    <row r="398" hidden="1">
      <c r="A398" s="67" t="str">
        <f t="shared" si="1"/>
        <v>Thu</v>
      </c>
      <c r="B398" s="69">
        <v>43006.0</v>
      </c>
      <c r="D398" s="171"/>
    </row>
    <row r="399" hidden="1">
      <c r="A399" s="67" t="str">
        <f t="shared" si="1"/>
        <v>Fri</v>
      </c>
      <c r="B399" s="69">
        <v>43007.0</v>
      </c>
      <c r="D399" s="176">
        <v>242.5</v>
      </c>
      <c r="E399" s="4" t="s">
        <v>222</v>
      </c>
      <c r="F399" s="4" t="s">
        <v>640</v>
      </c>
      <c r="G399" s="4" t="s">
        <v>640</v>
      </c>
      <c r="I399" s="4" t="s">
        <v>395</v>
      </c>
      <c r="K399" s="4"/>
      <c r="L399" s="4" t="s">
        <v>293</v>
      </c>
    </row>
    <row r="400" hidden="1">
      <c r="A400" s="67" t="str">
        <f t="shared" si="1"/>
        <v>Sat</v>
      </c>
      <c r="B400" s="69">
        <v>43008.0</v>
      </c>
      <c r="D400" s="176">
        <v>242.5</v>
      </c>
      <c r="E400" s="4" t="s">
        <v>222</v>
      </c>
      <c r="F400" s="4" t="s">
        <v>640</v>
      </c>
      <c r="I400" s="4" t="s">
        <v>395</v>
      </c>
      <c r="K400" s="4"/>
      <c r="L400" s="4" t="s">
        <v>293</v>
      </c>
    </row>
    <row r="401" hidden="1">
      <c r="A401" s="67" t="str">
        <f t="shared" si="1"/>
        <v>Sun</v>
      </c>
      <c r="B401" s="69">
        <v>43009.0</v>
      </c>
      <c r="D401" s="176">
        <v>242.5</v>
      </c>
      <c r="E401" s="4" t="s">
        <v>222</v>
      </c>
      <c r="F401" s="4" t="s">
        <v>640</v>
      </c>
      <c r="I401" s="4" t="s">
        <v>395</v>
      </c>
      <c r="K401" s="4"/>
      <c r="L401" s="4" t="s">
        <v>293</v>
      </c>
    </row>
    <row r="402" hidden="1">
      <c r="A402" s="67" t="str">
        <f t="shared" si="1"/>
        <v>Mon</v>
      </c>
      <c r="B402" s="69">
        <v>43010.0</v>
      </c>
      <c r="D402" s="171"/>
      <c r="H402" s="4" t="s">
        <v>640</v>
      </c>
    </row>
    <row r="403" hidden="1">
      <c r="A403" s="67" t="str">
        <f t="shared" si="1"/>
        <v>Tue</v>
      </c>
      <c r="B403" s="69">
        <v>43011.0</v>
      </c>
      <c r="D403" s="171"/>
    </row>
    <row r="404" hidden="1">
      <c r="A404" s="67" t="str">
        <f t="shared" si="1"/>
        <v>Wed</v>
      </c>
      <c r="B404" s="69">
        <v>43012.0</v>
      </c>
      <c r="D404" s="171"/>
    </row>
    <row r="405" hidden="1">
      <c r="A405" s="67" t="str">
        <f t="shared" si="1"/>
        <v>Thu</v>
      </c>
      <c r="B405" s="69">
        <v>43013.0</v>
      </c>
      <c r="D405" s="176">
        <v>339.5</v>
      </c>
      <c r="E405" s="4" t="s">
        <v>222</v>
      </c>
      <c r="F405" s="4" t="s">
        <v>641</v>
      </c>
      <c r="G405" s="4" t="s">
        <v>641</v>
      </c>
      <c r="I405" s="4" t="s">
        <v>395</v>
      </c>
      <c r="K405" s="4"/>
      <c r="L405" s="4" t="s">
        <v>293</v>
      </c>
    </row>
    <row r="406" hidden="1">
      <c r="A406" s="67" t="str">
        <f t="shared" si="1"/>
        <v>Fri</v>
      </c>
      <c r="B406" s="69">
        <v>43014.0</v>
      </c>
      <c r="D406" s="176">
        <v>339.5</v>
      </c>
      <c r="E406" s="4" t="s">
        <v>222</v>
      </c>
      <c r="F406" s="4" t="s">
        <v>641</v>
      </c>
      <c r="I406" s="4" t="s">
        <v>395</v>
      </c>
      <c r="K406" s="4"/>
      <c r="L406" s="4" t="s">
        <v>293</v>
      </c>
    </row>
    <row r="407" hidden="1">
      <c r="A407" s="67" t="str">
        <f t="shared" si="1"/>
        <v>Sat</v>
      </c>
      <c r="B407" s="69">
        <v>43015.0</v>
      </c>
      <c r="D407" s="176">
        <v>339.5</v>
      </c>
      <c r="E407" s="4" t="s">
        <v>222</v>
      </c>
      <c r="F407" s="4" t="s">
        <v>641</v>
      </c>
      <c r="I407" s="4" t="s">
        <v>395</v>
      </c>
      <c r="K407" s="4"/>
      <c r="L407" s="4" t="s">
        <v>293</v>
      </c>
    </row>
    <row r="408" hidden="1">
      <c r="A408" s="67" t="str">
        <f t="shared" si="1"/>
        <v>Sun</v>
      </c>
      <c r="B408" s="69">
        <v>43016.0</v>
      </c>
      <c r="D408" s="171"/>
      <c r="H408" s="4" t="s">
        <v>641</v>
      </c>
    </row>
    <row r="409" hidden="1">
      <c r="A409" s="67" t="str">
        <f t="shared" si="1"/>
        <v>Mon</v>
      </c>
      <c r="B409" s="69">
        <v>43017.0</v>
      </c>
      <c r="D409" s="171"/>
    </row>
    <row r="410" hidden="1">
      <c r="A410" s="67" t="str">
        <f t="shared" si="1"/>
        <v>Tue</v>
      </c>
      <c r="B410" s="69">
        <v>43018.0</v>
      </c>
      <c r="D410" s="171"/>
    </row>
    <row r="411" hidden="1">
      <c r="A411" s="67" t="str">
        <f t="shared" si="1"/>
        <v>Wed</v>
      </c>
      <c r="B411" s="69">
        <v>43019.0</v>
      </c>
      <c r="D411" s="171"/>
    </row>
    <row r="412" hidden="1">
      <c r="A412" s="67" t="str">
        <f t="shared" si="1"/>
        <v>Thu</v>
      </c>
      <c r="B412" s="69">
        <v>43020.0</v>
      </c>
      <c r="C412" s="4" t="s">
        <v>638</v>
      </c>
      <c r="D412" s="175">
        <v>387.3333333333333</v>
      </c>
      <c r="E412" s="4" t="s">
        <v>222</v>
      </c>
      <c r="F412" s="4" t="s">
        <v>642</v>
      </c>
      <c r="G412" s="4" t="s">
        <v>642</v>
      </c>
      <c r="I412" s="4" t="s">
        <v>395</v>
      </c>
      <c r="K412" s="4"/>
      <c r="L412" s="4" t="s">
        <v>293</v>
      </c>
    </row>
    <row r="413" hidden="1">
      <c r="A413" s="67" t="str">
        <f t="shared" si="1"/>
        <v>Fri</v>
      </c>
      <c r="B413" s="69">
        <v>43021.0</v>
      </c>
      <c r="D413" s="175">
        <v>387.3333333333333</v>
      </c>
      <c r="E413" s="4" t="s">
        <v>222</v>
      </c>
      <c r="F413" s="4" t="s">
        <v>642</v>
      </c>
      <c r="I413" s="4" t="s">
        <v>395</v>
      </c>
      <c r="K413" s="4"/>
      <c r="L413" s="4" t="s">
        <v>293</v>
      </c>
    </row>
    <row r="414" hidden="1">
      <c r="A414" s="67" t="str">
        <f t="shared" si="1"/>
        <v>Sat</v>
      </c>
      <c r="B414" s="69">
        <v>43022.0</v>
      </c>
      <c r="D414" s="175">
        <v>387.3333333333333</v>
      </c>
      <c r="E414" s="4" t="s">
        <v>222</v>
      </c>
      <c r="F414" s="4" t="s">
        <v>642</v>
      </c>
      <c r="I414" s="4" t="s">
        <v>395</v>
      </c>
      <c r="K414" s="4"/>
      <c r="L414" s="4" t="s">
        <v>293</v>
      </c>
    </row>
    <row r="415" hidden="1">
      <c r="A415" s="67" t="str">
        <f t="shared" si="1"/>
        <v>Sun</v>
      </c>
      <c r="B415" s="69">
        <v>43023.0</v>
      </c>
      <c r="D415" s="171"/>
      <c r="H415" s="4" t="s">
        <v>642</v>
      </c>
    </row>
    <row r="416" hidden="1">
      <c r="A416" s="67" t="str">
        <f t="shared" si="1"/>
        <v>Mon</v>
      </c>
      <c r="B416" s="69">
        <v>43024.0</v>
      </c>
      <c r="D416" s="171"/>
    </row>
    <row r="417" hidden="1">
      <c r="A417" s="67" t="str">
        <f t="shared" si="1"/>
        <v>Tue</v>
      </c>
      <c r="B417" s="69">
        <v>43025.0</v>
      </c>
      <c r="D417" s="176">
        <v>275.0</v>
      </c>
      <c r="E417" s="4" t="s">
        <v>222</v>
      </c>
      <c r="F417" s="4" t="s">
        <v>643</v>
      </c>
      <c r="G417" s="4" t="s">
        <v>643</v>
      </c>
      <c r="I417" s="4" t="s">
        <v>395</v>
      </c>
      <c r="K417" s="4"/>
      <c r="L417" s="4" t="s">
        <v>293</v>
      </c>
    </row>
    <row r="418" hidden="1">
      <c r="A418" s="67" t="str">
        <f t="shared" si="1"/>
        <v>Wed</v>
      </c>
      <c r="B418" s="69">
        <v>43026.0</v>
      </c>
      <c r="D418" s="176">
        <v>275.0</v>
      </c>
      <c r="E418" s="4" t="s">
        <v>222</v>
      </c>
      <c r="F418" s="4" t="s">
        <v>643</v>
      </c>
      <c r="I418" s="4" t="s">
        <v>395</v>
      </c>
      <c r="K418" s="4"/>
      <c r="L418" s="4" t="s">
        <v>293</v>
      </c>
    </row>
    <row r="419" hidden="1">
      <c r="A419" s="67" t="str">
        <f t="shared" si="1"/>
        <v>Thu</v>
      </c>
      <c r="B419" s="69">
        <v>43027.0</v>
      </c>
      <c r="D419" s="176">
        <v>275.0</v>
      </c>
      <c r="E419" s="4" t="s">
        <v>222</v>
      </c>
      <c r="F419" s="4" t="s">
        <v>643</v>
      </c>
      <c r="I419" s="4" t="s">
        <v>395</v>
      </c>
      <c r="K419" s="4"/>
      <c r="L419" s="4" t="s">
        <v>293</v>
      </c>
    </row>
    <row r="420" hidden="1">
      <c r="A420" s="67" t="str">
        <f t="shared" si="1"/>
        <v>Fri</v>
      </c>
      <c r="B420" s="69">
        <v>43028.0</v>
      </c>
      <c r="D420" s="176">
        <v>275.0</v>
      </c>
      <c r="E420" s="4" t="s">
        <v>222</v>
      </c>
      <c r="F420" s="4" t="s">
        <v>643</v>
      </c>
      <c r="I420" s="4" t="s">
        <v>395</v>
      </c>
      <c r="K420" s="4"/>
      <c r="L420" s="4" t="s">
        <v>293</v>
      </c>
    </row>
    <row r="421" hidden="1">
      <c r="A421" s="67" t="str">
        <f t="shared" si="1"/>
        <v>Sat</v>
      </c>
      <c r="B421" s="69">
        <v>43029.0</v>
      </c>
      <c r="D421" s="176">
        <v>275.0</v>
      </c>
      <c r="E421" s="4" t="s">
        <v>222</v>
      </c>
      <c r="F421" s="4" t="s">
        <v>643</v>
      </c>
      <c r="I421" s="4" t="s">
        <v>395</v>
      </c>
      <c r="K421" s="4"/>
      <c r="L421" s="4" t="s">
        <v>293</v>
      </c>
    </row>
    <row r="422" hidden="1">
      <c r="A422" s="67" t="str">
        <f t="shared" si="1"/>
        <v>Sun</v>
      </c>
      <c r="B422" s="69">
        <v>43030.0</v>
      </c>
      <c r="D422" s="176">
        <v>275.0</v>
      </c>
      <c r="E422" s="4" t="s">
        <v>222</v>
      </c>
      <c r="F422" s="4" t="s">
        <v>643</v>
      </c>
      <c r="I422" s="4" t="s">
        <v>395</v>
      </c>
      <c r="K422" s="4"/>
      <c r="L422" s="4" t="s">
        <v>293</v>
      </c>
    </row>
    <row r="423" hidden="1">
      <c r="A423" s="67" t="str">
        <f t="shared" si="1"/>
        <v>Mon</v>
      </c>
      <c r="B423" s="69">
        <v>43031.0</v>
      </c>
      <c r="D423" s="176">
        <v>275.0</v>
      </c>
      <c r="E423" s="4" t="s">
        <v>222</v>
      </c>
      <c r="F423" s="4" t="s">
        <v>643</v>
      </c>
      <c r="I423" s="4" t="s">
        <v>395</v>
      </c>
      <c r="K423" s="4"/>
      <c r="L423" s="4" t="s">
        <v>293</v>
      </c>
    </row>
    <row r="424" hidden="1">
      <c r="A424" s="67" t="str">
        <f t="shared" si="1"/>
        <v>Tue</v>
      </c>
      <c r="B424" s="69">
        <v>43032.0</v>
      </c>
      <c r="D424" s="171"/>
      <c r="H424" s="4" t="s">
        <v>643</v>
      </c>
    </row>
    <row r="425" hidden="1">
      <c r="A425" s="67" t="str">
        <f t="shared" si="1"/>
        <v>Wed</v>
      </c>
      <c r="B425" s="69">
        <v>43033.0</v>
      </c>
      <c r="D425" s="171"/>
    </row>
    <row r="426" hidden="1">
      <c r="A426" s="67" t="str">
        <f t="shared" si="1"/>
        <v>Thu</v>
      </c>
      <c r="B426" s="69">
        <v>43034.0</v>
      </c>
      <c r="D426" s="171"/>
    </row>
    <row r="427" hidden="1">
      <c r="A427" s="67" t="str">
        <f t="shared" si="1"/>
        <v>Fri</v>
      </c>
      <c r="B427" s="69">
        <v>43035.0</v>
      </c>
      <c r="D427" s="176">
        <v>339.5</v>
      </c>
      <c r="E427" s="4" t="s">
        <v>222</v>
      </c>
      <c r="F427" s="4" t="s">
        <v>645</v>
      </c>
      <c r="G427" s="4" t="s">
        <v>645</v>
      </c>
      <c r="I427" s="4" t="s">
        <v>395</v>
      </c>
      <c r="K427" s="4"/>
      <c r="L427" s="4" t="s">
        <v>293</v>
      </c>
    </row>
    <row r="428" hidden="1">
      <c r="A428" s="67" t="str">
        <f t="shared" si="1"/>
        <v>Sat</v>
      </c>
      <c r="B428" s="69">
        <v>43036.0</v>
      </c>
      <c r="D428" s="176">
        <v>339.5</v>
      </c>
      <c r="E428" s="4" t="s">
        <v>222</v>
      </c>
      <c r="F428" s="4" t="s">
        <v>645</v>
      </c>
      <c r="I428" s="4" t="s">
        <v>395</v>
      </c>
      <c r="K428" s="4"/>
      <c r="L428" s="4" t="s">
        <v>293</v>
      </c>
    </row>
    <row r="429" hidden="1">
      <c r="A429" s="67" t="str">
        <f t="shared" si="1"/>
        <v>Sun</v>
      </c>
      <c r="B429" s="69">
        <v>43037.0</v>
      </c>
      <c r="D429" s="171"/>
      <c r="H429" s="4" t="s">
        <v>645</v>
      </c>
    </row>
    <row r="430" hidden="1">
      <c r="A430" s="67" t="str">
        <f t="shared" si="1"/>
        <v>Mon</v>
      </c>
      <c r="B430" s="69">
        <v>43038.0</v>
      </c>
      <c r="D430" s="175">
        <v>400.125</v>
      </c>
      <c r="F430" s="4" t="s">
        <v>646</v>
      </c>
      <c r="G430" s="4" t="s">
        <v>646</v>
      </c>
      <c r="K430" s="4"/>
      <c r="L430" s="4" t="s">
        <v>293</v>
      </c>
    </row>
    <row r="431" hidden="1">
      <c r="A431" s="67" t="str">
        <f t="shared" si="1"/>
        <v>Tue</v>
      </c>
      <c r="B431" s="69">
        <v>43039.0</v>
      </c>
      <c r="D431" s="175">
        <v>400.125</v>
      </c>
      <c r="F431" s="4" t="s">
        <v>646</v>
      </c>
      <c r="K431" s="4"/>
      <c r="L431" s="4" t="s">
        <v>293</v>
      </c>
    </row>
    <row r="432" hidden="1">
      <c r="A432" s="67" t="str">
        <f t="shared" si="1"/>
        <v>Wed</v>
      </c>
      <c r="B432" s="69">
        <v>43040.0</v>
      </c>
      <c r="D432" s="175">
        <v>400.125</v>
      </c>
      <c r="F432" s="4" t="s">
        <v>646</v>
      </c>
      <c r="K432" s="4"/>
      <c r="L432" s="4" t="s">
        <v>293</v>
      </c>
    </row>
    <row r="433" hidden="1">
      <c r="A433" s="67" t="str">
        <f t="shared" si="1"/>
        <v>Thu</v>
      </c>
      <c r="B433" s="69">
        <v>43041.0</v>
      </c>
      <c r="C433" s="4" t="s">
        <v>638</v>
      </c>
      <c r="D433" s="175">
        <v>400.125</v>
      </c>
      <c r="F433" s="4" t="s">
        <v>646</v>
      </c>
      <c r="K433" s="4"/>
      <c r="L433" s="4" t="s">
        <v>293</v>
      </c>
    </row>
    <row r="434" hidden="1">
      <c r="A434" s="67" t="str">
        <f t="shared" si="1"/>
        <v>Fri</v>
      </c>
      <c r="B434" s="69">
        <v>43042.0</v>
      </c>
      <c r="D434" s="175">
        <v>413.8666666666666</v>
      </c>
      <c r="F434" s="4" t="s">
        <v>647</v>
      </c>
      <c r="H434" s="4" t="s">
        <v>646</v>
      </c>
      <c r="J434" s="4" t="s">
        <v>648</v>
      </c>
      <c r="K434" s="4"/>
      <c r="L434" s="4" t="s">
        <v>293</v>
      </c>
    </row>
    <row r="435" hidden="1">
      <c r="A435" s="67" t="str">
        <f t="shared" si="1"/>
        <v>Sat</v>
      </c>
      <c r="B435" s="69">
        <v>43043.0</v>
      </c>
      <c r="D435" s="175">
        <v>413.8666666666666</v>
      </c>
      <c r="F435" s="4" t="s">
        <v>647</v>
      </c>
      <c r="J435" s="4" t="s">
        <v>648</v>
      </c>
      <c r="K435" s="4"/>
      <c r="L435" s="4" t="s">
        <v>293</v>
      </c>
    </row>
    <row r="436" hidden="1">
      <c r="A436" s="67" t="str">
        <f t="shared" si="1"/>
        <v>Sun</v>
      </c>
      <c r="B436" s="69">
        <v>43044.0</v>
      </c>
      <c r="D436" s="175">
        <v>413.8666666666666</v>
      </c>
      <c r="F436" s="4" t="s">
        <v>647</v>
      </c>
      <c r="J436" s="4" t="s">
        <v>648</v>
      </c>
      <c r="K436" s="4"/>
      <c r="L436" s="4" t="s">
        <v>293</v>
      </c>
    </row>
    <row r="437" hidden="1">
      <c r="A437" s="67" t="str">
        <f t="shared" si="1"/>
        <v>Mon</v>
      </c>
      <c r="B437" s="69">
        <v>43045.0</v>
      </c>
      <c r="D437" s="175">
        <v>413.8666666666666</v>
      </c>
      <c r="F437" s="4" t="s">
        <v>647</v>
      </c>
      <c r="J437" s="4" t="s">
        <v>648</v>
      </c>
      <c r="K437" s="4"/>
      <c r="L437" s="4" t="s">
        <v>293</v>
      </c>
    </row>
    <row r="438" hidden="1">
      <c r="A438" s="67" t="str">
        <f t="shared" si="1"/>
        <v>Tue</v>
      </c>
      <c r="B438" s="69">
        <v>43046.0</v>
      </c>
      <c r="D438" s="175">
        <v>413.8666666666666</v>
      </c>
      <c r="F438" s="4" t="s">
        <v>647</v>
      </c>
      <c r="J438" s="4" t="s">
        <v>648</v>
      </c>
      <c r="K438" s="4"/>
      <c r="L438" s="4" t="s">
        <v>293</v>
      </c>
    </row>
    <row r="439" hidden="1">
      <c r="A439" s="67" t="str">
        <f t="shared" si="1"/>
        <v>Wed</v>
      </c>
      <c r="B439" s="69">
        <v>43047.0</v>
      </c>
      <c r="D439" s="175">
        <v>413.8666666666666</v>
      </c>
      <c r="F439" s="4" t="s">
        <v>647</v>
      </c>
      <c r="J439" s="4" t="s">
        <v>648</v>
      </c>
      <c r="K439" s="4"/>
      <c r="L439" s="4" t="s">
        <v>293</v>
      </c>
    </row>
    <row r="440" hidden="1">
      <c r="A440" s="67" t="str">
        <f t="shared" si="1"/>
        <v>Thu</v>
      </c>
      <c r="B440" s="69">
        <v>43048.0</v>
      </c>
      <c r="D440" s="171"/>
      <c r="H440" s="4" t="s">
        <v>647</v>
      </c>
    </row>
    <row r="441" hidden="1">
      <c r="A441" s="67" t="str">
        <f t="shared" si="1"/>
        <v>Fri</v>
      </c>
      <c r="B441" s="69">
        <v>43049.0</v>
      </c>
      <c r="D441" s="176">
        <v>339.5</v>
      </c>
      <c r="E441" s="4" t="s">
        <v>222</v>
      </c>
      <c r="F441" s="4" t="s">
        <v>649</v>
      </c>
      <c r="G441" s="4" t="s">
        <v>649</v>
      </c>
      <c r="I441" s="4" t="s">
        <v>395</v>
      </c>
      <c r="J441" s="4" t="s">
        <v>650</v>
      </c>
    </row>
    <row r="442" hidden="1">
      <c r="A442" s="67" t="str">
        <f t="shared" si="1"/>
        <v>Sat</v>
      </c>
      <c r="B442" s="69">
        <v>43050.0</v>
      </c>
      <c r="D442" s="176">
        <v>339.5</v>
      </c>
      <c r="E442" s="4" t="s">
        <v>222</v>
      </c>
      <c r="F442" s="4" t="s">
        <v>649</v>
      </c>
      <c r="I442" s="4" t="s">
        <v>395</v>
      </c>
      <c r="J442" s="4" t="s">
        <v>650</v>
      </c>
    </row>
    <row r="443" hidden="1">
      <c r="A443" s="67" t="str">
        <f t="shared" si="1"/>
        <v>Sun</v>
      </c>
      <c r="B443" s="69">
        <v>43051.0</v>
      </c>
      <c r="D443" s="171"/>
      <c r="H443" s="4" t="s">
        <v>649</v>
      </c>
    </row>
    <row r="444" hidden="1">
      <c r="A444" s="67" t="str">
        <f t="shared" si="1"/>
        <v>Mon</v>
      </c>
      <c r="B444" s="69">
        <v>43052.0</v>
      </c>
      <c r="D444" s="171"/>
    </row>
    <row r="445" hidden="1">
      <c r="A445" s="67" t="str">
        <f t="shared" si="1"/>
        <v>Tue</v>
      </c>
      <c r="B445" s="69">
        <v>43053.0</v>
      </c>
      <c r="D445" s="171"/>
    </row>
    <row r="446" hidden="1">
      <c r="A446" s="67" t="str">
        <f t="shared" si="1"/>
        <v>Wed</v>
      </c>
      <c r="B446" s="69">
        <v>43054.0</v>
      </c>
      <c r="C446" s="4" t="s">
        <v>638</v>
      </c>
      <c r="D446" s="171"/>
    </row>
    <row r="447" hidden="1">
      <c r="A447" s="67" t="str">
        <f t="shared" si="1"/>
        <v>Thu</v>
      </c>
      <c r="B447" s="69">
        <v>43055.0</v>
      </c>
      <c r="D447" s="171"/>
    </row>
    <row r="448" hidden="1">
      <c r="A448" s="67" t="str">
        <f t="shared" si="1"/>
        <v>Fri</v>
      </c>
      <c r="B448" s="69">
        <v>43056.0</v>
      </c>
      <c r="D448" s="176">
        <v>290.8</v>
      </c>
      <c r="E448" s="4" t="s">
        <v>222</v>
      </c>
      <c r="F448" s="4" t="s">
        <v>652</v>
      </c>
      <c r="G448" s="4" t="s">
        <v>652</v>
      </c>
      <c r="I448" s="4" t="s">
        <v>395</v>
      </c>
    </row>
    <row r="449" hidden="1">
      <c r="A449" s="67" t="str">
        <f t="shared" si="1"/>
        <v>Sat</v>
      </c>
      <c r="B449" s="69">
        <v>43057.0</v>
      </c>
      <c r="D449" s="176">
        <v>290.8</v>
      </c>
      <c r="E449" s="4" t="s">
        <v>222</v>
      </c>
      <c r="F449" s="4" t="s">
        <v>652</v>
      </c>
      <c r="I449" s="4" t="s">
        <v>395</v>
      </c>
    </row>
    <row r="450" hidden="1">
      <c r="A450" s="67" t="str">
        <f t="shared" si="1"/>
        <v>Sun</v>
      </c>
      <c r="B450" s="69">
        <v>43058.0</v>
      </c>
      <c r="D450" s="176">
        <v>290.8</v>
      </c>
      <c r="E450" s="4" t="s">
        <v>222</v>
      </c>
      <c r="F450" s="4" t="s">
        <v>652</v>
      </c>
      <c r="I450" s="4" t="s">
        <v>395</v>
      </c>
    </row>
    <row r="451" hidden="1">
      <c r="A451" s="67" t="str">
        <f t="shared" si="1"/>
        <v>Mon</v>
      </c>
      <c r="B451" s="69">
        <v>43059.0</v>
      </c>
      <c r="D451" s="176">
        <v>290.8</v>
      </c>
      <c r="E451" s="4" t="s">
        <v>222</v>
      </c>
      <c r="F451" s="4" t="s">
        <v>652</v>
      </c>
      <c r="I451" s="4" t="s">
        <v>395</v>
      </c>
    </row>
    <row r="452" hidden="1">
      <c r="A452" s="67" t="str">
        <f t="shared" si="1"/>
        <v>Tue</v>
      </c>
      <c r="B452" s="69">
        <v>43060.0</v>
      </c>
      <c r="D452" s="176">
        <v>290.8</v>
      </c>
      <c r="E452" s="4" t="s">
        <v>222</v>
      </c>
      <c r="F452" s="4" t="s">
        <v>652</v>
      </c>
      <c r="I452" s="4" t="s">
        <v>395</v>
      </c>
    </row>
    <row r="453" hidden="1">
      <c r="A453" s="67" t="str">
        <f t="shared" si="1"/>
        <v>Wed</v>
      </c>
      <c r="B453" s="69">
        <v>43061.0</v>
      </c>
      <c r="D453" s="176">
        <v>290.8</v>
      </c>
      <c r="E453" s="4" t="s">
        <v>222</v>
      </c>
      <c r="F453" s="4" t="s">
        <v>652</v>
      </c>
      <c r="I453" s="4" t="s">
        <v>395</v>
      </c>
    </row>
    <row r="454" hidden="1">
      <c r="A454" s="67" t="str">
        <f t="shared" si="1"/>
        <v>Thu</v>
      </c>
      <c r="B454" s="69">
        <v>43062.0</v>
      </c>
      <c r="D454" s="176">
        <v>290.8</v>
      </c>
      <c r="E454" s="4" t="s">
        <v>222</v>
      </c>
      <c r="F454" s="4" t="s">
        <v>652</v>
      </c>
      <c r="I454" s="4" t="s">
        <v>395</v>
      </c>
    </row>
    <row r="455" hidden="1">
      <c r="A455" s="67" t="str">
        <f t="shared" si="1"/>
        <v>Fri</v>
      </c>
      <c r="B455" s="69">
        <v>43063.0</v>
      </c>
      <c r="D455" s="176">
        <v>290.8</v>
      </c>
      <c r="E455" s="4" t="s">
        <v>222</v>
      </c>
      <c r="F455" s="4" t="s">
        <v>652</v>
      </c>
      <c r="I455" s="4" t="s">
        <v>395</v>
      </c>
    </row>
    <row r="456" hidden="1">
      <c r="A456" s="67" t="str">
        <f t="shared" si="1"/>
        <v>Sat</v>
      </c>
      <c r="B456" s="69">
        <v>43064.0</v>
      </c>
      <c r="D456" s="176">
        <v>290.8</v>
      </c>
      <c r="E456" s="4" t="s">
        <v>222</v>
      </c>
      <c r="F456" s="4" t="s">
        <v>652</v>
      </c>
      <c r="I456" s="4" t="s">
        <v>395</v>
      </c>
    </row>
    <row r="457" hidden="1">
      <c r="A457" s="67" t="str">
        <f t="shared" si="1"/>
        <v>Sun</v>
      </c>
      <c r="B457" s="69">
        <v>43065.0</v>
      </c>
      <c r="D457" s="176">
        <v>290.8</v>
      </c>
      <c r="E457" s="4" t="s">
        <v>222</v>
      </c>
      <c r="F457" s="4" t="s">
        <v>652</v>
      </c>
      <c r="I457" s="4" t="s">
        <v>395</v>
      </c>
    </row>
    <row r="458" hidden="1">
      <c r="A458" s="67" t="str">
        <f t="shared" si="1"/>
        <v>Mon</v>
      </c>
      <c r="B458" s="69">
        <v>43066.0</v>
      </c>
      <c r="D458" s="171"/>
      <c r="H458" s="4" t="s">
        <v>652</v>
      </c>
    </row>
    <row r="459" hidden="1">
      <c r="A459" s="67" t="str">
        <f t="shared" si="1"/>
        <v>Tue</v>
      </c>
      <c r="B459" s="69">
        <v>43067.0</v>
      </c>
      <c r="D459" s="171"/>
    </row>
    <row r="460" hidden="1">
      <c r="A460" s="67" t="str">
        <f t="shared" si="1"/>
        <v>Wed</v>
      </c>
      <c r="B460" s="69">
        <v>43068.0</v>
      </c>
      <c r="D460" s="171"/>
    </row>
    <row r="461" hidden="1">
      <c r="A461" s="67" t="str">
        <f t="shared" si="1"/>
        <v>Thu</v>
      </c>
      <c r="B461" s="69">
        <v>43069.0</v>
      </c>
      <c r="D461" s="171"/>
    </row>
    <row r="462" hidden="1">
      <c r="A462" s="67" t="str">
        <f t="shared" si="1"/>
        <v>Fri</v>
      </c>
      <c r="B462" s="69">
        <v>43070.0</v>
      </c>
      <c r="D462" s="176">
        <v>388.0</v>
      </c>
      <c r="E462" s="4" t="s">
        <v>222</v>
      </c>
      <c r="F462" s="4" t="s">
        <v>653</v>
      </c>
      <c r="G462" s="4" t="s">
        <v>653</v>
      </c>
      <c r="I462" s="4" t="s">
        <v>395</v>
      </c>
      <c r="K462" s="4"/>
      <c r="L462" s="4" t="s">
        <v>293</v>
      </c>
    </row>
    <row r="463" hidden="1">
      <c r="A463" s="67" t="str">
        <f t="shared" si="1"/>
        <v>Sat</v>
      </c>
      <c r="B463" s="69">
        <v>43071.0</v>
      </c>
      <c r="D463" s="176">
        <v>388.0</v>
      </c>
      <c r="E463" s="4" t="s">
        <v>222</v>
      </c>
      <c r="F463" s="4" t="s">
        <v>653</v>
      </c>
      <c r="I463" s="4" t="s">
        <v>395</v>
      </c>
      <c r="K463" s="4"/>
      <c r="L463" s="4" t="s">
        <v>293</v>
      </c>
    </row>
    <row r="464" hidden="1">
      <c r="A464" s="67" t="str">
        <f t="shared" si="1"/>
        <v>Sun</v>
      </c>
      <c r="B464" s="69">
        <v>43072.0</v>
      </c>
      <c r="D464" s="171"/>
      <c r="H464" s="4" t="s">
        <v>653</v>
      </c>
    </row>
    <row r="465" hidden="1">
      <c r="A465" s="67" t="str">
        <f t="shared" si="1"/>
        <v>Mon</v>
      </c>
      <c r="B465" s="69">
        <v>43073.0</v>
      </c>
      <c r="D465" s="171"/>
    </row>
    <row r="466" hidden="1">
      <c r="A466" s="67" t="str">
        <f t="shared" si="1"/>
        <v>Tue</v>
      </c>
      <c r="B466" s="69">
        <v>43074.0</v>
      </c>
      <c r="D466" s="171"/>
    </row>
    <row r="467" hidden="1">
      <c r="A467" s="67" t="str">
        <f t="shared" si="1"/>
        <v>Wed</v>
      </c>
      <c r="B467" s="69">
        <v>43075.0</v>
      </c>
      <c r="D467" s="171"/>
    </row>
    <row r="468" hidden="1">
      <c r="A468" s="67" t="str">
        <f t="shared" si="1"/>
        <v>Thu</v>
      </c>
      <c r="B468" s="69">
        <v>43076.0</v>
      </c>
      <c r="D468" s="176">
        <v>193.5</v>
      </c>
      <c r="E468" s="4" t="s">
        <v>222</v>
      </c>
      <c r="F468" s="4" t="s">
        <v>654</v>
      </c>
      <c r="G468" s="4" t="s">
        <v>654</v>
      </c>
      <c r="I468" s="4" t="s">
        <v>395</v>
      </c>
      <c r="K468" s="4"/>
      <c r="L468" s="4" t="s">
        <v>293</v>
      </c>
    </row>
    <row r="469" hidden="1">
      <c r="A469" s="67" t="str">
        <f t="shared" si="1"/>
        <v>Fri</v>
      </c>
      <c r="B469" s="69">
        <v>43077.0</v>
      </c>
      <c r="D469" s="176">
        <v>193.5</v>
      </c>
      <c r="E469" s="4" t="s">
        <v>222</v>
      </c>
      <c r="F469" s="4" t="s">
        <v>654</v>
      </c>
      <c r="I469" s="4" t="s">
        <v>395</v>
      </c>
      <c r="K469" s="4"/>
      <c r="L469" s="4" t="s">
        <v>293</v>
      </c>
    </row>
    <row r="470" hidden="1">
      <c r="A470" s="67" t="str">
        <f t="shared" si="1"/>
        <v>Sat</v>
      </c>
      <c r="B470" s="69">
        <v>43078.0</v>
      </c>
      <c r="D470" s="176">
        <v>314.0</v>
      </c>
      <c r="E470" s="4" t="s">
        <v>222</v>
      </c>
      <c r="F470" s="4" t="s">
        <v>655</v>
      </c>
      <c r="G470" s="4" t="s">
        <v>655</v>
      </c>
      <c r="H470" s="4" t="s">
        <v>654</v>
      </c>
      <c r="I470" s="4" t="s">
        <v>395</v>
      </c>
      <c r="K470" s="4"/>
      <c r="L470" s="4" t="s">
        <v>293</v>
      </c>
    </row>
    <row r="471" hidden="1">
      <c r="A471" s="67" t="str">
        <f t="shared" si="1"/>
        <v>Sun</v>
      </c>
      <c r="B471" s="69">
        <v>43079.0</v>
      </c>
      <c r="D471" s="176">
        <v>314.0</v>
      </c>
      <c r="E471" s="4" t="s">
        <v>222</v>
      </c>
      <c r="F471" s="4" t="s">
        <v>655</v>
      </c>
      <c r="I471" s="4" t="s">
        <v>395</v>
      </c>
      <c r="K471" s="4"/>
      <c r="L471" s="4" t="s">
        <v>293</v>
      </c>
    </row>
    <row r="472" hidden="1">
      <c r="A472" s="67" t="str">
        <f t="shared" si="1"/>
        <v>Mon</v>
      </c>
      <c r="B472" s="69">
        <v>43080.0</v>
      </c>
      <c r="D472" s="176">
        <v>314.0</v>
      </c>
      <c r="E472" s="4" t="s">
        <v>222</v>
      </c>
      <c r="F472" s="4" t="s">
        <v>655</v>
      </c>
      <c r="I472" s="4" t="s">
        <v>395</v>
      </c>
      <c r="K472" s="4"/>
      <c r="L472" s="4" t="s">
        <v>293</v>
      </c>
    </row>
    <row r="473" hidden="1">
      <c r="A473" s="67" t="str">
        <f t="shared" si="1"/>
        <v>Tue</v>
      </c>
      <c r="B473" s="69">
        <v>43081.0</v>
      </c>
      <c r="D473" s="176">
        <v>314.0</v>
      </c>
      <c r="E473" s="4" t="s">
        <v>222</v>
      </c>
      <c r="F473" s="4" t="s">
        <v>655</v>
      </c>
      <c r="I473" s="4" t="s">
        <v>395</v>
      </c>
      <c r="K473" s="4"/>
      <c r="L473" s="4" t="s">
        <v>293</v>
      </c>
    </row>
    <row r="474" hidden="1">
      <c r="A474" s="67" t="str">
        <f t="shared" si="1"/>
        <v>Wed</v>
      </c>
      <c r="B474" s="69">
        <v>43082.0</v>
      </c>
      <c r="D474" s="176">
        <v>314.0</v>
      </c>
      <c r="E474" s="4" t="s">
        <v>222</v>
      </c>
      <c r="F474" s="4" t="s">
        <v>655</v>
      </c>
      <c r="I474" s="4" t="s">
        <v>395</v>
      </c>
      <c r="K474" s="4"/>
      <c r="L474" s="4" t="s">
        <v>293</v>
      </c>
    </row>
    <row r="475" hidden="1">
      <c r="A475" s="67" t="str">
        <f t="shared" si="1"/>
        <v>Thu</v>
      </c>
      <c r="B475" s="69">
        <v>43083.0</v>
      </c>
      <c r="D475" s="176">
        <v>314.0</v>
      </c>
      <c r="E475" s="4" t="s">
        <v>222</v>
      </c>
      <c r="F475" s="4" t="s">
        <v>655</v>
      </c>
      <c r="I475" s="4" t="s">
        <v>395</v>
      </c>
      <c r="K475" s="4"/>
      <c r="L475" s="4" t="s">
        <v>293</v>
      </c>
    </row>
    <row r="476" hidden="1">
      <c r="A476" s="67" t="str">
        <f t="shared" si="1"/>
        <v>Fri</v>
      </c>
      <c r="B476" s="69">
        <v>43084.0</v>
      </c>
      <c r="D476" s="176">
        <v>314.0</v>
      </c>
      <c r="E476" s="4" t="s">
        <v>222</v>
      </c>
      <c r="F476" s="4" t="s">
        <v>655</v>
      </c>
      <c r="I476" s="4" t="s">
        <v>395</v>
      </c>
      <c r="K476" s="4"/>
      <c r="L476" s="4" t="s">
        <v>293</v>
      </c>
    </row>
    <row r="477" hidden="1">
      <c r="A477" s="67" t="str">
        <f t="shared" si="1"/>
        <v>Sat</v>
      </c>
      <c r="B477" s="69">
        <v>43085.0</v>
      </c>
      <c r="D477" s="176">
        <v>314.0</v>
      </c>
      <c r="E477" s="4" t="s">
        <v>222</v>
      </c>
      <c r="F477" s="4" t="s">
        <v>655</v>
      </c>
      <c r="I477" s="4" t="s">
        <v>395</v>
      </c>
      <c r="K477" s="4"/>
      <c r="L477" s="4" t="s">
        <v>293</v>
      </c>
    </row>
    <row r="478" hidden="1">
      <c r="A478" s="67" t="str">
        <f t="shared" si="1"/>
        <v>Sun</v>
      </c>
      <c r="B478" s="69">
        <v>43086.0</v>
      </c>
      <c r="D478" s="176">
        <v>193.5</v>
      </c>
      <c r="E478" s="4" t="s">
        <v>222</v>
      </c>
      <c r="F478" s="4" t="s">
        <v>656</v>
      </c>
      <c r="G478" s="4" t="s">
        <v>656</v>
      </c>
      <c r="H478" s="4" t="s">
        <v>655</v>
      </c>
      <c r="I478" s="4" t="s">
        <v>395</v>
      </c>
    </row>
    <row r="479" hidden="1">
      <c r="A479" s="67" t="str">
        <f t="shared" si="1"/>
        <v>Mon</v>
      </c>
      <c r="B479" s="69">
        <v>43087.0</v>
      </c>
      <c r="D479" s="176">
        <v>193.5</v>
      </c>
      <c r="E479" s="4" t="s">
        <v>222</v>
      </c>
      <c r="F479" s="4" t="s">
        <v>656</v>
      </c>
      <c r="I479" s="4" t="s">
        <v>395</v>
      </c>
    </row>
    <row r="480" hidden="1">
      <c r="A480" s="67" t="str">
        <f t="shared" si="1"/>
        <v>Tue</v>
      </c>
      <c r="B480" s="69">
        <v>43088.0</v>
      </c>
      <c r="D480" s="175">
        <v>487.134</v>
      </c>
      <c r="E480" s="4" t="s">
        <v>222</v>
      </c>
      <c r="F480" s="4" t="s">
        <v>657</v>
      </c>
      <c r="G480" s="4" t="s">
        <v>657</v>
      </c>
      <c r="H480" s="4" t="s">
        <v>656</v>
      </c>
      <c r="I480" s="4" t="s">
        <v>395</v>
      </c>
      <c r="K480" s="4"/>
      <c r="L480" s="4" t="s">
        <v>293</v>
      </c>
    </row>
    <row r="481" hidden="1">
      <c r="A481" s="67" t="str">
        <f t="shared" si="1"/>
        <v>Wed</v>
      </c>
      <c r="B481" s="69">
        <v>43089.0</v>
      </c>
      <c r="D481" s="175">
        <v>487.134</v>
      </c>
      <c r="E481" s="4" t="s">
        <v>222</v>
      </c>
      <c r="F481" s="4" t="s">
        <v>657</v>
      </c>
      <c r="I481" s="4" t="s">
        <v>395</v>
      </c>
      <c r="K481" s="4"/>
      <c r="L481" s="4" t="s">
        <v>293</v>
      </c>
    </row>
    <row r="482" hidden="1">
      <c r="A482" s="67" t="str">
        <f t="shared" si="1"/>
        <v>Thu</v>
      </c>
      <c r="B482" s="69">
        <v>43090.0</v>
      </c>
      <c r="D482" s="175">
        <v>487.134</v>
      </c>
      <c r="E482" s="4" t="s">
        <v>222</v>
      </c>
      <c r="F482" s="4" t="s">
        <v>657</v>
      </c>
      <c r="I482" s="4" t="s">
        <v>395</v>
      </c>
      <c r="K482" s="4"/>
      <c r="L482" s="4" t="s">
        <v>293</v>
      </c>
    </row>
    <row r="483" hidden="1">
      <c r="A483" s="67" t="str">
        <f t="shared" si="1"/>
        <v>Fri</v>
      </c>
      <c r="B483" s="69">
        <v>43091.0</v>
      </c>
      <c r="D483" s="175">
        <v>487.134</v>
      </c>
      <c r="E483" s="4" t="s">
        <v>222</v>
      </c>
      <c r="F483" s="4" t="s">
        <v>657</v>
      </c>
      <c r="I483" s="4" t="s">
        <v>395</v>
      </c>
      <c r="K483" s="4"/>
      <c r="L483" s="4" t="s">
        <v>293</v>
      </c>
    </row>
    <row r="484" hidden="1">
      <c r="A484" s="67" t="str">
        <f t="shared" si="1"/>
        <v>Sat</v>
      </c>
      <c r="B484" s="69">
        <v>43092.0</v>
      </c>
      <c r="D484" s="175">
        <v>487.134</v>
      </c>
      <c r="E484" s="4" t="s">
        <v>222</v>
      </c>
      <c r="F484" s="4" t="s">
        <v>657</v>
      </c>
      <c r="I484" s="4" t="s">
        <v>395</v>
      </c>
      <c r="K484" s="4"/>
      <c r="L484" s="4" t="s">
        <v>293</v>
      </c>
    </row>
    <row r="485" hidden="1">
      <c r="A485" s="67" t="str">
        <f t="shared" si="1"/>
        <v>Sun</v>
      </c>
      <c r="B485" s="69">
        <v>43093.0</v>
      </c>
      <c r="D485" s="175">
        <v>487.134</v>
      </c>
      <c r="E485" s="4" t="s">
        <v>222</v>
      </c>
      <c r="F485" s="4" t="s">
        <v>657</v>
      </c>
      <c r="I485" s="4" t="s">
        <v>395</v>
      </c>
      <c r="K485" s="4"/>
      <c r="L485" s="4" t="s">
        <v>293</v>
      </c>
    </row>
    <row r="486" hidden="1">
      <c r="A486" s="67" t="str">
        <f t="shared" si="1"/>
        <v>Mon</v>
      </c>
      <c r="B486" s="69">
        <v>43094.0</v>
      </c>
      <c r="D486" s="175">
        <v>487.134</v>
      </c>
      <c r="E486" s="4" t="s">
        <v>222</v>
      </c>
      <c r="F486" s="4" t="s">
        <v>657</v>
      </c>
      <c r="I486" s="4" t="s">
        <v>395</v>
      </c>
      <c r="K486" s="4"/>
      <c r="L486" s="4" t="s">
        <v>293</v>
      </c>
    </row>
    <row r="487" hidden="1">
      <c r="A487" s="67" t="str">
        <f t="shared" si="1"/>
        <v>Tue</v>
      </c>
      <c r="B487" s="69">
        <v>43095.0</v>
      </c>
      <c r="D487" s="175">
        <v>487.134</v>
      </c>
      <c r="E487" s="4" t="s">
        <v>222</v>
      </c>
      <c r="F487" s="4" t="s">
        <v>657</v>
      </c>
      <c r="I487" s="4" t="s">
        <v>395</v>
      </c>
      <c r="K487" s="4"/>
      <c r="L487" s="4" t="s">
        <v>293</v>
      </c>
    </row>
    <row r="488" hidden="1">
      <c r="A488" s="67" t="str">
        <f t="shared" si="1"/>
        <v>Wed</v>
      </c>
      <c r="B488" s="69">
        <v>43096.0</v>
      </c>
      <c r="D488" s="175">
        <v>487.134</v>
      </c>
      <c r="E488" s="4" t="s">
        <v>222</v>
      </c>
      <c r="F488" s="4" t="s">
        <v>657</v>
      </c>
      <c r="I488" s="4" t="s">
        <v>395</v>
      </c>
      <c r="K488" s="4"/>
      <c r="L488" s="4" t="s">
        <v>293</v>
      </c>
    </row>
    <row r="489" hidden="1">
      <c r="A489" s="67" t="str">
        <f t="shared" si="1"/>
        <v>Thu</v>
      </c>
      <c r="B489" s="69">
        <v>43097.0</v>
      </c>
      <c r="D489" s="175">
        <v>487.134</v>
      </c>
      <c r="E489" s="4" t="s">
        <v>222</v>
      </c>
      <c r="F489" s="4" t="s">
        <v>657</v>
      </c>
      <c r="I489" s="4" t="s">
        <v>395</v>
      </c>
      <c r="K489" s="4"/>
      <c r="L489" s="4" t="s">
        <v>293</v>
      </c>
    </row>
    <row r="490" hidden="1">
      <c r="A490" s="67" t="str">
        <f t="shared" si="1"/>
        <v>Fri</v>
      </c>
      <c r="B490" s="69">
        <v>43098.0</v>
      </c>
      <c r="C490" s="4" t="s">
        <v>638</v>
      </c>
      <c r="D490" s="176">
        <v>1500.0</v>
      </c>
      <c r="E490" s="4" t="s">
        <v>337</v>
      </c>
      <c r="F490" s="4" t="s">
        <v>658</v>
      </c>
      <c r="G490" s="4" t="s">
        <v>658</v>
      </c>
      <c r="H490" s="4" t="s">
        <v>657</v>
      </c>
      <c r="I490" s="4" t="s">
        <v>395</v>
      </c>
      <c r="J490" s="4" t="s">
        <v>495</v>
      </c>
      <c r="K490" s="4"/>
      <c r="L490" s="4" t="s">
        <v>293</v>
      </c>
    </row>
    <row r="491" hidden="1">
      <c r="A491" s="67" t="str">
        <f t="shared" si="1"/>
        <v>Sat</v>
      </c>
      <c r="B491" s="69">
        <v>43099.0</v>
      </c>
      <c r="C491" s="4" t="s">
        <v>638</v>
      </c>
      <c r="D491" s="176">
        <v>1500.0</v>
      </c>
      <c r="E491" s="4" t="s">
        <v>337</v>
      </c>
      <c r="F491" s="4" t="s">
        <v>658</v>
      </c>
      <c r="I491" s="4" t="s">
        <v>395</v>
      </c>
      <c r="J491" s="4" t="s">
        <v>495</v>
      </c>
      <c r="K491" s="4"/>
      <c r="L491" s="4" t="s">
        <v>293</v>
      </c>
    </row>
    <row r="492" hidden="1">
      <c r="A492" s="67" t="str">
        <f t="shared" si="1"/>
        <v>Sun</v>
      </c>
      <c r="B492" s="69">
        <v>43100.0</v>
      </c>
      <c r="C492" s="4" t="s">
        <v>638</v>
      </c>
      <c r="D492" s="176">
        <v>1500.0</v>
      </c>
      <c r="E492" s="4" t="s">
        <v>337</v>
      </c>
      <c r="F492" s="4" t="s">
        <v>658</v>
      </c>
      <c r="I492" s="4" t="s">
        <v>395</v>
      </c>
      <c r="J492" s="4" t="s">
        <v>495</v>
      </c>
      <c r="K492" s="4"/>
      <c r="L492" s="4" t="s">
        <v>293</v>
      </c>
    </row>
    <row r="493" hidden="1">
      <c r="A493" s="67" t="str">
        <f t="shared" si="1"/>
        <v>Mon</v>
      </c>
      <c r="B493" s="69">
        <v>43101.0</v>
      </c>
      <c r="C493" s="4" t="s">
        <v>638</v>
      </c>
      <c r="D493" s="176">
        <v>1500.0</v>
      </c>
      <c r="E493" s="4" t="s">
        <v>337</v>
      </c>
      <c r="F493" s="4" t="s">
        <v>658</v>
      </c>
      <c r="I493" s="4" t="s">
        <v>395</v>
      </c>
      <c r="J493" s="4" t="s">
        <v>495</v>
      </c>
      <c r="K493" s="4"/>
      <c r="L493" s="4" t="s">
        <v>293</v>
      </c>
    </row>
    <row r="494" hidden="1">
      <c r="A494" s="67" t="str">
        <f t="shared" si="1"/>
        <v>Tue</v>
      </c>
      <c r="B494" s="69">
        <v>43102.0</v>
      </c>
      <c r="D494" s="176">
        <v>1500.0</v>
      </c>
      <c r="E494" s="4" t="s">
        <v>337</v>
      </c>
      <c r="F494" s="4" t="s">
        <v>658</v>
      </c>
      <c r="I494" s="4" t="s">
        <v>395</v>
      </c>
      <c r="J494" s="4" t="s">
        <v>495</v>
      </c>
      <c r="K494" s="4"/>
      <c r="L494" s="4" t="s">
        <v>293</v>
      </c>
    </row>
    <row r="495" hidden="1">
      <c r="A495" s="67" t="str">
        <f t="shared" si="1"/>
        <v>Wed</v>
      </c>
      <c r="B495" s="69">
        <v>43103.0</v>
      </c>
      <c r="D495" s="176">
        <v>760.0</v>
      </c>
      <c r="E495" s="4" t="s">
        <v>337</v>
      </c>
      <c r="F495" s="4" t="s">
        <v>659</v>
      </c>
      <c r="G495" s="4" t="s">
        <v>659</v>
      </c>
      <c r="H495" s="4" t="s">
        <v>658</v>
      </c>
      <c r="I495" s="4" t="s">
        <v>395</v>
      </c>
      <c r="J495" s="4" t="s">
        <v>495</v>
      </c>
      <c r="K495" s="4"/>
      <c r="L495" s="4" t="s">
        <v>293</v>
      </c>
    </row>
    <row r="496" hidden="1">
      <c r="A496" s="67" t="str">
        <f t="shared" si="1"/>
        <v>Thu</v>
      </c>
      <c r="B496" s="69">
        <v>43104.0</v>
      </c>
      <c r="D496" s="176">
        <v>760.0</v>
      </c>
      <c r="E496" s="4" t="s">
        <v>337</v>
      </c>
      <c r="F496" s="4" t="s">
        <v>659</v>
      </c>
      <c r="I496" s="4" t="s">
        <v>395</v>
      </c>
      <c r="J496" s="4" t="s">
        <v>495</v>
      </c>
      <c r="K496" s="4"/>
      <c r="L496" s="4" t="s">
        <v>293</v>
      </c>
    </row>
    <row r="497" hidden="1">
      <c r="A497" s="67" t="str">
        <f t="shared" si="1"/>
        <v>Fri</v>
      </c>
      <c r="B497" s="69">
        <v>43105.0</v>
      </c>
      <c r="D497" s="176">
        <v>760.0</v>
      </c>
      <c r="E497" s="4" t="s">
        <v>337</v>
      </c>
      <c r="F497" s="4" t="s">
        <v>659</v>
      </c>
      <c r="I497" s="4" t="s">
        <v>395</v>
      </c>
      <c r="J497" s="4" t="s">
        <v>495</v>
      </c>
      <c r="K497" s="4"/>
      <c r="L497" s="4" t="s">
        <v>293</v>
      </c>
    </row>
    <row r="498" hidden="1">
      <c r="A498" s="67" t="str">
        <f t="shared" si="1"/>
        <v>Sat</v>
      </c>
      <c r="B498" s="69">
        <v>43106.0</v>
      </c>
      <c r="D498" s="176">
        <v>760.0</v>
      </c>
      <c r="E498" s="4" t="s">
        <v>337</v>
      </c>
      <c r="F498" s="4" t="s">
        <v>659</v>
      </c>
      <c r="I498" s="4" t="s">
        <v>395</v>
      </c>
      <c r="J498" s="4" t="s">
        <v>495</v>
      </c>
      <c r="K498" s="4"/>
      <c r="L498" s="4" t="s">
        <v>293</v>
      </c>
    </row>
    <row r="499" hidden="1">
      <c r="A499" s="67" t="str">
        <f t="shared" si="1"/>
        <v>Sun</v>
      </c>
      <c r="B499" s="69">
        <v>43107.0</v>
      </c>
      <c r="D499" s="176">
        <v>760.0</v>
      </c>
      <c r="E499" s="4" t="s">
        <v>337</v>
      </c>
      <c r="F499" s="4" t="s">
        <v>659</v>
      </c>
      <c r="I499" s="4" t="s">
        <v>395</v>
      </c>
      <c r="J499" s="4" t="s">
        <v>495</v>
      </c>
      <c r="K499" s="4"/>
      <c r="L499" s="4" t="s">
        <v>293</v>
      </c>
    </row>
    <row r="500" hidden="1">
      <c r="A500" s="67" t="str">
        <f t="shared" si="1"/>
        <v>Mon</v>
      </c>
      <c r="B500" s="69">
        <v>43108.0</v>
      </c>
      <c r="D500" s="176">
        <v>760.0</v>
      </c>
      <c r="E500" s="4" t="s">
        <v>337</v>
      </c>
      <c r="F500" s="4" t="s">
        <v>659</v>
      </c>
      <c r="I500" s="4" t="s">
        <v>395</v>
      </c>
      <c r="J500" s="4" t="s">
        <v>495</v>
      </c>
      <c r="K500" s="4"/>
      <c r="L500" s="4" t="s">
        <v>293</v>
      </c>
    </row>
    <row r="501" hidden="1">
      <c r="A501" s="67" t="str">
        <f t="shared" si="1"/>
        <v>Tue</v>
      </c>
      <c r="B501" s="69">
        <v>43109.0</v>
      </c>
      <c r="D501" s="176">
        <v>760.0</v>
      </c>
      <c r="E501" s="4" t="s">
        <v>337</v>
      </c>
      <c r="F501" s="4" t="s">
        <v>659</v>
      </c>
      <c r="I501" s="4" t="s">
        <v>395</v>
      </c>
      <c r="J501" s="4" t="s">
        <v>495</v>
      </c>
      <c r="K501" s="4"/>
      <c r="L501" s="4" t="s">
        <v>293</v>
      </c>
    </row>
    <row r="502" hidden="1">
      <c r="A502" s="67" t="str">
        <f t="shared" si="1"/>
        <v>Wed</v>
      </c>
      <c r="B502" s="69">
        <v>43110.0</v>
      </c>
      <c r="D502" s="176">
        <v>760.0</v>
      </c>
      <c r="E502" s="4" t="s">
        <v>337</v>
      </c>
      <c r="F502" s="4" t="s">
        <v>659</v>
      </c>
      <c r="I502" s="4" t="s">
        <v>395</v>
      </c>
      <c r="J502" s="4" t="s">
        <v>495</v>
      </c>
      <c r="K502" s="4"/>
      <c r="L502" s="4" t="s">
        <v>293</v>
      </c>
    </row>
    <row r="503" hidden="1">
      <c r="A503" s="67" t="str">
        <f t="shared" si="1"/>
        <v>Thu</v>
      </c>
      <c r="B503" s="69">
        <v>43111.0</v>
      </c>
      <c r="D503" s="176">
        <v>760.0</v>
      </c>
      <c r="E503" s="4" t="s">
        <v>337</v>
      </c>
      <c r="F503" s="4" t="s">
        <v>659</v>
      </c>
      <c r="I503" s="4" t="s">
        <v>395</v>
      </c>
      <c r="J503" s="4" t="s">
        <v>495</v>
      </c>
      <c r="K503" s="4"/>
      <c r="L503" s="4" t="s">
        <v>293</v>
      </c>
    </row>
    <row r="504" hidden="1">
      <c r="A504" s="67" t="str">
        <f t="shared" si="1"/>
        <v>Fri</v>
      </c>
      <c r="B504" s="69">
        <v>43112.0</v>
      </c>
      <c r="D504" s="176">
        <v>760.0</v>
      </c>
      <c r="E504" s="4" t="s">
        <v>337</v>
      </c>
      <c r="F504" s="4" t="s">
        <v>659</v>
      </c>
      <c r="I504" s="4" t="s">
        <v>395</v>
      </c>
      <c r="J504" s="4" t="s">
        <v>495</v>
      </c>
      <c r="K504" s="4"/>
      <c r="L504" s="4" t="s">
        <v>293</v>
      </c>
    </row>
    <row r="505" hidden="1">
      <c r="A505" s="67" t="str">
        <f t="shared" si="1"/>
        <v>Sat</v>
      </c>
      <c r="B505" s="69">
        <v>43113.0</v>
      </c>
      <c r="D505" s="176">
        <v>485.0</v>
      </c>
      <c r="E505" s="4" t="s">
        <v>222</v>
      </c>
      <c r="F505" s="4" t="s">
        <v>661</v>
      </c>
      <c r="G505" s="4" t="s">
        <v>661</v>
      </c>
      <c r="H505" s="4" t="s">
        <v>659</v>
      </c>
      <c r="I505" s="4" t="s">
        <v>395</v>
      </c>
      <c r="K505" s="4"/>
      <c r="L505" s="4" t="s">
        <v>293</v>
      </c>
    </row>
    <row r="506" hidden="1">
      <c r="A506" s="67" t="str">
        <f t="shared" si="1"/>
        <v>Sun</v>
      </c>
      <c r="B506" s="69">
        <v>43114.0</v>
      </c>
      <c r="D506" s="176">
        <v>727.5</v>
      </c>
      <c r="E506" s="4" t="s">
        <v>222</v>
      </c>
      <c r="F506" s="4" t="s">
        <v>663</v>
      </c>
      <c r="G506" s="4" t="s">
        <v>663</v>
      </c>
      <c r="H506" s="4" t="s">
        <v>661</v>
      </c>
      <c r="I506" s="4" t="s">
        <v>395</v>
      </c>
      <c r="K506" s="4"/>
      <c r="L506" s="4" t="s">
        <v>293</v>
      </c>
    </row>
    <row r="507" hidden="1">
      <c r="A507" s="67" t="str">
        <f t="shared" si="1"/>
        <v>Mon</v>
      </c>
      <c r="B507" s="69">
        <v>43115.0</v>
      </c>
      <c r="D507" s="176">
        <v>727.5</v>
      </c>
      <c r="E507" s="4" t="s">
        <v>222</v>
      </c>
      <c r="F507" s="4" t="s">
        <v>663</v>
      </c>
      <c r="I507" s="4" t="s">
        <v>395</v>
      </c>
      <c r="K507" s="4"/>
      <c r="L507" s="4" t="s">
        <v>293</v>
      </c>
    </row>
    <row r="508" hidden="1">
      <c r="A508" s="67" t="str">
        <f t="shared" si="1"/>
        <v>Tue</v>
      </c>
      <c r="B508" s="69">
        <v>43116.0</v>
      </c>
      <c r="D508" s="176">
        <v>727.5</v>
      </c>
      <c r="E508" s="4" t="s">
        <v>222</v>
      </c>
      <c r="F508" s="4" t="s">
        <v>663</v>
      </c>
      <c r="I508" s="4" t="s">
        <v>395</v>
      </c>
      <c r="K508" s="4"/>
      <c r="L508" s="4" t="s">
        <v>293</v>
      </c>
    </row>
    <row r="509" hidden="1">
      <c r="A509" s="67" t="str">
        <f t="shared" si="1"/>
        <v>Wed</v>
      </c>
      <c r="B509" s="69">
        <v>43117.0</v>
      </c>
      <c r="D509" s="176">
        <v>727.5</v>
      </c>
      <c r="E509" s="4" t="s">
        <v>222</v>
      </c>
      <c r="F509" s="4" t="s">
        <v>663</v>
      </c>
      <c r="I509" s="4" t="s">
        <v>395</v>
      </c>
      <c r="K509" s="4"/>
      <c r="L509" s="4" t="s">
        <v>293</v>
      </c>
    </row>
    <row r="510" hidden="1">
      <c r="A510" s="67" t="str">
        <f t="shared" si="1"/>
        <v>Thu</v>
      </c>
      <c r="B510" s="69">
        <v>43118.0</v>
      </c>
      <c r="D510" s="176">
        <v>727.5</v>
      </c>
      <c r="E510" s="4" t="s">
        <v>222</v>
      </c>
      <c r="F510" s="4" t="s">
        <v>668</v>
      </c>
      <c r="G510" s="4" t="s">
        <v>668</v>
      </c>
      <c r="H510" s="4" t="s">
        <v>663</v>
      </c>
      <c r="I510" s="4" t="s">
        <v>395</v>
      </c>
      <c r="K510" s="4"/>
      <c r="L510" s="4" t="s">
        <v>293</v>
      </c>
    </row>
    <row r="511" hidden="1">
      <c r="A511" s="67" t="str">
        <f t="shared" si="1"/>
        <v>Fri</v>
      </c>
      <c r="B511" s="69">
        <v>43119.0</v>
      </c>
      <c r="D511" s="176">
        <v>727.5</v>
      </c>
      <c r="E511" s="4" t="s">
        <v>222</v>
      </c>
      <c r="F511" s="4" t="s">
        <v>668</v>
      </c>
      <c r="I511" s="4" t="s">
        <v>395</v>
      </c>
      <c r="K511" s="4"/>
      <c r="L511" s="4" t="s">
        <v>293</v>
      </c>
    </row>
    <row r="512" hidden="1">
      <c r="A512" s="67" t="str">
        <f t="shared" si="1"/>
        <v>Sat</v>
      </c>
      <c r="B512" s="69">
        <v>43120.0</v>
      </c>
      <c r="D512" s="176">
        <v>727.5</v>
      </c>
      <c r="E512" s="4" t="s">
        <v>222</v>
      </c>
      <c r="F512" s="4" t="s">
        <v>668</v>
      </c>
      <c r="I512" s="4" t="s">
        <v>395</v>
      </c>
      <c r="K512" s="4"/>
      <c r="L512" s="4" t="s">
        <v>293</v>
      </c>
    </row>
    <row r="513" hidden="1">
      <c r="A513" s="67" t="str">
        <f t="shared" si="1"/>
        <v>Sun</v>
      </c>
      <c r="B513" s="69">
        <v>43121.0</v>
      </c>
      <c r="D513" s="176">
        <v>810.0</v>
      </c>
      <c r="E513" s="4" t="s">
        <v>337</v>
      </c>
      <c r="F513" s="4" t="s">
        <v>669</v>
      </c>
      <c r="G513" s="4" t="s">
        <v>669</v>
      </c>
      <c r="H513" s="4" t="s">
        <v>668</v>
      </c>
      <c r="I513" s="4" t="s">
        <v>395</v>
      </c>
      <c r="J513" s="4" t="s">
        <v>495</v>
      </c>
      <c r="K513" s="4"/>
      <c r="L513" s="4" t="s">
        <v>293</v>
      </c>
    </row>
    <row r="514" hidden="1">
      <c r="A514" s="67" t="str">
        <f t="shared" si="1"/>
        <v>Mon</v>
      </c>
      <c r="B514" s="69">
        <v>43122.0</v>
      </c>
      <c r="D514" s="176">
        <v>810.0</v>
      </c>
      <c r="E514" s="4" t="s">
        <v>337</v>
      </c>
      <c r="F514" s="4" t="s">
        <v>669</v>
      </c>
      <c r="I514" s="4" t="s">
        <v>395</v>
      </c>
      <c r="J514" s="4" t="s">
        <v>495</v>
      </c>
      <c r="K514" s="4"/>
      <c r="L514" s="4" t="s">
        <v>293</v>
      </c>
    </row>
    <row r="515" hidden="1">
      <c r="A515" s="67" t="str">
        <f t="shared" si="1"/>
        <v>Tue</v>
      </c>
      <c r="B515" s="69">
        <v>43123.0</v>
      </c>
      <c r="D515" s="176">
        <v>810.0</v>
      </c>
      <c r="E515" s="4" t="s">
        <v>337</v>
      </c>
      <c r="F515" s="4" t="s">
        <v>669</v>
      </c>
      <c r="I515" s="4" t="s">
        <v>395</v>
      </c>
      <c r="J515" s="4" t="s">
        <v>495</v>
      </c>
      <c r="K515" s="4"/>
      <c r="L515" s="4" t="s">
        <v>293</v>
      </c>
    </row>
    <row r="516" hidden="1">
      <c r="A516" s="67" t="str">
        <f t="shared" si="1"/>
        <v>Wed</v>
      </c>
      <c r="B516" s="69">
        <v>43124.0</v>
      </c>
      <c r="D516" s="176">
        <v>810.0</v>
      </c>
      <c r="E516" s="4" t="s">
        <v>337</v>
      </c>
      <c r="F516" s="4" t="s">
        <v>669</v>
      </c>
      <c r="I516" s="4" t="s">
        <v>395</v>
      </c>
      <c r="J516" s="4" t="s">
        <v>495</v>
      </c>
      <c r="K516" s="4"/>
      <c r="L516" s="4" t="s">
        <v>293</v>
      </c>
    </row>
    <row r="517" hidden="1">
      <c r="A517" s="67" t="str">
        <f t="shared" si="1"/>
        <v>Thu</v>
      </c>
      <c r="B517" s="69">
        <v>43125.0</v>
      </c>
      <c r="D517" s="176">
        <v>810.0</v>
      </c>
      <c r="E517" s="4" t="s">
        <v>337</v>
      </c>
      <c r="F517" s="4" t="s">
        <v>669</v>
      </c>
      <c r="I517" s="4" t="s">
        <v>395</v>
      </c>
      <c r="J517" s="4" t="s">
        <v>495</v>
      </c>
      <c r="K517" s="4"/>
      <c r="L517" s="4" t="s">
        <v>293</v>
      </c>
    </row>
    <row r="518" hidden="1">
      <c r="A518" s="67" t="str">
        <f t="shared" si="1"/>
        <v>Fri</v>
      </c>
      <c r="B518" s="69">
        <v>43126.0</v>
      </c>
      <c r="D518" s="176">
        <v>810.0</v>
      </c>
      <c r="E518" s="4" t="s">
        <v>337</v>
      </c>
      <c r="F518" s="4" t="s">
        <v>669</v>
      </c>
      <c r="I518" s="4" t="s">
        <v>395</v>
      </c>
      <c r="J518" s="4" t="s">
        <v>495</v>
      </c>
      <c r="K518" s="4"/>
      <c r="L518" s="4" t="s">
        <v>293</v>
      </c>
    </row>
    <row r="519" hidden="1">
      <c r="A519" s="67" t="str">
        <f t="shared" si="1"/>
        <v>Sat</v>
      </c>
      <c r="B519" s="69">
        <v>43127.0</v>
      </c>
      <c r="D519" s="176">
        <v>810.0</v>
      </c>
      <c r="E519" s="4" t="s">
        <v>337</v>
      </c>
      <c r="F519" s="4" t="s">
        <v>669</v>
      </c>
      <c r="I519" s="4" t="s">
        <v>395</v>
      </c>
      <c r="J519" s="4" t="s">
        <v>495</v>
      </c>
      <c r="K519" s="4"/>
      <c r="L519" s="4" t="s">
        <v>293</v>
      </c>
    </row>
    <row r="520" hidden="1">
      <c r="A520" s="67" t="str">
        <f t="shared" si="1"/>
        <v>Sun</v>
      </c>
      <c r="B520" s="69">
        <v>43128.0</v>
      </c>
      <c r="D520" s="171"/>
      <c r="H520" s="4"/>
    </row>
    <row r="521" hidden="1">
      <c r="A521" s="67" t="str">
        <f t="shared" si="1"/>
        <v>Mon</v>
      </c>
      <c r="B521" s="69">
        <v>43129.0</v>
      </c>
      <c r="D521" s="171"/>
      <c r="H521" s="4" t="s">
        <v>669</v>
      </c>
    </row>
    <row r="522" hidden="1">
      <c r="A522" s="67" t="str">
        <f t="shared" si="1"/>
        <v>Tue</v>
      </c>
      <c r="B522" s="69">
        <v>43130.0</v>
      </c>
      <c r="D522" s="171"/>
    </row>
    <row r="523" hidden="1">
      <c r="A523" s="67" t="str">
        <f t="shared" si="1"/>
        <v>Wed</v>
      </c>
      <c r="B523" s="69">
        <v>43131.0</v>
      </c>
      <c r="D523" s="171"/>
    </row>
    <row r="524" hidden="1">
      <c r="A524" s="67" t="str">
        <f t="shared" si="1"/>
        <v>Thu</v>
      </c>
      <c r="B524" s="69">
        <v>43132.0</v>
      </c>
      <c r="D524" s="171"/>
    </row>
    <row r="525" hidden="1">
      <c r="A525" s="67" t="str">
        <f t="shared" si="1"/>
        <v>Fri</v>
      </c>
      <c r="B525" s="69">
        <v>43133.0</v>
      </c>
      <c r="D525" s="175">
        <v>605.7142857142857</v>
      </c>
      <c r="E525" s="4" t="s">
        <v>222</v>
      </c>
      <c r="F525" s="4" t="s">
        <v>680</v>
      </c>
      <c r="G525" s="4" t="s">
        <v>680</v>
      </c>
      <c r="I525" s="4" t="s">
        <v>395</v>
      </c>
      <c r="K525" s="4"/>
      <c r="L525" s="4" t="s">
        <v>293</v>
      </c>
    </row>
    <row r="526" hidden="1">
      <c r="A526" s="67" t="str">
        <f t="shared" si="1"/>
        <v>Sat</v>
      </c>
      <c r="B526" s="69">
        <v>43134.0</v>
      </c>
      <c r="D526" s="175">
        <v>605.7142857142857</v>
      </c>
      <c r="E526" s="4" t="s">
        <v>222</v>
      </c>
      <c r="F526" s="4" t="s">
        <v>680</v>
      </c>
      <c r="I526" s="4" t="s">
        <v>395</v>
      </c>
      <c r="K526" s="4"/>
      <c r="L526" s="4" t="s">
        <v>293</v>
      </c>
    </row>
    <row r="527" hidden="1">
      <c r="A527" s="67" t="str">
        <f t="shared" si="1"/>
        <v>Sun</v>
      </c>
      <c r="B527" s="69">
        <v>43135.0</v>
      </c>
      <c r="D527" s="175">
        <v>605.7142857142857</v>
      </c>
      <c r="E527" s="4" t="s">
        <v>222</v>
      </c>
      <c r="F527" s="4" t="s">
        <v>680</v>
      </c>
      <c r="I527" s="4" t="s">
        <v>395</v>
      </c>
      <c r="K527" s="4"/>
      <c r="L527" s="4" t="s">
        <v>293</v>
      </c>
    </row>
    <row r="528" hidden="1">
      <c r="A528" s="67" t="str">
        <f t="shared" si="1"/>
        <v>Mon</v>
      </c>
      <c r="B528" s="69">
        <v>43136.0</v>
      </c>
      <c r="D528" s="175">
        <v>605.7142857142857</v>
      </c>
      <c r="E528" s="4" t="s">
        <v>222</v>
      </c>
      <c r="F528" s="4" t="s">
        <v>680</v>
      </c>
      <c r="I528" s="4" t="s">
        <v>395</v>
      </c>
      <c r="K528" s="4"/>
      <c r="L528" s="4" t="s">
        <v>293</v>
      </c>
    </row>
    <row r="529" hidden="1">
      <c r="A529" s="67" t="str">
        <f t="shared" si="1"/>
        <v>Tue</v>
      </c>
      <c r="B529" s="69">
        <v>43137.0</v>
      </c>
      <c r="D529" s="175">
        <v>605.7142857142857</v>
      </c>
      <c r="E529" s="4" t="s">
        <v>222</v>
      </c>
      <c r="F529" s="4" t="s">
        <v>680</v>
      </c>
      <c r="I529" s="4" t="s">
        <v>395</v>
      </c>
      <c r="K529" s="4"/>
      <c r="L529" s="4" t="s">
        <v>293</v>
      </c>
    </row>
    <row r="530" hidden="1">
      <c r="A530" s="67" t="str">
        <f t="shared" si="1"/>
        <v>Wed</v>
      </c>
      <c r="B530" s="69">
        <v>43138.0</v>
      </c>
      <c r="D530" s="175">
        <v>605.7142857142857</v>
      </c>
      <c r="E530" s="4" t="s">
        <v>222</v>
      </c>
      <c r="F530" s="4" t="s">
        <v>680</v>
      </c>
      <c r="I530" s="4" t="s">
        <v>395</v>
      </c>
      <c r="K530" s="4"/>
      <c r="L530" s="4" t="s">
        <v>293</v>
      </c>
    </row>
    <row r="531" hidden="1">
      <c r="A531" s="67" t="str">
        <f t="shared" si="1"/>
        <v>Thu</v>
      </c>
      <c r="B531" s="69">
        <v>43139.0</v>
      </c>
      <c r="D531" s="175">
        <v>605.7142857142857</v>
      </c>
      <c r="E531" s="4" t="s">
        <v>222</v>
      </c>
      <c r="F531" s="4" t="s">
        <v>680</v>
      </c>
      <c r="I531" s="4" t="s">
        <v>395</v>
      </c>
      <c r="K531" s="4"/>
      <c r="L531" s="4" t="s">
        <v>293</v>
      </c>
    </row>
    <row r="532" hidden="1">
      <c r="A532" s="67" t="str">
        <f t="shared" si="1"/>
        <v>Fri</v>
      </c>
      <c r="B532" s="69">
        <v>43140.0</v>
      </c>
      <c r="C532" s="4" t="s">
        <v>572</v>
      </c>
      <c r="D532" s="176">
        <v>900.0</v>
      </c>
      <c r="E532" s="4" t="s">
        <v>685</v>
      </c>
      <c r="F532" s="4" t="s">
        <v>523</v>
      </c>
      <c r="G532" s="4" t="s">
        <v>523</v>
      </c>
      <c r="H532" s="4" t="s">
        <v>680</v>
      </c>
      <c r="I532" s="4" t="s">
        <v>395</v>
      </c>
      <c r="J532" s="4" t="s">
        <v>495</v>
      </c>
      <c r="K532" s="4"/>
      <c r="L532" s="4" t="s">
        <v>293</v>
      </c>
    </row>
    <row r="533" hidden="1">
      <c r="A533" s="67" t="str">
        <f t="shared" si="1"/>
        <v>Sat</v>
      </c>
      <c r="B533" s="69">
        <v>43141.0</v>
      </c>
      <c r="C533" s="4" t="s">
        <v>572</v>
      </c>
      <c r="D533" s="176">
        <v>900.0</v>
      </c>
      <c r="E533" s="4" t="s">
        <v>685</v>
      </c>
      <c r="F533" s="4" t="s">
        <v>523</v>
      </c>
      <c r="I533" s="4" t="s">
        <v>395</v>
      </c>
      <c r="J533" s="4" t="s">
        <v>495</v>
      </c>
      <c r="K533" s="4"/>
      <c r="L533" s="4" t="s">
        <v>293</v>
      </c>
    </row>
    <row r="534" hidden="1">
      <c r="A534" s="67" t="str">
        <f t="shared" si="1"/>
        <v>Sun</v>
      </c>
      <c r="B534" s="69">
        <v>43142.0</v>
      </c>
      <c r="C534" s="4" t="s">
        <v>572</v>
      </c>
      <c r="D534" s="176">
        <v>900.0</v>
      </c>
      <c r="E534" s="4" t="s">
        <v>685</v>
      </c>
      <c r="F534" s="4" t="s">
        <v>523</v>
      </c>
      <c r="I534" s="4" t="s">
        <v>395</v>
      </c>
      <c r="J534" s="4" t="s">
        <v>495</v>
      </c>
      <c r="K534" s="4"/>
      <c r="L534" s="4" t="s">
        <v>293</v>
      </c>
    </row>
    <row r="535" hidden="1">
      <c r="A535" s="67" t="str">
        <f t="shared" si="1"/>
        <v>Mon</v>
      </c>
      <c r="B535" s="69">
        <v>43143.0</v>
      </c>
      <c r="C535" s="4" t="s">
        <v>572</v>
      </c>
      <c r="D535" s="176">
        <v>900.0</v>
      </c>
      <c r="E535" s="4" t="s">
        <v>685</v>
      </c>
      <c r="F535" s="4" t="s">
        <v>523</v>
      </c>
      <c r="I535" s="4" t="s">
        <v>395</v>
      </c>
      <c r="J535" s="4" t="s">
        <v>495</v>
      </c>
      <c r="K535" s="4"/>
      <c r="L535" s="4" t="s">
        <v>293</v>
      </c>
    </row>
    <row r="536" hidden="1">
      <c r="A536" s="67" t="str">
        <f t="shared" si="1"/>
        <v>Tue</v>
      </c>
      <c r="B536" s="69">
        <v>43144.0</v>
      </c>
      <c r="C536" s="4" t="s">
        <v>572</v>
      </c>
      <c r="D536" s="176">
        <v>900.0</v>
      </c>
      <c r="E536" s="4" t="s">
        <v>685</v>
      </c>
      <c r="F536" s="4" t="s">
        <v>523</v>
      </c>
      <c r="I536" s="4" t="s">
        <v>395</v>
      </c>
      <c r="J536" s="4" t="s">
        <v>495</v>
      </c>
      <c r="K536" s="4"/>
      <c r="L536" s="4" t="s">
        <v>293</v>
      </c>
    </row>
    <row r="537" hidden="1">
      <c r="A537" s="67" t="str">
        <f t="shared" si="1"/>
        <v>Wed</v>
      </c>
      <c r="B537" s="69">
        <v>43145.0</v>
      </c>
      <c r="C537" s="4" t="s">
        <v>572</v>
      </c>
      <c r="D537" s="171"/>
      <c r="F537" s="4" t="s">
        <v>523</v>
      </c>
      <c r="I537" s="4" t="s">
        <v>395</v>
      </c>
      <c r="J537" s="4" t="s">
        <v>495</v>
      </c>
      <c r="K537" s="4"/>
      <c r="L537" s="4" t="s">
        <v>293</v>
      </c>
    </row>
    <row r="538" hidden="1">
      <c r="A538" s="67" t="str">
        <f t="shared" si="1"/>
        <v>Thu</v>
      </c>
      <c r="B538" s="69">
        <v>43146.0</v>
      </c>
      <c r="D538" s="171"/>
      <c r="H538" s="4" t="s">
        <v>523</v>
      </c>
    </row>
    <row r="539" hidden="1">
      <c r="A539" s="67" t="str">
        <f t="shared" si="1"/>
        <v>Fri</v>
      </c>
      <c r="B539" s="69">
        <v>43147.0</v>
      </c>
      <c r="D539" s="171"/>
    </row>
    <row r="540" hidden="1">
      <c r="A540" s="67" t="str">
        <f t="shared" si="1"/>
        <v>Sat</v>
      </c>
      <c r="B540" s="69">
        <v>43148.0</v>
      </c>
      <c r="D540" s="175">
        <v>685.9285714285714</v>
      </c>
      <c r="E540" s="4" t="s">
        <v>222</v>
      </c>
      <c r="F540" s="4" t="s">
        <v>691</v>
      </c>
      <c r="G540" s="4" t="s">
        <v>691</v>
      </c>
      <c r="I540" s="4" t="s">
        <v>395</v>
      </c>
      <c r="K540" s="4"/>
      <c r="L540" s="4" t="s">
        <v>293</v>
      </c>
    </row>
    <row r="541" hidden="1">
      <c r="A541" s="67" t="str">
        <f t="shared" si="1"/>
        <v>Sun</v>
      </c>
      <c r="B541" s="69">
        <v>43149.0</v>
      </c>
      <c r="D541" s="175">
        <v>685.9285714285714</v>
      </c>
      <c r="E541" s="4" t="s">
        <v>222</v>
      </c>
      <c r="F541" s="4" t="s">
        <v>691</v>
      </c>
      <c r="I541" s="4" t="s">
        <v>395</v>
      </c>
      <c r="K541" s="4"/>
      <c r="L541" s="4" t="s">
        <v>293</v>
      </c>
    </row>
    <row r="542" hidden="1">
      <c r="A542" s="67" t="str">
        <f t="shared" si="1"/>
        <v>Mon</v>
      </c>
      <c r="B542" s="69">
        <v>43150.0</v>
      </c>
      <c r="D542" s="175">
        <v>685.9285714285714</v>
      </c>
      <c r="E542" s="4" t="s">
        <v>222</v>
      </c>
      <c r="F542" s="4" t="s">
        <v>691</v>
      </c>
      <c r="I542" s="4" t="s">
        <v>395</v>
      </c>
      <c r="K542" s="4"/>
      <c r="L542" s="4" t="s">
        <v>293</v>
      </c>
    </row>
    <row r="543" hidden="1">
      <c r="A543" s="67" t="str">
        <f t="shared" si="1"/>
        <v>Tue</v>
      </c>
      <c r="B543" s="69">
        <v>43151.0</v>
      </c>
      <c r="D543" s="175">
        <v>685.9285714285714</v>
      </c>
      <c r="E543" s="4" t="s">
        <v>222</v>
      </c>
      <c r="F543" s="4" t="s">
        <v>691</v>
      </c>
      <c r="I543" s="4" t="s">
        <v>395</v>
      </c>
      <c r="K543" s="4"/>
      <c r="L543" s="4" t="s">
        <v>293</v>
      </c>
    </row>
    <row r="544" hidden="1">
      <c r="A544" s="67" t="str">
        <f t="shared" si="1"/>
        <v>Wed</v>
      </c>
      <c r="B544" s="69">
        <v>43152.0</v>
      </c>
      <c r="D544" s="175">
        <v>685.9285714285714</v>
      </c>
      <c r="E544" s="4" t="s">
        <v>222</v>
      </c>
      <c r="F544" s="4" t="s">
        <v>691</v>
      </c>
      <c r="I544" s="4" t="s">
        <v>395</v>
      </c>
      <c r="K544" s="4"/>
      <c r="L544" s="4" t="s">
        <v>293</v>
      </c>
    </row>
    <row r="545" hidden="1">
      <c r="A545" s="67" t="str">
        <f t="shared" si="1"/>
        <v>Thu</v>
      </c>
      <c r="B545" s="69">
        <v>43153.0</v>
      </c>
      <c r="D545" s="175">
        <v>685.9285714285714</v>
      </c>
      <c r="E545" s="4" t="s">
        <v>222</v>
      </c>
      <c r="F545" s="4" t="s">
        <v>691</v>
      </c>
      <c r="I545" s="4" t="s">
        <v>395</v>
      </c>
      <c r="K545" s="4"/>
      <c r="L545" s="4" t="s">
        <v>293</v>
      </c>
    </row>
    <row r="546" hidden="1">
      <c r="A546" s="67" t="str">
        <f t="shared" si="1"/>
        <v>Fri</v>
      </c>
      <c r="B546" s="69">
        <v>43154.0</v>
      </c>
      <c r="D546" s="175">
        <v>685.9285714285714</v>
      </c>
      <c r="E546" s="4" t="s">
        <v>222</v>
      </c>
      <c r="F546" s="4" t="s">
        <v>691</v>
      </c>
      <c r="I546" s="4" t="s">
        <v>395</v>
      </c>
      <c r="K546" s="4"/>
      <c r="L546" s="4" t="s">
        <v>293</v>
      </c>
    </row>
    <row r="547" hidden="1">
      <c r="A547" s="67" t="str">
        <f t="shared" si="1"/>
        <v>Sat</v>
      </c>
      <c r="B547" s="69">
        <v>43155.0</v>
      </c>
      <c r="D547" s="176">
        <v>339.5</v>
      </c>
      <c r="E547" s="4" t="s">
        <v>222</v>
      </c>
      <c r="F547" s="4" t="s">
        <v>573</v>
      </c>
      <c r="H547" s="4" t="s">
        <v>691</v>
      </c>
      <c r="I547" s="4" t="s">
        <v>395</v>
      </c>
      <c r="K547" s="4"/>
      <c r="L547" s="4" t="s">
        <v>293</v>
      </c>
    </row>
    <row r="548" hidden="1">
      <c r="A548" s="67" t="str">
        <f t="shared" si="1"/>
        <v>Sun</v>
      </c>
      <c r="B548" s="69">
        <v>43156.0</v>
      </c>
      <c r="D548" s="176">
        <v>339.5</v>
      </c>
      <c r="E548" s="4" t="s">
        <v>222</v>
      </c>
      <c r="F548" s="4" t="s">
        <v>697</v>
      </c>
      <c r="G548" s="4" t="s">
        <v>697</v>
      </c>
      <c r="H548" s="4" t="s">
        <v>573</v>
      </c>
      <c r="I548" s="4" t="s">
        <v>395</v>
      </c>
      <c r="J548" s="4" t="s">
        <v>698</v>
      </c>
      <c r="K548" s="4"/>
      <c r="L548" s="4" t="s">
        <v>293</v>
      </c>
    </row>
    <row r="549" hidden="1">
      <c r="A549" s="67" t="str">
        <f t="shared" si="1"/>
        <v>Mon</v>
      </c>
      <c r="B549" s="69">
        <v>43157.0</v>
      </c>
      <c r="D549" s="176">
        <v>339.5</v>
      </c>
      <c r="E549" s="4" t="s">
        <v>222</v>
      </c>
      <c r="F549" s="4" t="s">
        <v>697</v>
      </c>
      <c r="I549" s="4" t="s">
        <v>395</v>
      </c>
      <c r="J549" s="4" t="s">
        <v>698</v>
      </c>
      <c r="K549" s="4"/>
      <c r="L549" s="4" t="s">
        <v>293</v>
      </c>
    </row>
    <row r="550" hidden="1">
      <c r="A550" s="67" t="str">
        <f t="shared" si="1"/>
        <v>Tue</v>
      </c>
      <c r="B550" s="69">
        <v>43158.0</v>
      </c>
      <c r="D550" s="176">
        <v>339.5</v>
      </c>
      <c r="E550" s="4" t="s">
        <v>222</v>
      </c>
      <c r="F550" s="4" t="s">
        <v>697</v>
      </c>
      <c r="I550" s="4" t="s">
        <v>395</v>
      </c>
      <c r="J550" s="4" t="s">
        <v>698</v>
      </c>
      <c r="K550" s="4"/>
      <c r="L550" s="4" t="s">
        <v>293</v>
      </c>
    </row>
    <row r="551" hidden="1">
      <c r="A551" s="67" t="str">
        <f t="shared" si="1"/>
        <v>Wed</v>
      </c>
      <c r="B551" s="69">
        <v>43159.0</v>
      </c>
      <c r="D551" s="176">
        <v>339.5</v>
      </c>
      <c r="E551" s="4" t="s">
        <v>222</v>
      </c>
      <c r="F551" s="4" t="s">
        <v>697</v>
      </c>
      <c r="I551" s="4" t="s">
        <v>395</v>
      </c>
      <c r="J551" s="4" t="s">
        <v>698</v>
      </c>
      <c r="K551" s="4"/>
      <c r="L551" s="4" t="s">
        <v>293</v>
      </c>
    </row>
    <row r="552" hidden="1">
      <c r="A552" s="67" t="str">
        <f t="shared" si="1"/>
        <v>Thu</v>
      </c>
      <c r="B552" s="69">
        <v>43160.0</v>
      </c>
      <c r="D552" s="171"/>
      <c r="H552" s="4" t="s">
        <v>697</v>
      </c>
    </row>
    <row r="553" hidden="1">
      <c r="A553" s="67" t="str">
        <f t="shared" si="1"/>
        <v>Fri</v>
      </c>
      <c r="B553" s="69">
        <v>43161.0</v>
      </c>
      <c r="D553" s="176">
        <v>485.0</v>
      </c>
      <c r="E553" s="4" t="s">
        <v>222</v>
      </c>
      <c r="F553" s="4" t="s">
        <v>711</v>
      </c>
      <c r="G553" s="4" t="s">
        <v>711</v>
      </c>
      <c r="I553" s="4" t="s">
        <v>395</v>
      </c>
      <c r="K553" s="4"/>
      <c r="L553" s="4" t="s">
        <v>293</v>
      </c>
    </row>
    <row r="554" hidden="1">
      <c r="A554" s="67" t="str">
        <f t="shared" si="1"/>
        <v>Sat</v>
      </c>
      <c r="B554" s="69">
        <v>43162.0</v>
      </c>
      <c r="D554" s="176">
        <v>485.0</v>
      </c>
      <c r="E554" s="4" t="s">
        <v>222</v>
      </c>
      <c r="F554" s="4" t="s">
        <v>711</v>
      </c>
      <c r="I554" s="4" t="s">
        <v>395</v>
      </c>
      <c r="K554" s="4"/>
      <c r="L554" s="4" t="s">
        <v>293</v>
      </c>
    </row>
    <row r="555" hidden="1">
      <c r="A555" s="67" t="str">
        <f t="shared" si="1"/>
        <v>Sun</v>
      </c>
      <c r="B555" s="69">
        <v>43163.0</v>
      </c>
      <c r="D555" s="171"/>
      <c r="H555" s="4" t="s">
        <v>711</v>
      </c>
    </row>
    <row r="556" hidden="1">
      <c r="A556" s="67" t="str">
        <f t="shared" si="1"/>
        <v>Mon</v>
      </c>
      <c r="B556" s="69">
        <v>43164.0</v>
      </c>
      <c r="D556" s="171"/>
    </row>
    <row r="557" hidden="1">
      <c r="A557" s="67" t="str">
        <f t="shared" si="1"/>
        <v>Tue</v>
      </c>
      <c r="B557" s="69">
        <v>43165.0</v>
      </c>
      <c r="D557" s="171"/>
    </row>
    <row r="558" hidden="1">
      <c r="A558" s="67" t="str">
        <f t="shared" si="1"/>
        <v>Wed</v>
      </c>
      <c r="B558" s="69">
        <v>43166.0</v>
      </c>
      <c r="D558" s="176">
        <v>320.0</v>
      </c>
      <c r="E558" s="4" t="s">
        <v>337</v>
      </c>
      <c r="F558" s="4" t="s">
        <v>655</v>
      </c>
      <c r="G558" s="4" t="s">
        <v>655</v>
      </c>
      <c r="I558" s="4" t="s">
        <v>395</v>
      </c>
      <c r="J558" s="4" t="s">
        <v>712</v>
      </c>
      <c r="K558" s="4"/>
      <c r="L558" s="4" t="s">
        <v>293</v>
      </c>
    </row>
    <row r="559" hidden="1">
      <c r="A559" s="67" t="str">
        <f t="shared" si="1"/>
        <v>Thu</v>
      </c>
      <c r="B559" s="69">
        <v>43167.0</v>
      </c>
      <c r="D559" s="176">
        <v>320.0</v>
      </c>
      <c r="E559" s="4" t="s">
        <v>337</v>
      </c>
      <c r="F559" s="4" t="s">
        <v>655</v>
      </c>
      <c r="I559" s="4" t="s">
        <v>395</v>
      </c>
      <c r="J559" s="4" t="s">
        <v>712</v>
      </c>
      <c r="K559" s="4"/>
      <c r="L559" s="4" t="s">
        <v>293</v>
      </c>
    </row>
    <row r="560" hidden="1">
      <c r="A560" s="67" t="str">
        <f t="shared" si="1"/>
        <v>Fri</v>
      </c>
      <c r="B560" s="69">
        <v>43168.0</v>
      </c>
      <c r="D560" s="176">
        <v>320.0</v>
      </c>
      <c r="E560" s="4" t="s">
        <v>337</v>
      </c>
      <c r="F560" s="4" t="s">
        <v>655</v>
      </c>
      <c r="I560" s="4" t="s">
        <v>395</v>
      </c>
      <c r="J560" s="4" t="s">
        <v>712</v>
      </c>
      <c r="K560" s="4"/>
      <c r="L560" s="4" t="s">
        <v>293</v>
      </c>
    </row>
    <row r="561" hidden="1">
      <c r="A561" s="67" t="str">
        <f t="shared" si="1"/>
        <v>Sat</v>
      </c>
      <c r="B561" s="69">
        <v>43169.0</v>
      </c>
      <c r="D561" s="176">
        <v>320.0</v>
      </c>
      <c r="E561" s="4" t="s">
        <v>337</v>
      </c>
      <c r="F561" s="4" t="s">
        <v>655</v>
      </c>
      <c r="I561" s="4" t="s">
        <v>395</v>
      </c>
      <c r="J561" s="4" t="s">
        <v>712</v>
      </c>
      <c r="K561" s="4"/>
      <c r="L561" s="4" t="s">
        <v>293</v>
      </c>
    </row>
    <row r="562" hidden="1">
      <c r="A562" s="67" t="str">
        <f t="shared" si="1"/>
        <v>Sun</v>
      </c>
      <c r="B562" s="69">
        <v>43170.0</v>
      </c>
      <c r="D562" s="176">
        <v>320.0</v>
      </c>
      <c r="E562" s="4" t="s">
        <v>337</v>
      </c>
      <c r="F562" s="4" t="s">
        <v>655</v>
      </c>
      <c r="I562" s="4" t="s">
        <v>395</v>
      </c>
      <c r="J562" s="4" t="s">
        <v>712</v>
      </c>
      <c r="K562" s="4"/>
      <c r="L562" s="4" t="s">
        <v>293</v>
      </c>
    </row>
    <row r="563" hidden="1">
      <c r="A563" s="67" t="str">
        <f t="shared" si="1"/>
        <v>Mon</v>
      </c>
      <c r="B563" s="69">
        <v>43171.0</v>
      </c>
      <c r="D563" s="171"/>
      <c r="H563" s="4" t="s">
        <v>655</v>
      </c>
    </row>
    <row r="564" hidden="1">
      <c r="A564" s="67" t="str">
        <f t="shared" si="1"/>
        <v>Tue</v>
      </c>
      <c r="B564" s="69">
        <v>43172.0</v>
      </c>
      <c r="D564" s="176">
        <v>242.5</v>
      </c>
      <c r="E564" s="4" t="s">
        <v>222</v>
      </c>
      <c r="F564" s="4" t="s">
        <v>719</v>
      </c>
      <c r="G564" s="4" t="s">
        <v>719</v>
      </c>
      <c r="I564" s="4" t="s">
        <v>395</v>
      </c>
      <c r="K564" s="4"/>
      <c r="L564" s="4" t="s">
        <v>293</v>
      </c>
    </row>
    <row r="565" hidden="1">
      <c r="A565" s="67" t="str">
        <f t="shared" si="1"/>
        <v>Wed</v>
      </c>
      <c r="B565" s="69">
        <v>43173.0</v>
      </c>
      <c r="D565" s="176">
        <v>242.5</v>
      </c>
      <c r="E565" s="4" t="s">
        <v>222</v>
      </c>
      <c r="F565" s="4" t="s">
        <v>719</v>
      </c>
      <c r="I565" s="4" t="s">
        <v>395</v>
      </c>
      <c r="K565" s="4"/>
      <c r="L565" s="4" t="s">
        <v>293</v>
      </c>
    </row>
    <row r="566" hidden="1">
      <c r="A566" s="67" t="str">
        <f t="shared" si="1"/>
        <v>Thu</v>
      </c>
      <c r="B566" s="69">
        <v>43174.0</v>
      </c>
      <c r="D566" s="171"/>
      <c r="H566" s="4" t="s">
        <v>719</v>
      </c>
    </row>
    <row r="567" hidden="1">
      <c r="A567" s="67" t="str">
        <f t="shared" si="1"/>
        <v>Fri</v>
      </c>
      <c r="B567" s="69">
        <v>43175.0</v>
      </c>
      <c r="D567" s="171"/>
    </row>
    <row r="568" hidden="1">
      <c r="A568" s="67" t="str">
        <f t="shared" si="1"/>
        <v>Sat</v>
      </c>
      <c r="B568" s="69">
        <v>43176.0</v>
      </c>
      <c r="D568" s="176">
        <v>300.0</v>
      </c>
      <c r="E568" s="4" t="s">
        <v>337</v>
      </c>
      <c r="F568" s="4" t="s">
        <v>655</v>
      </c>
      <c r="G568" s="4" t="s">
        <v>655</v>
      </c>
      <c r="I568" s="4" t="s">
        <v>395</v>
      </c>
      <c r="J568" s="4" t="s">
        <v>293</v>
      </c>
      <c r="K568" s="4"/>
      <c r="L568" s="4" t="s">
        <v>293</v>
      </c>
    </row>
    <row r="569" hidden="1">
      <c r="A569" s="67" t="str">
        <f t="shared" si="1"/>
        <v>Sun</v>
      </c>
      <c r="B569" s="69">
        <v>43177.0</v>
      </c>
      <c r="D569" s="176">
        <v>300.0</v>
      </c>
      <c r="E569" s="4" t="s">
        <v>337</v>
      </c>
      <c r="F569" s="4" t="s">
        <v>655</v>
      </c>
      <c r="I569" s="4" t="s">
        <v>395</v>
      </c>
      <c r="J569" s="4" t="s">
        <v>293</v>
      </c>
      <c r="K569" s="4"/>
      <c r="L569" s="4" t="s">
        <v>293</v>
      </c>
    </row>
    <row r="570" hidden="1">
      <c r="A570" s="67" t="str">
        <f t="shared" si="1"/>
        <v>Mon</v>
      </c>
      <c r="B570" s="69">
        <v>43178.0</v>
      </c>
      <c r="D570" s="176">
        <v>300.0</v>
      </c>
      <c r="E570" s="4" t="s">
        <v>337</v>
      </c>
      <c r="F570" s="4" t="s">
        <v>655</v>
      </c>
      <c r="I570" s="4" t="s">
        <v>395</v>
      </c>
      <c r="J570" s="4" t="s">
        <v>293</v>
      </c>
      <c r="K570" s="4"/>
      <c r="L570" s="4" t="s">
        <v>293</v>
      </c>
    </row>
    <row r="571" hidden="1">
      <c r="A571" s="67" t="str">
        <f t="shared" si="1"/>
        <v>Tue</v>
      </c>
      <c r="B571" s="69">
        <v>43179.0</v>
      </c>
      <c r="D571" s="176">
        <v>300.0</v>
      </c>
      <c r="E571" s="4" t="s">
        <v>337</v>
      </c>
      <c r="F571" s="4" t="s">
        <v>655</v>
      </c>
      <c r="I571" s="4" t="s">
        <v>395</v>
      </c>
      <c r="J571" s="4" t="s">
        <v>293</v>
      </c>
      <c r="K571" s="4"/>
      <c r="L571" s="4" t="s">
        <v>293</v>
      </c>
    </row>
    <row r="572" hidden="1">
      <c r="A572" s="67" t="str">
        <f t="shared" si="1"/>
        <v>Wed</v>
      </c>
      <c r="B572" s="69">
        <v>43180.0</v>
      </c>
      <c r="D572" s="171"/>
      <c r="H572" s="4" t="s">
        <v>655</v>
      </c>
    </row>
    <row r="573" hidden="1">
      <c r="A573" s="67" t="str">
        <f t="shared" si="1"/>
        <v>Thu</v>
      </c>
      <c r="B573" s="69">
        <v>43181.0</v>
      </c>
      <c r="D573" s="176">
        <v>291.0</v>
      </c>
      <c r="E573" s="4" t="s">
        <v>222</v>
      </c>
      <c r="F573" s="4" t="s">
        <v>729</v>
      </c>
      <c r="G573" s="4" t="s">
        <v>729</v>
      </c>
      <c r="I573" s="4" t="s">
        <v>395</v>
      </c>
      <c r="K573" s="4"/>
      <c r="L573" s="4" t="s">
        <v>293</v>
      </c>
    </row>
    <row r="574" hidden="1">
      <c r="A574" s="67" t="str">
        <f t="shared" si="1"/>
        <v>Fri</v>
      </c>
      <c r="B574" s="69">
        <v>43182.0</v>
      </c>
      <c r="D574" s="176">
        <v>291.0</v>
      </c>
      <c r="E574" s="4" t="s">
        <v>222</v>
      </c>
      <c r="F574" s="4" t="s">
        <v>729</v>
      </c>
      <c r="I574" s="4" t="s">
        <v>395</v>
      </c>
      <c r="K574" s="4"/>
      <c r="L574" s="4" t="s">
        <v>293</v>
      </c>
    </row>
    <row r="575" hidden="1">
      <c r="A575" s="67" t="str">
        <f t="shared" si="1"/>
        <v>Sat</v>
      </c>
      <c r="B575" s="69">
        <v>43183.0</v>
      </c>
      <c r="D575" s="176">
        <v>291.0</v>
      </c>
      <c r="E575" s="4" t="s">
        <v>222</v>
      </c>
      <c r="F575" s="4" t="s">
        <v>729</v>
      </c>
      <c r="I575" s="4" t="s">
        <v>395</v>
      </c>
      <c r="K575" s="4"/>
      <c r="L575" s="4" t="s">
        <v>293</v>
      </c>
    </row>
    <row r="576" hidden="1">
      <c r="A576" s="67" t="str">
        <f t="shared" si="1"/>
        <v>Sun</v>
      </c>
      <c r="B576" s="69">
        <v>43184.0</v>
      </c>
      <c r="D576" s="176">
        <v>291.0</v>
      </c>
      <c r="E576" s="4" t="s">
        <v>222</v>
      </c>
      <c r="F576" s="4" t="s">
        <v>729</v>
      </c>
      <c r="I576" s="4" t="s">
        <v>395</v>
      </c>
      <c r="K576" s="4"/>
      <c r="L576" s="4" t="s">
        <v>293</v>
      </c>
    </row>
    <row r="577" hidden="1">
      <c r="A577" s="67" t="str">
        <f t="shared" si="1"/>
        <v>Mon</v>
      </c>
      <c r="B577" s="69">
        <v>43185.0</v>
      </c>
      <c r="D577" s="176">
        <v>291.0</v>
      </c>
      <c r="E577" s="4" t="s">
        <v>222</v>
      </c>
      <c r="H577" s="4" t="s">
        <v>729</v>
      </c>
    </row>
    <row r="578" hidden="1">
      <c r="A578" s="67" t="str">
        <f t="shared" si="1"/>
        <v>Tue</v>
      </c>
      <c r="B578" s="69">
        <v>43186.0</v>
      </c>
      <c r="D578" s="188"/>
    </row>
    <row r="579" hidden="1">
      <c r="A579" s="67" t="str">
        <f t="shared" si="1"/>
        <v>Wed</v>
      </c>
      <c r="B579" s="69">
        <v>43187.0</v>
      </c>
      <c r="D579" s="188"/>
    </row>
    <row r="580" hidden="1">
      <c r="A580" s="67" t="str">
        <f t="shared" si="1"/>
        <v>Thu</v>
      </c>
      <c r="B580" s="69">
        <v>43188.0</v>
      </c>
      <c r="D580" s="189">
        <v>291.0</v>
      </c>
      <c r="E580" s="4" t="s">
        <v>222</v>
      </c>
      <c r="F580" s="4" t="s">
        <v>736</v>
      </c>
      <c r="I580" s="4" t="s">
        <v>395</v>
      </c>
      <c r="K580" s="4"/>
      <c r="L580" s="4" t="s">
        <v>293</v>
      </c>
    </row>
    <row r="581" hidden="1">
      <c r="A581" s="67" t="str">
        <f t="shared" si="1"/>
        <v>Fri</v>
      </c>
      <c r="B581" s="69">
        <v>43189.0</v>
      </c>
      <c r="C581" s="4" t="s">
        <v>638</v>
      </c>
      <c r="D581" s="176">
        <v>475.3</v>
      </c>
      <c r="E581" s="4" t="s">
        <v>222</v>
      </c>
      <c r="F581" s="4" t="s">
        <v>740</v>
      </c>
      <c r="G581" s="4" t="s">
        <v>740</v>
      </c>
      <c r="H581" s="4" t="s">
        <v>736</v>
      </c>
      <c r="I581" s="4" t="s">
        <v>395</v>
      </c>
      <c r="K581" s="4"/>
      <c r="L581" s="4" t="s">
        <v>293</v>
      </c>
    </row>
    <row r="582" hidden="1">
      <c r="A582" s="67" t="str">
        <f t="shared" si="1"/>
        <v>Sat</v>
      </c>
      <c r="B582" s="69">
        <v>43190.0</v>
      </c>
      <c r="C582" s="4" t="s">
        <v>638</v>
      </c>
      <c r="D582" s="176">
        <v>475.3</v>
      </c>
      <c r="E582" s="4" t="s">
        <v>222</v>
      </c>
      <c r="F582" s="4" t="s">
        <v>740</v>
      </c>
      <c r="I582" s="4" t="s">
        <v>395</v>
      </c>
      <c r="K582" s="4"/>
      <c r="L582" s="4" t="s">
        <v>293</v>
      </c>
    </row>
    <row r="583" hidden="1">
      <c r="A583" s="67" t="str">
        <f t="shared" si="1"/>
        <v>Sun</v>
      </c>
      <c r="B583" s="69">
        <v>43191.0</v>
      </c>
      <c r="C583" s="4" t="s">
        <v>638</v>
      </c>
      <c r="D583" s="176">
        <v>197.0</v>
      </c>
      <c r="E583" s="4" t="s">
        <v>222</v>
      </c>
      <c r="F583" s="4" t="s">
        <v>742</v>
      </c>
      <c r="G583" s="4" t="s">
        <v>742</v>
      </c>
      <c r="H583" s="4" t="s">
        <v>740</v>
      </c>
      <c r="I583" s="4" t="s">
        <v>395</v>
      </c>
      <c r="K583" s="4"/>
      <c r="L583" s="4" t="s">
        <v>293</v>
      </c>
    </row>
    <row r="584" hidden="1">
      <c r="A584" s="67" t="str">
        <f t="shared" si="1"/>
        <v>Mon</v>
      </c>
      <c r="B584" s="69">
        <v>43192.0</v>
      </c>
      <c r="D584" s="176">
        <v>197.0</v>
      </c>
      <c r="E584" s="4" t="s">
        <v>222</v>
      </c>
      <c r="F584" s="4" t="s">
        <v>742</v>
      </c>
      <c r="I584" s="4" t="s">
        <v>395</v>
      </c>
      <c r="K584" s="4"/>
      <c r="L584" s="4" t="s">
        <v>293</v>
      </c>
    </row>
    <row r="585" hidden="1">
      <c r="A585" s="67" t="str">
        <f t="shared" si="1"/>
        <v>Tue</v>
      </c>
      <c r="B585" s="69">
        <v>43193.0</v>
      </c>
      <c r="D585" s="176">
        <v>197.0</v>
      </c>
      <c r="E585" s="4" t="s">
        <v>222</v>
      </c>
      <c r="F585" s="4" t="s">
        <v>742</v>
      </c>
      <c r="I585" s="4" t="s">
        <v>395</v>
      </c>
      <c r="K585" s="4"/>
      <c r="L585" s="4" t="s">
        <v>293</v>
      </c>
    </row>
    <row r="586" hidden="1">
      <c r="A586" s="67" t="str">
        <f t="shared" si="1"/>
        <v>Wed</v>
      </c>
      <c r="B586" s="69">
        <v>43194.0</v>
      </c>
      <c r="D586" s="176">
        <v>197.0</v>
      </c>
      <c r="E586" s="4" t="s">
        <v>222</v>
      </c>
      <c r="F586" s="4" t="s">
        <v>742</v>
      </c>
      <c r="I586" s="4" t="s">
        <v>395</v>
      </c>
      <c r="K586" s="4"/>
      <c r="L586" s="4" t="s">
        <v>293</v>
      </c>
    </row>
    <row r="587" hidden="1">
      <c r="A587" s="67" t="str">
        <f t="shared" si="1"/>
        <v>Thu</v>
      </c>
      <c r="B587" s="69">
        <v>43195.0</v>
      </c>
      <c r="D587" s="175">
        <v>258.6666666666667</v>
      </c>
      <c r="E587" s="4" t="s">
        <v>222</v>
      </c>
      <c r="F587" s="4" t="s">
        <v>744</v>
      </c>
      <c r="G587" s="4" t="s">
        <v>744</v>
      </c>
      <c r="H587" s="4" t="s">
        <v>742</v>
      </c>
      <c r="I587" s="4" t="s">
        <v>395</v>
      </c>
      <c r="K587" s="4"/>
      <c r="L587" s="4" t="s">
        <v>293</v>
      </c>
    </row>
    <row r="588" hidden="1">
      <c r="A588" s="67" t="str">
        <f t="shared" si="1"/>
        <v>Fri</v>
      </c>
      <c r="B588" s="69">
        <v>43196.0</v>
      </c>
      <c r="D588" s="175">
        <v>258.6666666666667</v>
      </c>
      <c r="E588" s="4" t="s">
        <v>222</v>
      </c>
      <c r="F588" s="4" t="s">
        <v>744</v>
      </c>
      <c r="I588" s="4" t="s">
        <v>395</v>
      </c>
      <c r="K588" s="4"/>
      <c r="L588" s="4" t="s">
        <v>293</v>
      </c>
    </row>
    <row r="589" hidden="1">
      <c r="A589" s="67" t="str">
        <f t="shared" si="1"/>
        <v>Sat</v>
      </c>
      <c r="B589" s="69">
        <v>43197.0</v>
      </c>
      <c r="D589" s="175">
        <v>258.6666666666667</v>
      </c>
      <c r="E589" s="4" t="s">
        <v>222</v>
      </c>
      <c r="F589" s="4" t="s">
        <v>744</v>
      </c>
      <c r="I589" s="4" t="s">
        <v>395</v>
      </c>
      <c r="K589" s="4"/>
      <c r="L589" s="4" t="s">
        <v>293</v>
      </c>
    </row>
    <row r="590" hidden="1">
      <c r="A590" s="67" t="str">
        <f t="shared" si="1"/>
        <v>Sun</v>
      </c>
      <c r="B590" s="69">
        <v>43198.0</v>
      </c>
      <c r="D590" s="175">
        <v>258.6666666666667</v>
      </c>
      <c r="E590" s="4" t="s">
        <v>222</v>
      </c>
      <c r="F590" s="4" t="s">
        <v>744</v>
      </c>
      <c r="I590" s="4" t="s">
        <v>395</v>
      </c>
      <c r="K590" s="4"/>
      <c r="L590" s="4" t="s">
        <v>293</v>
      </c>
    </row>
    <row r="591" hidden="1">
      <c r="A591" s="67" t="str">
        <f t="shared" si="1"/>
        <v>Mon</v>
      </c>
      <c r="B591" s="69">
        <v>43199.0</v>
      </c>
      <c r="D591" s="175">
        <v>258.6666666666667</v>
      </c>
      <c r="E591" s="4" t="s">
        <v>222</v>
      </c>
      <c r="F591" s="4" t="s">
        <v>744</v>
      </c>
      <c r="I591" s="4" t="s">
        <v>395</v>
      </c>
      <c r="K591" s="4"/>
      <c r="L591" s="4" t="s">
        <v>293</v>
      </c>
    </row>
    <row r="592" hidden="1">
      <c r="A592" s="67" t="str">
        <f t="shared" si="1"/>
        <v>Tue</v>
      </c>
      <c r="B592" s="69">
        <v>43200.0</v>
      </c>
      <c r="D592" s="175">
        <v>258.6666666666667</v>
      </c>
      <c r="E592" s="4" t="s">
        <v>222</v>
      </c>
      <c r="F592" s="4" t="s">
        <v>744</v>
      </c>
      <c r="I592" s="4" t="s">
        <v>395</v>
      </c>
      <c r="K592" s="4"/>
      <c r="L592" s="4" t="s">
        <v>293</v>
      </c>
    </row>
    <row r="593" hidden="1">
      <c r="A593" s="67" t="str">
        <f t="shared" si="1"/>
        <v>Wed</v>
      </c>
      <c r="B593" s="69">
        <v>43201.0</v>
      </c>
      <c r="D593" s="171"/>
      <c r="H593" s="4" t="s">
        <v>744</v>
      </c>
    </row>
    <row r="594" hidden="1">
      <c r="A594" s="67" t="str">
        <f t="shared" si="1"/>
        <v>Thu</v>
      </c>
      <c r="B594" s="69">
        <v>43202.0</v>
      </c>
      <c r="D594" s="176">
        <v>266.75</v>
      </c>
      <c r="E594" s="4" t="s">
        <v>222</v>
      </c>
      <c r="F594" s="4" t="s">
        <v>746</v>
      </c>
      <c r="G594" s="4" t="s">
        <v>746</v>
      </c>
      <c r="I594" s="4" t="s">
        <v>395</v>
      </c>
      <c r="K594" s="4"/>
      <c r="L594" s="4" t="s">
        <v>293</v>
      </c>
    </row>
    <row r="595" hidden="1">
      <c r="A595" s="67" t="str">
        <f t="shared" si="1"/>
        <v>Fri</v>
      </c>
      <c r="B595" s="69">
        <v>43203.0</v>
      </c>
      <c r="D595" s="176">
        <v>266.75</v>
      </c>
      <c r="E595" s="4" t="s">
        <v>222</v>
      </c>
      <c r="F595" s="4" t="s">
        <v>746</v>
      </c>
      <c r="I595" s="4" t="s">
        <v>395</v>
      </c>
      <c r="K595" s="4"/>
      <c r="L595" s="4" t="s">
        <v>293</v>
      </c>
    </row>
    <row r="596" hidden="1">
      <c r="A596" s="67" t="str">
        <f t="shared" si="1"/>
        <v>Sat</v>
      </c>
      <c r="B596" s="69">
        <v>43204.0</v>
      </c>
      <c r="D596" s="176">
        <v>266.75</v>
      </c>
      <c r="E596" s="4" t="s">
        <v>222</v>
      </c>
      <c r="F596" s="4" t="s">
        <v>746</v>
      </c>
      <c r="I596" s="4" t="s">
        <v>395</v>
      </c>
      <c r="K596" s="4"/>
      <c r="L596" s="4" t="s">
        <v>293</v>
      </c>
    </row>
    <row r="597" hidden="1">
      <c r="A597" s="67" t="str">
        <f t="shared" si="1"/>
        <v>Sun</v>
      </c>
      <c r="B597" s="69">
        <v>43205.0</v>
      </c>
      <c r="D597" s="176">
        <v>266.75</v>
      </c>
      <c r="E597" s="4" t="s">
        <v>222</v>
      </c>
      <c r="F597" s="4" t="s">
        <v>746</v>
      </c>
      <c r="I597" s="4" t="s">
        <v>395</v>
      </c>
      <c r="K597" s="4"/>
      <c r="L597" s="4" t="s">
        <v>293</v>
      </c>
    </row>
    <row r="598" hidden="1">
      <c r="A598" s="67" t="str">
        <f t="shared" si="1"/>
        <v>Mon</v>
      </c>
      <c r="B598" s="69">
        <v>43206.0</v>
      </c>
      <c r="D598" s="171"/>
      <c r="H598" s="4" t="s">
        <v>746</v>
      </c>
    </row>
    <row r="599" hidden="1">
      <c r="A599" s="67" t="str">
        <f t="shared" si="1"/>
        <v>Tue</v>
      </c>
      <c r="B599" s="69">
        <v>43207.0</v>
      </c>
      <c r="D599" s="171"/>
    </row>
    <row r="600" hidden="1">
      <c r="A600" s="67" t="str">
        <f t="shared" si="1"/>
        <v>Wed</v>
      </c>
      <c r="B600" s="69">
        <v>43208.0</v>
      </c>
      <c r="D600" s="171"/>
    </row>
    <row r="601" hidden="1">
      <c r="A601" s="67" t="str">
        <f t="shared" si="1"/>
        <v>Thu</v>
      </c>
      <c r="B601" s="69">
        <v>43209.0</v>
      </c>
      <c r="D601" s="171"/>
    </row>
    <row r="602" hidden="1">
      <c r="A602" s="67" t="str">
        <f t="shared" si="1"/>
        <v>Fri</v>
      </c>
      <c r="B602" s="69">
        <v>43210.0</v>
      </c>
      <c r="D602" s="176">
        <v>291.0</v>
      </c>
      <c r="E602" s="4" t="s">
        <v>222</v>
      </c>
      <c r="F602" s="4" t="s">
        <v>747</v>
      </c>
      <c r="G602" s="4" t="s">
        <v>747</v>
      </c>
      <c r="I602" s="4" t="s">
        <v>395</v>
      </c>
      <c r="K602" s="4"/>
      <c r="L602" s="4" t="s">
        <v>293</v>
      </c>
    </row>
    <row r="603" hidden="1">
      <c r="A603" s="67" t="str">
        <f t="shared" si="1"/>
        <v>Sat</v>
      </c>
      <c r="B603" s="69">
        <v>43211.0</v>
      </c>
      <c r="D603" s="176">
        <v>291.0</v>
      </c>
      <c r="E603" s="4" t="s">
        <v>222</v>
      </c>
      <c r="F603" s="4" t="s">
        <v>747</v>
      </c>
      <c r="I603" s="4" t="s">
        <v>395</v>
      </c>
      <c r="K603" s="4"/>
      <c r="L603" s="4" t="s">
        <v>293</v>
      </c>
    </row>
    <row r="604" hidden="1">
      <c r="A604" s="67" t="str">
        <f t="shared" si="1"/>
        <v>Sun</v>
      </c>
      <c r="B604" s="69">
        <v>43212.0</v>
      </c>
      <c r="D604" s="171"/>
      <c r="H604" s="4" t="s">
        <v>747</v>
      </c>
    </row>
    <row r="605" hidden="1">
      <c r="A605" s="67" t="str">
        <f t="shared" si="1"/>
        <v>Mon</v>
      </c>
      <c r="B605" s="69">
        <v>43213.0</v>
      </c>
      <c r="D605" s="171"/>
    </row>
    <row r="606" hidden="1">
      <c r="A606" s="67" t="str">
        <f t="shared" si="1"/>
        <v>Tue</v>
      </c>
      <c r="B606" s="69">
        <v>43214.0</v>
      </c>
      <c r="D606" s="171"/>
    </row>
    <row r="607" hidden="1">
      <c r="A607" s="67" t="str">
        <f t="shared" si="1"/>
        <v>Wed</v>
      </c>
      <c r="B607" s="69">
        <v>43215.0</v>
      </c>
      <c r="D607" s="171"/>
    </row>
    <row r="608" hidden="1">
      <c r="A608" s="67" t="str">
        <f t="shared" si="1"/>
        <v>Thu</v>
      </c>
      <c r="B608" s="69">
        <v>43216.0</v>
      </c>
      <c r="D608" s="176">
        <v>242.5</v>
      </c>
      <c r="E608" s="4" t="s">
        <v>222</v>
      </c>
      <c r="F608" s="4" t="s">
        <v>748</v>
      </c>
      <c r="G608" s="4" t="s">
        <v>748</v>
      </c>
      <c r="I608" s="4" t="s">
        <v>395</v>
      </c>
      <c r="K608" s="4"/>
      <c r="L608" s="4" t="s">
        <v>293</v>
      </c>
    </row>
    <row r="609" hidden="1">
      <c r="A609" s="67" t="str">
        <f t="shared" si="1"/>
        <v>Fri</v>
      </c>
      <c r="B609" s="69">
        <v>43217.0</v>
      </c>
      <c r="C609" s="4" t="s">
        <v>638</v>
      </c>
      <c r="D609" s="171"/>
      <c r="E609" s="4" t="s">
        <v>222</v>
      </c>
      <c r="F609" s="4" t="s">
        <v>749</v>
      </c>
      <c r="G609" s="4" t="s">
        <v>749</v>
      </c>
      <c r="H609" s="4" t="s">
        <v>748</v>
      </c>
      <c r="I609" s="4" t="s">
        <v>395</v>
      </c>
      <c r="K609" s="4"/>
      <c r="L609" s="4" t="s">
        <v>293</v>
      </c>
    </row>
    <row r="610" hidden="1">
      <c r="A610" s="67" t="str">
        <f t="shared" si="1"/>
        <v>Sat</v>
      </c>
      <c r="B610" s="69">
        <v>43218.0</v>
      </c>
      <c r="C610" s="4" t="s">
        <v>638</v>
      </c>
      <c r="D610" s="176">
        <v>339.5</v>
      </c>
      <c r="E610" s="4" t="s">
        <v>222</v>
      </c>
      <c r="F610" s="4" t="s">
        <v>749</v>
      </c>
      <c r="K610" s="4"/>
      <c r="L610" s="4" t="s">
        <v>293</v>
      </c>
    </row>
    <row r="611" hidden="1">
      <c r="A611" s="67" t="str">
        <f t="shared" si="1"/>
        <v>Sun</v>
      </c>
      <c r="B611" s="69">
        <v>43219.0</v>
      </c>
      <c r="C611" s="4" t="s">
        <v>638</v>
      </c>
      <c r="D611" s="176">
        <v>339.5</v>
      </c>
      <c r="E611" s="4" t="s">
        <v>222</v>
      </c>
      <c r="F611" s="4" t="s">
        <v>749</v>
      </c>
      <c r="K611" s="4"/>
      <c r="L611" s="4" t="s">
        <v>293</v>
      </c>
    </row>
    <row r="612" hidden="1">
      <c r="A612" s="67" t="str">
        <f t="shared" si="1"/>
        <v>Mon</v>
      </c>
      <c r="B612" s="69">
        <v>43220.0</v>
      </c>
      <c r="C612" s="4" t="s">
        <v>638</v>
      </c>
      <c r="D612" s="171"/>
      <c r="H612" s="4" t="s">
        <v>749</v>
      </c>
    </row>
    <row r="613" hidden="1">
      <c r="A613" s="67" t="str">
        <f t="shared" si="1"/>
        <v>Tue</v>
      </c>
      <c r="B613" s="69">
        <v>43221.0</v>
      </c>
      <c r="C613" s="4" t="s">
        <v>638</v>
      </c>
      <c r="D613" s="176">
        <v>250.0</v>
      </c>
      <c r="E613" s="4" t="s">
        <v>337</v>
      </c>
      <c r="F613" s="4" t="s">
        <v>750</v>
      </c>
      <c r="G613" s="4" t="s">
        <v>750</v>
      </c>
      <c r="I613" s="4" t="s">
        <v>395</v>
      </c>
      <c r="K613" s="4"/>
      <c r="L613" s="4" t="s">
        <v>293</v>
      </c>
    </row>
    <row r="614" hidden="1">
      <c r="A614" s="67" t="str">
        <f t="shared" si="1"/>
        <v>Wed</v>
      </c>
      <c r="B614" s="69">
        <v>43222.0</v>
      </c>
      <c r="D614" s="171"/>
      <c r="E614" s="4" t="s">
        <v>222</v>
      </c>
      <c r="F614" s="4" t="s">
        <v>751</v>
      </c>
      <c r="G614" s="4" t="s">
        <v>751</v>
      </c>
      <c r="H614" s="4" t="s">
        <v>750</v>
      </c>
      <c r="K614" s="4"/>
      <c r="L614" s="4" t="s">
        <v>293</v>
      </c>
    </row>
    <row r="615" hidden="1">
      <c r="A615" s="67" t="str">
        <f t="shared" si="1"/>
        <v>Thu</v>
      </c>
      <c r="B615" s="69">
        <v>43223.0</v>
      </c>
      <c r="D615" s="176">
        <v>242.5</v>
      </c>
      <c r="E615" s="4" t="s">
        <v>222</v>
      </c>
      <c r="F615" s="4" t="s">
        <v>752</v>
      </c>
      <c r="G615" s="4" t="s">
        <v>752</v>
      </c>
      <c r="H615" s="4" t="s">
        <v>751</v>
      </c>
      <c r="I615" s="4" t="s">
        <v>395</v>
      </c>
      <c r="K615" s="4"/>
      <c r="L615" s="4" t="s">
        <v>293</v>
      </c>
    </row>
    <row r="616" hidden="1">
      <c r="A616" s="67" t="str">
        <f t="shared" si="1"/>
        <v>Fri</v>
      </c>
      <c r="B616" s="69">
        <v>43224.0</v>
      </c>
      <c r="D616" s="176">
        <v>242.5</v>
      </c>
      <c r="E616" s="4" t="s">
        <v>222</v>
      </c>
      <c r="F616" s="4" t="s">
        <v>752</v>
      </c>
      <c r="I616" s="4" t="s">
        <v>395</v>
      </c>
      <c r="K616" s="4"/>
      <c r="L616" s="4" t="s">
        <v>293</v>
      </c>
    </row>
    <row r="617" hidden="1">
      <c r="A617" s="67" t="str">
        <f t="shared" si="1"/>
        <v>Sat</v>
      </c>
      <c r="B617" s="69">
        <v>43225.0</v>
      </c>
      <c r="D617" s="176">
        <v>242.5</v>
      </c>
      <c r="E617" s="4" t="s">
        <v>222</v>
      </c>
      <c r="F617" s="4" t="s">
        <v>752</v>
      </c>
      <c r="I617" s="4" t="s">
        <v>395</v>
      </c>
      <c r="K617" s="4"/>
      <c r="L617" s="4" t="s">
        <v>293</v>
      </c>
    </row>
    <row r="618" hidden="1">
      <c r="A618" s="67" t="str">
        <f t="shared" si="1"/>
        <v>Sun</v>
      </c>
      <c r="B618" s="69">
        <v>43226.0</v>
      </c>
      <c r="D618" s="176">
        <v>242.5</v>
      </c>
      <c r="E618" s="4" t="s">
        <v>222</v>
      </c>
      <c r="F618" s="4" t="s">
        <v>753</v>
      </c>
      <c r="G618" s="4" t="s">
        <v>753</v>
      </c>
      <c r="H618" s="4" t="s">
        <v>752</v>
      </c>
      <c r="I618" s="4" t="s">
        <v>395</v>
      </c>
      <c r="K618" s="4"/>
      <c r="L618" s="4" t="s">
        <v>293</v>
      </c>
    </row>
    <row r="619" hidden="1">
      <c r="A619" s="67" t="str">
        <f t="shared" si="1"/>
        <v>Mon</v>
      </c>
      <c r="B619" s="69">
        <v>43227.0</v>
      </c>
      <c r="D619" s="176">
        <v>242.5</v>
      </c>
      <c r="E619" s="4" t="s">
        <v>222</v>
      </c>
      <c r="F619" s="4" t="s">
        <v>753</v>
      </c>
      <c r="I619" s="4" t="s">
        <v>395</v>
      </c>
      <c r="K619" s="4"/>
      <c r="L619" s="4" t="s">
        <v>293</v>
      </c>
    </row>
    <row r="620" hidden="1">
      <c r="A620" s="67" t="str">
        <f t="shared" si="1"/>
        <v>Tue</v>
      </c>
      <c r="B620" s="69">
        <v>43228.0</v>
      </c>
      <c r="D620" s="176">
        <v>242.5</v>
      </c>
      <c r="E620" s="4" t="s">
        <v>222</v>
      </c>
      <c r="F620" s="4" t="s">
        <v>753</v>
      </c>
      <c r="I620" s="4" t="s">
        <v>395</v>
      </c>
      <c r="K620" s="4"/>
      <c r="L620" s="4" t="s">
        <v>293</v>
      </c>
    </row>
    <row r="621" hidden="1">
      <c r="A621" s="67" t="str">
        <f t="shared" si="1"/>
        <v>Wed</v>
      </c>
      <c r="B621" s="69">
        <v>43229.0</v>
      </c>
      <c r="D621" s="171"/>
      <c r="H621" s="4" t="s">
        <v>753</v>
      </c>
    </row>
    <row r="622" hidden="1">
      <c r="A622" s="67" t="str">
        <f t="shared" si="1"/>
        <v>Thu</v>
      </c>
      <c r="B622" s="69">
        <v>43230.0</v>
      </c>
      <c r="D622" s="171"/>
    </row>
    <row r="623" hidden="1">
      <c r="A623" s="67" t="str">
        <f t="shared" si="1"/>
        <v>Fri</v>
      </c>
      <c r="B623" s="69">
        <v>43231.0</v>
      </c>
      <c r="D623" s="176">
        <v>242.5</v>
      </c>
      <c r="E623" s="4" t="s">
        <v>222</v>
      </c>
      <c r="F623" s="4" t="s">
        <v>754</v>
      </c>
      <c r="G623" s="4" t="s">
        <v>754</v>
      </c>
      <c r="I623" s="4" t="s">
        <v>395</v>
      </c>
      <c r="K623" s="4"/>
      <c r="L623" s="4" t="s">
        <v>293</v>
      </c>
    </row>
    <row r="624" hidden="1">
      <c r="A624" s="67" t="str">
        <f t="shared" si="1"/>
        <v>Sat</v>
      </c>
      <c r="B624" s="69">
        <v>43232.0</v>
      </c>
      <c r="D624" s="176">
        <v>242.5</v>
      </c>
      <c r="E624" s="4" t="s">
        <v>222</v>
      </c>
      <c r="F624" s="4" t="s">
        <v>754</v>
      </c>
      <c r="I624" s="4" t="s">
        <v>395</v>
      </c>
      <c r="K624" s="4"/>
      <c r="L624" s="4" t="s">
        <v>293</v>
      </c>
    </row>
    <row r="625" hidden="1">
      <c r="A625" s="67" t="str">
        <f t="shared" si="1"/>
        <v>Sun</v>
      </c>
      <c r="B625" s="69">
        <v>43233.0</v>
      </c>
      <c r="D625" s="171"/>
      <c r="H625" s="4" t="s">
        <v>754</v>
      </c>
    </row>
    <row r="626" hidden="1">
      <c r="A626" s="67" t="str">
        <f t="shared" si="1"/>
        <v>Mon</v>
      </c>
      <c r="B626" s="69">
        <v>43234.0</v>
      </c>
      <c r="D626" s="171"/>
    </row>
    <row r="627" hidden="1">
      <c r="A627" s="67" t="str">
        <f t="shared" si="1"/>
        <v>Tue</v>
      </c>
      <c r="B627" s="69">
        <v>43235.0</v>
      </c>
      <c r="D627" s="176">
        <v>242.5</v>
      </c>
      <c r="F627" s="4" t="s">
        <v>755</v>
      </c>
      <c r="G627" s="4" t="s">
        <v>755</v>
      </c>
      <c r="I627" s="4" t="s">
        <v>395</v>
      </c>
      <c r="K627" s="4"/>
      <c r="L627" s="4" t="s">
        <v>293</v>
      </c>
    </row>
    <row r="628" hidden="1">
      <c r="A628" s="67" t="str">
        <f t="shared" si="1"/>
        <v>Wed</v>
      </c>
      <c r="B628" s="69">
        <v>43236.0</v>
      </c>
      <c r="D628" s="176">
        <v>242.5</v>
      </c>
      <c r="F628" s="4" t="s">
        <v>755</v>
      </c>
      <c r="I628" s="4" t="s">
        <v>395</v>
      </c>
      <c r="K628" s="4"/>
      <c r="L628" s="4" t="s">
        <v>293</v>
      </c>
    </row>
    <row r="629" hidden="1">
      <c r="A629" s="67" t="str">
        <f t="shared" si="1"/>
        <v>Thu</v>
      </c>
      <c r="B629" s="69">
        <v>43237.0</v>
      </c>
      <c r="D629" s="176">
        <v>242.5</v>
      </c>
      <c r="F629" s="4" t="s">
        <v>755</v>
      </c>
      <c r="I629" s="4" t="s">
        <v>395</v>
      </c>
      <c r="K629" s="4"/>
      <c r="L629" s="4" t="s">
        <v>293</v>
      </c>
    </row>
    <row r="630" hidden="1">
      <c r="A630" s="67" t="str">
        <f t="shared" si="1"/>
        <v>Fri</v>
      </c>
      <c r="B630" s="69">
        <v>43238.0</v>
      </c>
      <c r="D630" s="176">
        <v>242.5</v>
      </c>
      <c r="E630" s="4" t="s">
        <v>222</v>
      </c>
      <c r="F630" s="4" t="s">
        <v>756</v>
      </c>
      <c r="G630" s="4" t="s">
        <v>756</v>
      </c>
      <c r="H630" s="4" t="s">
        <v>755</v>
      </c>
      <c r="I630" s="4" t="s">
        <v>395</v>
      </c>
      <c r="K630" s="4"/>
      <c r="L630" s="4" t="s">
        <v>293</v>
      </c>
    </row>
    <row r="631" hidden="1">
      <c r="A631" s="67" t="str">
        <f t="shared" si="1"/>
        <v>Sat</v>
      </c>
      <c r="B631" s="69">
        <v>43239.0</v>
      </c>
      <c r="D631" s="176">
        <v>242.5</v>
      </c>
      <c r="E631" s="4" t="s">
        <v>222</v>
      </c>
      <c r="F631" s="4" t="s">
        <v>756</v>
      </c>
      <c r="I631" s="4" t="s">
        <v>395</v>
      </c>
      <c r="K631" s="4"/>
      <c r="L631" s="4" t="s">
        <v>293</v>
      </c>
    </row>
    <row r="632" hidden="1">
      <c r="A632" s="67" t="str">
        <f t="shared" si="1"/>
        <v>Sun</v>
      </c>
      <c r="B632" s="69">
        <v>43240.0</v>
      </c>
      <c r="D632" s="171"/>
      <c r="H632" s="4" t="s">
        <v>756</v>
      </c>
    </row>
    <row r="633" hidden="1">
      <c r="A633" s="67" t="str">
        <f t="shared" si="1"/>
        <v>Mon</v>
      </c>
      <c r="B633" s="69">
        <v>43241.0</v>
      </c>
      <c r="D633" s="171"/>
    </row>
    <row r="634" hidden="1">
      <c r="A634" s="67" t="str">
        <f t="shared" si="1"/>
        <v>Tue</v>
      </c>
      <c r="B634" s="69">
        <v>43242.0</v>
      </c>
      <c r="D634" s="176">
        <v>242.5</v>
      </c>
      <c r="E634" s="4" t="s">
        <v>222</v>
      </c>
      <c r="F634" s="4" t="s">
        <v>757</v>
      </c>
      <c r="G634" s="4" t="s">
        <v>757</v>
      </c>
      <c r="I634" s="4" t="s">
        <v>395</v>
      </c>
      <c r="K634" s="4"/>
      <c r="L634" s="4" t="s">
        <v>293</v>
      </c>
    </row>
    <row r="635" hidden="1">
      <c r="A635" s="67" t="str">
        <f t="shared" si="1"/>
        <v>Wed</v>
      </c>
      <c r="B635" s="69">
        <v>43243.0</v>
      </c>
      <c r="C635" s="4" t="s">
        <v>758</v>
      </c>
      <c r="D635" s="176">
        <v>242.5</v>
      </c>
      <c r="E635" s="4" t="s">
        <v>222</v>
      </c>
      <c r="F635" s="4" t="s">
        <v>757</v>
      </c>
      <c r="I635" s="4" t="s">
        <v>395</v>
      </c>
      <c r="K635" s="4"/>
      <c r="L635" s="4" t="s">
        <v>293</v>
      </c>
    </row>
    <row r="636" hidden="1">
      <c r="A636" s="67" t="str">
        <f t="shared" si="1"/>
        <v>Thu</v>
      </c>
      <c r="B636" s="69">
        <v>43244.0</v>
      </c>
      <c r="C636" s="4" t="s">
        <v>758</v>
      </c>
      <c r="D636" s="176">
        <v>679.0</v>
      </c>
      <c r="E636" s="4" t="s">
        <v>222</v>
      </c>
      <c r="F636" s="4" t="s">
        <v>759</v>
      </c>
      <c r="G636" s="4" t="s">
        <v>759</v>
      </c>
      <c r="H636" s="4" t="s">
        <v>757</v>
      </c>
      <c r="I636" s="4" t="s">
        <v>395</v>
      </c>
      <c r="K636" s="4"/>
      <c r="L636" s="4" t="s">
        <v>293</v>
      </c>
    </row>
    <row r="637" hidden="1">
      <c r="A637" s="67" t="str">
        <f t="shared" si="1"/>
        <v>Fri</v>
      </c>
      <c r="B637" s="69">
        <v>43245.0</v>
      </c>
      <c r="C637" s="4" t="s">
        <v>758</v>
      </c>
      <c r="D637" s="176">
        <v>679.0</v>
      </c>
      <c r="E637" s="4" t="s">
        <v>222</v>
      </c>
      <c r="F637" s="4" t="s">
        <v>759</v>
      </c>
      <c r="I637" s="4" t="s">
        <v>395</v>
      </c>
      <c r="K637" s="4"/>
      <c r="L637" s="4" t="s">
        <v>293</v>
      </c>
    </row>
    <row r="638" hidden="1">
      <c r="A638" s="67" t="str">
        <f t="shared" si="1"/>
        <v>Sat</v>
      </c>
      <c r="B638" s="69">
        <v>43246.0</v>
      </c>
      <c r="C638" s="4" t="s">
        <v>758</v>
      </c>
      <c r="D638" s="176">
        <v>679.0</v>
      </c>
      <c r="E638" s="4" t="s">
        <v>222</v>
      </c>
      <c r="F638" s="4" t="s">
        <v>759</v>
      </c>
      <c r="I638" s="4" t="s">
        <v>395</v>
      </c>
      <c r="K638" s="4"/>
      <c r="L638" s="4" t="s">
        <v>293</v>
      </c>
    </row>
    <row r="639" hidden="1">
      <c r="A639" s="67" t="str">
        <f t="shared" si="1"/>
        <v>Sun</v>
      </c>
      <c r="B639" s="69">
        <v>43247.0</v>
      </c>
      <c r="C639" s="4" t="s">
        <v>758</v>
      </c>
      <c r="D639" s="176">
        <v>679.0</v>
      </c>
      <c r="E639" s="4" t="s">
        <v>222</v>
      </c>
      <c r="F639" s="4" t="s">
        <v>759</v>
      </c>
      <c r="I639" s="4" t="s">
        <v>395</v>
      </c>
      <c r="K639" s="4"/>
      <c r="L639" s="4" t="s">
        <v>293</v>
      </c>
    </row>
    <row r="640" hidden="1">
      <c r="A640" s="67" t="str">
        <f t="shared" si="1"/>
        <v>Mon</v>
      </c>
      <c r="B640" s="69">
        <v>43248.0</v>
      </c>
      <c r="C640" s="4" t="s">
        <v>758</v>
      </c>
      <c r="D640" s="176">
        <v>242.5</v>
      </c>
      <c r="E640" s="4" t="s">
        <v>222</v>
      </c>
      <c r="F640" s="4" t="s">
        <v>760</v>
      </c>
      <c r="G640" s="4" t="s">
        <v>760</v>
      </c>
      <c r="H640" s="4" t="s">
        <v>759</v>
      </c>
      <c r="I640" s="4" t="s">
        <v>395</v>
      </c>
      <c r="K640" s="4"/>
      <c r="L640" s="4" t="s">
        <v>293</v>
      </c>
    </row>
    <row r="641" hidden="1">
      <c r="A641" s="67" t="str">
        <f t="shared" si="1"/>
        <v>Tue</v>
      </c>
      <c r="B641" s="69">
        <v>43249.0</v>
      </c>
      <c r="D641" s="176">
        <v>242.5</v>
      </c>
      <c r="E641" s="4" t="s">
        <v>222</v>
      </c>
      <c r="F641" s="4" t="s">
        <v>760</v>
      </c>
      <c r="I641" s="4" t="s">
        <v>395</v>
      </c>
      <c r="K641" s="4"/>
      <c r="L641" s="4" t="s">
        <v>293</v>
      </c>
    </row>
    <row r="642" hidden="1">
      <c r="A642" s="67" t="str">
        <f t="shared" si="1"/>
        <v>Wed</v>
      </c>
      <c r="B642" s="69">
        <v>43250.0</v>
      </c>
      <c r="D642" s="171"/>
      <c r="H642" s="4" t="s">
        <v>760</v>
      </c>
    </row>
    <row r="643" hidden="1">
      <c r="A643" s="67" t="str">
        <f t="shared" si="1"/>
        <v>Thu</v>
      </c>
      <c r="B643" s="69">
        <v>43251.0</v>
      </c>
      <c r="D643" s="176">
        <v>242.5</v>
      </c>
      <c r="E643" s="4" t="s">
        <v>222</v>
      </c>
      <c r="F643" s="4" t="s">
        <v>761</v>
      </c>
      <c r="G643" s="4" t="s">
        <v>761</v>
      </c>
      <c r="I643" s="4" t="s">
        <v>395</v>
      </c>
      <c r="K643" s="4"/>
      <c r="L643" s="4" t="s">
        <v>293</v>
      </c>
    </row>
    <row r="644" hidden="1">
      <c r="A644" s="67" t="str">
        <f t="shared" si="1"/>
        <v>Fri</v>
      </c>
      <c r="B644" s="69">
        <v>43252.0</v>
      </c>
      <c r="D644" s="176">
        <v>242.5</v>
      </c>
      <c r="E644" s="4" t="s">
        <v>222</v>
      </c>
      <c r="F644" s="4" t="s">
        <v>761</v>
      </c>
      <c r="I644" s="4" t="s">
        <v>395</v>
      </c>
      <c r="K644" s="4"/>
      <c r="L644" s="4" t="s">
        <v>293</v>
      </c>
    </row>
    <row r="645" hidden="1">
      <c r="A645" s="67" t="str">
        <f t="shared" si="1"/>
        <v>Sat</v>
      </c>
      <c r="B645" s="69">
        <v>43253.0</v>
      </c>
      <c r="D645" s="176">
        <v>242.5</v>
      </c>
      <c r="E645" s="4" t="s">
        <v>222</v>
      </c>
      <c r="F645" s="4" t="s">
        <v>761</v>
      </c>
      <c r="I645" s="4" t="s">
        <v>395</v>
      </c>
      <c r="K645" s="4"/>
      <c r="L645" s="4" t="s">
        <v>293</v>
      </c>
    </row>
    <row r="646" hidden="1">
      <c r="A646" s="67" t="str">
        <f t="shared" si="1"/>
        <v>Sun</v>
      </c>
      <c r="B646" s="69">
        <v>43254.0</v>
      </c>
      <c r="D646" s="171"/>
      <c r="H646" s="4" t="s">
        <v>761</v>
      </c>
    </row>
    <row r="647" hidden="1">
      <c r="A647" s="67" t="str">
        <f t="shared" si="1"/>
        <v>Mon</v>
      </c>
      <c r="B647" s="69">
        <v>43255.0</v>
      </c>
      <c r="D647" s="171"/>
    </row>
    <row r="648" hidden="1">
      <c r="A648" s="67" t="str">
        <f t="shared" si="1"/>
        <v>Tue</v>
      </c>
      <c r="B648" s="69">
        <v>43256.0</v>
      </c>
      <c r="D648" s="171"/>
    </row>
    <row r="649" hidden="1">
      <c r="A649" s="67" t="str">
        <f t="shared" si="1"/>
        <v>Wed</v>
      </c>
      <c r="B649" s="69">
        <v>43257.0</v>
      </c>
      <c r="D649" s="171"/>
    </row>
    <row r="650" hidden="1">
      <c r="A650" s="67" t="str">
        <f t="shared" si="1"/>
        <v>Thu</v>
      </c>
      <c r="B650" s="69">
        <v>43258.0</v>
      </c>
      <c r="D650" s="171"/>
    </row>
    <row r="651" hidden="1">
      <c r="A651" s="67" t="str">
        <f t="shared" si="1"/>
        <v>Fri</v>
      </c>
      <c r="B651" s="69">
        <v>43259.0</v>
      </c>
      <c r="C651" s="4" t="s">
        <v>626</v>
      </c>
      <c r="D651" s="176">
        <v>436.5</v>
      </c>
      <c r="E651" s="4" t="s">
        <v>222</v>
      </c>
      <c r="F651" s="4" t="s">
        <v>762</v>
      </c>
      <c r="G651" s="4" t="s">
        <v>762</v>
      </c>
      <c r="I651" s="4" t="s">
        <v>395</v>
      </c>
      <c r="K651" s="4"/>
      <c r="L651" s="4" t="s">
        <v>293</v>
      </c>
    </row>
    <row r="652" hidden="1">
      <c r="A652" s="67" t="str">
        <f t="shared" si="1"/>
        <v>Sat</v>
      </c>
      <c r="B652" s="69">
        <v>43260.0</v>
      </c>
      <c r="C652" s="4" t="s">
        <v>626</v>
      </c>
      <c r="D652" s="176">
        <v>436.5</v>
      </c>
      <c r="E652" s="4" t="s">
        <v>222</v>
      </c>
      <c r="F652" s="4" t="s">
        <v>762</v>
      </c>
      <c r="I652" s="4" t="s">
        <v>395</v>
      </c>
      <c r="K652" s="4"/>
      <c r="L652" s="4" t="s">
        <v>293</v>
      </c>
    </row>
    <row r="653" hidden="1">
      <c r="A653" s="67" t="str">
        <f t="shared" si="1"/>
        <v>Sun</v>
      </c>
      <c r="B653" s="69">
        <v>43261.0</v>
      </c>
      <c r="C653" s="4" t="s">
        <v>626</v>
      </c>
      <c r="D653" s="171"/>
      <c r="H653" s="4" t="s">
        <v>762</v>
      </c>
    </row>
    <row r="654" hidden="1">
      <c r="A654" s="67" t="str">
        <f t="shared" si="1"/>
        <v>Mon</v>
      </c>
      <c r="B654" s="69">
        <v>43262.0</v>
      </c>
      <c r="D654" s="171"/>
    </row>
    <row r="655" hidden="1">
      <c r="A655" s="67" t="str">
        <f t="shared" si="1"/>
        <v>Tue</v>
      </c>
      <c r="B655" s="69">
        <v>43263.0</v>
      </c>
      <c r="D655" s="171"/>
    </row>
    <row r="656" hidden="1">
      <c r="A656" s="67" t="str">
        <f t="shared" si="1"/>
        <v>Wed</v>
      </c>
      <c r="B656" s="69">
        <v>43264.0</v>
      </c>
      <c r="D656" s="171"/>
    </row>
    <row r="657" hidden="1">
      <c r="A657" s="67" t="str">
        <f t="shared" si="1"/>
        <v>Thu</v>
      </c>
      <c r="B657" s="69">
        <v>43265.0</v>
      </c>
      <c r="D657" s="171"/>
    </row>
    <row r="658" hidden="1">
      <c r="A658" s="67" t="str">
        <f t="shared" si="1"/>
        <v>Fri</v>
      </c>
      <c r="B658" s="69">
        <v>43266.0</v>
      </c>
      <c r="D658" s="176">
        <v>339.5</v>
      </c>
      <c r="E658" s="4" t="s">
        <v>222</v>
      </c>
      <c r="F658" s="4" t="s">
        <v>763</v>
      </c>
      <c r="G658" s="4" t="s">
        <v>763</v>
      </c>
      <c r="I658" s="4" t="s">
        <v>395</v>
      </c>
      <c r="K658" s="4"/>
      <c r="L658" s="4" t="s">
        <v>293</v>
      </c>
    </row>
    <row r="659" hidden="1">
      <c r="A659" s="67" t="str">
        <f t="shared" si="1"/>
        <v>Sat</v>
      </c>
      <c r="B659" s="69">
        <v>43267.0</v>
      </c>
      <c r="D659" s="176">
        <v>339.5</v>
      </c>
      <c r="E659" s="4" t="s">
        <v>222</v>
      </c>
      <c r="F659" s="4" t="s">
        <v>763</v>
      </c>
      <c r="I659" s="4" t="s">
        <v>395</v>
      </c>
      <c r="K659" s="4"/>
      <c r="L659" s="4" t="s">
        <v>293</v>
      </c>
    </row>
    <row r="660" hidden="1">
      <c r="A660" s="67" t="str">
        <f t="shared" si="1"/>
        <v>Sun</v>
      </c>
      <c r="B660" s="69">
        <v>43268.0</v>
      </c>
      <c r="D660" s="171"/>
      <c r="H660" s="4" t="s">
        <v>763</v>
      </c>
    </row>
    <row r="661" hidden="1">
      <c r="A661" s="67" t="str">
        <f t="shared" si="1"/>
        <v>Mon</v>
      </c>
      <c r="B661" s="69">
        <v>43269.0</v>
      </c>
      <c r="D661" s="171"/>
    </row>
    <row r="662" hidden="1">
      <c r="A662" s="67" t="str">
        <f t="shared" si="1"/>
        <v>Tue</v>
      </c>
      <c r="B662" s="69">
        <v>43270.0</v>
      </c>
      <c r="D662" s="171"/>
    </row>
    <row r="663" hidden="1">
      <c r="A663" s="67" t="str">
        <f t="shared" si="1"/>
        <v>Wed</v>
      </c>
      <c r="B663" s="69">
        <v>43271.0</v>
      </c>
      <c r="D663" s="171"/>
    </row>
    <row r="664" hidden="1">
      <c r="A664" s="67" t="str">
        <f t="shared" si="1"/>
        <v>Thu</v>
      </c>
      <c r="B664" s="69">
        <v>43272.0</v>
      </c>
      <c r="D664" s="171"/>
    </row>
    <row r="665" hidden="1">
      <c r="A665" s="67" t="str">
        <f t="shared" si="1"/>
        <v>Fri</v>
      </c>
      <c r="B665" s="69">
        <v>43273.0</v>
      </c>
      <c r="D665" s="171"/>
    </row>
    <row r="666" hidden="1">
      <c r="A666" s="67" t="str">
        <f t="shared" si="1"/>
        <v>Sat</v>
      </c>
      <c r="B666" s="69">
        <v>43274.0</v>
      </c>
      <c r="D666" s="171"/>
    </row>
    <row r="667" hidden="1">
      <c r="A667" s="67" t="str">
        <f t="shared" si="1"/>
        <v>Sun</v>
      </c>
      <c r="B667" s="69">
        <v>43275.0</v>
      </c>
      <c r="D667" s="171"/>
    </row>
    <row r="668" hidden="1">
      <c r="A668" s="67" t="str">
        <f t="shared" si="1"/>
        <v>Mon</v>
      </c>
      <c r="B668" s="69">
        <v>43276.0</v>
      </c>
      <c r="D668" s="171"/>
    </row>
    <row r="669" hidden="1">
      <c r="A669" s="67" t="str">
        <f t="shared" si="1"/>
        <v>Tue</v>
      </c>
      <c r="B669" s="69">
        <v>43277.0</v>
      </c>
      <c r="D669" s="171"/>
    </row>
    <row r="670" hidden="1">
      <c r="A670" s="67" t="str">
        <f t="shared" si="1"/>
        <v>Wed</v>
      </c>
      <c r="B670" s="69">
        <v>43278.0</v>
      </c>
      <c r="D670" s="171"/>
    </row>
    <row r="671" hidden="1">
      <c r="A671" s="67" t="str">
        <f t="shared" si="1"/>
        <v>Thu</v>
      </c>
      <c r="B671" s="69">
        <v>43279.0</v>
      </c>
      <c r="D671" s="171"/>
    </row>
    <row r="672" hidden="1">
      <c r="A672" s="67" t="str">
        <f t="shared" si="1"/>
        <v>Fri</v>
      </c>
      <c r="B672" s="69">
        <v>43280.0</v>
      </c>
      <c r="D672" s="171"/>
    </row>
    <row r="673" hidden="1">
      <c r="A673" s="67" t="str">
        <f t="shared" si="1"/>
        <v>Sat</v>
      </c>
      <c r="B673" s="69">
        <v>43281.0</v>
      </c>
      <c r="D673" s="175">
        <v>266.72125</v>
      </c>
      <c r="E673" s="4" t="s">
        <v>222</v>
      </c>
      <c r="F673" s="4" t="s">
        <v>764</v>
      </c>
      <c r="G673" s="4" t="s">
        <v>764</v>
      </c>
      <c r="I673" s="4" t="s">
        <v>395</v>
      </c>
      <c r="K673" s="4"/>
      <c r="L673" s="4" t="s">
        <v>293</v>
      </c>
    </row>
    <row r="674" hidden="1">
      <c r="A674" s="67" t="str">
        <f t="shared" si="1"/>
        <v>Sun</v>
      </c>
      <c r="B674" s="69">
        <v>43282.0</v>
      </c>
      <c r="D674" s="175">
        <v>266.72125</v>
      </c>
      <c r="E674" s="4" t="s">
        <v>222</v>
      </c>
      <c r="F674" s="4" t="s">
        <v>764</v>
      </c>
      <c r="I674" s="4" t="s">
        <v>395</v>
      </c>
      <c r="K674" s="4"/>
      <c r="L674" s="4" t="s">
        <v>293</v>
      </c>
    </row>
    <row r="675" hidden="1">
      <c r="A675" s="67" t="str">
        <f t="shared" si="1"/>
        <v>Mon</v>
      </c>
      <c r="B675" s="69">
        <v>43283.0</v>
      </c>
      <c r="D675" s="175">
        <v>266.72125</v>
      </c>
      <c r="E675" s="4" t="s">
        <v>222</v>
      </c>
      <c r="F675" s="4" t="s">
        <v>764</v>
      </c>
      <c r="I675" s="4" t="s">
        <v>395</v>
      </c>
      <c r="K675" s="4"/>
      <c r="L675" s="4" t="s">
        <v>293</v>
      </c>
    </row>
    <row r="676" hidden="1">
      <c r="A676" s="67" t="str">
        <f t="shared" si="1"/>
        <v>Tue</v>
      </c>
      <c r="B676" s="69">
        <v>43284.0</v>
      </c>
      <c r="D676" s="175">
        <v>266.72125</v>
      </c>
      <c r="E676" s="4" t="s">
        <v>222</v>
      </c>
      <c r="F676" s="4" t="s">
        <v>764</v>
      </c>
      <c r="I676" s="4" t="s">
        <v>395</v>
      </c>
      <c r="K676" s="4"/>
      <c r="L676" s="4" t="s">
        <v>293</v>
      </c>
    </row>
    <row r="677" hidden="1">
      <c r="A677" s="67" t="str">
        <f t="shared" si="1"/>
        <v>Wed</v>
      </c>
      <c r="B677" s="69">
        <v>43285.0</v>
      </c>
      <c r="D677" s="175">
        <v>266.72125</v>
      </c>
      <c r="E677" s="4" t="s">
        <v>222</v>
      </c>
      <c r="F677" s="4" t="s">
        <v>764</v>
      </c>
      <c r="I677" s="4" t="s">
        <v>395</v>
      </c>
      <c r="K677" s="4"/>
      <c r="L677" s="4" t="s">
        <v>293</v>
      </c>
    </row>
    <row r="678" hidden="1">
      <c r="A678" s="67" t="str">
        <f t="shared" si="1"/>
        <v>Thu</v>
      </c>
      <c r="B678" s="69">
        <v>43286.0</v>
      </c>
      <c r="D678" s="175">
        <v>266.72125</v>
      </c>
      <c r="E678" s="4" t="s">
        <v>222</v>
      </c>
      <c r="F678" s="4" t="s">
        <v>764</v>
      </c>
      <c r="I678" s="4" t="s">
        <v>395</v>
      </c>
      <c r="K678" s="4"/>
      <c r="L678" s="4" t="s">
        <v>293</v>
      </c>
    </row>
    <row r="679" hidden="1">
      <c r="A679" s="67" t="str">
        <f t="shared" si="1"/>
        <v>Fri</v>
      </c>
      <c r="B679" s="69">
        <v>43287.0</v>
      </c>
      <c r="D679" s="175">
        <v>266.72125</v>
      </c>
      <c r="E679" s="4" t="s">
        <v>222</v>
      </c>
      <c r="F679" s="4" t="s">
        <v>764</v>
      </c>
      <c r="I679" s="4" t="s">
        <v>395</v>
      </c>
      <c r="K679" s="4"/>
      <c r="L679" s="4" t="s">
        <v>293</v>
      </c>
    </row>
    <row r="680" hidden="1">
      <c r="A680" s="67" t="str">
        <f t="shared" si="1"/>
        <v>Sat</v>
      </c>
      <c r="B680" s="69">
        <v>43288.0</v>
      </c>
      <c r="D680" s="175">
        <v>266.72125</v>
      </c>
      <c r="E680" s="4" t="s">
        <v>222</v>
      </c>
      <c r="F680" s="4" t="s">
        <v>764</v>
      </c>
      <c r="I680" s="4" t="s">
        <v>395</v>
      </c>
      <c r="K680" s="4"/>
      <c r="L680" s="4" t="s">
        <v>293</v>
      </c>
    </row>
    <row r="681" hidden="1">
      <c r="A681" s="67" t="str">
        <f t="shared" si="1"/>
        <v>Sun</v>
      </c>
      <c r="B681" s="69">
        <v>43289.0</v>
      </c>
      <c r="D681" s="176">
        <v>225.0</v>
      </c>
      <c r="E681" s="4" t="s">
        <v>337</v>
      </c>
      <c r="F681" s="4" t="s">
        <v>765</v>
      </c>
      <c r="G681" s="4" t="s">
        <v>765</v>
      </c>
      <c r="H681" s="4" t="s">
        <v>764</v>
      </c>
      <c r="I681" s="4" t="s">
        <v>395</v>
      </c>
      <c r="J681" s="4" t="s">
        <v>767</v>
      </c>
      <c r="K681" s="4"/>
      <c r="L681" s="4" t="s">
        <v>293</v>
      </c>
    </row>
    <row r="682" hidden="1">
      <c r="A682" s="67" t="str">
        <f t="shared" si="1"/>
        <v>Mon</v>
      </c>
      <c r="B682" s="69">
        <v>43290.0</v>
      </c>
      <c r="D682" s="176">
        <v>225.0</v>
      </c>
      <c r="E682" s="4" t="s">
        <v>337</v>
      </c>
      <c r="F682" s="4" t="s">
        <v>765</v>
      </c>
      <c r="I682" s="4" t="s">
        <v>395</v>
      </c>
      <c r="J682" s="4" t="s">
        <v>767</v>
      </c>
      <c r="K682" s="4"/>
      <c r="L682" s="4" t="s">
        <v>293</v>
      </c>
    </row>
    <row r="683" hidden="1">
      <c r="A683" s="67" t="str">
        <f t="shared" si="1"/>
        <v>Tue</v>
      </c>
      <c r="B683" s="69">
        <v>43291.0</v>
      </c>
      <c r="D683" s="176">
        <v>225.0</v>
      </c>
      <c r="E683" s="4" t="s">
        <v>337</v>
      </c>
      <c r="F683" s="4" t="s">
        <v>765</v>
      </c>
      <c r="I683" s="4" t="s">
        <v>395</v>
      </c>
      <c r="J683" s="4" t="s">
        <v>767</v>
      </c>
      <c r="K683" s="4"/>
      <c r="L683" s="4" t="s">
        <v>293</v>
      </c>
    </row>
    <row r="684" hidden="1">
      <c r="A684" s="67" t="str">
        <f t="shared" si="1"/>
        <v>Wed</v>
      </c>
      <c r="B684" s="69">
        <v>43292.0</v>
      </c>
      <c r="D684" s="176">
        <v>225.0</v>
      </c>
      <c r="E684" s="4" t="s">
        <v>337</v>
      </c>
      <c r="F684" s="4" t="s">
        <v>765</v>
      </c>
      <c r="I684" s="4" t="s">
        <v>395</v>
      </c>
      <c r="J684" s="4" t="s">
        <v>767</v>
      </c>
      <c r="K684" s="4"/>
      <c r="L684" s="4" t="s">
        <v>293</v>
      </c>
    </row>
    <row r="685" hidden="1">
      <c r="A685" s="67" t="str">
        <f t="shared" si="1"/>
        <v>Thu</v>
      </c>
      <c r="B685" s="69">
        <v>43293.0</v>
      </c>
      <c r="D685" s="171"/>
      <c r="H685" s="4" t="s">
        <v>765</v>
      </c>
    </row>
    <row r="686" hidden="1">
      <c r="A686" s="67" t="str">
        <f t="shared" si="1"/>
        <v>Fri</v>
      </c>
      <c r="B686" s="69">
        <v>43294.0</v>
      </c>
      <c r="D686" s="171"/>
    </row>
    <row r="687" hidden="1">
      <c r="A687" s="67" t="str">
        <f t="shared" si="1"/>
        <v>Sat</v>
      </c>
      <c r="B687" s="69">
        <v>43295.0</v>
      </c>
      <c r="D687" s="171"/>
    </row>
    <row r="688" hidden="1">
      <c r="A688" s="67" t="str">
        <f t="shared" si="1"/>
        <v>Sun</v>
      </c>
      <c r="B688" s="69">
        <v>43296.0</v>
      </c>
      <c r="D688" s="171"/>
    </row>
    <row r="689" hidden="1">
      <c r="A689" s="67" t="str">
        <f t="shared" si="1"/>
        <v>Mon</v>
      </c>
      <c r="B689" s="69">
        <v>43297.0</v>
      </c>
      <c r="D689" s="175">
        <v>243.19285714285712</v>
      </c>
      <c r="E689" s="4" t="s">
        <v>222</v>
      </c>
      <c r="F689" s="4" t="s">
        <v>771</v>
      </c>
      <c r="G689" s="4" t="s">
        <v>771</v>
      </c>
      <c r="I689" s="4" t="s">
        <v>395</v>
      </c>
      <c r="K689" s="4"/>
      <c r="L689" s="4" t="s">
        <v>293</v>
      </c>
    </row>
    <row r="690" hidden="1">
      <c r="A690" s="67" t="str">
        <f t="shared" si="1"/>
        <v>Tue</v>
      </c>
      <c r="B690" s="69">
        <v>43298.0</v>
      </c>
      <c r="D690" s="175">
        <v>243.19285714285712</v>
      </c>
      <c r="E690" s="4" t="s">
        <v>222</v>
      </c>
      <c r="F690" s="4" t="s">
        <v>771</v>
      </c>
      <c r="I690" s="4" t="s">
        <v>395</v>
      </c>
      <c r="K690" s="4"/>
      <c r="L690" s="4" t="s">
        <v>293</v>
      </c>
    </row>
    <row r="691" hidden="1">
      <c r="A691" s="67" t="str">
        <f t="shared" si="1"/>
        <v>Wed</v>
      </c>
      <c r="B691" s="69">
        <v>43299.0</v>
      </c>
      <c r="D691" s="175">
        <v>243.19285714285712</v>
      </c>
      <c r="E691" s="4" t="s">
        <v>222</v>
      </c>
      <c r="F691" s="4" t="s">
        <v>771</v>
      </c>
      <c r="I691" s="4" t="s">
        <v>395</v>
      </c>
      <c r="K691" s="4"/>
      <c r="L691" s="4" t="s">
        <v>293</v>
      </c>
    </row>
    <row r="692" hidden="1">
      <c r="A692" s="67" t="str">
        <f t="shared" si="1"/>
        <v>Thu</v>
      </c>
      <c r="B692" s="69">
        <v>43300.0</v>
      </c>
      <c r="D692" s="175">
        <v>243.19285714285712</v>
      </c>
      <c r="E692" s="4" t="s">
        <v>222</v>
      </c>
      <c r="F692" s="4" t="s">
        <v>771</v>
      </c>
      <c r="I692" s="4" t="s">
        <v>395</v>
      </c>
      <c r="K692" s="4"/>
      <c r="L692" s="4" t="s">
        <v>293</v>
      </c>
    </row>
    <row r="693" hidden="1">
      <c r="A693" s="67" t="str">
        <f t="shared" si="1"/>
        <v>Fri</v>
      </c>
      <c r="B693" s="69">
        <v>43301.0</v>
      </c>
      <c r="D693" s="175">
        <v>243.19285714285712</v>
      </c>
      <c r="E693" s="4" t="s">
        <v>222</v>
      </c>
      <c r="F693" s="4" t="s">
        <v>771</v>
      </c>
      <c r="I693" s="4" t="s">
        <v>395</v>
      </c>
      <c r="K693" s="4"/>
      <c r="L693" s="4" t="s">
        <v>293</v>
      </c>
    </row>
    <row r="694" hidden="1">
      <c r="A694" s="67" t="str">
        <f t="shared" si="1"/>
        <v>Sat</v>
      </c>
      <c r="B694" s="69">
        <v>43302.0</v>
      </c>
      <c r="D694" s="175">
        <v>243.19285714285712</v>
      </c>
      <c r="E694" s="4" t="s">
        <v>222</v>
      </c>
      <c r="F694" s="4" t="s">
        <v>771</v>
      </c>
      <c r="I694" s="4" t="s">
        <v>395</v>
      </c>
      <c r="K694" s="4"/>
      <c r="L694" s="4" t="s">
        <v>293</v>
      </c>
    </row>
    <row r="695" hidden="1">
      <c r="A695" s="67" t="str">
        <f t="shared" si="1"/>
        <v>Sun</v>
      </c>
      <c r="B695" s="69">
        <v>43303.0</v>
      </c>
      <c r="D695" s="175">
        <v>243.19285714285712</v>
      </c>
      <c r="E695" s="4" t="s">
        <v>222</v>
      </c>
      <c r="F695" s="4" t="s">
        <v>771</v>
      </c>
      <c r="I695" s="4" t="s">
        <v>395</v>
      </c>
      <c r="K695" s="4"/>
      <c r="L695" s="4" t="s">
        <v>293</v>
      </c>
    </row>
    <row r="696" hidden="1">
      <c r="A696" s="67" t="str">
        <f t="shared" si="1"/>
        <v>Mon</v>
      </c>
      <c r="B696" s="69">
        <v>43304.0</v>
      </c>
      <c r="D696" s="176">
        <v>-30.0</v>
      </c>
      <c r="E696" s="4" t="s">
        <v>337</v>
      </c>
      <c r="F696" s="4" t="s">
        <v>772</v>
      </c>
      <c r="H696" s="4" t="s">
        <v>771</v>
      </c>
      <c r="I696" s="4" t="s">
        <v>395</v>
      </c>
      <c r="J696" s="4" t="s">
        <v>773</v>
      </c>
      <c r="K696" s="4"/>
      <c r="L696" s="4" t="s">
        <v>293</v>
      </c>
    </row>
    <row r="697" hidden="1">
      <c r="A697" s="67" t="str">
        <f t="shared" si="1"/>
        <v>Tue</v>
      </c>
      <c r="B697" s="69">
        <v>43305.0</v>
      </c>
      <c r="D697" s="176">
        <v>242.5</v>
      </c>
      <c r="E697" s="4" t="s">
        <v>222</v>
      </c>
      <c r="F697" s="4" t="s">
        <v>774</v>
      </c>
      <c r="I697" s="4" t="s">
        <v>395</v>
      </c>
      <c r="K697" s="4"/>
      <c r="L697" s="4" t="s">
        <v>293</v>
      </c>
    </row>
    <row r="698" hidden="1">
      <c r="A698" s="67" t="str">
        <f t="shared" si="1"/>
        <v>Wed</v>
      </c>
      <c r="B698" s="69">
        <v>43306.0</v>
      </c>
      <c r="D698" s="176">
        <v>242.5</v>
      </c>
      <c r="E698" s="4" t="s">
        <v>222</v>
      </c>
      <c r="F698" s="4" t="s">
        <v>774</v>
      </c>
      <c r="I698" s="4" t="s">
        <v>395</v>
      </c>
      <c r="K698" s="4"/>
      <c r="L698" s="4" t="s">
        <v>293</v>
      </c>
    </row>
    <row r="699" hidden="1">
      <c r="A699" s="67" t="str">
        <f t="shared" si="1"/>
        <v>Thu</v>
      </c>
      <c r="B699" s="69">
        <v>43307.0</v>
      </c>
      <c r="D699" s="175">
        <v>307.1666666666667</v>
      </c>
      <c r="E699" s="4" t="s">
        <v>222</v>
      </c>
      <c r="F699" s="4" t="s">
        <v>775</v>
      </c>
      <c r="G699" s="4" t="s">
        <v>775</v>
      </c>
      <c r="H699" s="4" t="s">
        <v>774</v>
      </c>
      <c r="I699" s="4" t="s">
        <v>395</v>
      </c>
      <c r="K699" s="4"/>
      <c r="L699" s="4" t="s">
        <v>293</v>
      </c>
    </row>
    <row r="700" hidden="1">
      <c r="A700" s="67" t="str">
        <f t="shared" si="1"/>
        <v>Fri</v>
      </c>
      <c r="B700" s="69">
        <v>43308.0</v>
      </c>
      <c r="D700" s="175">
        <v>307.1666666666667</v>
      </c>
      <c r="E700" s="4" t="s">
        <v>222</v>
      </c>
      <c r="F700" s="4" t="s">
        <v>775</v>
      </c>
      <c r="I700" s="4" t="s">
        <v>395</v>
      </c>
      <c r="K700" s="4"/>
      <c r="L700" s="4" t="s">
        <v>293</v>
      </c>
    </row>
    <row r="701" hidden="1">
      <c r="A701" s="67" t="str">
        <f t="shared" si="1"/>
        <v>Sat</v>
      </c>
      <c r="B701" s="69">
        <v>43309.0</v>
      </c>
      <c r="D701" s="175">
        <v>307.1666666666667</v>
      </c>
      <c r="E701" s="4" t="s">
        <v>222</v>
      </c>
      <c r="F701" s="4" t="s">
        <v>775</v>
      </c>
      <c r="I701" s="4" t="s">
        <v>395</v>
      </c>
      <c r="K701" s="4"/>
      <c r="L701" s="4" t="s">
        <v>293</v>
      </c>
    </row>
    <row r="702" hidden="1">
      <c r="A702" s="67" t="str">
        <f t="shared" si="1"/>
        <v>Sun</v>
      </c>
      <c r="B702" s="69">
        <v>43310.0</v>
      </c>
      <c r="D702" s="171"/>
      <c r="H702" s="4" t="s">
        <v>775</v>
      </c>
      <c r="K702" s="4"/>
      <c r="L702" s="4" t="s">
        <v>293</v>
      </c>
    </row>
    <row r="703" hidden="1">
      <c r="A703" s="67" t="str">
        <f t="shared" si="1"/>
        <v>Mon</v>
      </c>
      <c r="B703" s="69">
        <v>43311.0</v>
      </c>
      <c r="D703" s="171"/>
    </row>
    <row r="704" hidden="1">
      <c r="A704" s="67" t="str">
        <f t="shared" si="1"/>
        <v>Tue</v>
      </c>
      <c r="B704" s="69">
        <v>43312.0</v>
      </c>
      <c r="D704" s="171"/>
    </row>
    <row r="705" hidden="1">
      <c r="A705" s="67" t="str">
        <f t="shared" si="1"/>
        <v>Wed</v>
      </c>
      <c r="B705" s="69">
        <v>43313.0</v>
      </c>
      <c r="D705" s="171"/>
    </row>
    <row r="706" hidden="1">
      <c r="A706" s="67" t="str">
        <f t="shared" si="1"/>
        <v>Thu</v>
      </c>
      <c r="B706" s="69">
        <v>43314.0</v>
      </c>
      <c r="D706" s="171"/>
    </row>
    <row r="707" hidden="1">
      <c r="A707" s="67" t="str">
        <f t="shared" si="1"/>
        <v>Fri</v>
      </c>
      <c r="B707" s="69">
        <v>43315.0</v>
      </c>
      <c r="D707" s="175">
        <v>216.63333333333333</v>
      </c>
      <c r="E707" s="4" t="s">
        <v>222</v>
      </c>
      <c r="F707" s="4" t="s">
        <v>776</v>
      </c>
      <c r="G707" s="4" t="s">
        <v>776</v>
      </c>
      <c r="I707" s="4" t="s">
        <v>395</v>
      </c>
      <c r="K707" s="4"/>
      <c r="L707" s="4" t="s">
        <v>293</v>
      </c>
    </row>
    <row r="708" hidden="1">
      <c r="A708" s="67" t="str">
        <f t="shared" si="1"/>
        <v>Sat</v>
      </c>
      <c r="B708" s="69">
        <v>43316.0</v>
      </c>
      <c r="D708" s="175">
        <v>216.63333333333333</v>
      </c>
      <c r="E708" s="4" t="s">
        <v>222</v>
      </c>
      <c r="F708" s="4" t="s">
        <v>776</v>
      </c>
      <c r="I708" s="4" t="s">
        <v>395</v>
      </c>
      <c r="K708" s="4"/>
      <c r="L708" s="4" t="s">
        <v>293</v>
      </c>
    </row>
    <row r="709" hidden="1">
      <c r="A709" s="67" t="str">
        <f t="shared" si="1"/>
        <v>Sun</v>
      </c>
      <c r="B709" s="69">
        <v>43317.0</v>
      </c>
      <c r="D709" s="175">
        <v>216.63333333333333</v>
      </c>
      <c r="E709" s="4" t="s">
        <v>222</v>
      </c>
      <c r="F709" s="4" t="s">
        <v>776</v>
      </c>
      <c r="I709" s="4" t="s">
        <v>395</v>
      </c>
      <c r="K709" s="4"/>
      <c r="L709" s="4" t="s">
        <v>293</v>
      </c>
    </row>
    <row r="710" hidden="1">
      <c r="A710" s="67" t="str">
        <f t="shared" si="1"/>
        <v>Mon</v>
      </c>
      <c r="B710" s="69">
        <v>43318.0</v>
      </c>
      <c r="D710" s="171"/>
      <c r="H710" s="4" t="s">
        <v>776</v>
      </c>
    </row>
    <row r="711" hidden="1">
      <c r="A711" s="67" t="str">
        <f t="shared" si="1"/>
        <v>Tue</v>
      </c>
      <c r="B711" s="69">
        <v>43319.0</v>
      </c>
      <c r="D711" s="171"/>
    </row>
    <row r="712" hidden="1">
      <c r="A712" s="67" t="str">
        <f t="shared" si="1"/>
        <v>Wed</v>
      </c>
      <c r="B712" s="69">
        <v>43320.0</v>
      </c>
      <c r="D712" s="171"/>
    </row>
    <row r="713" hidden="1">
      <c r="A713" s="67" t="str">
        <f t="shared" si="1"/>
        <v>Thu</v>
      </c>
      <c r="B713" s="69">
        <v>43321.0</v>
      </c>
      <c r="D713" s="171"/>
    </row>
    <row r="714" hidden="1">
      <c r="A714" s="67" t="str">
        <f t="shared" si="1"/>
        <v>Fri</v>
      </c>
      <c r="B714" s="69">
        <v>43322.0</v>
      </c>
      <c r="D714" s="176">
        <v>221.72</v>
      </c>
      <c r="E714" s="4" t="s">
        <v>222</v>
      </c>
      <c r="F714" s="4" t="s">
        <v>777</v>
      </c>
      <c r="G714" s="4" t="s">
        <v>777</v>
      </c>
      <c r="I714" s="4" t="s">
        <v>395</v>
      </c>
      <c r="K714" s="4"/>
      <c r="L714" s="4" t="s">
        <v>293</v>
      </c>
    </row>
    <row r="715" hidden="1">
      <c r="A715" s="67" t="str">
        <f t="shared" si="1"/>
        <v>Sat</v>
      </c>
      <c r="B715" s="69">
        <v>43323.0</v>
      </c>
      <c r="D715" s="176">
        <v>221.72</v>
      </c>
      <c r="E715" s="4" t="s">
        <v>222</v>
      </c>
      <c r="F715" s="4" t="s">
        <v>777</v>
      </c>
      <c r="I715" s="4" t="s">
        <v>395</v>
      </c>
      <c r="K715" s="4"/>
      <c r="L715" s="4" t="s">
        <v>293</v>
      </c>
    </row>
    <row r="716" hidden="1">
      <c r="A716" s="67" t="str">
        <f t="shared" si="1"/>
        <v>Sun</v>
      </c>
      <c r="B716" s="69">
        <v>43324.0</v>
      </c>
      <c r="D716" s="176">
        <v>230.0</v>
      </c>
      <c r="E716" s="4" t="s">
        <v>337</v>
      </c>
      <c r="F716" s="4" t="s">
        <v>777</v>
      </c>
      <c r="I716" s="4" t="s">
        <v>395</v>
      </c>
      <c r="K716" s="4"/>
      <c r="L716" s="4" t="s">
        <v>293</v>
      </c>
    </row>
    <row r="717" hidden="1">
      <c r="A717" s="67" t="str">
        <f t="shared" si="1"/>
        <v>Mon</v>
      </c>
      <c r="B717" s="69">
        <v>43325.0</v>
      </c>
      <c r="D717" s="176">
        <v>230.0</v>
      </c>
      <c r="E717" s="4" t="s">
        <v>337</v>
      </c>
      <c r="F717" s="4" t="s">
        <v>777</v>
      </c>
      <c r="I717" s="4" t="s">
        <v>395</v>
      </c>
      <c r="K717" s="4"/>
      <c r="L717" s="4" t="s">
        <v>293</v>
      </c>
    </row>
    <row r="718" hidden="1">
      <c r="A718" s="67" t="str">
        <f t="shared" si="1"/>
        <v>Tue</v>
      </c>
      <c r="B718" s="69">
        <v>43326.0</v>
      </c>
      <c r="D718" s="171"/>
      <c r="H718" s="4" t="s">
        <v>777</v>
      </c>
    </row>
    <row r="719" hidden="1">
      <c r="A719" s="67" t="str">
        <f t="shared" si="1"/>
        <v>Wed</v>
      </c>
      <c r="B719" s="69">
        <v>43327.0</v>
      </c>
      <c r="D719" s="171"/>
    </row>
    <row r="720" hidden="1">
      <c r="A720" s="67" t="str">
        <f t="shared" si="1"/>
        <v>Thu</v>
      </c>
      <c r="B720" s="69">
        <v>43328.0</v>
      </c>
      <c r="D720" s="176">
        <v>203.7</v>
      </c>
      <c r="E720" s="4" t="s">
        <v>222</v>
      </c>
      <c r="F720" s="4" t="s">
        <v>778</v>
      </c>
      <c r="G720" s="4" t="s">
        <v>778</v>
      </c>
      <c r="I720" s="4" t="s">
        <v>395</v>
      </c>
      <c r="K720" s="4"/>
      <c r="L720" s="4" t="s">
        <v>293</v>
      </c>
    </row>
    <row r="721" hidden="1">
      <c r="A721" s="67" t="str">
        <f t="shared" si="1"/>
        <v>Fri</v>
      </c>
      <c r="B721" s="69">
        <v>43329.0</v>
      </c>
      <c r="D721" s="171"/>
      <c r="H721" s="4" t="s">
        <v>778</v>
      </c>
    </row>
    <row r="722" hidden="1">
      <c r="A722" s="67" t="str">
        <f t="shared" si="1"/>
        <v>Sat</v>
      </c>
      <c r="B722" s="69">
        <v>43330.0</v>
      </c>
      <c r="D722" s="171"/>
    </row>
    <row r="723" hidden="1">
      <c r="A723" s="67" t="str">
        <f t="shared" si="1"/>
        <v>Sun</v>
      </c>
      <c r="B723" s="69">
        <v>43331.0</v>
      </c>
      <c r="D723" s="171"/>
    </row>
    <row r="724" hidden="1">
      <c r="A724" s="67" t="str">
        <f t="shared" si="1"/>
        <v>Mon</v>
      </c>
      <c r="B724" s="69">
        <v>43332.0</v>
      </c>
      <c r="D724" s="171"/>
    </row>
    <row r="725" hidden="1">
      <c r="A725" s="67" t="str">
        <f t="shared" si="1"/>
        <v>Tue</v>
      </c>
      <c r="B725" s="69">
        <v>43333.0</v>
      </c>
      <c r="D725" s="176">
        <v>202.45</v>
      </c>
      <c r="E725" s="4" t="s">
        <v>222</v>
      </c>
      <c r="F725" s="4" t="s">
        <v>779</v>
      </c>
      <c r="G725" s="4" t="s">
        <v>779</v>
      </c>
      <c r="I725" s="4" t="s">
        <v>395</v>
      </c>
      <c r="K725" s="4"/>
      <c r="L725" s="4" t="s">
        <v>293</v>
      </c>
    </row>
    <row r="726" hidden="1">
      <c r="A726" s="67" t="str">
        <f t="shared" si="1"/>
        <v>Wed</v>
      </c>
      <c r="B726" s="69">
        <v>43334.0</v>
      </c>
      <c r="D726" s="176">
        <v>202.45</v>
      </c>
      <c r="E726" s="4" t="s">
        <v>222</v>
      </c>
      <c r="F726" s="4" t="s">
        <v>779</v>
      </c>
      <c r="I726" s="4" t="s">
        <v>395</v>
      </c>
      <c r="K726" s="4"/>
      <c r="L726" s="4" t="s">
        <v>293</v>
      </c>
    </row>
    <row r="727" hidden="1">
      <c r="A727" s="67" t="str">
        <f t="shared" si="1"/>
        <v>Thu</v>
      </c>
      <c r="B727" s="69">
        <v>43335.0</v>
      </c>
      <c r="D727" s="176">
        <v>212.56</v>
      </c>
      <c r="E727" s="4" t="s">
        <v>222</v>
      </c>
      <c r="F727" s="4" t="s">
        <v>780</v>
      </c>
      <c r="G727" s="4" t="s">
        <v>780</v>
      </c>
      <c r="H727" s="4" t="s">
        <v>779</v>
      </c>
      <c r="I727" s="4" t="s">
        <v>395</v>
      </c>
      <c r="K727" s="4"/>
      <c r="L727" s="4" t="s">
        <v>293</v>
      </c>
    </row>
    <row r="728" hidden="1">
      <c r="A728" s="67" t="str">
        <f t="shared" si="1"/>
        <v>Fri</v>
      </c>
      <c r="B728" s="69">
        <v>43336.0</v>
      </c>
      <c r="D728" s="176">
        <v>212.56</v>
      </c>
      <c r="E728" s="4" t="s">
        <v>222</v>
      </c>
      <c r="F728" s="4" t="s">
        <v>780</v>
      </c>
      <c r="I728" s="4" t="s">
        <v>395</v>
      </c>
      <c r="K728" s="4"/>
      <c r="L728" s="4" t="s">
        <v>293</v>
      </c>
    </row>
    <row r="729" hidden="1">
      <c r="A729" s="67" t="str">
        <f t="shared" si="1"/>
        <v>Sat</v>
      </c>
      <c r="B729" s="69">
        <v>43337.0</v>
      </c>
      <c r="D729" s="176">
        <v>212.08</v>
      </c>
      <c r="E729" s="4" t="s">
        <v>222</v>
      </c>
      <c r="F729" s="4" t="s">
        <v>781</v>
      </c>
      <c r="H729" s="4" t="s">
        <v>780</v>
      </c>
      <c r="I729" s="4" t="s">
        <v>395</v>
      </c>
      <c r="K729" s="4"/>
      <c r="L729" s="4" t="s">
        <v>293</v>
      </c>
    </row>
    <row r="730" hidden="1">
      <c r="A730" s="67" t="str">
        <f t="shared" si="1"/>
        <v>Sun</v>
      </c>
      <c r="B730" s="69">
        <v>43338.0</v>
      </c>
      <c r="D730" s="176">
        <v>212.08</v>
      </c>
      <c r="E730" s="4" t="s">
        <v>222</v>
      </c>
      <c r="F730" s="4" t="s">
        <v>781</v>
      </c>
      <c r="I730" s="4" t="s">
        <v>395</v>
      </c>
      <c r="K730" s="4"/>
      <c r="L730" s="4" t="s">
        <v>293</v>
      </c>
    </row>
    <row r="731" hidden="1">
      <c r="A731" s="67" t="str">
        <f t="shared" si="1"/>
        <v>Mon</v>
      </c>
      <c r="B731" s="69">
        <v>43339.0</v>
      </c>
      <c r="D731" s="175">
        <v>202.4375</v>
      </c>
      <c r="E731" s="4" t="s">
        <v>222</v>
      </c>
      <c r="F731" s="4" t="s">
        <v>782</v>
      </c>
      <c r="H731" s="4" t="s">
        <v>781</v>
      </c>
      <c r="I731" s="4" t="s">
        <v>395</v>
      </c>
      <c r="K731" s="4"/>
      <c r="L731" s="4" t="s">
        <v>293</v>
      </c>
    </row>
    <row r="732" hidden="1">
      <c r="A732" s="67" t="str">
        <f t="shared" si="1"/>
        <v>Tue</v>
      </c>
      <c r="B732" s="69">
        <v>43340.0</v>
      </c>
      <c r="D732" s="175">
        <v>202.4375</v>
      </c>
      <c r="E732" s="4" t="s">
        <v>222</v>
      </c>
      <c r="F732" s="4" t="s">
        <v>782</v>
      </c>
      <c r="I732" s="4" t="s">
        <v>395</v>
      </c>
      <c r="K732" s="4"/>
      <c r="L732" s="4" t="s">
        <v>293</v>
      </c>
    </row>
    <row r="733" hidden="1">
      <c r="A733" s="67" t="str">
        <f t="shared" si="1"/>
        <v>Wed</v>
      </c>
      <c r="B733" s="69">
        <v>43341.0</v>
      </c>
      <c r="D733" s="175">
        <v>202.4375</v>
      </c>
      <c r="E733" s="4" t="s">
        <v>222</v>
      </c>
      <c r="F733" s="4" t="s">
        <v>782</v>
      </c>
      <c r="I733" s="4" t="s">
        <v>395</v>
      </c>
      <c r="K733" s="4"/>
      <c r="L733" s="4" t="s">
        <v>293</v>
      </c>
    </row>
    <row r="734" hidden="1">
      <c r="A734" s="67" t="str">
        <f t="shared" si="1"/>
        <v>Thu</v>
      </c>
      <c r="B734" s="69">
        <v>43342.0</v>
      </c>
      <c r="D734" s="175">
        <v>202.4375</v>
      </c>
      <c r="E734" s="4" t="s">
        <v>222</v>
      </c>
      <c r="F734" s="4" t="s">
        <v>782</v>
      </c>
      <c r="I734" s="4" t="s">
        <v>395</v>
      </c>
      <c r="K734" s="4"/>
      <c r="L734" s="4" t="s">
        <v>293</v>
      </c>
    </row>
    <row r="735" hidden="1">
      <c r="A735" s="67" t="str">
        <f t="shared" si="1"/>
        <v>Fri</v>
      </c>
      <c r="B735" s="69">
        <v>43343.0</v>
      </c>
      <c r="D735" s="175">
        <v>223.00666666666666</v>
      </c>
      <c r="E735" s="4" t="s">
        <v>222</v>
      </c>
      <c r="F735" s="4" t="s">
        <v>783</v>
      </c>
      <c r="G735" s="4" t="s">
        <v>783</v>
      </c>
      <c r="H735" s="4" t="s">
        <v>782</v>
      </c>
      <c r="I735" s="4" t="s">
        <v>395</v>
      </c>
      <c r="J735" s="4" t="s">
        <v>784</v>
      </c>
      <c r="K735" s="4"/>
      <c r="L735" s="4" t="s">
        <v>293</v>
      </c>
    </row>
    <row r="736" hidden="1">
      <c r="A736" s="67" t="str">
        <f t="shared" si="1"/>
        <v>Sat</v>
      </c>
      <c r="B736" s="69">
        <v>43344.0</v>
      </c>
      <c r="D736" s="175">
        <v>223.00666666666666</v>
      </c>
      <c r="E736" s="4" t="s">
        <v>222</v>
      </c>
      <c r="F736" s="4" t="s">
        <v>783</v>
      </c>
      <c r="I736" s="4" t="s">
        <v>395</v>
      </c>
      <c r="J736" s="4" t="s">
        <v>784</v>
      </c>
      <c r="K736" s="4"/>
      <c r="L736" s="4" t="s">
        <v>293</v>
      </c>
    </row>
    <row r="737" hidden="1">
      <c r="A737" s="67" t="str">
        <f t="shared" si="1"/>
        <v>Sun</v>
      </c>
      <c r="B737" s="69">
        <v>43345.0</v>
      </c>
      <c r="D737" s="175">
        <v>223.00666666666666</v>
      </c>
      <c r="E737" s="4" t="s">
        <v>222</v>
      </c>
      <c r="F737" s="4" t="s">
        <v>783</v>
      </c>
      <c r="I737" s="4" t="s">
        <v>395</v>
      </c>
      <c r="J737" s="4" t="s">
        <v>784</v>
      </c>
      <c r="K737" s="4"/>
      <c r="L737" s="4" t="s">
        <v>293</v>
      </c>
    </row>
    <row r="738" hidden="1">
      <c r="A738" s="67" t="str">
        <f t="shared" si="1"/>
        <v>Mon</v>
      </c>
      <c r="B738" s="69">
        <v>43346.0</v>
      </c>
      <c r="D738" s="171"/>
      <c r="H738" s="4" t="s">
        <v>783</v>
      </c>
    </row>
    <row r="739" hidden="1">
      <c r="A739" s="67" t="str">
        <f t="shared" si="1"/>
        <v>Tue</v>
      </c>
      <c r="B739" s="69">
        <v>43347.0</v>
      </c>
      <c r="D739" s="171"/>
    </row>
    <row r="740" hidden="1">
      <c r="A740" s="67" t="str">
        <f t="shared" si="1"/>
        <v>Wed</v>
      </c>
      <c r="B740" s="69">
        <v>43348.0</v>
      </c>
      <c r="D740" s="176">
        <v>215.94</v>
      </c>
      <c r="E740" s="4" t="s">
        <v>222</v>
      </c>
      <c r="F740" s="4" t="s">
        <v>785</v>
      </c>
      <c r="G740" s="4" t="s">
        <v>785</v>
      </c>
      <c r="I740" s="4" t="s">
        <v>395</v>
      </c>
      <c r="K740" s="4"/>
      <c r="L740" s="4" t="s">
        <v>293</v>
      </c>
    </row>
    <row r="741" hidden="1">
      <c r="A741" s="67" t="str">
        <f t="shared" si="1"/>
        <v>Thu</v>
      </c>
      <c r="B741" s="69">
        <v>43349.0</v>
      </c>
      <c r="D741" s="176">
        <v>450.0</v>
      </c>
      <c r="E741" s="4" t="s">
        <v>337</v>
      </c>
      <c r="F741" s="4" t="s">
        <v>786</v>
      </c>
      <c r="G741" s="4" t="s">
        <v>786</v>
      </c>
      <c r="H741" s="4" t="s">
        <v>785</v>
      </c>
      <c r="I741" s="4" t="s">
        <v>395</v>
      </c>
      <c r="K741" s="4"/>
      <c r="L741" s="4" t="s">
        <v>293</v>
      </c>
    </row>
    <row r="742" hidden="1">
      <c r="A742" s="67" t="str">
        <f t="shared" si="1"/>
        <v>Fri</v>
      </c>
      <c r="B742" s="69">
        <v>43350.0</v>
      </c>
      <c r="C742" s="4" t="s">
        <v>638</v>
      </c>
      <c r="D742" s="176">
        <v>450.0</v>
      </c>
      <c r="E742" s="4" t="s">
        <v>337</v>
      </c>
      <c r="F742" s="4" t="s">
        <v>786</v>
      </c>
      <c r="I742" s="4" t="s">
        <v>395</v>
      </c>
      <c r="K742" s="4"/>
      <c r="L742" s="4" t="s">
        <v>293</v>
      </c>
    </row>
    <row r="743" hidden="1">
      <c r="A743" s="67" t="str">
        <f t="shared" si="1"/>
        <v>Sat</v>
      </c>
      <c r="B743" s="69">
        <v>43351.0</v>
      </c>
      <c r="C743" s="4" t="s">
        <v>638</v>
      </c>
      <c r="D743" s="176">
        <v>450.0</v>
      </c>
      <c r="E743" s="4" t="s">
        <v>337</v>
      </c>
      <c r="F743" s="4" t="s">
        <v>786</v>
      </c>
      <c r="I743" s="4" t="s">
        <v>395</v>
      </c>
      <c r="K743" s="4"/>
      <c r="L743" s="4" t="s">
        <v>293</v>
      </c>
    </row>
    <row r="744" hidden="1">
      <c r="A744" s="67" t="str">
        <f t="shared" si="1"/>
        <v>Sun</v>
      </c>
      <c r="B744" s="69">
        <v>43352.0</v>
      </c>
      <c r="C744" s="4" t="s">
        <v>638</v>
      </c>
      <c r="D744" s="171"/>
      <c r="H744" s="4" t="s">
        <v>786</v>
      </c>
    </row>
    <row r="745" hidden="1">
      <c r="A745" s="67" t="str">
        <f t="shared" si="1"/>
        <v>Mon</v>
      </c>
      <c r="B745" s="69">
        <v>43353.0</v>
      </c>
      <c r="D745" s="171"/>
    </row>
    <row r="746" hidden="1">
      <c r="A746" s="67" t="str">
        <f t="shared" si="1"/>
        <v>Tue</v>
      </c>
      <c r="B746" s="69">
        <v>43354.0</v>
      </c>
      <c r="D746" s="176">
        <v>215.94</v>
      </c>
      <c r="F746" s="4" t="s">
        <v>787</v>
      </c>
      <c r="G746" s="4" t="s">
        <v>787</v>
      </c>
      <c r="I746" s="4" t="s">
        <v>395</v>
      </c>
      <c r="K746" s="4"/>
      <c r="L746" s="4" t="s">
        <v>293</v>
      </c>
    </row>
    <row r="747" hidden="1">
      <c r="A747" s="67" t="str">
        <f t="shared" si="1"/>
        <v>Wed</v>
      </c>
      <c r="B747" s="69">
        <v>43355.0</v>
      </c>
      <c r="D747" s="171"/>
      <c r="H747" s="4" t="s">
        <v>787</v>
      </c>
    </row>
    <row r="748" hidden="1">
      <c r="A748" s="67" t="str">
        <f t="shared" si="1"/>
        <v>Thu</v>
      </c>
      <c r="B748" s="69">
        <v>43356.0</v>
      </c>
      <c r="D748" s="171"/>
    </row>
    <row r="749" hidden="1">
      <c r="A749" s="67" t="str">
        <f t="shared" si="1"/>
        <v>Fri</v>
      </c>
      <c r="B749" s="69">
        <v>43357.0</v>
      </c>
      <c r="D749" s="176">
        <v>286.15</v>
      </c>
      <c r="E749" s="4" t="s">
        <v>222</v>
      </c>
      <c r="F749" s="4" t="s">
        <v>788</v>
      </c>
      <c r="G749" s="4" t="s">
        <v>788</v>
      </c>
      <c r="I749" s="4" t="s">
        <v>395</v>
      </c>
      <c r="K749" s="4"/>
      <c r="L749" s="4" t="s">
        <v>293</v>
      </c>
    </row>
    <row r="750" hidden="1">
      <c r="A750" s="67" t="str">
        <f t="shared" si="1"/>
        <v>Sat</v>
      </c>
      <c r="B750" s="69">
        <v>43358.0</v>
      </c>
      <c r="D750" s="176">
        <v>286.15</v>
      </c>
      <c r="E750" s="4" t="s">
        <v>222</v>
      </c>
      <c r="F750" s="4" t="s">
        <v>788</v>
      </c>
      <c r="I750" s="4" t="s">
        <v>395</v>
      </c>
      <c r="K750" s="4"/>
      <c r="L750" s="4" t="s">
        <v>293</v>
      </c>
    </row>
    <row r="751" hidden="1">
      <c r="A751" s="67" t="str">
        <f t="shared" si="1"/>
        <v>Sun</v>
      </c>
      <c r="B751" s="69">
        <v>43359.0</v>
      </c>
      <c r="D751" s="171"/>
      <c r="H751" s="4" t="s">
        <v>788</v>
      </c>
    </row>
    <row r="752" hidden="1">
      <c r="A752" s="67" t="str">
        <f t="shared" si="1"/>
        <v>Mon</v>
      </c>
      <c r="B752" s="69">
        <v>43360.0</v>
      </c>
      <c r="D752" s="171"/>
    </row>
    <row r="753" hidden="1">
      <c r="A753" s="67" t="str">
        <f t="shared" si="1"/>
        <v>Tue</v>
      </c>
      <c r="B753" s="69">
        <v>43361.0</v>
      </c>
      <c r="D753" s="176">
        <v>0.0</v>
      </c>
      <c r="E753" s="4" t="s">
        <v>789</v>
      </c>
      <c r="F753" s="4" t="s">
        <v>790</v>
      </c>
      <c r="G753" s="4" t="s">
        <v>790</v>
      </c>
      <c r="I753" s="4" t="s">
        <v>395</v>
      </c>
      <c r="J753" s="4" t="s">
        <v>791</v>
      </c>
      <c r="K753" s="4"/>
      <c r="L753" s="4" t="s">
        <v>293</v>
      </c>
    </row>
    <row r="754" hidden="1">
      <c r="A754" s="67" t="str">
        <f t="shared" si="1"/>
        <v>Wed</v>
      </c>
      <c r="B754" s="69">
        <v>43362.0</v>
      </c>
      <c r="D754" s="171"/>
      <c r="H754" s="4" t="s">
        <v>790</v>
      </c>
    </row>
    <row r="755" hidden="1">
      <c r="A755" s="67" t="str">
        <f t="shared" si="1"/>
        <v>Thu</v>
      </c>
      <c r="B755" s="69">
        <v>43363.0</v>
      </c>
      <c r="D755" s="176">
        <v>242.5</v>
      </c>
      <c r="E755" s="4" t="s">
        <v>222</v>
      </c>
      <c r="F755" s="4" t="s">
        <v>792</v>
      </c>
      <c r="G755" s="4" t="s">
        <v>792</v>
      </c>
      <c r="I755" s="4" t="s">
        <v>395</v>
      </c>
      <c r="J755" s="4" t="s">
        <v>793</v>
      </c>
      <c r="K755" s="4"/>
      <c r="L755" s="4" t="s">
        <v>293</v>
      </c>
    </row>
    <row r="756" hidden="1">
      <c r="A756" s="67" t="str">
        <f t="shared" si="1"/>
        <v>Fri</v>
      </c>
      <c r="B756" s="69">
        <v>43364.0</v>
      </c>
      <c r="D756" s="176">
        <v>242.5</v>
      </c>
      <c r="E756" s="4" t="s">
        <v>222</v>
      </c>
      <c r="F756" s="4" t="s">
        <v>792</v>
      </c>
      <c r="I756" s="4" t="s">
        <v>395</v>
      </c>
      <c r="J756" s="4" t="s">
        <v>793</v>
      </c>
      <c r="K756" s="4"/>
      <c r="L756" s="4" t="s">
        <v>293</v>
      </c>
    </row>
    <row r="757" hidden="1">
      <c r="A757" s="67" t="str">
        <f t="shared" si="1"/>
        <v>Sat</v>
      </c>
      <c r="B757" s="69">
        <v>43365.0</v>
      </c>
      <c r="D757" s="176">
        <v>242.5</v>
      </c>
      <c r="E757" s="4" t="s">
        <v>222</v>
      </c>
      <c r="F757" s="4" t="s">
        <v>792</v>
      </c>
      <c r="I757" s="4" t="s">
        <v>395</v>
      </c>
      <c r="J757" s="4" t="s">
        <v>793</v>
      </c>
      <c r="K757" s="4"/>
      <c r="L757" s="4" t="s">
        <v>293</v>
      </c>
    </row>
    <row r="758" hidden="1">
      <c r="A758" s="67" t="str">
        <f t="shared" si="1"/>
        <v>Sun</v>
      </c>
      <c r="B758" s="69">
        <v>43366.0</v>
      </c>
      <c r="D758" s="171"/>
      <c r="H758" s="4" t="s">
        <v>792</v>
      </c>
    </row>
    <row r="759" hidden="1">
      <c r="A759" s="67" t="str">
        <f t="shared" si="1"/>
        <v>Mon</v>
      </c>
      <c r="B759" s="69">
        <v>43367.0</v>
      </c>
      <c r="D759" s="176">
        <v>184.3</v>
      </c>
      <c r="E759" s="4" t="s">
        <v>222</v>
      </c>
      <c r="F759" s="4" t="s">
        <v>794</v>
      </c>
      <c r="G759" s="4" t="s">
        <v>794</v>
      </c>
      <c r="I759" s="4" t="s">
        <v>395</v>
      </c>
      <c r="K759" s="4"/>
      <c r="L759" s="4" t="s">
        <v>293</v>
      </c>
    </row>
    <row r="760" hidden="1">
      <c r="A760" s="67" t="str">
        <f t="shared" si="1"/>
        <v>Tue</v>
      </c>
      <c r="B760" s="69">
        <v>43368.0</v>
      </c>
      <c r="D760" s="176">
        <v>184.3</v>
      </c>
      <c r="E760" s="4" t="s">
        <v>222</v>
      </c>
      <c r="F760" s="4" t="s">
        <v>794</v>
      </c>
      <c r="G760" s="4" t="s">
        <v>794</v>
      </c>
      <c r="I760" s="4" t="s">
        <v>395</v>
      </c>
      <c r="K760" s="4"/>
      <c r="L760" s="4" t="s">
        <v>293</v>
      </c>
    </row>
    <row r="761" hidden="1">
      <c r="A761" s="67" t="str">
        <f t="shared" si="1"/>
        <v>Wed</v>
      </c>
      <c r="B761" s="69">
        <v>43369.0</v>
      </c>
      <c r="D761" s="171"/>
      <c r="H761" s="4" t="s">
        <v>794</v>
      </c>
    </row>
    <row r="762" hidden="1">
      <c r="A762" s="67" t="str">
        <f t="shared" si="1"/>
        <v>Thu</v>
      </c>
      <c r="B762" s="69">
        <v>43370.0</v>
      </c>
      <c r="D762" s="175">
        <v>251.605</v>
      </c>
      <c r="E762" s="4" t="s">
        <v>222</v>
      </c>
      <c r="F762" s="4" t="s">
        <v>795</v>
      </c>
      <c r="G762" s="4" t="s">
        <v>795</v>
      </c>
      <c r="I762" s="4" t="s">
        <v>395</v>
      </c>
      <c r="K762" s="4"/>
      <c r="L762" s="4" t="s">
        <v>293</v>
      </c>
    </row>
    <row r="763" hidden="1">
      <c r="A763" s="67" t="str">
        <f t="shared" si="1"/>
        <v>Fri</v>
      </c>
      <c r="B763" s="69">
        <v>43371.0</v>
      </c>
      <c r="D763" s="175">
        <v>251.605</v>
      </c>
      <c r="E763" s="4" t="s">
        <v>222</v>
      </c>
      <c r="F763" s="4" t="s">
        <v>795</v>
      </c>
      <c r="I763" s="4" t="s">
        <v>395</v>
      </c>
      <c r="K763" s="4"/>
      <c r="L763" s="4" t="s">
        <v>293</v>
      </c>
    </row>
    <row r="764" hidden="1">
      <c r="A764" s="67" t="str">
        <f t="shared" si="1"/>
        <v>Sat</v>
      </c>
      <c r="B764" s="69">
        <v>43372.0</v>
      </c>
      <c r="D764" s="175">
        <v>251.605</v>
      </c>
      <c r="E764" s="4" t="s">
        <v>222</v>
      </c>
      <c r="F764" s="4" t="s">
        <v>795</v>
      </c>
      <c r="I764" s="4" t="s">
        <v>395</v>
      </c>
      <c r="K764" s="4"/>
      <c r="L764" s="4" t="s">
        <v>293</v>
      </c>
    </row>
    <row r="765" hidden="1">
      <c r="A765" s="67" t="str">
        <f t="shared" si="1"/>
        <v>Sun</v>
      </c>
      <c r="B765" s="69">
        <v>43373.0</v>
      </c>
      <c r="D765" s="175">
        <v>251.605</v>
      </c>
      <c r="E765" s="4" t="s">
        <v>222</v>
      </c>
      <c r="F765" s="4" t="s">
        <v>795</v>
      </c>
      <c r="I765" s="4" t="s">
        <v>395</v>
      </c>
      <c r="K765" s="4"/>
      <c r="L765" s="4" t="s">
        <v>293</v>
      </c>
    </row>
    <row r="766" hidden="1">
      <c r="A766" s="67" t="str">
        <f t="shared" si="1"/>
        <v>Mon</v>
      </c>
      <c r="B766" s="69">
        <v>43374.0</v>
      </c>
      <c r="D766" s="176">
        <v>192.8</v>
      </c>
      <c r="E766" s="4" t="s">
        <v>222</v>
      </c>
      <c r="F766" s="4" t="s">
        <v>797</v>
      </c>
      <c r="G766" s="4" t="s">
        <v>797</v>
      </c>
      <c r="H766" s="4" t="s">
        <v>795</v>
      </c>
      <c r="I766" s="4" t="s">
        <v>395</v>
      </c>
      <c r="K766" s="4"/>
      <c r="L766" s="4" t="s">
        <v>293</v>
      </c>
    </row>
    <row r="767" hidden="1">
      <c r="A767" s="67" t="str">
        <f t="shared" si="1"/>
        <v>Tue</v>
      </c>
      <c r="B767" s="69">
        <v>43375.0</v>
      </c>
      <c r="D767" s="176">
        <v>192.8</v>
      </c>
      <c r="E767" s="4" t="s">
        <v>222</v>
      </c>
      <c r="F767" s="4" t="s">
        <v>797</v>
      </c>
      <c r="I767" s="4" t="s">
        <v>395</v>
      </c>
      <c r="K767" s="4"/>
      <c r="L767" s="4" t="s">
        <v>293</v>
      </c>
    </row>
    <row r="768" hidden="1">
      <c r="A768" s="67" t="str">
        <f t="shared" si="1"/>
        <v>Wed</v>
      </c>
      <c r="B768" s="69">
        <v>43376.0</v>
      </c>
      <c r="D768" s="176">
        <v>192.8</v>
      </c>
      <c r="E768" s="4" t="s">
        <v>222</v>
      </c>
      <c r="F768" s="4" t="s">
        <v>797</v>
      </c>
      <c r="I768" s="4" t="s">
        <v>395</v>
      </c>
      <c r="K768" s="4"/>
      <c r="L768" s="4" t="s">
        <v>293</v>
      </c>
    </row>
    <row r="769" hidden="1">
      <c r="A769" s="67" t="str">
        <f t="shared" si="1"/>
        <v>Thu</v>
      </c>
      <c r="B769" s="69">
        <v>43377.0</v>
      </c>
      <c r="C769" s="4" t="s">
        <v>185</v>
      </c>
      <c r="D769" s="176">
        <v>192.8</v>
      </c>
      <c r="E769" s="4" t="s">
        <v>222</v>
      </c>
      <c r="F769" s="4" t="s">
        <v>797</v>
      </c>
      <c r="I769" s="4" t="s">
        <v>395</v>
      </c>
      <c r="K769" s="4"/>
      <c r="L769" s="4" t="s">
        <v>293</v>
      </c>
    </row>
    <row r="770" hidden="1">
      <c r="A770" s="67" t="str">
        <f t="shared" si="1"/>
        <v>Fri</v>
      </c>
      <c r="B770" s="69">
        <v>43378.0</v>
      </c>
      <c r="C770" s="4" t="s">
        <v>185</v>
      </c>
      <c r="D770" s="171"/>
      <c r="H770" s="4" t="s">
        <v>797</v>
      </c>
    </row>
    <row r="771" hidden="1">
      <c r="A771" s="67" t="str">
        <f t="shared" si="1"/>
        <v>Sat</v>
      </c>
      <c r="B771" s="69">
        <v>43379.0</v>
      </c>
      <c r="C771" s="4" t="s">
        <v>185</v>
      </c>
      <c r="D771" s="176">
        <v>250.0</v>
      </c>
      <c r="E771" s="4" t="s">
        <v>337</v>
      </c>
      <c r="F771" s="4" t="s">
        <v>798</v>
      </c>
      <c r="G771" s="4" t="s">
        <v>799</v>
      </c>
      <c r="I771" s="4" t="s">
        <v>395</v>
      </c>
      <c r="K771" s="4"/>
      <c r="L771" s="4" t="s">
        <v>293</v>
      </c>
    </row>
    <row r="772" hidden="1">
      <c r="A772" s="67" t="str">
        <f t="shared" si="1"/>
        <v>Sun</v>
      </c>
      <c r="B772" s="69">
        <v>43380.0</v>
      </c>
      <c r="C772" s="4" t="s">
        <v>185</v>
      </c>
      <c r="D772" s="176">
        <v>250.0</v>
      </c>
      <c r="E772" s="4" t="s">
        <v>337</v>
      </c>
      <c r="F772" s="4" t="s">
        <v>798</v>
      </c>
      <c r="I772" s="4" t="s">
        <v>395</v>
      </c>
      <c r="K772" s="4"/>
      <c r="L772" s="4" t="s">
        <v>293</v>
      </c>
    </row>
    <row r="773" hidden="1">
      <c r="A773" s="67" t="str">
        <f t="shared" si="1"/>
        <v>Mon</v>
      </c>
      <c r="B773" s="69">
        <v>43381.0</v>
      </c>
      <c r="C773" s="4" t="s">
        <v>185</v>
      </c>
      <c r="D773" s="176">
        <v>250.0</v>
      </c>
      <c r="E773" s="4" t="s">
        <v>337</v>
      </c>
      <c r="F773" s="4" t="s">
        <v>798</v>
      </c>
      <c r="I773" s="4" t="s">
        <v>395</v>
      </c>
      <c r="K773" s="4"/>
      <c r="L773" s="4" t="s">
        <v>293</v>
      </c>
    </row>
    <row r="774" hidden="1">
      <c r="A774" s="67" t="str">
        <f t="shared" si="1"/>
        <v>Tue</v>
      </c>
      <c r="B774" s="69">
        <v>43382.0</v>
      </c>
      <c r="C774" s="4" t="s">
        <v>185</v>
      </c>
      <c r="D774" s="176">
        <v>250.0</v>
      </c>
      <c r="E774" s="4" t="s">
        <v>337</v>
      </c>
      <c r="F774" s="4" t="s">
        <v>798</v>
      </c>
      <c r="I774" s="4" t="s">
        <v>395</v>
      </c>
      <c r="K774" s="4"/>
      <c r="L774" s="4" t="s">
        <v>293</v>
      </c>
    </row>
    <row r="775" hidden="1">
      <c r="A775" s="67" t="str">
        <f t="shared" si="1"/>
        <v>Wed</v>
      </c>
      <c r="B775" s="69">
        <v>43383.0</v>
      </c>
      <c r="C775" s="4" t="s">
        <v>185</v>
      </c>
      <c r="D775" s="176">
        <v>250.0</v>
      </c>
      <c r="E775" s="4" t="s">
        <v>337</v>
      </c>
      <c r="F775" s="4" t="s">
        <v>798</v>
      </c>
      <c r="I775" s="4" t="s">
        <v>395</v>
      </c>
      <c r="K775" s="4"/>
      <c r="L775" s="4" t="s">
        <v>293</v>
      </c>
    </row>
    <row r="776" hidden="1">
      <c r="A776" s="67" t="str">
        <f t="shared" si="1"/>
        <v>Thu</v>
      </c>
      <c r="B776" s="69">
        <v>43384.0</v>
      </c>
      <c r="C776" s="4" t="s">
        <v>185</v>
      </c>
      <c r="D776" s="176">
        <v>250.0</v>
      </c>
      <c r="E776" s="4" t="s">
        <v>337</v>
      </c>
      <c r="F776" s="4" t="s">
        <v>798</v>
      </c>
      <c r="I776" s="4" t="s">
        <v>395</v>
      </c>
      <c r="K776" s="4"/>
      <c r="L776" s="4" t="s">
        <v>293</v>
      </c>
    </row>
    <row r="777" hidden="1">
      <c r="A777" s="67" t="str">
        <f t="shared" si="1"/>
        <v>Fri</v>
      </c>
      <c r="B777" s="69">
        <v>43385.0</v>
      </c>
      <c r="C777" s="4" t="s">
        <v>185</v>
      </c>
      <c r="D777" s="176">
        <v>250.0</v>
      </c>
      <c r="E777" s="4" t="s">
        <v>337</v>
      </c>
      <c r="F777" s="4" t="s">
        <v>798</v>
      </c>
      <c r="I777" s="4" t="s">
        <v>395</v>
      </c>
      <c r="K777" s="4"/>
      <c r="L777" s="4" t="s">
        <v>293</v>
      </c>
    </row>
    <row r="778" hidden="1">
      <c r="A778" s="67" t="str">
        <f t="shared" si="1"/>
        <v>Sat</v>
      </c>
      <c r="B778" s="69">
        <v>43386.0</v>
      </c>
      <c r="C778" s="4" t="s">
        <v>185</v>
      </c>
      <c r="D778" s="171"/>
      <c r="H778" s="4" t="s">
        <v>799</v>
      </c>
    </row>
    <row r="779" hidden="1">
      <c r="A779" s="67" t="str">
        <f t="shared" si="1"/>
        <v>Sun</v>
      </c>
      <c r="B779" s="69">
        <v>43387.0</v>
      </c>
      <c r="C779" s="4" t="s">
        <v>185</v>
      </c>
      <c r="D779" s="175">
        <v>225.913</v>
      </c>
      <c r="E779" s="4" t="s">
        <v>222</v>
      </c>
      <c r="F779" s="4" t="s">
        <v>800</v>
      </c>
      <c r="G779" s="4" t="s">
        <v>800</v>
      </c>
      <c r="I779" s="4" t="s">
        <v>395</v>
      </c>
      <c r="K779" s="4"/>
      <c r="L779" s="4" t="s">
        <v>293</v>
      </c>
    </row>
    <row r="780" hidden="1">
      <c r="A780" s="67" t="str">
        <f t="shared" si="1"/>
        <v>Mon</v>
      </c>
      <c r="B780" s="69">
        <v>43388.0</v>
      </c>
      <c r="D780" s="175">
        <v>225.913</v>
      </c>
      <c r="E780" s="4" t="s">
        <v>222</v>
      </c>
      <c r="F780" s="4" t="s">
        <v>800</v>
      </c>
      <c r="I780" s="4" t="s">
        <v>395</v>
      </c>
      <c r="K780" s="4"/>
      <c r="L780" s="4" t="s">
        <v>293</v>
      </c>
    </row>
    <row r="781" hidden="1">
      <c r="A781" s="67" t="str">
        <f t="shared" si="1"/>
        <v>Tue</v>
      </c>
      <c r="B781" s="69">
        <v>43389.0</v>
      </c>
      <c r="D781" s="175">
        <v>225.913</v>
      </c>
      <c r="E781" s="4" t="s">
        <v>222</v>
      </c>
      <c r="F781" s="4" t="s">
        <v>800</v>
      </c>
      <c r="I781" s="4" t="s">
        <v>395</v>
      </c>
      <c r="K781" s="4"/>
      <c r="L781" s="4" t="s">
        <v>293</v>
      </c>
    </row>
    <row r="782" hidden="1">
      <c r="A782" s="67" t="str">
        <f t="shared" si="1"/>
        <v>Wed</v>
      </c>
      <c r="B782" s="69">
        <v>43390.0</v>
      </c>
      <c r="D782" s="175">
        <v>225.913</v>
      </c>
      <c r="E782" s="4" t="s">
        <v>222</v>
      </c>
      <c r="F782" s="4" t="s">
        <v>800</v>
      </c>
      <c r="I782" s="4" t="s">
        <v>395</v>
      </c>
      <c r="K782" s="4"/>
      <c r="L782" s="4" t="s">
        <v>293</v>
      </c>
    </row>
    <row r="783" hidden="1">
      <c r="A783" s="67" t="str">
        <f t="shared" si="1"/>
        <v>Thu</v>
      </c>
      <c r="B783" s="69">
        <v>43391.0</v>
      </c>
      <c r="D783" s="175">
        <v>225.913</v>
      </c>
      <c r="E783" s="4" t="s">
        <v>222</v>
      </c>
      <c r="F783" s="4" t="s">
        <v>800</v>
      </c>
      <c r="I783" s="4" t="s">
        <v>395</v>
      </c>
      <c r="K783" s="4"/>
      <c r="L783" s="4" t="s">
        <v>293</v>
      </c>
    </row>
    <row r="784" hidden="1">
      <c r="A784" s="67" t="str">
        <f t="shared" si="1"/>
        <v>Fri</v>
      </c>
      <c r="B784" s="69">
        <v>43392.0</v>
      </c>
      <c r="D784" s="175">
        <v>225.913</v>
      </c>
      <c r="E784" s="4" t="s">
        <v>222</v>
      </c>
      <c r="F784" s="4" t="s">
        <v>800</v>
      </c>
      <c r="I784" s="4" t="s">
        <v>395</v>
      </c>
      <c r="K784" s="4"/>
      <c r="L784" s="4" t="s">
        <v>293</v>
      </c>
    </row>
    <row r="785" hidden="1">
      <c r="A785" s="67" t="str">
        <f t="shared" si="1"/>
        <v>Sat</v>
      </c>
      <c r="B785" s="69">
        <v>43393.0</v>
      </c>
      <c r="D785" s="175">
        <v>225.913</v>
      </c>
      <c r="E785" s="4" t="s">
        <v>222</v>
      </c>
      <c r="F785" s="4" t="s">
        <v>800</v>
      </c>
      <c r="I785" s="4" t="s">
        <v>395</v>
      </c>
      <c r="K785" s="4"/>
      <c r="L785" s="4" t="s">
        <v>293</v>
      </c>
    </row>
    <row r="786" hidden="1">
      <c r="A786" s="67" t="str">
        <f t="shared" si="1"/>
        <v>Sun</v>
      </c>
      <c r="B786" s="69">
        <v>43394.0</v>
      </c>
      <c r="D786" s="175">
        <v>225.913</v>
      </c>
      <c r="E786" s="4" t="s">
        <v>222</v>
      </c>
      <c r="F786" s="4" t="s">
        <v>800</v>
      </c>
      <c r="I786" s="4" t="s">
        <v>395</v>
      </c>
      <c r="K786" s="4"/>
      <c r="L786" s="4" t="s">
        <v>293</v>
      </c>
    </row>
    <row r="787" hidden="1">
      <c r="A787" s="67" t="str">
        <f t="shared" si="1"/>
        <v>Mon</v>
      </c>
      <c r="B787" s="69">
        <v>43395.0</v>
      </c>
      <c r="D787" s="175">
        <v>225.913</v>
      </c>
      <c r="E787" s="4" t="s">
        <v>222</v>
      </c>
      <c r="F787" s="4" t="s">
        <v>800</v>
      </c>
      <c r="I787" s="4" t="s">
        <v>395</v>
      </c>
      <c r="K787" s="4"/>
      <c r="L787" s="4" t="s">
        <v>293</v>
      </c>
    </row>
    <row r="788" hidden="1">
      <c r="A788" s="67" t="str">
        <f t="shared" si="1"/>
        <v>Tue</v>
      </c>
      <c r="B788" s="69">
        <v>43396.0</v>
      </c>
      <c r="D788" s="175">
        <v>225.913</v>
      </c>
      <c r="E788" s="4" t="s">
        <v>222</v>
      </c>
      <c r="F788" s="4" t="s">
        <v>800</v>
      </c>
      <c r="I788" s="4" t="s">
        <v>395</v>
      </c>
      <c r="K788" s="4"/>
      <c r="L788" s="4" t="s">
        <v>293</v>
      </c>
    </row>
    <row r="789" hidden="1">
      <c r="A789" s="67" t="str">
        <f t="shared" si="1"/>
        <v>Wed</v>
      </c>
      <c r="B789" s="69">
        <v>43397.0</v>
      </c>
      <c r="D789" s="176">
        <v>286.15</v>
      </c>
      <c r="E789" s="4" t="s">
        <v>222</v>
      </c>
      <c r="F789" s="4" t="s">
        <v>801</v>
      </c>
      <c r="G789" s="4" t="s">
        <v>801</v>
      </c>
      <c r="H789" s="4" t="s">
        <v>800</v>
      </c>
      <c r="I789" s="4" t="s">
        <v>395</v>
      </c>
      <c r="K789" s="4"/>
      <c r="L789" s="4" t="s">
        <v>293</v>
      </c>
    </row>
    <row r="790" hidden="1">
      <c r="A790" s="67" t="str">
        <f t="shared" si="1"/>
        <v>Thu</v>
      </c>
      <c r="B790" s="69">
        <v>43398.0</v>
      </c>
      <c r="D790" s="176">
        <v>286.15</v>
      </c>
      <c r="E790" s="4" t="s">
        <v>222</v>
      </c>
      <c r="F790" s="4" t="s">
        <v>801</v>
      </c>
      <c r="I790" s="4" t="s">
        <v>395</v>
      </c>
      <c r="K790" s="4"/>
      <c r="L790" s="4" t="s">
        <v>293</v>
      </c>
    </row>
    <row r="791" hidden="1">
      <c r="A791" s="67" t="str">
        <f t="shared" si="1"/>
        <v>Fri</v>
      </c>
      <c r="B791" s="69">
        <v>43399.0</v>
      </c>
      <c r="D791" s="176">
        <v>291.0</v>
      </c>
      <c r="E791" s="4" t="s">
        <v>222</v>
      </c>
      <c r="F791" s="4" t="s">
        <v>802</v>
      </c>
      <c r="G791" s="4" t="s">
        <v>802</v>
      </c>
      <c r="H791" s="4" t="s">
        <v>801</v>
      </c>
      <c r="K791" s="4"/>
      <c r="L791" s="4" t="s">
        <v>293</v>
      </c>
    </row>
    <row r="792" hidden="1">
      <c r="A792" s="67" t="str">
        <f t="shared" si="1"/>
        <v>Sat</v>
      </c>
      <c r="B792" s="69">
        <v>43400.0</v>
      </c>
      <c r="D792" s="176">
        <v>291.0</v>
      </c>
      <c r="E792" s="4" t="s">
        <v>222</v>
      </c>
      <c r="F792" s="4" t="s">
        <v>802</v>
      </c>
      <c r="K792" s="4"/>
      <c r="L792" s="4" t="s">
        <v>293</v>
      </c>
    </row>
    <row r="793" hidden="1">
      <c r="A793" s="67" t="str">
        <f t="shared" si="1"/>
        <v>Sun</v>
      </c>
      <c r="B793" s="69">
        <v>43401.0</v>
      </c>
      <c r="D793" s="176">
        <v>203.7</v>
      </c>
      <c r="E793" s="4" t="s">
        <v>222</v>
      </c>
      <c r="F793" s="4" t="s">
        <v>803</v>
      </c>
      <c r="G793" s="4" t="s">
        <v>803</v>
      </c>
      <c r="H793" s="4" t="s">
        <v>802</v>
      </c>
      <c r="K793" s="4"/>
      <c r="L793" s="4" t="s">
        <v>293</v>
      </c>
    </row>
    <row r="794" hidden="1">
      <c r="A794" s="67" t="str">
        <f t="shared" si="1"/>
        <v>Mon</v>
      </c>
      <c r="B794" s="69">
        <v>43402.0</v>
      </c>
      <c r="D794" s="176">
        <v>203.7</v>
      </c>
      <c r="E794" s="4" t="s">
        <v>222</v>
      </c>
      <c r="F794" s="4" t="s">
        <v>803</v>
      </c>
      <c r="H794" s="4" t="s">
        <v>803</v>
      </c>
      <c r="K794" s="4"/>
      <c r="L794" s="4" t="s">
        <v>293</v>
      </c>
    </row>
    <row r="795" hidden="1">
      <c r="A795" s="67" t="str">
        <f t="shared" si="1"/>
        <v>Tue</v>
      </c>
      <c r="B795" s="69">
        <v>43403.0</v>
      </c>
      <c r="D795" s="176">
        <v>221.72</v>
      </c>
      <c r="E795" s="4" t="s">
        <v>222</v>
      </c>
      <c r="F795" s="4" t="s">
        <v>804</v>
      </c>
      <c r="G795" s="4" t="s">
        <v>804</v>
      </c>
      <c r="I795" s="4" t="s">
        <v>395</v>
      </c>
      <c r="K795" s="4"/>
      <c r="L795" s="4" t="s">
        <v>293</v>
      </c>
    </row>
    <row r="796" hidden="1">
      <c r="A796" s="67" t="str">
        <f t="shared" si="1"/>
        <v>Wed</v>
      </c>
      <c r="B796" s="69">
        <v>43404.0</v>
      </c>
      <c r="D796" s="176">
        <v>221.72</v>
      </c>
      <c r="E796" s="4" t="s">
        <v>222</v>
      </c>
      <c r="F796" s="4" t="s">
        <v>804</v>
      </c>
      <c r="I796" s="4" t="s">
        <v>395</v>
      </c>
      <c r="K796" s="4"/>
      <c r="L796" s="4" t="s">
        <v>293</v>
      </c>
    </row>
    <row r="797" hidden="1">
      <c r="A797" s="67" t="str">
        <f t="shared" si="1"/>
        <v>Thu</v>
      </c>
      <c r="B797" s="69">
        <v>43405.0</v>
      </c>
      <c r="D797" s="171"/>
      <c r="H797" s="4" t="s">
        <v>804</v>
      </c>
    </row>
    <row r="798" hidden="1">
      <c r="A798" s="67" t="str">
        <f t="shared" si="1"/>
        <v>Fri</v>
      </c>
      <c r="B798" s="69">
        <v>43406.0</v>
      </c>
      <c r="C798" s="4" t="s">
        <v>638</v>
      </c>
      <c r="D798" s="175">
        <v>352.98875</v>
      </c>
      <c r="E798" s="4" t="s">
        <v>222</v>
      </c>
      <c r="F798" s="4" t="s">
        <v>809</v>
      </c>
      <c r="G798" s="4" t="s">
        <v>809</v>
      </c>
      <c r="H798" s="4" t="s">
        <v>804</v>
      </c>
      <c r="I798" s="4" t="s">
        <v>395</v>
      </c>
      <c r="K798" s="4"/>
      <c r="L798" s="4" t="s">
        <v>293</v>
      </c>
    </row>
    <row r="799" hidden="1">
      <c r="A799" s="67" t="str">
        <f t="shared" si="1"/>
        <v>Sat</v>
      </c>
      <c r="B799" s="69">
        <v>43407.0</v>
      </c>
      <c r="C799" s="4" t="s">
        <v>638</v>
      </c>
      <c r="D799" s="175">
        <v>352.98875</v>
      </c>
      <c r="E799" s="4" t="s">
        <v>222</v>
      </c>
      <c r="F799" s="4" t="s">
        <v>809</v>
      </c>
      <c r="I799" s="4" t="s">
        <v>395</v>
      </c>
      <c r="K799" s="4"/>
      <c r="L799" s="4" t="s">
        <v>293</v>
      </c>
    </row>
    <row r="800" hidden="1">
      <c r="A800" s="67" t="str">
        <f t="shared" si="1"/>
        <v>Sun</v>
      </c>
      <c r="B800" s="69">
        <v>43408.0</v>
      </c>
      <c r="C800" s="4" t="s">
        <v>638</v>
      </c>
      <c r="D800" s="175">
        <v>352.98875</v>
      </c>
      <c r="E800" s="4" t="s">
        <v>222</v>
      </c>
      <c r="F800" s="4" t="s">
        <v>809</v>
      </c>
      <c r="I800" s="4" t="s">
        <v>395</v>
      </c>
      <c r="K800" s="4"/>
      <c r="L800" s="4" t="s">
        <v>293</v>
      </c>
    </row>
    <row r="801" hidden="1">
      <c r="A801" s="67" t="str">
        <f t="shared" si="1"/>
        <v>Mon</v>
      </c>
      <c r="B801" s="69">
        <v>43409.0</v>
      </c>
      <c r="D801" s="175">
        <v>352.98875</v>
      </c>
      <c r="E801" s="4" t="s">
        <v>222</v>
      </c>
      <c r="F801" s="4" t="s">
        <v>809</v>
      </c>
      <c r="I801" s="4" t="s">
        <v>395</v>
      </c>
      <c r="K801" s="4"/>
      <c r="L801" s="4" t="s">
        <v>293</v>
      </c>
    </row>
    <row r="802" hidden="1">
      <c r="A802" s="67" t="str">
        <f t="shared" si="1"/>
        <v>Tue</v>
      </c>
      <c r="B802" s="69">
        <v>43410.0</v>
      </c>
      <c r="D802" s="175">
        <v>352.98875</v>
      </c>
      <c r="E802" s="4" t="s">
        <v>222</v>
      </c>
      <c r="F802" s="4" t="s">
        <v>809</v>
      </c>
      <c r="I802" s="4" t="s">
        <v>395</v>
      </c>
      <c r="K802" s="4"/>
      <c r="L802" s="4" t="s">
        <v>293</v>
      </c>
    </row>
    <row r="803" hidden="1">
      <c r="A803" s="67" t="str">
        <f t="shared" si="1"/>
        <v>Wed</v>
      </c>
      <c r="B803" s="69">
        <v>43411.0</v>
      </c>
      <c r="D803" s="175">
        <v>352.98875</v>
      </c>
      <c r="E803" s="4" t="s">
        <v>222</v>
      </c>
      <c r="F803" s="4" t="s">
        <v>809</v>
      </c>
      <c r="I803" s="4" t="s">
        <v>395</v>
      </c>
      <c r="K803" s="4"/>
      <c r="L803" s="4" t="s">
        <v>293</v>
      </c>
    </row>
    <row r="804" hidden="1">
      <c r="A804" s="67" t="str">
        <f t="shared" si="1"/>
        <v>Thu</v>
      </c>
      <c r="B804" s="69">
        <v>43412.0</v>
      </c>
      <c r="D804" s="175">
        <v>352.98875</v>
      </c>
      <c r="E804" s="4" t="s">
        <v>222</v>
      </c>
      <c r="F804" s="4" t="s">
        <v>809</v>
      </c>
      <c r="I804" s="4" t="s">
        <v>395</v>
      </c>
      <c r="K804" s="4"/>
      <c r="L804" s="4" t="s">
        <v>293</v>
      </c>
    </row>
    <row r="805" hidden="1">
      <c r="A805" s="67" t="str">
        <f t="shared" si="1"/>
        <v>Fri</v>
      </c>
      <c r="B805" s="69">
        <v>43413.0</v>
      </c>
      <c r="D805" s="175">
        <v>352.98875</v>
      </c>
      <c r="E805" s="4" t="s">
        <v>222</v>
      </c>
      <c r="F805" s="4" t="s">
        <v>809</v>
      </c>
      <c r="I805" s="4" t="s">
        <v>395</v>
      </c>
      <c r="K805" s="4"/>
      <c r="L805" s="4" t="s">
        <v>293</v>
      </c>
    </row>
    <row r="806" hidden="1">
      <c r="A806" s="67" t="str">
        <f t="shared" si="1"/>
        <v>Sat</v>
      </c>
      <c r="B806" s="69">
        <v>43414.0</v>
      </c>
      <c r="D806" s="176">
        <v>300.0</v>
      </c>
      <c r="E806" s="4" t="s">
        <v>337</v>
      </c>
      <c r="F806" s="4" t="s">
        <v>655</v>
      </c>
      <c r="G806" s="4" t="s">
        <v>655</v>
      </c>
      <c r="H806" s="4" t="s">
        <v>809</v>
      </c>
      <c r="I806" s="4" t="s">
        <v>395</v>
      </c>
      <c r="J806" s="4" t="s">
        <v>812</v>
      </c>
      <c r="K806" s="4"/>
      <c r="L806" s="4" t="s">
        <v>293</v>
      </c>
    </row>
    <row r="807" hidden="1">
      <c r="A807" s="67" t="str">
        <f t="shared" si="1"/>
        <v>Sun</v>
      </c>
      <c r="B807" s="69">
        <v>43415.0</v>
      </c>
      <c r="D807" s="176">
        <v>300.0</v>
      </c>
      <c r="E807" s="4" t="s">
        <v>337</v>
      </c>
      <c r="F807" s="4" t="s">
        <v>655</v>
      </c>
      <c r="I807" s="4" t="s">
        <v>395</v>
      </c>
      <c r="J807" s="4" t="s">
        <v>812</v>
      </c>
      <c r="K807" s="4"/>
      <c r="L807" s="4" t="s">
        <v>293</v>
      </c>
    </row>
    <row r="808" hidden="1">
      <c r="A808" s="67" t="str">
        <f t="shared" si="1"/>
        <v>Mon</v>
      </c>
      <c r="B808" s="69">
        <v>43416.0</v>
      </c>
      <c r="D808" s="171"/>
      <c r="H808" s="4" t="s">
        <v>655</v>
      </c>
      <c r="I808" s="4" t="s">
        <v>395</v>
      </c>
    </row>
    <row r="809" hidden="1">
      <c r="A809" s="67" t="str">
        <f t="shared" si="1"/>
        <v>Tue</v>
      </c>
      <c r="B809" s="69">
        <v>43417.0</v>
      </c>
      <c r="D809" s="176">
        <v>200.0</v>
      </c>
      <c r="E809" s="4" t="s">
        <v>337</v>
      </c>
      <c r="F809" s="4" t="s">
        <v>813</v>
      </c>
      <c r="G809" s="4" t="s">
        <v>813</v>
      </c>
      <c r="I809" s="4" t="s">
        <v>395</v>
      </c>
      <c r="K809" s="4"/>
      <c r="L809" s="4" t="s">
        <v>293</v>
      </c>
    </row>
    <row r="810" hidden="1">
      <c r="A810" s="67" t="str">
        <f t="shared" si="1"/>
        <v>Wed</v>
      </c>
      <c r="B810" s="69">
        <v>43418.0</v>
      </c>
      <c r="D810" s="176">
        <v>436.5</v>
      </c>
      <c r="E810" s="4" t="s">
        <v>222</v>
      </c>
      <c r="F810" s="4" t="s">
        <v>814</v>
      </c>
      <c r="G810" s="4" t="s">
        <v>814</v>
      </c>
      <c r="H810" s="4" t="s">
        <v>813</v>
      </c>
      <c r="I810" s="4" t="s">
        <v>395</v>
      </c>
      <c r="K810" s="4"/>
      <c r="L810" s="4" t="s">
        <v>293</v>
      </c>
    </row>
    <row r="811" hidden="1">
      <c r="A811" s="67" t="str">
        <f t="shared" si="1"/>
        <v>Thu</v>
      </c>
      <c r="B811" s="69">
        <v>43419.0</v>
      </c>
      <c r="C811" s="4" t="s">
        <v>638</v>
      </c>
      <c r="D811" s="176">
        <v>436.5</v>
      </c>
      <c r="E811" s="4" t="s">
        <v>222</v>
      </c>
      <c r="F811" s="4" t="s">
        <v>814</v>
      </c>
      <c r="I811" s="4" t="s">
        <v>395</v>
      </c>
      <c r="K811" s="4"/>
      <c r="L811" s="4" t="s">
        <v>293</v>
      </c>
    </row>
    <row r="812" hidden="1">
      <c r="A812" s="67" t="str">
        <f t="shared" si="1"/>
        <v>Fri</v>
      </c>
      <c r="B812" s="69">
        <v>43420.0</v>
      </c>
      <c r="C812" s="4" t="s">
        <v>638</v>
      </c>
      <c r="D812" s="176">
        <v>436.5</v>
      </c>
      <c r="E812" s="4" t="s">
        <v>222</v>
      </c>
      <c r="F812" s="4" t="s">
        <v>814</v>
      </c>
      <c r="I812" s="4" t="s">
        <v>395</v>
      </c>
      <c r="K812" s="4"/>
      <c r="L812" s="4" t="s">
        <v>293</v>
      </c>
    </row>
    <row r="813" hidden="1">
      <c r="A813" s="67" t="str">
        <f t="shared" si="1"/>
        <v>Sat</v>
      </c>
      <c r="B813" s="69">
        <v>43421.0</v>
      </c>
      <c r="C813" s="4" t="s">
        <v>638</v>
      </c>
      <c r="D813" s="176">
        <v>436.5</v>
      </c>
      <c r="E813" s="4" t="s">
        <v>222</v>
      </c>
      <c r="F813" s="4" t="s">
        <v>814</v>
      </c>
      <c r="I813" s="4" t="s">
        <v>395</v>
      </c>
      <c r="K813" s="4"/>
      <c r="L813" s="4" t="s">
        <v>293</v>
      </c>
    </row>
    <row r="814" hidden="1">
      <c r="A814" s="67" t="str">
        <f t="shared" si="1"/>
        <v>Sun</v>
      </c>
      <c r="B814" s="69">
        <v>43422.0</v>
      </c>
      <c r="C814" s="4" t="s">
        <v>638</v>
      </c>
      <c r="D814" s="176">
        <v>174.6</v>
      </c>
      <c r="E814" s="4" t="s">
        <v>222</v>
      </c>
      <c r="F814" s="4" t="s">
        <v>815</v>
      </c>
      <c r="G814" s="4" t="s">
        <v>815</v>
      </c>
      <c r="H814" s="4" t="s">
        <v>814</v>
      </c>
      <c r="I814" s="4" t="s">
        <v>395</v>
      </c>
      <c r="K814" s="4"/>
      <c r="L814" s="4" t="s">
        <v>293</v>
      </c>
    </row>
    <row r="815" hidden="1">
      <c r="A815" s="67" t="str">
        <f t="shared" si="1"/>
        <v>Mon</v>
      </c>
      <c r="B815" s="69">
        <v>43423.0</v>
      </c>
      <c r="D815" s="176">
        <v>300.0</v>
      </c>
      <c r="E815" s="4" t="s">
        <v>337</v>
      </c>
      <c r="F815" s="4" t="s">
        <v>816</v>
      </c>
      <c r="H815" s="4" t="s">
        <v>815</v>
      </c>
      <c r="I815" s="4" t="s">
        <v>395</v>
      </c>
      <c r="J815" s="4" t="s">
        <v>817</v>
      </c>
      <c r="K815" s="4"/>
      <c r="L815" s="4" t="s">
        <v>293</v>
      </c>
    </row>
    <row r="816" hidden="1">
      <c r="A816" s="67" t="str">
        <f t="shared" si="1"/>
        <v>Tue</v>
      </c>
      <c r="B816" s="69">
        <v>43424.0</v>
      </c>
      <c r="D816" s="175">
        <v>327.1325</v>
      </c>
      <c r="E816" s="4" t="s">
        <v>222</v>
      </c>
      <c r="F816" s="4" t="s">
        <v>816</v>
      </c>
      <c r="G816" s="4" t="s">
        <v>816</v>
      </c>
      <c r="I816" s="4" t="s">
        <v>395</v>
      </c>
      <c r="K816" s="4"/>
      <c r="L816" s="4" t="s">
        <v>293</v>
      </c>
    </row>
    <row r="817" hidden="1">
      <c r="A817" s="67" t="str">
        <f t="shared" si="1"/>
        <v>Wed</v>
      </c>
      <c r="B817" s="69">
        <v>43425.0</v>
      </c>
      <c r="D817" s="175">
        <v>327.1325</v>
      </c>
      <c r="E817" s="4" t="s">
        <v>222</v>
      </c>
      <c r="F817" s="4" t="s">
        <v>816</v>
      </c>
      <c r="I817" s="4" t="s">
        <v>395</v>
      </c>
      <c r="K817" s="4"/>
      <c r="L817" s="4" t="s">
        <v>293</v>
      </c>
    </row>
    <row r="818" hidden="1">
      <c r="A818" s="67" t="str">
        <f t="shared" si="1"/>
        <v>Thu</v>
      </c>
      <c r="B818" s="69">
        <v>43426.0</v>
      </c>
      <c r="D818" s="175">
        <v>327.1325</v>
      </c>
      <c r="E818" s="4" t="s">
        <v>222</v>
      </c>
      <c r="F818" s="4" t="s">
        <v>816</v>
      </c>
      <c r="I818" s="4" t="s">
        <v>395</v>
      </c>
      <c r="K818" s="4"/>
      <c r="L818" s="4" t="s">
        <v>293</v>
      </c>
    </row>
    <row r="819" hidden="1">
      <c r="A819" s="67" t="str">
        <f t="shared" si="1"/>
        <v>Fri</v>
      </c>
      <c r="B819" s="69">
        <v>43427.0</v>
      </c>
      <c r="D819" s="175">
        <v>327.1325</v>
      </c>
      <c r="E819" s="4" t="s">
        <v>222</v>
      </c>
      <c r="F819" s="4" t="s">
        <v>816</v>
      </c>
      <c r="I819" s="4" t="s">
        <v>395</v>
      </c>
      <c r="K819" s="4"/>
      <c r="L819" s="4" t="s">
        <v>293</v>
      </c>
    </row>
    <row r="820" hidden="1">
      <c r="A820" s="67" t="str">
        <f t="shared" si="1"/>
        <v>Sat</v>
      </c>
      <c r="B820" s="69">
        <v>43428.0</v>
      </c>
      <c r="D820" s="176">
        <v>300.0</v>
      </c>
      <c r="E820" s="4" t="s">
        <v>337</v>
      </c>
      <c r="F820" s="4" t="s">
        <v>818</v>
      </c>
      <c r="G820" s="4" t="s">
        <v>818</v>
      </c>
      <c r="H820" s="4" t="s">
        <v>816</v>
      </c>
      <c r="I820" s="4" t="s">
        <v>395</v>
      </c>
      <c r="K820" s="4"/>
      <c r="L820" s="4" t="s">
        <v>293</v>
      </c>
    </row>
    <row r="821" hidden="1">
      <c r="A821" s="67" t="str">
        <f t="shared" si="1"/>
        <v>Sun</v>
      </c>
      <c r="B821" s="69">
        <v>43429.0</v>
      </c>
      <c r="D821" s="176">
        <v>269.66</v>
      </c>
      <c r="E821" s="4" t="s">
        <v>222</v>
      </c>
      <c r="F821" s="4" t="s">
        <v>819</v>
      </c>
      <c r="G821" s="4" t="s">
        <v>819</v>
      </c>
      <c r="H821" s="4" t="s">
        <v>820</v>
      </c>
      <c r="I821" s="4" t="s">
        <v>395</v>
      </c>
      <c r="K821" s="4"/>
      <c r="L821" s="4" t="s">
        <v>293</v>
      </c>
    </row>
    <row r="822" hidden="1">
      <c r="A822" s="67" t="str">
        <f t="shared" si="1"/>
        <v>Mon</v>
      </c>
      <c r="B822" s="69">
        <v>43430.0</v>
      </c>
      <c r="D822" s="176">
        <v>1164.0</v>
      </c>
      <c r="E822" s="4" t="s">
        <v>222</v>
      </c>
      <c r="H822" s="4" t="s">
        <v>819</v>
      </c>
      <c r="I822" s="4" t="s">
        <v>395</v>
      </c>
      <c r="J822" s="4" t="s">
        <v>821</v>
      </c>
      <c r="K822" s="4"/>
      <c r="L822" s="4" t="s">
        <v>293</v>
      </c>
    </row>
    <row r="823" hidden="1">
      <c r="A823" s="67" t="str">
        <f t="shared" si="1"/>
        <v>Tue</v>
      </c>
      <c r="B823" s="69">
        <v>43431.0</v>
      </c>
      <c r="D823" s="176">
        <v>208.55</v>
      </c>
      <c r="E823" s="4" t="s">
        <v>222</v>
      </c>
      <c r="F823" s="4" t="s">
        <v>822</v>
      </c>
      <c r="G823" s="4" t="s">
        <v>822</v>
      </c>
      <c r="I823" s="4" t="s">
        <v>395</v>
      </c>
      <c r="K823" s="4"/>
      <c r="L823" s="4" t="s">
        <v>293</v>
      </c>
    </row>
    <row r="824" hidden="1">
      <c r="A824" s="67" t="str">
        <f t="shared" si="1"/>
        <v>Wed</v>
      </c>
      <c r="B824" s="69">
        <v>43432.0</v>
      </c>
      <c r="D824" s="176">
        <v>208.55</v>
      </c>
      <c r="E824" s="4" t="s">
        <v>222</v>
      </c>
      <c r="F824" s="4" t="s">
        <v>822</v>
      </c>
      <c r="I824" s="4" t="s">
        <v>395</v>
      </c>
      <c r="K824" s="4"/>
      <c r="L824" s="4" t="s">
        <v>293</v>
      </c>
    </row>
    <row r="825" hidden="1">
      <c r="A825" s="67" t="str">
        <f t="shared" si="1"/>
        <v>Thu</v>
      </c>
      <c r="B825" s="69">
        <v>43433.0</v>
      </c>
      <c r="D825" s="176">
        <v>208.55</v>
      </c>
      <c r="E825" s="4" t="s">
        <v>222</v>
      </c>
      <c r="F825" s="4" t="s">
        <v>823</v>
      </c>
      <c r="H825" s="4" t="s">
        <v>822</v>
      </c>
      <c r="I825" s="4" t="s">
        <v>395</v>
      </c>
      <c r="K825" s="4"/>
      <c r="L825" s="4" t="s">
        <v>293</v>
      </c>
    </row>
    <row r="826" hidden="1">
      <c r="A826" s="67" t="str">
        <f t="shared" si="1"/>
        <v>Fri</v>
      </c>
      <c r="B826" s="69">
        <v>43434.0</v>
      </c>
      <c r="D826" s="175">
        <v>392.02666666666664</v>
      </c>
      <c r="E826" s="4" t="s">
        <v>222</v>
      </c>
      <c r="F826" s="4" t="s">
        <v>824</v>
      </c>
      <c r="G826" s="4" t="s">
        <v>824</v>
      </c>
      <c r="H826" s="4" t="s">
        <v>823</v>
      </c>
      <c r="I826" s="4" t="s">
        <v>395</v>
      </c>
      <c r="J826" s="4" t="s">
        <v>825</v>
      </c>
      <c r="K826" s="4"/>
      <c r="L826" s="4" t="s">
        <v>293</v>
      </c>
    </row>
    <row r="827" hidden="1">
      <c r="A827" s="67" t="str">
        <f t="shared" si="1"/>
        <v>Sat</v>
      </c>
      <c r="B827" s="69">
        <v>43435.0</v>
      </c>
      <c r="D827" s="175">
        <v>392.02666666666664</v>
      </c>
      <c r="E827" s="4" t="s">
        <v>222</v>
      </c>
      <c r="F827" s="4" t="s">
        <v>824</v>
      </c>
      <c r="I827" s="4" t="s">
        <v>395</v>
      </c>
      <c r="K827" s="4"/>
      <c r="L827" s="4" t="s">
        <v>293</v>
      </c>
    </row>
    <row r="828" hidden="1">
      <c r="A828" s="67" t="str">
        <f t="shared" si="1"/>
        <v>Sun</v>
      </c>
      <c r="B828" s="69">
        <v>43436.0</v>
      </c>
      <c r="D828" s="175">
        <v>392.02666666666664</v>
      </c>
      <c r="E828" s="4" t="s">
        <v>222</v>
      </c>
      <c r="F828" s="4" t="s">
        <v>824</v>
      </c>
      <c r="I828" s="4" t="s">
        <v>395</v>
      </c>
      <c r="K828" s="4"/>
      <c r="L828" s="4" t="s">
        <v>293</v>
      </c>
    </row>
    <row r="829" hidden="1">
      <c r="A829" s="67" t="str">
        <f t="shared" si="1"/>
        <v>Mon</v>
      </c>
      <c r="B829" s="69">
        <v>43437.0</v>
      </c>
      <c r="D829" s="176">
        <v>223.1</v>
      </c>
      <c r="E829" s="4" t="s">
        <v>222</v>
      </c>
      <c r="F829" s="4" t="s">
        <v>826</v>
      </c>
      <c r="G829" s="4" t="s">
        <v>826</v>
      </c>
      <c r="H829" s="4" t="s">
        <v>824</v>
      </c>
      <c r="I829" s="4" t="s">
        <v>395</v>
      </c>
      <c r="K829" s="4"/>
      <c r="L829" s="4" t="s">
        <v>293</v>
      </c>
    </row>
    <row r="830" hidden="1">
      <c r="A830" s="67" t="str">
        <f t="shared" si="1"/>
        <v>Tue</v>
      </c>
      <c r="B830" s="69">
        <v>43438.0</v>
      </c>
      <c r="D830" s="176">
        <v>223.1</v>
      </c>
      <c r="E830" s="4" t="s">
        <v>222</v>
      </c>
      <c r="F830" s="4" t="s">
        <v>826</v>
      </c>
      <c r="H830" s="4" t="s">
        <v>826</v>
      </c>
      <c r="I830" s="4" t="s">
        <v>395</v>
      </c>
      <c r="K830" s="4"/>
      <c r="L830" s="4" t="s">
        <v>293</v>
      </c>
    </row>
    <row r="831" hidden="1">
      <c r="A831" s="67" t="str">
        <f t="shared" si="1"/>
        <v>Wed</v>
      </c>
      <c r="B831" s="69">
        <v>43439.0</v>
      </c>
      <c r="D831" s="176">
        <v>346.29</v>
      </c>
      <c r="E831" s="4" t="s">
        <v>222</v>
      </c>
      <c r="F831" s="4" t="s">
        <v>827</v>
      </c>
      <c r="G831" s="4" t="s">
        <v>827</v>
      </c>
      <c r="I831" s="4" t="s">
        <v>395</v>
      </c>
      <c r="J831" s="4" t="s">
        <v>828</v>
      </c>
      <c r="K831" s="4"/>
      <c r="L831" s="4" t="s">
        <v>293</v>
      </c>
    </row>
    <row r="832" hidden="1">
      <c r="A832" s="67" t="str">
        <f t="shared" si="1"/>
        <v>Thu</v>
      </c>
      <c r="B832" s="69">
        <v>43440.0</v>
      </c>
      <c r="D832" s="171"/>
      <c r="H832" s="4" t="s">
        <v>827</v>
      </c>
    </row>
    <row r="833" hidden="1">
      <c r="A833" s="67" t="str">
        <f t="shared" si="1"/>
        <v>Fri</v>
      </c>
      <c r="B833" s="69">
        <v>43441.0</v>
      </c>
      <c r="D833" s="176">
        <v>485.0</v>
      </c>
      <c r="E833" s="4" t="s">
        <v>222</v>
      </c>
      <c r="F833" s="4" t="s">
        <v>829</v>
      </c>
      <c r="G833" s="4" t="s">
        <v>829</v>
      </c>
      <c r="I833" s="4" t="s">
        <v>395</v>
      </c>
      <c r="K833" s="4"/>
      <c r="L833" s="4" t="s">
        <v>293</v>
      </c>
    </row>
    <row r="834" hidden="1">
      <c r="A834" s="67" t="str">
        <f t="shared" si="1"/>
        <v>Sat</v>
      </c>
      <c r="B834" s="69">
        <v>43442.0</v>
      </c>
      <c r="D834" s="176">
        <v>485.0</v>
      </c>
      <c r="E834" s="4" t="s">
        <v>222</v>
      </c>
      <c r="F834" s="4" t="s">
        <v>829</v>
      </c>
      <c r="I834" s="4" t="s">
        <v>395</v>
      </c>
      <c r="K834" s="4"/>
      <c r="L834" s="4" t="s">
        <v>293</v>
      </c>
    </row>
    <row r="835" hidden="1">
      <c r="A835" s="67" t="str">
        <f t="shared" si="1"/>
        <v>Sun</v>
      </c>
      <c r="B835" s="69">
        <v>43443.0</v>
      </c>
      <c r="D835" s="176">
        <v>310.40000000000003</v>
      </c>
      <c r="E835" s="4" t="s">
        <v>222</v>
      </c>
      <c r="F835" s="4" t="s">
        <v>830</v>
      </c>
      <c r="G835" s="4" t="s">
        <v>830</v>
      </c>
      <c r="H835" s="4" t="s">
        <v>829</v>
      </c>
      <c r="I835" s="4" t="s">
        <v>395</v>
      </c>
      <c r="K835" s="4"/>
      <c r="L835" s="4" t="s">
        <v>293</v>
      </c>
    </row>
    <row r="836" hidden="1">
      <c r="A836" s="67" t="str">
        <f t="shared" si="1"/>
        <v>Mon</v>
      </c>
      <c r="B836" s="69">
        <v>43444.0</v>
      </c>
      <c r="D836" s="176">
        <v>310.40000000000003</v>
      </c>
      <c r="E836" s="4" t="s">
        <v>222</v>
      </c>
      <c r="F836" s="4" t="s">
        <v>830</v>
      </c>
      <c r="I836" s="4" t="s">
        <v>395</v>
      </c>
      <c r="K836" s="4"/>
      <c r="L836" s="4" t="s">
        <v>293</v>
      </c>
    </row>
    <row r="837" hidden="1">
      <c r="A837" s="67" t="str">
        <f t="shared" si="1"/>
        <v>Tue</v>
      </c>
      <c r="B837" s="69">
        <v>43445.0</v>
      </c>
      <c r="D837" s="176">
        <v>310.40000000000003</v>
      </c>
      <c r="E837" s="4" t="s">
        <v>222</v>
      </c>
      <c r="F837" s="4" t="s">
        <v>830</v>
      </c>
      <c r="I837" s="4" t="s">
        <v>395</v>
      </c>
      <c r="K837" s="4"/>
      <c r="L837" s="4" t="s">
        <v>293</v>
      </c>
    </row>
    <row r="838" hidden="1">
      <c r="A838" s="67" t="str">
        <f t="shared" si="1"/>
        <v>Wed</v>
      </c>
      <c r="B838" s="69">
        <v>43446.0</v>
      </c>
      <c r="D838" s="176">
        <v>271.6</v>
      </c>
      <c r="E838" s="4" t="s">
        <v>222</v>
      </c>
      <c r="F838" s="4" t="s">
        <v>831</v>
      </c>
      <c r="G838" s="4" t="s">
        <v>831</v>
      </c>
      <c r="H838" s="4" t="s">
        <v>830</v>
      </c>
      <c r="I838" s="4" t="s">
        <v>395</v>
      </c>
      <c r="K838" s="4"/>
      <c r="L838" s="4" t="s">
        <v>293</v>
      </c>
    </row>
    <row r="839" hidden="1">
      <c r="A839" s="67" t="str">
        <f t="shared" si="1"/>
        <v>Thu</v>
      </c>
      <c r="B839" s="69">
        <v>43447.0</v>
      </c>
      <c r="D839" s="176">
        <v>271.6</v>
      </c>
      <c r="E839" s="4" t="s">
        <v>222</v>
      </c>
      <c r="F839" s="4" t="s">
        <v>831</v>
      </c>
      <c r="I839" s="4" t="s">
        <v>395</v>
      </c>
      <c r="K839" s="4"/>
      <c r="L839" s="4" t="s">
        <v>293</v>
      </c>
    </row>
    <row r="840" hidden="1">
      <c r="A840" s="67" t="str">
        <f t="shared" si="1"/>
        <v>Fri</v>
      </c>
      <c r="B840" s="69">
        <v>43448.0</v>
      </c>
      <c r="D840" s="171">
        <f t="shared" ref="D840:D841" si="2">873/2</f>
        <v>436.5</v>
      </c>
      <c r="E840" s="4" t="s">
        <v>222</v>
      </c>
      <c r="F840" s="4" t="s">
        <v>832</v>
      </c>
      <c r="G840" s="4" t="s">
        <v>832</v>
      </c>
      <c r="H840" s="4" t="s">
        <v>831</v>
      </c>
      <c r="I840" s="4" t="s">
        <v>395</v>
      </c>
      <c r="K840" s="4"/>
      <c r="L840" s="4" t="s">
        <v>293</v>
      </c>
    </row>
    <row r="841" hidden="1">
      <c r="A841" s="67" t="str">
        <f t="shared" si="1"/>
        <v>Sat</v>
      </c>
      <c r="B841" s="69">
        <v>43449.0</v>
      </c>
      <c r="D841" s="171">
        <f t="shared" si="2"/>
        <v>436.5</v>
      </c>
      <c r="E841" s="4" t="s">
        <v>222</v>
      </c>
      <c r="F841" s="4" t="s">
        <v>832</v>
      </c>
      <c r="I841" s="4" t="s">
        <v>395</v>
      </c>
    </row>
    <row r="842" hidden="1">
      <c r="A842" s="67" t="str">
        <f t="shared" si="1"/>
        <v>Sun</v>
      </c>
      <c r="B842" s="69">
        <v>43450.0</v>
      </c>
      <c r="D842" s="175">
        <v>339.46571428571434</v>
      </c>
      <c r="E842" s="4" t="s">
        <v>222</v>
      </c>
      <c r="F842" s="4" t="s">
        <v>833</v>
      </c>
      <c r="G842" s="4" t="s">
        <v>833</v>
      </c>
      <c r="H842" s="4" t="s">
        <v>832</v>
      </c>
      <c r="I842" s="4" t="s">
        <v>395</v>
      </c>
      <c r="K842" s="4"/>
      <c r="L842" s="4" t="s">
        <v>293</v>
      </c>
    </row>
    <row r="843" hidden="1">
      <c r="A843" s="67" t="str">
        <f t="shared" si="1"/>
        <v>Mon</v>
      </c>
      <c r="B843" s="69">
        <v>43451.0</v>
      </c>
      <c r="D843" s="175">
        <v>339.46571428571434</v>
      </c>
      <c r="E843" s="4" t="s">
        <v>222</v>
      </c>
      <c r="F843" s="4" t="s">
        <v>833</v>
      </c>
      <c r="I843" s="4" t="s">
        <v>395</v>
      </c>
    </row>
    <row r="844" hidden="1">
      <c r="A844" s="67" t="str">
        <f t="shared" si="1"/>
        <v>Tue</v>
      </c>
      <c r="B844" s="69">
        <v>43452.0</v>
      </c>
      <c r="D844" s="175">
        <v>339.46571428571434</v>
      </c>
      <c r="E844" s="4" t="s">
        <v>222</v>
      </c>
      <c r="F844" s="4" t="s">
        <v>833</v>
      </c>
      <c r="I844" s="4" t="s">
        <v>395</v>
      </c>
    </row>
    <row r="845" hidden="1">
      <c r="A845" s="67" t="str">
        <f t="shared" si="1"/>
        <v>Wed</v>
      </c>
      <c r="B845" s="69">
        <v>43453.0</v>
      </c>
      <c r="D845" s="175">
        <v>339.46571428571434</v>
      </c>
      <c r="E845" s="4" t="s">
        <v>222</v>
      </c>
      <c r="F845" s="4" t="s">
        <v>833</v>
      </c>
      <c r="I845" s="4" t="s">
        <v>395</v>
      </c>
    </row>
    <row r="846" hidden="1">
      <c r="A846" s="67" t="str">
        <f t="shared" si="1"/>
        <v>Thu</v>
      </c>
      <c r="B846" s="69">
        <v>43454.0</v>
      </c>
      <c r="D846" s="175">
        <v>339.46571428571434</v>
      </c>
      <c r="E846" s="4" t="s">
        <v>222</v>
      </c>
      <c r="F846" s="4" t="s">
        <v>833</v>
      </c>
      <c r="I846" s="4" t="s">
        <v>395</v>
      </c>
    </row>
    <row r="847" hidden="1">
      <c r="A847" s="67" t="str">
        <f t="shared" si="1"/>
        <v>Fri</v>
      </c>
      <c r="B847" s="69">
        <v>43455.0</v>
      </c>
      <c r="D847" s="175">
        <v>339.46571428571434</v>
      </c>
      <c r="E847" s="4" t="s">
        <v>222</v>
      </c>
      <c r="F847" s="4" t="s">
        <v>833</v>
      </c>
      <c r="I847" s="4" t="s">
        <v>395</v>
      </c>
    </row>
    <row r="848" hidden="1">
      <c r="A848" s="67" t="str">
        <f t="shared" si="1"/>
        <v>Sat</v>
      </c>
      <c r="B848" s="69">
        <v>43456.0</v>
      </c>
      <c r="D848" s="175">
        <v>339.46571428571434</v>
      </c>
      <c r="E848" s="4" t="s">
        <v>222</v>
      </c>
      <c r="F848" s="4" t="s">
        <v>833</v>
      </c>
      <c r="I848" s="4" t="s">
        <v>395</v>
      </c>
    </row>
    <row r="849" hidden="1">
      <c r="A849" s="67" t="str">
        <f t="shared" si="1"/>
        <v>Sun</v>
      </c>
      <c r="B849" s="69">
        <v>43457.0</v>
      </c>
      <c r="D849" s="176">
        <v>339.5</v>
      </c>
      <c r="E849" s="4" t="s">
        <v>222</v>
      </c>
      <c r="F849" s="4" t="s">
        <v>834</v>
      </c>
      <c r="G849" s="4" t="s">
        <v>834</v>
      </c>
      <c r="H849" s="4" t="s">
        <v>833</v>
      </c>
      <c r="I849" s="4" t="s">
        <v>395</v>
      </c>
      <c r="K849" s="4"/>
      <c r="L849" s="4" t="s">
        <v>293</v>
      </c>
    </row>
    <row r="850" hidden="1">
      <c r="A850" s="67" t="str">
        <f t="shared" si="1"/>
        <v>Mon</v>
      </c>
      <c r="B850" s="69">
        <v>43458.0</v>
      </c>
      <c r="D850" s="176">
        <v>339.5</v>
      </c>
      <c r="E850" s="4" t="s">
        <v>222</v>
      </c>
      <c r="F850" s="4" t="s">
        <v>834</v>
      </c>
      <c r="I850" s="4" t="s">
        <v>395</v>
      </c>
    </row>
    <row r="851" hidden="1">
      <c r="A851" s="67" t="str">
        <f t="shared" si="1"/>
        <v>Tue</v>
      </c>
      <c r="B851" s="69">
        <v>43459.0</v>
      </c>
      <c r="D851" s="176">
        <v>339.5</v>
      </c>
      <c r="E851" s="4" t="s">
        <v>222</v>
      </c>
      <c r="F851" s="4" t="s">
        <v>834</v>
      </c>
      <c r="I851" s="4" t="s">
        <v>395</v>
      </c>
    </row>
    <row r="852" hidden="1">
      <c r="A852" s="67" t="str">
        <f t="shared" si="1"/>
        <v>Wed</v>
      </c>
      <c r="B852" s="69">
        <v>43460.0</v>
      </c>
      <c r="D852" s="175">
        <v>1136.6314285714286</v>
      </c>
      <c r="E852" s="4" t="s">
        <v>222</v>
      </c>
      <c r="F852" s="4" t="s">
        <v>835</v>
      </c>
      <c r="G852" s="4" t="s">
        <v>835</v>
      </c>
      <c r="H852" s="4" t="s">
        <v>834</v>
      </c>
      <c r="I852" s="4" t="s">
        <v>395</v>
      </c>
      <c r="K852" s="4"/>
      <c r="L852" s="4" t="s">
        <v>293</v>
      </c>
    </row>
    <row r="853" hidden="1">
      <c r="A853" s="67" t="str">
        <f t="shared" si="1"/>
        <v>Thu</v>
      </c>
      <c r="B853" s="69">
        <v>43461.0</v>
      </c>
      <c r="D853" s="175">
        <v>1136.6314285714286</v>
      </c>
      <c r="E853" s="4" t="s">
        <v>222</v>
      </c>
      <c r="F853" s="4" t="s">
        <v>835</v>
      </c>
      <c r="I853" s="4" t="s">
        <v>395</v>
      </c>
    </row>
    <row r="854" hidden="1">
      <c r="A854" s="67" t="str">
        <f t="shared" si="1"/>
        <v>Fri</v>
      </c>
      <c r="B854" s="69">
        <v>43462.0</v>
      </c>
      <c r="C854" s="4" t="s">
        <v>638</v>
      </c>
      <c r="D854" s="175">
        <v>1136.6314285714286</v>
      </c>
      <c r="E854" s="4" t="s">
        <v>222</v>
      </c>
      <c r="F854" s="4" t="s">
        <v>835</v>
      </c>
      <c r="I854" s="4" t="s">
        <v>395</v>
      </c>
    </row>
    <row r="855" hidden="1">
      <c r="A855" s="67" t="str">
        <f t="shared" si="1"/>
        <v>Sat</v>
      </c>
      <c r="B855" s="69">
        <v>43463.0</v>
      </c>
      <c r="C855" s="4" t="s">
        <v>638</v>
      </c>
      <c r="D855" s="175">
        <v>1136.6314285714286</v>
      </c>
      <c r="E855" s="4" t="s">
        <v>222</v>
      </c>
      <c r="F855" s="4" t="s">
        <v>835</v>
      </c>
      <c r="I855" s="4" t="s">
        <v>395</v>
      </c>
    </row>
    <row r="856" hidden="1">
      <c r="A856" s="67" t="str">
        <f t="shared" si="1"/>
        <v>Sun</v>
      </c>
      <c r="B856" s="69">
        <v>43464.0</v>
      </c>
      <c r="C856" s="4" t="s">
        <v>638</v>
      </c>
      <c r="D856" s="175">
        <v>1136.6314285714286</v>
      </c>
      <c r="E856" s="4" t="s">
        <v>222</v>
      </c>
      <c r="F856" s="4" t="s">
        <v>835</v>
      </c>
      <c r="I856" s="4" t="s">
        <v>395</v>
      </c>
    </row>
    <row r="857" hidden="1">
      <c r="A857" s="67" t="str">
        <f t="shared" si="1"/>
        <v>Mon</v>
      </c>
      <c r="B857" s="69">
        <v>43465.0</v>
      </c>
      <c r="C857" s="4" t="s">
        <v>638</v>
      </c>
      <c r="D857" s="175">
        <v>1136.6314285714286</v>
      </c>
      <c r="E857" s="4" t="s">
        <v>222</v>
      </c>
      <c r="F857" s="4" t="s">
        <v>835</v>
      </c>
      <c r="I857" s="4" t="s">
        <v>395</v>
      </c>
    </row>
    <row r="858" hidden="1">
      <c r="A858" s="67" t="str">
        <f t="shared" si="1"/>
        <v>Tue</v>
      </c>
      <c r="B858" s="69">
        <v>43466.0</v>
      </c>
      <c r="C858" s="4" t="s">
        <v>638</v>
      </c>
      <c r="D858" s="175">
        <v>1136.6314285714286</v>
      </c>
      <c r="E858" s="4" t="s">
        <v>222</v>
      </c>
      <c r="F858" s="4" t="s">
        <v>835</v>
      </c>
      <c r="I858" s="4" t="s">
        <v>395</v>
      </c>
    </row>
    <row r="859" hidden="1">
      <c r="A859" s="67" t="str">
        <f t="shared" si="1"/>
        <v>Wed</v>
      </c>
      <c r="B859" s="69">
        <v>43467.0</v>
      </c>
      <c r="D859" s="176">
        <v>785.0</v>
      </c>
      <c r="E859" s="4" t="s">
        <v>337</v>
      </c>
      <c r="F859" s="4" t="s">
        <v>836</v>
      </c>
      <c r="G859" s="4" t="s">
        <v>836</v>
      </c>
      <c r="H859" s="4" t="s">
        <v>835</v>
      </c>
      <c r="I859" s="4" t="s">
        <v>395</v>
      </c>
      <c r="J859" s="4" t="s">
        <v>495</v>
      </c>
      <c r="K859" s="4" t="s">
        <v>231</v>
      </c>
      <c r="L859" s="4" t="s">
        <v>293</v>
      </c>
    </row>
    <row r="860" hidden="1">
      <c r="A860" s="67" t="str">
        <f t="shared" si="1"/>
        <v>Thu</v>
      </c>
      <c r="B860" s="69">
        <v>43468.0</v>
      </c>
      <c r="D860" s="176">
        <v>785.0</v>
      </c>
      <c r="E860" s="4" t="s">
        <v>337</v>
      </c>
      <c r="F860" s="4" t="s">
        <v>836</v>
      </c>
      <c r="I860" s="4" t="s">
        <v>395</v>
      </c>
      <c r="J860" s="4" t="s">
        <v>495</v>
      </c>
    </row>
    <row r="861" hidden="1">
      <c r="A861" s="67" t="str">
        <f t="shared" si="1"/>
        <v>Fri</v>
      </c>
      <c r="B861" s="69">
        <v>43469.0</v>
      </c>
      <c r="D861" s="176">
        <v>785.0</v>
      </c>
      <c r="E861" s="4" t="s">
        <v>337</v>
      </c>
      <c r="F861" s="4" t="s">
        <v>836</v>
      </c>
      <c r="I861" s="4" t="s">
        <v>395</v>
      </c>
      <c r="J861" s="4" t="s">
        <v>495</v>
      </c>
    </row>
    <row r="862" hidden="1">
      <c r="A862" s="67" t="str">
        <f t="shared" si="1"/>
        <v>Sat</v>
      </c>
      <c r="B862" s="69">
        <v>43470.0</v>
      </c>
      <c r="D862" s="176">
        <v>785.0</v>
      </c>
      <c r="E862" s="4" t="s">
        <v>337</v>
      </c>
      <c r="F862" s="4" t="s">
        <v>836</v>
      </c>
      <c r="I862" s="4" t="s">
        <v>395</v>
      </c>
      <c r="J862" s="4" t="s">
        <v>495</v>
      </c>
    </row>
    <row r="863" hidden="1">
      <c r="A863" s="67" t="str">
        <f t="shared" si="1"/>
        <v>Sun</v>
      </c>
      <c r="B863" s="69">
        <v>43471.0</v>
      </c>
      <c r="D863" s="176">
        <v>785.0</v>
      </c>
      <c r="E863" s="4" t="s">
        <v>337</v>
      </c>
      <c r="F863" s="4" t="s">
        <v>836</v>
      </c>
      <c r="I863" s="4" t="s">
        <v>395</v>
      </c>
      <c r="J863" s="4" t="s">
        <v>495</v>
      </c>
    </row>
    <row r="864" hidden="1">
      <c r="A864" s="67" t="str">
        <f t="shared" si="1"/>
        <v>Mon</v>
      </c>
      <c r="B864" s="69">
        <v>43472.0</v>
      </c>
      <c r="D864" s="176">
        <v>785.0</v>
      </c>
      <c r="E864" s="4" t="s">
        <v>337</v>
      </c>
      <c r="F864" s="4" t="s">
        <v>836</v>
      </c>
      <c r="I864" s="4" t="s">
        <v>395</v>
      </c>
      <c r="J864" s="4" t="s">
        <v>495</v>
      </c>
    </row>
    <row r="865" hidden="1">
      <c r="A865" s="67" t="str">
        <f t="shared" si="1"/>
        <v>Tue</v>
      </c>
      <c r="B865" s="69">
        <v>43473.0</v>
      </c>
      <c r="D865" s="176">
        <v>785.0</v>
      </c>
      <c r="E865" s="4" t="s">
        <v>337</v>
      </c>
      <c r="F865" s="4" t="s">
        <v>836</v>
      </c>
      <c r="I865" s="4" t="s">
        <v>395</v>
      </c>
      <c r="J865" s="4" t="s">
        <v>495</v>
      </c>
    </row>
    <row r="866" hidden="1">
      <c r="A866" s="67" t="str">
        <f t="shared" si="1"/>
        <v>Wed</v>
      </c>
      <c r="B866" s="69">
        <v>43474.0</v>
      </c>
      <c r="D866" s="193">
        <v>485.0</v>
      </c>
      <c r="E866" s="4" t="s">
        <v>222</v>
      </c>
      <c r="F866" s="4" t="s">
        <v>837</v>
      </c>
      <c r="G866" s="4" t="s">
        <v>837</v>
      </c>
      <c r="H866" s="4" t="s">
        <v>836</v>
      </c>
      <c r="I866" s="4" t="s">
        <v>359</v>
      </c>
      <c r="K866" s="4"/>
      <c r="L866" s="4" t="s">
        <v>225</v>
      </c>
      <c r="M866" s="4" t="s">
        <v>310</v>
      </c>
    </row>
    <row r="867" hidden="1">
      <c r="A867" s="67" t="str">
        <f t="shared" si="1"/>
        <v>Thu</v>
      </c>
      <c r="B867" s="69">
        <v>43475.0</v>
      </c>
      <c r="D867" s="171">
        <f t="shared" ref="D867:D869" si="3">2182.5/3</f>
        <v>727.5</v>
      </c>
      <c r="E867" s="4" t="s">
        <v>222</v>
      </c>
      <c r="F867" s="4" t="s">
        <v>838</v>
      </c>
      <c r="G867" s="4" t="s">
        <v>838</v>
      </c>
      <c r="H867" s="4" t="s">
        <v>837</v>
      </c>
      <c r="I867" s="4" t="s">
        <v>395</v>
      </c>
      <c r="K867" s="4"/>
      <c r="L867" s="4" t="s">
        <v>225</v>
      </c>
      <c r="M867" s="4" t="s">
        <v>310</v>
      </c>
      <c r="N867" s="4" t="s">
        <v>310</v>
      </c>
      <c r="O867" s="4" t="s">
        <v>310</v>
      </c>
    </row>
    <row r="868" hidden="1">
      <c r="A868" s="67" t="str">
        <f t="shared" si="1"/>
        <v>Fri</v>
      </c>
      <c r="B868" s="69">
        <v>43476.0</v>
      </c>
      <c r="D868" s="171">
        <f t="shared" si="3"/>
        <v>727.5</v>
      </c>
      <c r="E868" s="4" t="s">
        <v>222</v>
      </c>
      <c r="F868" s="4" t="s">
        <v>838</v>
      </c>
      <c r="I868" s="4" t="s">
        <v>395</v>
      </c>
    </row>
    <row r="869" hidden="1">
      <c r="A869" s="67" t="str">
        <f t="shared" si="1"/>
        <v>Sat</v>
      </c>
      <c r="B869" s="69">
        <v>43477.0</v>
      </c>
      <c r="D869" s="171">
        <f t="shared" si="3"/>
        <v>727.5</v>
      </c>
      <c r="E869" s="4" t="s">
        <v>222</v>
      </c>
      <c r="F869" s="4" t="s">
        <v>838</v>
      </c>
      <c r="I869" s="4" t="s">
        <v>395</v>
      </c>
    </row>
    <row r="870" hidden="1">
      <c r="A870" s="67" t="str">
        <f t="shared" si="1"/>
        <v>Sun</v>
      </c>
      <c r="B870" s="69">
        <v>43478.0</v>
      </c>
      <c r="D870" s="194">
        <v>785.3114285714286</v>
      </c>
      <c r="E870" s="4" t="s">
        <v>222</v>
      </c>
      <c r="F870" s="4" t="s">
        <v>839</v>
      </c>
      <c r="G870" s="4" t="s">
        <v>839</v>
      </c>
      <c r="H870" s="4" t="s">
        <v>838</v>
      </c>
      <c r="I870" s="4" t="s">
        <v>395</v>
      </c>
      <c r="K870" s="4"/>
      <c r="L870" s="4" t="s">
        <v>225</v>
      </c>
      <c r="M870" s="4" t="s">
        <v>226</v>
      </c>
      <c r="N870" s="4" t="s">
        <v>232</v>
      </c>
      <c r="O870" s="4" t="s">
        <v>264</v>
      </c>
      <c r="Q870" s="4" t="s">
        <v>840</v>
      </c>
      <c r="R870" s="167" t="s">
        <v>841</v>
      </c>
      <c r="S870" s="4"/>
    </row>
    <row r="871" hidden="1">
      <c r="A871" s="67" t="str">
        <f t="shared" si="1"/>
        <v>Mon</v>
      </c>
      <c r="B871" s="69">
        <v>43479.0</v>
      </c>
      <c r="D871" s="194">
        <v>785.3114285714286</v>
      </c>
      <c r="E871" s="4" t="s">
        <v>222</v>
      </c>
      <c r="F871" s="4" t="s">
        <v>839</v>
      </c>
      <c r="I871" s="4" t="s">
        <v>395</v>
      </c>
    </row>
    <row r="872" hidden="1">
      <c r="A872" s="67" t="str">
        <f t="shared" si="1"/>
        <v>Tue</v>
      </c>
      <c r="B872" s="69">
        <v>43480.0</v>
      </c>
      <c r="D872" s="194">
        <v>785.3114285714286</v>
      </c>
      <c r="E872" s="4" t="s">
        <v>222</v>
      </c>
      <c r="F872" s="4" t="s">
        <v>839</v>
      </c>
      <c r="I872" s="4" t="s">
        <v>395</v>
      </c>
    </row>
    <row r="873" hidden="1">
      <c r="A873" s="67" t="str">
        <f t="shared" si="1"/>
        <v>Wed</v>
      </c>
      <c r="B873" s="69">
        <v>43481.0</v>
      </c>
      <c r="D873" s="194">
        <v>785.3114285714286</v>
      </c>
      <c r="E873" s="4" t="s">
        <v>222</v>
      </c>
      <c r="F873" s="4" t="s">
        <v>839</v>
      </c>
      <c r="I873" s="4" t="s">
        <v>395</v>
      </c>
    </row>
    <row r="874" hidden="1">
      <c r="A874" s="67" t="str">
        <f t="shared" si="1"/>
        <v>Thu</v>
      </c>
      <c r="B874" s="69">
        <v>43482.0</v>
      </c>
      <c r="D874" s="194">
        <v>785.3114285714286</v>
      </c>
      <c r="E874" s="4" t="s">
        <v>222</v>
      </c>
      <c r="F874" s="4" t="s">
        <v>839</v>
      </c>
      <c r="I874" s="4" t="s">
        <v>395</v>
      </c>
    </row>
    <row r="875" hidden="1">
      <c r="A875" s="67" t="str">
        <f t="shared" si="1"/>
        <v>Fri</v>
      </c>
      <c r="B875" s="69">
        <v>43483.0</v>
      </c>
      <c r="D875" s="194">
        <v>785.3114285714286</v>
      </c>
      <c r="E875" s="4" t="s">
        <v>222</v>
      </c>
      <c r="F875" s="4" t="s">
        <v>839</v>
      </c>
      <c r="I875" s="4" t="s">
        <v>395</v>
      </c>
    </row>
    <row r="876" hidden="1">
      <c r="A876" s="67" t="str">
        <f t="shared" si="1"/>
        <v>Sat</v>
      </c>
      <c r="B876" s="69">
        <v>43484.0</v>
      </c>
      <c r="D876" s="194">
        <v>785.3114285714286</v>
      </c>
      <c r="E876" s="4" t="s">
        <v>222</v>
      </c>
      <c r="F876" s="4" t="s">
        <v>839</v>
      </c>
      <c r="I876" s="4" t="s">
        <v>395</v>
      </c>
    </row>
    <row r="877" hidden="1">
      <c r="A877" s="67" t="str">
        <f t="shared" si="1"/>
        <v>Sun</v>
      </c>
      <c r="B877" s="69">
        <v>43485.0</v>
      </c>
      <c r="D877" s="194">
        <v>582.0</v>
      </c>
      <c r="E877" s="4" t="s">
        <v>222</v>
      </c>
      <c r="F877" s="4" t="s">
        <v>842</v>
      </c>
      <c r="G877" s="4" t="s">
        <v>842</v>
      </c>
      <c r="H877" s="4" t="s">
        <v>839</v>
      </c>
      <c r="I877" s="4" t="s">
        <v>359</v>
      </c>
      <c r="K877" s="4"/>
      <c r="L877" s="4" t="s">
        <v>225</v>
      </c>
      <c r="M877" s="4" t="s">
        <v>226</v>
      </c>
      <c r="N877" s="4" t="s">
        <v>232</v>
      </c>
      <c r="O877" s="4" t="s">
        <v>264</v>
      </c>
    </row>
    <row r="878" hidden="1">
      <c r="A878" s="67" t="str">
        <f t="shared" si="1"/>
        <v>Mon</v>
      </c>
      <c r="B878" s="69">
        <v>43486.0</v>
      </c>
      <c r="D878" s="194">
        <v>835.8811111111112</v>
      </c>
      <c r="E878" s="4" t="s">
        <v>222</v>
      </c>
      <c r="F878" s="4" t="s">
        <v>843</v>
      </c>
      <c r="G878" s="4" t="s">
        <v>843</v>
      </c>
      <c r="H878" s="4" t="s">
        <v>842</v>
      </c>
      <c r="I878" s="4" t="s">
        <v>359</v>
      </c>
      <c r="K878" s="4"/>
      <c r="L878" s="4" t="s">
        <v>225</v>
      </c>
      <c r="M878" s="4" t="s">
        <v>844</v>
      </c>
      <c r="N878" s="4" t="s">
        <v>845</v>
      </c>
      <c r="O878" s="4" t="s">
        <v>846</v>
      </c>
      <c r="Q878" s="4" t="s">
        <v>847</v>
      </c>
      <c r="R878" s="167" t="s">
        <v>848</v>
      </c>
      <c r="S878" s="4"/>
    </row>
    <row r="879" hidden="1">
      <c r="A879" s="67" t="str">
        <f t="shared" si="1"/>
        <v>Tue</v>
      </c>
      <c r="B879" s="69">
        <v>43487.0</v>
      </c>
      <c r="D879" s="194">
        <v>835.8811111111112</v>
      </c>
      <c r="E879" s="4" t="s">
        <v>222</v>
      </c>
      <c r="F879" s="4" t="s">
        <v>843</v>
      </c>
      <c r="I879" s="4" t="s">
        <v>359</v>
      </c>
    </row>
    <row r="880" hidden="1">
      <c r="A880" s="67" t="str">
        <f t="shared" si="1"/>
        <v>Wed</v>
      </c>
      <c r="B880" s="69">
        <v>43488.0</v>
      </c>
      <c r="D880" s="194">
        <v>835.8811111111112</v>
      </c>
      <c r="E880" s="4" t="s">
        <v>222</v>
      </c>
      <c r="F880" s="4" t="s">
        <v>843</v>
      </c>
      <c r="I880" s="4" t="s">
        <v>359</v>
      </c>
    </row>
    <row r="881" hidden="1">
      <c r="A881" s="67" t="str">
        <f t="shared" si="1"/>
        <v>Thu</v>
      </c>
      <c r="B881" s="69">
        <v>43489.0</v>
      </c>
      <c r="D881" s="194">
        <v>835.8811111111112</v>
      </c>
      <c r="E881" s="4" t="s">
        <v>222</v>
      </c>
      <c r="F881" s="4" t="s">
        <v>843</v>
      </c>
      <c r="I881" s="4" t="s">
        <v>359</v>
      </c>
    </row>
    <row r="882" hidden="1">
      <c r="A882" s="67" t="str">
        <f t="shared" si="1"/>
        <v>Fri</v>
      </c>
      <c r="B882" s="69">
        <v>43490.0</v>
      </c>
      <c r="D882" s="194">
        <v>835.8811111111112</v>
      </c>
      <c r="E882" s="4" t="s">
        <v>222</v>
      </c>
      <c r="F882" s="4" t="s">
        <v>843</v>
      </c>
      <c r="I882" s="4" t="s">
        <v>359</v>
      </c>
    </row>
    <row r="883" hidden="1">
      <c r="A883" s="67" t="str">
        <f t="shared" si="1"/>
        <v>Sat</v>
      </c>
      <c r="B883" s="69">
        <v>43491.0</v>
      </c>
      <c r="D883" s="194">
        <v>835.8811111111112</v>
      </c>
      <c r="E883" s="4" t="s">
        <v>222</v>
      </c>
      <c r="F883" s="4" t="s">
        <v>843</v>
      </c>
      <c r="I883" s="4" t="s">
        <v>359</v>
      </c>
    </row>
    <row r="884" hidden="1">
      <c r="A884" s="67" t="str">
        <f t="shared" si="1"/>
        <v>Sun</v>
      </c>
      <c r="B884" s="69">
        <v>43492.0</v>
      </c>
      <c r="D884" s="194">
        <v>835.8811111111112</v>
      </c>
      <c r="E884" s="4" t="s">
        <v>222</v>
      </c>
      <c r="F884" s="4" t="s">
        <v>843</v>
      </c>
      <c r="I884" s="4" t="s">
        <v>359</v>
      </c>
    </row>
    <row r="885" hidden="1">
      <c r="A885" s="67" t="str">
        <f t="shared" si="1"/>
        <v>Mon</v>
      </c>
      <c r="B885" s="69">
        <v>43493.0</v>
      </c>
      <c r="D885" s="194">
        <v>835.8811111111112</v>
      </c>
      <c r="E885" s="4" t="s">
        <v>222</v>
      </c>
      <c r="F885" s="4" t="s">
        <v>843</v>
      </c>
      <c r="I885" s="4" t="s">
        <v>359</v>
      </c>
    </row>
    <row r="886" hidden="1">
      <c r="A886" s="67" t="str">
        <f t="shared" si="1"/>
        <v>Tue</v>
      </c>
      <c r="B886" s="69">
        <v>43494.0</v>
      </c>
      <c r="D886" s="194">
        <v>835.8811111111112</v>
      </c>
      <c r="E886" s="4" t="s">
        <v>222</v>
      </c>
      <c r="F886" s="4" t="s">
        <v>843</v>
      </c>
      <c r="I886" s="4" t="s">
        <v>359</v>
      </c>
    </row>
    <row r="887" hidden="1">
      <c r="A887" s="67" t="str">
        <f t="shared" si="1"/>
        <v>Wed</v>
      </c>
      <c r="B887" s="69">
        <v>43495.0</v>
      </c>
      <c r="D887" s="193"/>
      <c r="H887" s="4" t="s">
        <v>843</v>
      </c>
    </row>
    <row r="888" hidden="1">
      <c r="A888" s="67" t="str">
        <f t="shared" si="1"/>
        <v>Thu</v>
      </c>
      <c r="B888" s="69">
        <v>43496.0</v>
      </c>
      <c r="D888" s="194">
        <v>662.8333333333334</v>
      </c>
      <c r="E888" s="4" t="s">
        <v>222</v>
      </c>
      <c r="F888" s="4" t="s">
        <v>849</v>
      </c>
      <c r="G888" s="4" t="s">
        <v>849</v>
      </c>
      <c r="I888" s="4" t="s">
        <v>359</v>
      </c>
      <c r="K888" s="4" t="s">
        <v>231</v>
      </c>
      <c r="L888" s="4" t="s">
        <v>225</v>
      </c>
      <c r="M888" s="4" t="s">
        <v>226</v>
      </c>
      <c r="N888" s="4" t="s">
        <v>232</v>
      </c>
      <c r="O888" s="4" t="s">
        <v>264</v>
      </c>
    </row>
    <row r="889" hidden="1">
      <c r="A889" s="67" t="str">
        <f t="shared" si="1"/>
        <v>Fri</v>
      </c>
      <c r="B889" s="69">
        <v>43497.0</v>
      </c>
      <c r="D889" s="194">
        <v>662.8333333333334</v>
      </c>
      <c r="E889" s="4" t="s">
        <v>222</v>
      </c>
      <c r="F889" s="4" t="s">
        <v>849</v>
      </c>
      <c r="I889" s="4" t="s">
        <v>359</v>
      </c>
    </row>
    <row r="890" hidden="1">
      <c r="A890" s="67" t="str">
        <f t="shared" si="1"/>
        <v>Sat</v>
      </c>
      <c r="B890" s="69">
        <v>43498.0</v>
      </c>
      <c r="D890" s="194">
        <v>662.8333333333334</v>
      </c>
      <c r="E890" s="4" t="s">
        <v>222</v>
      </c>
      <c r="F890" s="4" t="s">
        <v>849</v>
      </c>
      <c r="I890" s="4" t="s">
        <v>359</v>
      </c>
    </row>
    <row r="891" hidden="1">
      <c r="A891" s="67" t="str">
        <f t="shared" si="1"/>
        <v>Sun</v>
      </c>
      <c r="B891" s="69">
        <v>43499.0</v>
      </c>
      <c r="D891" s="194">
        <v>338.53</v>
      </c>
      <c r="E891" s="4" t="s">
        <v>222</v>
      </c>
      <c r="F891" s="4" t="s">
        <v>850</v>
      </c>
      <c r="G891" s="4" t="s">
        <v>850</v>
      </c>
      <c r="H891" s="4" t="s">
        <v>849</v>
      </c>
      <c r="I891" s="4" t="s">
        <v>359</v>
      </c>
      <c r="K891" s="4" t="s">
        <v>231</v>
      </c>
      <c r="L891" s="4" t="s">
        <v>225</v>
      </c>
      <c r="M891" s="4" t="s">
        <v>851</v>
      </c>
      <c r="N891" s="4" t="s">
        <v>852</v>
      </c>
    </row>
    <row r="892" hidden="1">
      <c r="A892" s="67" t="str">
        <f t="shared" si="1"/>
        <v>Mon</v>
      </c>
      <c r="B892" s="69">
        <v>43500.0</v>
      </c>
      <c r="D892" s="193">
        <v>700.0</v>
      </c>
      <c r="E892" s="4" t="s">
        <v>337</v>
      </c>
      <c r="F892" s="4" t="s">
        <v>853</v>
      </c>
      <c r="G892" s="4" t="s">
        <v>853</v>
      </c>
      <c r="H892" s="4" t="s">
        <v>850</v>
      </c>
      <c r="I892" s="4" t="s">
        <v>359</v>
      </c>
      <c r="K892" s="4" t="s">
        <v>231</v>
      </c>
      <c r="L892" s="4" t="s">
        <v>225</v>
      </c>
      <c r="M892" s="4" t="s">
        <v>854</v>
      </c>
      <c r="N892" s="4" t="s">
        <v>855</v>
      </c>
      <c r="Q892" s="4" t="s">
        <v>856</v>
      </c>
      <c r="R892" s="4" t="s">
        <v>857</v>
      </c>
      <c r="S892" s="4"/>
    </row>
    <row r="893" hidden="1">
      <c r="A893" s="67" t="str">
        <f t="shared" si="1"/>
        <v>Tue</v>
      </c>
      <c r="B893" s="69">
        <v>43501.0</v>
      </c>
      <c r="D893" s="193">
        <v>700.0</v>
      </c>
      <c r="E893" s="4" t="s">
        <v>337</v>
      </c>
      <c r="F893" s="4" t="s">
        <v>853</v>
      </c>
      <c r="I893" s="4" t="s">
        <v>359</v>
      </c>
    </row>
    <row r="894" hidden="1">
      <c r="A894" s="67" t="str">
        <f t="shared" si="1"/>
        <v>Wed</v>
      </c>
      <c r="B894" s="69">
        <v>43502.0</v>
      </c>
      <c r="D894" s="193">
        <v>700.0</v>
      </c>
      <c r="E894" s="4" t="s">
        <v>337</v>
      </c>
      <c r="F894" s="4" t="s">
        <v>853</v>
      </c>
      <c r="I894" s="4" t="s">
        <v>359</v>
      </c>
    </row>
    <row r="895" hidden="1">
      <c r="A895" s="67" t="str">
        <f t="shared" si="1"/>
        <v>Thu</v>
      </c>
      <c r="B895" s="69">
        <v>43503.0</v>
      </c>
      <c r="D895" s="193">
        <v>700.0</v>
      </c>
      <c r="E895" s="4" t="s">
        <v>337</v>
      </c>
      <c r="F895" s="4" t="s">
        <v>853</v>
      </c>
      <c r="I895" s="4" t="s">
        <v>359</v>
      </c>
    </row>
    <row r="896" hidden="1">
      <c r="A896" s="67" t="str">
        <f t="shared" si="1"/>
        <v>Fri</v>
      </c>
      <c r="B896" s="69">
        <v>43504.0</v>
      </c>
      <c r="D896" s="194">
        <v>863.3</v>
      </c>
      <c r="E896" s="4" t="s">
        <v>222</v>
      </c>
      <c r="F896" s="4" t="s">
        <v>858</v>
      </c>
      <c r="G896" s="178" t="s">
        <v>858</v>
      </c>
      <c r="H896" s="4" t="s">
        <v>853</v>
      </c>
      <c r="I896" s="4" t="s">
        <v>359</v>
      </c>
      <c r="K896" s="4" t="s">
        <v>231</v>
      </c>
      <c r="L896" s="4" t="s">
        <v>225</v>
      </c>
      <c r="M896" s="168" t="s">
        <v>859</v>
      </c>
      <c r="N896" s="168" t="s">
        <v>860</v>
      </c>
      <c r="Q896" s="4" t="s">
        <v>861</v>
      </c>
      <c r="R896" s="161" t="s">
        <v>862</v>
      </c>
      <c r="S896" s="161"/>
    </row>
    <row r="897" hidden="1">
      <c r="A897" s="67" t="str">
        <f t="shared" si="1"/>
        <v>Sat</v>
      </c>
      <c r="B897" s="69">
        <v>43505.0</v>
      </c>
      <c r="D897" s="194">
        <v>863.3</v>
      </c>
      <c r="E897" s="4" t="s">
        <v>222</v>
      </c>
      <c r="F897" s="178" t="s">
        <v>858</v>
      </c>
      <c r="I897" s="4" t="s">
        <v>359</v>
      </c>
    </row>
    <row r="898" hidden="1">
      <c r="A898" s="67" t="str">
        <f t="shared" si="1"/>
        <v>Sun</v>
      </c>
      <c r="B898" s="69">
        <v>43506.0</v>
      </c>
      <c r="D898" s="194">
        <v>582.0</v>
      </c>
      <c r="E898" s="4" t="s">
        <v>222</v>
      </c>
      <c r="F898" s="4" t="s">
        <v>863</v>
      </c>
      <c r="G898" s="4" t="s">
        <v>863</v>
      </c>
      <c r="H898" s="178" t="s">
        <v>858</v>
      </c>
      <c r="I898" s="4" t="s">
        <v>359</v>
      </c>
      <c r="J898" s="4" t="s">
        <v>864</v>
      </c>
      <c r="K898" s="4" t="s">
        <v>231</v>
      </c>
      <c r="L898" s="4" t="s">
        <v>225</v>
      </c>
      <c r="M898" s="4" t="s">
        <v>865</v>
      </c>
      <c r="N898" s="4" t="s">
        <v>866</v>
      </c>
      <c r="O898" s="4" t="s">
        <v>867</v>
      </c>
    </row>
    <row r="899" hidden="1">
      <c r="A899" s="67" t="str">
        <f t="shared" si="1"/>
        <v>Mon</v>
      </c>
      <c r="B899" s="69">
        <v>43507.0</v>
      </c>
      <c r="D899" s="194">
        <v>582.0</v>
      </c>
      <c r="E899" s="4" t="s">
        <v>222</v>
      </c>
      <c r="F899" s="4" t="s">
        <v>863</v>
      </c>
      <c r="I899" s="4" t="s">
        <v>359</v>
      </c>
    </row>
    <row r="900" hidden="1">
      <c r="A900" s="67" t="str">
        <f t="shared" si="1"/>
        <v>Tue</v>
      </c>
      <c r="B900" s="69">
        <v>43508.0</v>
      </c>
      <c r="D900" s="194">
        <v>582.0</v>
      </c>
      <c r="E900" s="4" t="s">
        <v>222</v>
      </c>
      <c r="F900" s="4" t="s">
        <v>863</v>
      </c>
      <c r="I900" s="4" t="s">
        <v>359</v>
      </c>
    </row>
    <row r="901" hidden="1">
      <c r="A901" s="67" t="str">
        <f t="shared" si="1"/>
        <v>Wed</v>
      </c>
      <c r="B901" s="69">
        <v>43509.0</v>
      </c>
      <c r="D901" s="194">
        <v>582.0</v>
      </c>
      <c r="E901" s="4" t="s">
        <v>222</v>
      </c>
      <c r="F901" s="4" t="s">
        <v>863</v>
      </c>
      <c r="I901" s="4" t="s">
        <v>359</v>
      </c>
    </row>
    <row r="902" hidden="1">
      <c r="A902" s="67" t="str">
        <f t="shared" si="1"/>
        <v>Thu</v>
      </c>
      <c r="B902" s="69">
        <v>43510.0</v>
      </c>
      <c r="D902" s="194">
        <v>582.0</v>
      </c>
      <c r="E902" s="4" t="s">
        <v>222</v>
      </c>
      <c r="F902" s="4" t="s">
        <v>863</v>
      </c>
      <c r="I902" s="4" t="s">
        <v>359</v>
      </c>
    </row>
    <row r="903" hidden="1">
      <c r="A903" s="195" t="str">
        <f t="shared" si="1"/>
        <v>Fri</v>
      </c>
      <c r="B903" s="196">
        <v>43511.0</v>
      </c>
      <c r="C903" s="197"/>
      <c r="D903" s="198">
        <v>582.0</v>
      </c>
      <c r="E903" s="199" t="s">
        <v>222</v>
      </c>
      <c r="F903" s="200" t="s">
        <v>868</v>
      </c>
      <c r="G903" s="200" t="s">
        <v>868</v>
      </c>
      <c r="H903" s="199" t="s">
        <v>863</v>
      </c>
      <c r="I903" s="199" t="s">
        <v>359</v>
      </c>
      <c r="J903" s="197"/>
      <c r="K903" s="4" t="s">
        <v>231</v>
      </c>
      <c r="L903" s="4" t="s">
        <v>225</v>
      </c>
      <c r="M903" s="168" t="s">
        <v>869</v>
      </c>
      <c r="N903" s="168" t="s">
        <v>870</v>
      </c>
      <c r="O903" s="168" t="s">
        <v>871</v>
      </c>
      <c r="Q903" s="201" t="s">
        <v>872</v>
      </c>
      <c r="R903" s="4" t="s">
        <v>873</v>
      </c>
      <c r="S903" s="4"/>
    </row>
    <row r="904" hidden="1">
      <c r="A904" s="195" t="str">
        <f t="shared" si="1"/>
        <v>Sat</v>
      </c>
      <c r="B904" s="196">
        <v>43512.0</v>
      </c>
      <c r="C904" s="197"/>
      <c r="D904" s="198">
        <v>582.0</v>
      </c>
      <c r="E904" s="199" t="s">
        <v>222</v>
      </c>
      <c r="F904" s="200" t="s">
        <v>868</v>
      </c>
      <c r="G904" s="197"/>
      <c r="H904" s="197"/>
      <c r="I904" s="199" t="s">
        <v>359</v>
      </c>
      <c r="J904" s="197"/>
      <c r="Q904" s="202"/>
    </row>
    <row r="905" hidden="1">
      <c r="A905" s="195" t="str">
        <f t="shared" si="1"/>
        <v>Sun</v>
      </c>
      <c r="B905" s="196">
        <v>43513.0</v>
      </c>
      <c r="C905" s="197"/>
      <c r="D905" s="198">
        <v>582.0</v>
      </c>
      <c r="E905" s="199" t="s">
        <v>222</v>
      </c>
      <c r="F905" s="200" t="s">
        <v>868</v>
      </c>
      <c r="G905" s="197"/>
      <c r="H905" s="197"/>
      <c r="I905" s="199" t="s">
        <v>359</v>
      </c>
      <c r="J905" s="197"/>
    </row>
    <row r="906" hidden="1">
      <c r="A906" s="195" t="str">
        <f t="shared" si="1"/>
        <v>Mon</v>
      </c>
      <c r="B906" s="196">
        <v>43514.0</v>
      </c>
      <c r="C906" s="197"/>
      <c r="D906" s="198">
        <v>582.0</v>
      </c>
      <c r="E906" s="199" t="s">
        <v>222</v>
      </c>
      <c r="F906" s="200" t="s">
        <v>868</v>
      </c>
      <c r="G906" s="197"/>
      <c r="H906" s="197"/>
      <c r="I906" s="199" t="s">
        <v>359</v>
      </c>
      <c r="J906" s="197"/>
    </row>
    <row r="907" hidden="1">
      <c r="A907" s="195" t="str">
        <f t="shared" si="1"/>
        <v>Tue</v>
      </c>
      <c r="B907" s="196">
        <v>43515.0</v>
      </c>
      <c r="C907" s="197"/>
      <c r="D907" s="198">
        <v>582.0</v>
      </c>
      <c r="E907" s="199" t="s">
        <v>222</v>
      </c>
      <c r="F907" s="200" t="s">
        <v>868</v>
      </c>
      <c r="G907" s="197"/>
      <c r="H907" s="197"/>
      <c r="I907" s="199" t="s">
        <v>359</v>
      </c>
      <c r="J907" s="197"/>
    </row>
    <row r="908" hidden="1">
      <c r="A908" s="195" t="str">
        <f t="shared" si="1"/>
        <v>Wed</v>
      </c>
      <c r="B908" s="196">
        <v>43516.0</v>
      </c>
      <c r="C908" s="197"/>
      <c r="D908" s="198">
        <v>582.0</v>
      </c>
      <c r="E908" s="199" t="s">
        <v>222</v>
      </c>
      <c r="F908" s="200" t="s">
        <v>868</v>
      </c>
      <c r="G908" s="197"/>
      <c r="H908" s="197"/>
      <c r="I908" s="199" t="s">
        <v>359</v>
      </c>
      <c r="J908" s="197"/>
    </row>
    <row r="909" hidden="1">
      <c r="A909" s="195" t="str">
        <f t="shared" si="1"/>
        <v>Thu</v>
      </c>
      <c r="B909" s="196">
        <v>43517.0</v>
      </c>
      <c r="C909" s="197"/>
      <c r="D909" s="198">
        <v>582.0</v>
      </c>
      <c r="E909" s="199" t="s">
        <v>222</v>
      </c>
      <c r="F909" s="200" t="s">
        <v>868</v>
      </c>
      <c r="G909" s="197"/>
      <c r="H909" s="197"/>
      <c r="I909" s="199" t="s">
        <v>359</v>
      </c>
      <c r="J909" s="197"/>
    </row>
    <row r="910" hidden="1">
      <c r="A910" s="195" t="str">
        <f t="shared" si="1"/>
        <v>Fri</v>
      </c>
      <c r="B910" s="196">
        <v>43518.0</v>
      </c>
      <c r="C910" s="197"/>
      <c r="D910" s="203"/>
      <c r="E910" s="197"/>
      <c r="F910" s="199"/>
      <c r="G910" s="199"/>
      <c r="H910" s="200" t="s">
        <v>868</v>
      </c>
      <c r="I910" s="197"/>
      <c r="J910" s="199"/>
      <c r="M910" s="4"/>
      <c r="N910" s="4"/>
      <c r="O910" s="4"/>
    </row>
    <row r="911" hidden="1">
      <c r="A911" s="195" t="str">
        <f t="shared" si="1"/>
        <v>Sat</v>
      </c>
      <c r="B911" s="196">
        <v>43519.0</v>
      </c>
      <c r="C911" s="197"/>
      <c r="D911" s="198">
        <v>488.23333333333335</v>
      </c>
      <c r="E911" s="199" t="s">
        <v>222</v>
      </c>
      <c r="F911" s="199" t="s">
        <v>874</v>
      </c>
      <c r="G911" s="199" t="s">
        <v>874</v>
      </c>
      <c r="H911" s="199"/>
      <c r="I911" s="199" t="s">
        <v>359</v>
      </c>
      <c r="J911" s="197"/>
      <c r="K911" s="4" t="s">
        <v>231</v>
      </c>
      <c r="L911" s="4" t="s">
        <v>225</v>
      </c>
      <c r="M911" s="4" t="s">
        <v>226</v>
      </c>
      <c r="N911" s="4" t="s">
        <v>232</v>
      </c>
      <c r="O911" s="4" t="s">
        <v>264</v>
      </c>
    </row>
    <row r="912" hidden="1">
      <c r="A912" s="195" t="str">
        <f t="shared" si="1"/>
        <v>Sun</v>
      </c>
      <c r="B912" s="196">
        <v>43520.0</v>
      </c>
      <c r="C912" s="197"/>
      <c r="D912" s="198">
        <v>488.23333333333335</v>
      </c>
      <c r="E912" s="199" t="s">
        <v>222</v>
      </c>
      <c r="F912" s="199" t="s">
        <v>874</v>
      </c>
      <c r="G912" s="197"/>
      <c r="H912" s="197"/>
      <c r="I912" s="199" t="s">
        <v>359</v>
      </c>
      <c r="J912" s="197"/>
    </row>
    <row r="913" hidden="1">
      <c r="A913" s="195" t="str">
        <f t="shared" si="1"/>
        <v>Mon</v>
      </c>
      <c r="B913" s="196">
        <v>43521.0</v>
      </c>
      <c r="C913" s="197"/>
      <c r="D913" s="198">
        <v>488.23333333333335</v>
      </c>
      <c r="E913" s="199" t="s">
        <v>222</v>
      </c>
      <c r="F913" s="199" t="s">
        <v>874</v>
      </c>
      <c r="G913" s="197"/>
      <c r="H913" s="197"/>
      <c r="I913" s="199" t="s">
        <v>359</v>
      </c>
      <c r="J913" s="197"/>
    </row>
    <row r="914" hidden="1">
      <c r="A914" s="67" t="str">
        <f t="shared" si="1"/>
        <v>Tue</v>
      </c>
      <c r="B914" s="69">
        <v>43522.0</v>
      </c>
      <c r="D914" s="171"/>
      <c r="F914" s="4" t="s">
        <v>267</v>
      </c>
      <c r="G914" s="4"/>
      <c r="H914" s="4" t="s">
        <v>874</v>
      </c>
      <c r="I914" s="204"/>
      <c r="M914" s="4"/>
      <c r="N914" s="4"/>
      <c r="O914" s="4"/>
    </row>
    <row r="915" hidden="1">
      <c r="A915" s="67" t="str">
        <f t="shared" si="1"/>
        <v>Wed</v>
      </c>
      <c r="B915" s="69">
        <v>43523.0</v>
      </c>
      <c r="D915" s="171"/>
      <c r="F915" s="4" t="s">
        <v>267</v>
      </c>
      <c r="G915" s="4"/>
      <c r="H915" s="4"/>
      <c r="M915" s="4"/>
      <c r="N915" s="4"/>
      <c r="O915" s="4"/>
    </row>
    <row r="916" hidden="1">
      <c r="A916" s="67" t="str">
        <f t="shared" si="1"/>
        <v>Thu</v>
      </c>
      <c r="B916" s="69">
        <v>43524.0</v>
      </c>
      <c r="D916" s="171"/>
      <c r="F916" s="4" t="s">
        <v>267</v>
      </c>
      <c r="H916" s="4"/>
    </row>
    <row r="917" hidden="1">
      <c r="A917" s="67" t="str">
        <f t="shared" si="1"/>
        <v>Fri</v>
      </c>
      <c r="B917" s="69">
        <v>43525.0</v>
      </c>
      <c r="D917" s="194">
        <v>983.1</v>
      </c>
      <c r="E917" s="4" t="s">
        <v>169</v>
      </c>
      <c r="F917" s="4" t="s">
        <v>875</v>
      </c>
      <c r="G917" s="4" t="s">
        <v>875</v>
      </c>
      <c r="I917" s="4" t="s">
        <v>359</v>
      </c>
      <c r="K917" s="4"/>
      <c r="L917" s="4" t="s">
        <v>225</v>
      </c>
      <c r="M917" s="4" t="s">
        <v>876</v>
      </c>
      <c r="N917" s="4" t="s">
        <v>877</v>
      </c>
    </row>
    <row r="918" hidden="1">
      <c r="A918" s="67" t="str">
        <f t="shared" si="1"/>
        <v>Sat</v>
      </c>
      <c r="B918" s="69">
        <v>43526.0</v>
      </c>
      <c r="D918" s="194">
        <v>983.1</v>
      </c>
      <c r="E918" s="4" t="s">
        <v>169</v>
      </c>
      <c r="F918" s="4" t="s">
        <v>875</v>
      </c>
      <c r="I918" s="4" t="s">
        <v>359</v>
      </c>
    </row>
    <row r="919" hidden="1">
      <c r="A919" s="67" t="str">
        <f t="shared" si="1"/>
        <v>Sun</v>
      </c>
      <c r="B919" s="69">
        <v>43527.0</v>
      </c>
      <c r="D919" s="194">
        <v>983.1</v>
      </c>
      <c r="E919" s="4" t="s">
        <v>169</v>
      </c>
      <c r="F919" s="4" t="s">
        <v>875</v>
      </c>
      <c r="I919" s="4" t="s">
        <v>359</v>
      </c>
    </row>
    <row r="920" hidden="1">
      <c r="A920" s="67" t="str">
        <f t="shared" si="1"/>
        <v>Mon</v>
      </c>
      <c r="B920" s="69">
        <v>43528.0</v>
      </c>
      <c r="D920" s="194">
        <v>983.1</v>
      </c>
      <c r="E920" s="4" t="s">
        <v>169</v>
      </c>
      <c r="F920" s="4" t="s">
        <v>875</v>
      </c>
      <c r="I920" s="4" t="s">
        <v>359</v>
      </c>
    </row>
    <row r="921" hidden="1">
      <c r="A921" s="67" t="str">
        <f t="shared" si="1"/>
        <v>Tue</v>
      </c>
      <c r="B921" s="69">
        <v>43529.0</v>
      </c>
      <c r="D921" s="194">
        <v>983.1</v>
      </c>
      <c r="E921" s="4" t="s">
        <v>169</v>
      </c>
      <c r="F921" s="4" t="s">
        <v>875</v>
      </c>
      <c r="I921" s="4" t="s">
        <v>359</v>
      </c>
    </row>
    <row r="922" hidden="1">
      <c r="A922" s="67" t="str">
        <f t="shared" si="1"/>
        <v>Wed</v>
      </c>
      <c r="B922" s="69">
        <v>43530.0</v>
      </c>
      <c r="D922" s="194">
        <v>436.5</v>
      </c>
      <c r="E922" s="4" t="s">
        <v>222</v>
      </c>
      <c r="F922" s="4" t="s">
        <v>878</v>
      </c>
      <c r="G922" s="4" t="s">
        <v>878</v>
      </c>
      <c r="H922" s="4" t="s">
        <v>875</v>
      </c>
      <c r="I922" s="4" t="s">
        <v>359</v>
      </c>
      <c r="K922" s="4" t="s">
        <v>231</v>
      </c>
      <c r="L922" s="4" t="s">
        <v>225</v>
      </c>
      <c r="M922" s="4" t="s">
        <v>226</v>
      </c>
      <c r="N922" s="4" t="s">
        <v>232</v>
      </c>
      <c r="O922" s="4" t="s">
        <v>264</v>
      </c>
    </row>
    <row r="923" hidden="1">
      <c r="A923" s="67" t="str">
        <f t="shared" si="1"/>
        <v>Thu</v>
      </c>
      <c r="B923" s="69">
        <v>43531.0</v>
      </c>
      <c r="D923" s="194">
        <v>436.5</v>
      </c>
      <c r="E923" s="4" t="s">
        <v>222</v>
      </c>
      <c r="F923" s="4" t="s">
        <v>878</v>
      </c>
      <c r="I923" s="4" t="s">
        <v>359</v>
      </c>
    </row>
    <row r="924" hidden="1">
      <c r="A924" s="67" t="str">
        <f t="shared" si="1"/>
        <v>Fri</v>
      </c>
      <c r="B924" s="69">
        <v>43532.0</v>
      </c>
      <c r="D924" s="194">
        <v>436.5</v>
      </c>
      <c r="E924" s="4" t="s">
        <v>222</v>
      </c>
      <c r="F924" s="4" t="s">
        <v>878</v>
      </c>
      <c r="I924" s="4" t="s">
        <v>359</v>
      </c>
    </row>
    <row r="925" hidden="1">
      <c r="A925" s="67" t="str">
        <f t="shared" si="1"/>
        <v>Sat</v>
      </c>
      <c r="B925" s="69">
        <v>43533.0</v>
      </c>
      <c r="D925" s="194">
        <v>436.5</v>
      </c>
      <c r="E925" s="4" t="s">
        <v>222</v>
      </c>
      <c r="F925" s="4" t="s">
        <v>878</v>
      </c>
      <c r="I925" s="4" t="s">
        <v>359</v>
      </c>
    </row>
    <row r="926" hidden="1">
      <c r="A926" s="67" t="str">
        <f t="shared" si="1"/>
        <v>Sun</v>
      </c>
      <c r="B926" s="69">
        <v>43534.0</v>
      </c>
      <c r="D926" s="205">
        <v>272.085</v>
      </c>
      <c r="E926" s="4" t="s">
        <v>222</v>
      </c>
      <c r="F926" s="4" t="s">
        <v>879</v>
      </c>
      <c r="G926" s="4" t="s">
        <v>879</v>
      </c>
      <c r="H926" s="4" t="s">
        <v>878</v>
      </c>
      <c r="I926" s="4" t="s">
        <v>395</v>
      </c>
      <c r="K926" s="4"/>
      <c r="L926" s="4" t="s">
        <v>225</v>
      </c>
    </row>
    <row r="927" hidden="1">
      <c r="A927" s="67" t="str">
        <f t="shared" si="1"/>
        <v>Mon</v>
      </c>
      <c r="B927" s="69">
        <v>43535.0</v>
      </c>
      <c r="D927" s="205">
        <v>272.085</v>
      </c>
      <c r="E927" s="4" t="s">
        <v>222</v>
      </c>
      <c r="F927" s="4" t="s">
        <v>879</v>
      </c>
      <c r="I927" s="4" t="s">
        <v>395</v>
      </c>
    </row>
    <row r="928" hidden="1">
      <c r="A928" s="67" t="str">
        <f t="shared" si="1"/>
        <v>Tue</v>
      </c>
      <c r="B928" s="69">
        <v>43536.0</v>
      </c>
      <c r="D928" s="205">
        <v>272.085</v>
      </c>
      <c r="E928" s="4" t="s">
        <v>222</v>
      </c>
      <c r="F928" s="4" t="s">
        <v>879</v>
      </c>
      <c r="I928" s="4" t="s">
        <v>395</v>
      </c>
    </row>
    <row r="929" hidden="1">
      <c r="A929" s="67" t="str">
        <f t="shared" si="1"/>
        <v>Wed</v>
      </c>
      <c r="B929" s="69">
        <v>43537.0</v>
      </c>
      <c r="D929" s="205">
        <v>272.085</v>
      </c>
      <c r="E929" s="4" t="s">
        <v>222</v>
      </c>
      <c r="F929" s="4" t="s">
        <v>879</v>
      </c>
      <c r="I929" s="4" t="s">
        <v>395</v>
      </c>
    </row>
    <row r="930" hidden="1">
      <c r="A930" s="67" t="str">
        <f t="shared" si="1"/>
        <v>Thu</v>
      </c>
      <c r="B930" s="69">
        <v>43538.0</v>
      </c>
      <c r="D930" s="205">
        <v>272.085</v>
      </c>
      <c r="E930" s="4" t="s">
        <v>222</v>
      </c>
      <c r="F930" s="4" t="s">
        <v>879</v>
      </c>
      <c r="I930" s="4" t="s">
        <v>395</v>
      </c>
    </row>
    <row r="931" hidden="1">
      <c r="A931" s="67" t="str">
        <f t="shared" si="1"/>
        <v>Fri</v>
      </c>
      <c r="B931" s="69">
        <v>43539.0</v>
      </c>
      <c r="D931" s="205">
        <v>272.085</v>
      </c>
      <c r="E931" s="4" t="s">
        <v>222</v>
      </c>
      <c r="F931" s="4" t="s">
        <v>879</v>
      </c>
      <c r="I931" s="4" t="s">
        <v>395</v>
      </c>
    </row>
    <row r="932" hidden="1">
      <c r="A932" s="67" t="str">
        <f t="shared" si="1"/>
        <v>Sat</v>
      </c>
      <c r="B932" s="69">
        <v>43540.0</v>
      </c>
      <c r="D932" s="205">
        <v>272.085</v>
      </c>
      <c r="E932" s="4" t="s">
        <v>222</v>
      </c>
      <c r="F932" s="4" t="s">
        <v>879</v>
      </c>
      <c r="I932" s="4" t="s">
        <v>395</v>
      </c>
    </row>
    <row r="933" hidden="1">
      <c r="A933" s="67" t="str">
        <f t="shared" si="1"/>
        <v>Sun</v>
      </c>
      <c r="B933" s="69">
        <v>43541.0</v>
      </c>
      <c r="D933" s="205">
        <v>272.085</v>
      </c>
      <c r="E933" s="4" t="s">
        <v>222</v>
      </c>
      <c r="F933" s="4" t="s">
        <v>879</v>
      </c>
      <c r="I933" s="4" t="s">
        <v>395</v>
      </c>
    </row>
    <row r="934" hidden="1">
      <c r="A934" s="67" t="str">
        <f t="shared" si="1"/>
        <v>Mon</v>
      </c>
      <c r="B934" s="69">
        <v>43542.0</v>
      </c>
      <c r="D934" s="194">
        <v>288.5733333333333</v>
      </c>
      <c r="E934" s="4" t="s">
        <v>222</v>
      </c>
      <c r="F934" s="4" t="s">
        <v>880</v>
      </c>
      <c r="G934" s="4" t="s">
        <v>880</v>
      </c>
      <c r="H934" s="4" t="s">
        <v>879</v>
      </c>
      <c r="I934" s="4" t="s">
        <v>359</v>
      </c>
      <c r="K934" s="4"/>
      <c r="L934" s="4" t="s">
        <v>225</v>
      </c>
      <c r="M934" s="4" t="s">
        <v>881</v>
      </c>
      <c r="Q934" s="4" t="s">
        <v>882</v>
      </c>
    </row>
    <row r="935" hidden="1">
      <c r="A935" s="67" t="str">
        <f t="shared" si="1"/>
        <v>Tue</v>
      </c>
      <c r="B935" s="69">
        <v>43543.0</v>
      </c>
      <c r="D935" s="194">
        <v>288.5733333333333</v>
      </c>
      <c r="E935" s="4" t="s">
        <v>222</v>
      </c>
      <c r="F935" s="4" t="s">
        <v>880</v>
      </c>
      <c r="I935" s="4" t="s">
        <v>359</v>
      </c>
    </row>
    <row r="936" hidden="1">
      <c r="A936" s="67" t="str">
        <f t="shared" si="1"/>
        <v>Wed</v>
      </c>
      <c r="B936" s="69">
        <v>43544.0</v>
      </c>
      <c r="D936" s="194">
        <v>288.5733333333333</v>
      </c>
      <c r="E936" s="4" t="s">
        <v>222</v>
      </c>
      <c r="F936" s="4" t="s">
        <v>880</v>
      </c>
      <c r="I936" s="4" t="s">
        <v>359</v>
      </c>
    </row>
    <row r="937" hidden="1">
      <c r="A937" s="67" t="str">
        <f t="shared" si="1"/>
        <v>Thu</v>
      </c>
      <c r="B937" s="69">
        <v>43545.0</v>
      </c>
      <c r="D937" s="194">
        <f t="shared" ref="D937:D941" si="4">1600.5/5</f>
        <v>320.1</v>
      </c>
      <c r="E937" s="4" t="s">
        <v>222</v>
      </c>
      <c r="F937" s="4" t="s">
        <v>883</v>
      </c>
      <c r="G937" s="4" t="s">
        <v>883</v>
      </c>
      <c r="H937" s="4" t="s">
        <v>880</v>
      </c>
      <c r="I937" s="4" t="s">
        <v>359</v>
      </c>
      <c r="K937" s="4"/>
      <c r="L937" s="4" t="s">
        <v>225</v>
      </c>
      <c r="M937" s="4" t="s">
        <v>226</v>
      </c>
      <c r="N937" s="4" t="s">
        <v>232</v>
      </c>
      <c r="R937" s="4" t="s">
        <v>884</v>
      </c>
      <c r="S937" s="4"/>
    </row>
    <row r="938" hidden="1">
      <c r="A938" s="67" t="str">
        <f t="shared" si="1"/>
        <v>Fri</v>
      </c>
      <c r="B938" s="69">
        <v>43546.0</v>
      </c>
      <c r="D938" s="194">
        <f t="shared" si="4"/>
        <v>320.1</v>
      </c>
      <c r="E938" s="4" t="s">
        <v>222</v>
      </c>
      <c r="F938" s="4" t="s">
        <v>883</v>
      </c>
      <c r="I938" s="4" t="s">
        <v>359</v>
      </c>
    </row>
    <row r="939" hidden="1">
      <c r="A939" s="67" t="str">
        <f t="shared" si="1"/>
        <v>Sat</v>
      </c>
      <c r="B939" s="69">
        <v>43547.0</v>
      </c>
      <c r="D939" s="194">
        <f t="shared" si="4"/>
        <v>320.1</v>
      </c>
      <c r="E939" s="4" t="s">
        <v>222</v>
      </c>
      <c r="F939" s="4" t="s">
        <v>883</v>
      </c>
      <c r="I939" s="4" t="s">
        <v>359</v>
      </c>
    </row>
    <row r="940" hidden="1">
      <c r="A940" s="67" t="str">
        <f t="shared" si="1"/>
        <v>Sun</v>
      </c>
      <c r="B940" s="69">
        <v>43548.0</v>
      </c>
      <c r="D940" s="194">
        <f t="shared" si="4"/>
        <v>320.1</v>
      </c>
      <c r="E940" s="4" t="s">
        <v>222</v>
      </c>
      <c r="F940" s="4" t="s">
        <v>883</v>
      </c>
      <c r="I940" s="4" t="s">
        <v>359</v>
      </c>
    </row>
    <row r="941" hidden="1">
      <c r="A941" s="67" t="str">
        <f t="shared" si="1"/>
        <v>Mon</v>
      </c>
      <c r="B941" s="69">
        <v>43549.0</v>
      </c>
      <c r="D941" s="194">
        <f t="shared" si="4"/>
        <v>320.1</v>
      </c>
      <c r="E941" s="4" t="s">
        <v>222</v>
      </c>
      <c r="F941" s="4" t="s">
        <v>883</v>
      </c>
      <c r="I941" s="4" t="s">
        <v>359</v>
      </c>
    </row>
    <row r="942" hidden="1">
      <c r="A942" s="67" t="str">
        <f t="shared" si="1"/>
        <v>Tue</v>
      </c>
      <c r="B942" s="69">
        <v>43550.0</v>
      </c>
      <c r="D942" s="171"/>
      <c r="F942" s="4"/>
      <c r="G942" s="4"/>
      <c r="H942" s="4" t="s">
        <v>883</v>
      </c>
      <c r="M942" s="4"/>
      <c r="N942" s="4"/>
      <c r="O942" s="4"/>
    </row>
    <row r="943" hidden="1">
      <c r="A943" s="67" t="str">
        <f t="shared" si="1"/>
        <v>Wed</v>
      </c>
      <c r="B943" s="187">
        <v>43551.0</v>
      </c>
      <c r="D943">
        <v>242.5</v>
      </c>
      <c r="E943" s="6" t="s">
        <v>222</v>
      </c>
      <c r="F943" s="6" t="s">
        <v>885</v>
      </c>
      <c r="G943" s="6" t="s">
        <v>885</v>
      </c>
      <c r="I943" s="6" t="s">
        <v>224</v>
      </c>
      <c r="K943" s="6" t="s">
        <v>231</v>
      </c>
      <c r="L943" s="4" t="s">
        <v>225</v>
      </c>
      <c r="M943" s="6" t="s">
        <v>886</v>
      </c>
      <c r="N943" s="6" t="s">
        <v>887</v>
      </c>
      <c r="O943" s="6" t="s">
        <v>888</v>
      </c>
      <c r="Q943" s="6" t="s">
        <v>889</v>
      </c>
      <c r="R943" s="206" t="s">
        <v>890</v>
      </c>
      <c r="S943" s="6">
        <v>1.0278667E7</v>
      </c>
    </row>
    <row r="944" hidden="1">
      <c r="A944" s="67" t="str">
        <f t="shared" si="1"/>
        <v>Thu</v>
      </c>
      <c r="B944" s="187">
        <v>43552.0</v>
      </c>
      <c r="F944" s="6"/>
      <c r="G944" s="6"/>
      <c r="H944" s="6" t="s">
        <v>885</v>
      </c>
      <c r="M944" s="6"/>
      <c r="N944" s="6"/>
      <c r="O944" s="6"/>
    </row>
    <row r="945" hidden="1">
      <c r="A945" s="67" t="str">
        <f t="shared" si="1"/>
        <v>Fri</v>
      </c>
      <c r="B945" s="187">
        <v>43553.0</v>
      </c>
      <c r="F945" s="6"/>
    </row>
    <row r="946" hidden="1">
      <c r="A946" s="67" t="str">
        <f t="shared" si="1"/>
        <v>Sat</v>
      </c>
      <c r="B946" s="69">
        <v>43554.0</v>
      </c>
      <c r="D946" s="176">
        <v>363.75</v>
      </c>
      <c r="E946" s="4" t="s">
        <v>222</v>
      </c>
      <c r="F946" s="4" t="s">
        <v>891</v>
      </c>
      <c r="G946" s="4" t="s">
        <v>891</v>
      </c>
      <c r="H946" s="4"/>
      <c r="I946" s="4" t="s">
        <v>395</v>
      </c>
      <c r="K946" s="4"/>
      <c r="L946" s="4" t="s">
        <v>225</v>
      </c>
    </row>
    <row r="947" hidden="1">
      <c r="A947" s="67" t="str">
        <f t="shared" si="1"/>
        <v>Sun</v>
      </c>
      <c r="B947" s="69">
        <v>43555.0</v>
      </c>
      <c r="D947" s="176">
        <v>363.75</v>
      </c>
      <c r="E947" s="4" t="s">
        <v>222</v>
      </c>
      <c r="F947" s="4" t="s">
        <v>891</v>
      </c>
      <c r="I947" s="4" t="s">
        <v>395</v>
      </c>
    </row>
    <row r="948" hidden="1">
      <c r="A948" s="67" t="str">
        <f t="shared" si="1"/>
        <v>Mon</v>
      </c>
      <c r="B948" s="69">
        <v>43556.0</v>
      </c>
      <c r="D948" s="171"/>
      <c r="H948" s="4" t="s">
        <v>891</v>
      </c>
    </row>
    <row r="949" hidden="1">
      <c r="A949" s="67" t="str">
        <f t="shared" si="1"/>
        <v>Tue</v>
      </c>
      <c r="B949" s="69">
        <v>43557.0</v>
      </c>
      <c r="D949" s="194">
        <v>242.5</v>
      </c>
      <c r="E949" s="4" t="s">
        <v>222</v>
      </c>
      <c r="F949" s="4" t="s">
        <v>892</v>
      </c>
      <c r="G949" s="4" t="s">
        <v>892</v>
      </c>
      <c r="I949" s="4" t="s">
        <v>224</v>
      </c>
      <c r="K949" s="4" t="s">
        <v>231</v>
      </c>
      <c r="L949" s="4" t="s">
        <v>225</v>
      </c>
      <c r="M949" s="4" t="s">
        <v>893</v>
      </c>
      <c r="N949" s="4" t="s">
        <v>894</v>
      </c>
      <c r="O949" s="4" t="s">
        <v>895</v>
      </c>
      <c r="Q949" s="4" t="s">
        <v>896</v>
      </c>
      <c r="R949" s="167" t="s">
        <v>897</v>
      </c>
      <c r="S949" s="4" t="s">
        <v>898</v>
      </c>
    </row>
    <row r="950" hidden="1">
      <c r="A950" s="67" t="str">
        <f t="shared" si="1"/>
        <v>Wed</v>
      </c>
      <c r="B950" s="69">
        <v>43558.0</v>
      </c>
      <c r="D950" s="194">
        <v>242.5</v>
      </c>
      <c r="E950" s="4" t="s">
        <v>222</v>
      </c>
      <c r="F950" s="4" t="s">
        <v>892</v>
      </c>
      <c r="I950" s="4" t="s">
        <v>224</v>
      </c>
    </row>
    <row r="951" hidden="1">
      <c r="A951" s="67" t="str">
        <f t="shared" si="1"/>
        <v>Thu</v>
      </c>
      <c r="B951" s="69">
        <v>43559.0</v>
      </c>
      <c r="D951" s="171"/>
      <c r="H951" s="4" t="s">
        <v>892</v>
      </c>
    </row>
    <row r="952" hidden="1">
      <c r="A952" s="67" t="str">
        <f t="shared" si="1"/>
        <v>Fri</v>
      </c>
      <c r="B952" s="69">
        <v>43560.0</v>
      </c>
      <c r="D952" s="194">
        <v>242.5</v>
      </c>
      <c r="E952" s="4" t="s">
        <v>222</v>
      </c>
      <c r="F952" s="4" t="s">
        <v>899</v>
      </c>
      <c r="G952" s="4" t="s">
        <v>899</v>
      </c>
      <c r="I952" s="4" t="s">
        <v>224</v>
      </c>
      <c r="K952" s="4" t="s">
        <v>231</v>
      </c>
      <c r="L952" s="4" t="s">
        <v>225</v>
      </c>
      <c r="M952" s="6" t="s">
        <v>900</v>
      </c>
      <c r="Q952" s="6" t="s">
        <v>901</v>
      </c>
      <c r="R952" s="206" t="s">
        <v>902</v>
      </c>
      <c r="S952" s="6" t="s">
        <v>903</v>
      </c>
    </row>
    <row r="953" hidden="1">
      <c r="A953" s="67" t="str">
        <f t="shared" si="1"/>
        <v>Sat</v>
      </c>
      <c r="B953" s="69">
        <v>43561.0</v>
      </c>
      <c r="D953" s="194">
        <v>242.5</v>
      </c>
      <c r="E953" s="4" t="s">
        <v>222</v>
      </c>
      <c r="F953" s="4" t="s">
        <v>899</v>
      </c>
      <c r="I953" s="4" t="s">
        <v>224</v>
      </c>
    </row>
    <row r="954" hidden="1">
      <c r="A954" s="67" t="str">
        <f t="shared" si="1"/>
        <v>Sun</v>
      </c>
      <c r="B954" s="69">
        <v>43562.0</v>
      </c>
      <c r="D954" s="171"/>
      <c r="H954" s="4" t="s">
        <v>899</v>
      </c>
      <c r="L954" s="4" t="s">
        <v>225</v>
      </c>
      <c r="M954" s="4" t="s">
        <v>226</v>
      </c>
      <c r="N954" s="4" t="s">
        <v>232</v>
      </c>
      <c r="O954" s="4" t="s">
        <v>264</v>
      </c>
    </row>
    <row r="955" hidden="1">
      <c r="A955" s="67" t="str">
        <f t="shared" si="1"/>
        <v>Mon</v>
      </c>
      <c r="B955" s="69">
        <v>43563.0</v>
      </c>
      <c r="D955" s="194">
        <v>267.71999999999997</v>
      </c>
      <c r="E955" s="4" t="s">
        <v>222</v>
      </c>
      <c r="F955" s="4" t="s">
        <v>904</v>
      </c>
      <c r="G955" s="4" t="s">
        <v>904</v>
      </c>
      <c r="I955" s="4" t="s">
        <v>395</v>
      </c>
      <c r="K955" s="4"/>
      <c r="L955" s="4" t="s">
        <v>225</v>
      </c>
      <c r="M955" s="4" t="s">
        <v>905</v>
      </c>
      <c r="N955" s="4" t="s">
        <v>906</v>
      </c>
      <c r="O955" s="4" t="s">
        <v>310</v>
      </c>
      <c r="P955" s="4" t="s">
        <v>310</v>
      </c>
      <c r="Q955" s="4" t="s">
        <v>907</v>
      </c>
      <c r="R955" s="4" t="s">
        <v>908</v>
      </c>
      <c r="S955" s="4"/>
    </row>
    <row r="956">
      <c r="A956" s="67" t="str">
        <f t="shared" si="1"/>
        <v>Tue</v>
      </c>
      <c r="B956" s="69">
        <v>43564.0</v>
      </c>
      <c r="D956" s="194">
        <v>267.71999999999997</v>
      </c>
      <c r="E956" s="4" t="s">
        <v>222</v>
      </c>
      <c r="F956" s="4" t="s">
        <v>904</v>
      </c>
      <c r="I956" s="4" t="s">
        <v>395</v>
      </c>
    </row>
    <row r="957">
      <c r="A957" s="67" t="str">
        <f t="shared" si="1"/>
        <v>Wed</v>
      </c>
      <c r="B957" s="69">
        <v>43565.0</v>
      </c>
      <c r="D957" s="194">
        <v>267.71999999999997</v>
      </c>
      <c r="E957" s="4" t="s">
        <v>222</v>
      </c>
      <c r="F957" s="4" t="s">
        <v>904</v>
      </c>
      <c r="I957" s="4" t="s">
        <v>395</v>
      </c>
    </row>
    <row r="958">
      <c r="A958" s="67" t="str">
        <f t="shared" si="1"/>
        <v>Thu</v>
      </c>
      <c r="B958" s="69">
        <v>43566.0</v>
      </c>
      <c r="D958" s="194">
        <v>267.71999999999997</v>
      </c>
      <c r="E958" s="4" t="s">
        <v>222</v>
      </c>
      <c r="F958" s="4" t="s">
        <v>904</v>
      </c>
      <c r="I958" s="4" t="s">
        <v>395</v>
      </c>
    </row>
    <row r="959">
      <c r="A959" s="67" t="str">
        <f t="shared" si="1"/>
        <v>Fri</v>
      </c>
      <c r="B959" s="69">
        <v>43567.0</v>
      </c>
      <c r="D959" s="194">
        <v>267.71999999999997</v>
      </c>
      <c r="E959" s="4" t="s">
        <v>222</v>
      </c>
      <c r="F959" s="4" t="s">
        <v>904</v>
      </c>
      <c r="I959" s="4" t="s">
        <v>395</v>
      </c>
    </row>
    <row r="960">
      <c r="A960" s="67" t="str">
        <f t="shared" si="1"/>
        <v>Sat</v>
      </c>
      <c r="B960" s="69">
        <v>43568.0</v>
      </c>
      <c r="D960" s="194">
        <v>267.71999999999997</v>
      </c>
      <c r="E960" s="4" t="s">
        <v>222</v>
      </c>
      <c r="F960" s="4" t="s">
        <v>904</v>
      </c>
      <c r="I960" s="4" t="s">
        <v>395</v>
      </c>
    </row>
    <row r="961">
      <c r="A961" s="67" t="str">
        <f t="shared" si="1"/>
        <v>Sun</v>
      </c>
      <c r="B961" s="69">
        <v>43569.0</v>
      </c>
      <c r="D961" s="194">
        <v>267.71999999999997</v>
      </c>
      <c r="E961" s="4" t="s">
        <v>222</v>
      </c>
      <c r="F961" s="4" t="s">
        <v>904</v>
      </c>
      <c r="I961" s="4" t="s">
        <v>395</v>
      </c>
    </row>
    <row r="962">
      <c r="A962" s="67" t="str">
        <f t="shared" si="1"/>
        <v>Mon</v>
      </c>
      <c r="B962" s="69">
        <v>43570.0</v>
      </c>
      <c r="D962" s="171"/>
      <c r="H962" s="4" t="s">
        <v>904</v>
      </c>
    </row>
    <row r="963">
      <c r="A963" s="67" t="str">
        <f t="shared" si="1"/>
        <v>Tue</v>
      </c>
      <c r="B963" s="69">
        <v>43571.0</v>
      </c>
      <c r="D963" s="194">
        <v>337.56</v>
      </c>
      <c r="E963" s="4" t="s">
        <v>222</v>
      </c>
      <c r="F963" s="4" t="s">
        <v>909</v>
      </c>
      <c r="G963" s="4" t="s">
        <v>909</v>
      </c>
      <c r="I963" s="4" t="s">
        <v>359</v>
      </c>
      <c r="K963" s="4" t="s">
        <v>231</v>
      </c>
      <c r="L963" s="4" t="s">
        <v>225</v>
      </c>
      <c r="M963" s="4" t="s">
        <v>910</v>
      </c>
      <c r="N963" s="4" t="s">
        <v>911</v>
      </c>
      <c r="O963" s="4" t="s">
        <v>912</v>
      </c>
      <c r="Q963" s="4" t="s">
        <v>913</v>
      </c>
      <c r="R963" s="4" t="s">
        <v>914</v>
      </c>
    </row>
    <row r="964">
      <c r="A964" s="67" t="str">
        <f t="shared" si="1"/>
        <v>Wed</v>
      </c>
      <c r="B964" s="69">
        <v>43572.0</v>
      </c>
      <c r="D964" s="194">
        <v>337.56</v>
      </c>
      <c r="E964" s="4" t="s">
        <v>222</v>
      </c>
      <c r="F964" s="4" t="s">
        <v>909</v>
      </c>
      <c r="I964" s="4" t="s">
        <v>359</v>
      </c>
    </row>
    <row r="965">
      <c r="A965" s="67" t="str">
        <f t="shared" si="1"/>
        <v>Thu</v>
      </c>
      <c r="B965" s="69">
        <v>43573.0</v>
      </c>
      <c r="D965" s="194">
        <v>337.56</v>
      </c>
      <c r="E965" s="4" t="s">
        <v>222</v>
      </c>
      <c r="F965" s="4" t="s">
        <v>909</v>
      </c>
      <c r="I965" s="4" t="s">
        <v>359</v>
      </c>
    </row>
    <row r="966">
      <c r="A966" s="67" t="str">
        <f t="shared" si="1"/>
        <v>Fri</v>
      </c>
      <c r="B966" s="69">
        <v>43574.0</v>
      </c>
      <c r="D966" s="194">
        <v>337.56</v>
      </c>
      <c r="E966" s="4" t="s">
        <v>222</v>
      </c>
      <c r="F966" s="4" t="s">
        <v>909</v>
      </c>
      <c r="I966" s="4" t="s">
        <v>359</v>
      </c>
    </row>
    <row r="967">
      <c r="A967" s="67" t="str">
        <f t="shared" si="1"/>
        <v>Sat</v>
      </c>
      <c r="B967" s="69">
        <v>43575.0</v>
      </c>
      <c r="D967" s="194">
        <v>337.56</v>
      </c>
      <c r="E967" s="4" t="s">
        <v>222</v>
      </c>
      <c r="F967" s="4" t="s">
        <v>909</v>
      </c>
      <c r="I967" s="4" t="s">
        <v>359</v>
      </c>
    </row>
    <row r="968">
      <c r="A968" s="67" t="str">
        <f t="shared" si="1"/>
        <v>Sun</v>
      </c>
      <c r="B968" s="69">
        <v>43576.0</v>
      </c>
      <c r="D968" s="193">
        <v>203.7</v>
      </c>
      <c r="E968" s="4" t="s">
        <v>222</v>
      </c>
      <c r="F968" s="4" t="s">
        <v>915</v>
      </c>
      <c r="G968" s="4" t="s">
        <v>915</v>
      </c>
      <c r="H968" s="4" t="s">
        <v>909</v>
      </c>
      <c r="I968" s="4" t="s">
        <v>224</v>
      </c>
      <c r="J968" s="4"/>
      <c r="K968" s="4" t="s">
        <v>231</v>
      </c>
      <c r="L968" s="4" t="s">
        <v>225</v>
      </c>
      <c r="M968" s="4" t="s">
        <v>226</v>
      </c>
      <c r="N968" s="4" t="s">
        <v>232</v>
      </c>
      <c r="O968" s="4" t="s">
        <v>264</v>
      </c>
      <c r="R968" s="6" t="s">
        <v>916</v>
      </c>
    </row>
    <row r="969">
      <c r="A969" s="67" t="str">
        <f t="shared" si="1"/>
        <v>Mon</v>
      </c>
      <c r="B969" s="69">
        <v>43577.0</v>
      </c>
      <c r="D969" s="171"/>
      <c r="H969" s="4" t="s">
        <v>915</v>
      </c>
      <c r="J969" s="4"/>
    </row>
    <row r="970">
      <c r="A970" s="67" t="str">
        <f t="shared" si="1"/>
        <v>Tue</v>
      </c>
      <c r="B970" s="69">
        <v>43578.0</v>
      </c>
      <c r="D970" s="171"/>
    </row>
    <row r="971">
      <c r="A971" s="67" t="str">
        <f t="shared" si="1"/>
        <v>Wed</v>
      </c>
      <c r="B971" s="69">
        <v>43579.0</v>
      </c>
      <c r="D971" s="171"/>
    </row>
    <row r="972">
      <c r="A972" s="67" t="str">
        <f t="shared" si="1"/>
        <v>Thu</v>
      </c>
      <c r="B972" s="69">
        <v>43580.0</v>
      </c>
      <c r="D972" s="171"/>
    </row>
    <row r="973">
      <c r="A973" s="67" t="str">
        <f t="shared" si="1"/>
        <v>Fri</v>
      </c>
      <c r="B973" s="69">
        <v>43581.0</v>
      </c>
      <c r="D973" s="171"/>
    </row>
    <row r="974">
      <c r="A974" s="67" t="str">
        <f t="shared" si="1"/>
        <v>Sat</v>
      </c>
      <c r="B974" s="69">
        <v>43582.0</v>
      </c>
      <c r="D974" s="194">
        <v>225.525</v>
      </c>
      <c r="E974" s="4" t="s">
        <v>222</v>
      </c>
      <c r="F974" s="4" t="s">
        <v>917</v>
      </c>
      <c r="G974" s="4" t="s">
        <v>917</v>
      </c>
      <c r="I974" s="4" t="s">
        <v>224</v>
      </c>
      <c r="K974" s="4" t="s">
        <v>231</v>
      </c>
      <c r="L974" s="4" t="s">
        <v>225</v>
      </c>
      <c r="M974" s="4" t="s">
        <v>918</v>
      </c>
      <c r="N974" s="4" t="s">
        <v>919</v>
      </c>
      <c r="O974" s="4" t="s">
        <v>264</v>
      </c>
      <c r="Q974" s="4" t="s">
        <v>920</v>
      </c>
      <c r="R974" s="4" t="s">
        <v>921</v>
      </c>
      <c r="S974" s="4">
        <v>8.94342509E10</v>
      </c>
    </row>
    <row r="975">
      <c r="A975" s="67" t="str">
        <f t="shared" si="1"/>
        <v>Sun</v>
      </c>
      <c r="B975" s="69">
        <v>43583.0</v>
      </c>
      <c r="D975" s="194">
        <v>225.525</v>
      </c>
      <c r="E975" s="4" t="s">
        <v>222</v>
      </c>
      <c r="F975" s="4" t="s">
        <v>917</v>
      </c>
      <c r="I975" s="4" t="s">
        <v>224</v>
      </c>
    </row>
    <row r="976">
      <c r="A976" s="67" t="str">
        <f t="shared" si="1"/>
        <v>Mon</v>
      </c>
      <c r="B976" s="69">
        <v>43584.0</v>
      </c>
      <c r="D976" s="194">
        <v>225.525</v>
      </c>
      <c r="E976" s="4" t="s">
        <v>222</v>
      </c>
      <c r="F976" s="4" t="s">
        <v>917</v>
      </c>
      <c r="I976" s="4" t="s">
        <v>224</v>
      </c>
    </row>
    <row r="977">
      <c r="A977" s="67" t="str">
        <f t="shared" si="1"/>
        <v>Tue</v>
      </c>
      <c r="B977" s="69">
        <v>43585.0</v>
      </c>
      <c r="D977" s="161">
        <v>225.525</v>
      </c>
      <c r="E977" s="4" t="s">
        <v>222</v>
      </c>
      <c r="F977" s="4" t="s">
        <v>917</v>
      </c>
      <c r="I977" s="4" t="s">
        <v>224</v>
      </c>
    </row>
    <row r="978">
      <c r="A978" s="67" t="str">
        <f t="shared" si="1"/>
        <v>Wed</v>
      </c>
      <c r="B978" s="69">
        <v>43586.0</v>
      </c>
      <c r="D978" s="161">
        <v>247.95</v>
      </c>
      <c r="E978" s="4" t="s">
        <v>169</v>
      </c>
      <c r="F978" s="4" t="s">
        <v>922</v>
      </c>
      <c r="G978" s="4" t="s">
        <v>922</v>
      </c>
      <c r="H978" s="4" t="s">
        <v>917</v>
      </c>
      <c r="I978" s="4" t="s">
        <v>224</v>
      </c>
      <c r="K978" s="4" t="s">
        <v>231</v>
      </c>
      <c r="L978" s="4" t="s">
        <v>225</v>
      </c>
      <c r="M978" s="4" t="s">
        <v>923</v>
      </c>
      <c r="N978" s="4" t="s">
        <v>924</v>
      </c>
      <c r="O978" s="4" t="s">
        <v>925</v>
      </c>
      <c r="Q978" s="4" t="s">
        <v>926</v>
      </c>
      <c r="R978" s="4" t="s">
        <v>927</v>
      </c>
      <c r="S978" s="4">
        <v>3.835866907E9</v>
      </c>
    </row>
    <row r="979">
      <c r="A979" s="67" t="str">
        <f t="shared" si="1"/>
        <v>Thu</v>
      </c>
      <c r="B979" s="69">
        <v>43587.0</v>
      </c>
      <c r="D979" s="161">
        <v>247.95</v>
      </c>
      <c r="E979" s="4" t="s">
        <v>169</v>
      </c>
      <c r="F979" s="4" t="s">
        <v>922</v>
      </c>
      <c r="I979" s="4" t="s">
        <v>224</v>
      </c>
    </row>
    <row r="980">
      <c r="A980" s="67" t="str">
        <f t="shared" si="1"/>
        <v>Fri</v>
      </c>
      <c r="B980" s="69">
        <v>43588.0</v>
      </c>
      <c r="D980" s="161">
        <v>242.5</v>
      </c>
      <c r="E980" s="4" t="s">
        <v>222</v>
      </c>
      <c r="F980" s="4" t="s">
        <v>928</v>
      </c>
      <c r="G980" s="4" t="s">
        <v>928</v>
      </c>
      <c r="H980" s="4" t="s">
        <v>922</v>
      </c>
      <c r="I980" s="4" t="s">
        <v>224</v>
      </c>
      <c r="J980" s="4" t="s">
        <v>929</v>
      </c>
      <c r="K980" s="4" t="s">
        <v>231</v>
      </c>
      <c r="L980" s="4" t="s">
        <v>225</v>
      </c>
      <c r="M980" s="4" t="s">
        <v>930</v>
      </c>
      <c r="N980" s="4" t="s">
        <v>232</v>
      </c>
      <c r="Q980" s="4" t="s">
        <v>931</v>
      </c>
      <c r="R980" s="4" t="s">
        <v>932</v>
      </c>
      <c r="S980" s="4">
        <v>6.554397906E9</v>
      </c>
    </row>
    <row r="981">
      <c r="A981" s="67" t="str">
        <f t="shared" si="1"/>
        <v>Sat</v>
      </c>
      <c r="B981" s="69">
        <v>43589.0</v>
      </c>
      <c r="D981" s="161">
        <v>242.5</v>
      </c>
      <c r="E981" s="4" t="s">
        <v>222</v>
      </c>
      <c r="F981" s="4" t="s">
        <v>928</v>
      </c>
      <c r="I981" s="4" t="s">
        <v>224</v>
      </c>
    </row>
    <row r="982">
      <c r="A982" s="67" t="str">
        <f t="shared" si="1"/>
        <v>Sun</v>
      </c>
      <c r="B982" s="69">
        <v>43590.0</v>
      </c>
      <c r="D982" s="171"/>
      <c r="F982" s="4"/>
      <c r="G982" s="4"/>
      <c r="H982" s="4" t="s">
        <v>928</v>
      </c>
      <c r="N982" s="4"/>
      <c r="O982" s="4"/>
    </row>
    <row r="983">
      <c r="A983" s="67" t="str">
        <f t="shared" si="1"/>
        <v>Mon</v>
      </c>
      <c r="B983" s="69">
        <v>43591.0</v>
      </c>
      <c r="D983" s="171"/>
      <c r="F983" s="4"/>
    </row>
    <row r="984">
      <c r="A984" s="67" t="str">
        <f t="shared" si="1"/>
        <v>Tue</v>
      </c>
      <c r="B984" s="69">
        <v>43592.0</v>
      </c>
      <c r="D984" s="171"/>
      <c r="F984" s="4"/>
      <c r="G984" s="4"/>
      <c r="H984" s="4"/>
      <c r="N984" s="4"/>
      <c r="O984" s="4"/>
    </row>
    <row r="985">
      <c r="A985" s="67" t="str">
        <f t="shared" si="1"/>
        <v>Wed</v>
      </c>
      <c r="B985" s="69">
        <v>43593.0</v>
      </c>
      <c r="D985" s="171"/>
      <c r="F985" s="4"/>
    </row>
    <row r="986">
      <c r="A986" s="67" t="str">
        <f t="shared" si="1"/>
        <v>Thu</v>
      </c>
      <c r="B986" s="69">
        <v>43594.0</v>
      </c>
      <c r="D986" s="194">
        <v>229.5666666666667</v>
      </c>
      <c r="E986" s="4" t="s">
        <v>222</v>
      </c>
      <c r="F986" s="4" t="s">
        <v>933</v>
      </c>
      <c r="G986" s="4" t="s">
        <v>933</v>
      </c>
      <c r="H986" s="4"/>
      <c r="I986" s="4" t="s">
        <v>224</v>
      </c>
      <c r="K986" s="4" t="s">
        <v>231</v>
      </c>
      <c r="L986" s="4" t="s">
        <v>225</v>
      </c>
      <c r="M986" s="4" t="s">
        <v>934</v>
      </c>
      <c r="N986" s="4" t="s">
        <v>935</v>
      </c>
      <c r="O986" s="4" t="s">
        <v>936</v>
      </c>
      <c r="Q986" s="4" t="s">
        <v>937</v>
      </c>
      <c r="R986" s="4" t="s">
        <v>938</v>
      </c>
      <c r="S986" s="4">
        <v>3.690157625E9</v>
      </c>
    </row>
    <row r="987">
      <c r="A987" s="67" t="str">
        <f t="shared" si="1"/>
        <v>Fri</v>
      </c>
      <c r="B987" s="69">
        <v>43595.0</v>
      </c>
      <c r="D987" s="194">
        <v>229.5666666666667</v>
      </c>
      <c r="E987" s="4" t="s">
        <v>222</v>
      </c>
      <c r="F987" s="4" t="s">
        <v>933</v>
      </c>
      <c r="I987" s="4" t="s">
        <v>224</v>
      </c>
    </row>
    <row r="988">
      <c r="A988" s="67" t="str">
        <f t="shared" si="1"/>
        <v>Sat</v>
      </c>
      <c r="B988" s="69">
        <v>43596.0</v>
      </c>
      <c r="D988" s="194">
        <v>229.5666666666667</v>
      </c>
      <c r="E988" s="4" t="s">
        <v>222</v>
      </c>
      <c r="F988" s="4" t="s">
        <v>933</v>
      </c>
      <c r="I988" s="4" t="s">
        <v>224</v>
      </c>
    </row>
    <row r="989">
      <c r="A989" s="67" t="str">
        <f t="shared" si="1"/>
        <v>Sun</v>
      </c>
      <c r="B989" s="69">
        <v>43597.0</v>
      </c>
      <c r="D989" s="171"/>
      <c r="F989" s="4"/>
      <c r="G989" s="4"/>
      <c r="H989" s="4" t="s">
        <v>933</v>
      </c>
      <c r="M989" s="4"/>
      <c r="N989" s="4"/>
      <c r="O989" s="4"/>
    </row>
    <row r="990">
      <c r="A990" s="67" t="str">
        <f t="shared" si="1"/>
        <v>Mon</v>
      </c>
      <c r="B990" s="69">
        <v>43598.0</v>
      </c>
      <c r="D990" s="171"/>
      <c r="F990" s="4"/>
    </row>
    <row r="991">
      <c r="A991" s="67" t="str">
        <f t="shared" si="1"/>
        <v>Tue</v>
      </c>
      <c r="B991" s="69">
        <v>43599.0</v>
      </c>
      <c r="D991" s="194">
        <v>203.7</v>
      </c>
      <c r="E991" s="4" t="s">
        <v>222</v>
      </c>
      <c r="F991" s="4" t="s">
        <v>939</v>
      </c>
      <c r="G991" s="4" t="s">
        <v>939</v>
      </c>
      <c r="H991" s="4"/>
      <c r="I991" s="4" t="s">
        <v>224</v>
      </c>
      <c r="K991" s="4" t="s">
        <v>231</v>
      </c>
      <c r="L991" s="4" t="s">
        <v>225</v>
      </c>
      <c r="M991" s="4" t="s">
        <v>940</v>
      </c>
      <c r="N991" s="4" t="s">
        <v>941</v>
      </c>
      <c r="O991" s="4" t="s">
        <v>942</v>
      </c>
      <c r="Q991" s="4" t="s">
        <v>943</v>
      </c>
      <c r="R991" s="4" t="s">
        <v>944</v>
      </c>
      <c r="S991" s="4">
        <v>2.802133012E9</v>
      </c>
    </row>
    <row r="992">
      <c r="A992" s="67" t="str">
        <f t="shared" si="1"/>
        <v>Wed</v>
      </c>
      <c r="B992" s="69">
        <v>43600.0</v>
      </c>
      <c r="D992" s="194">
        <v>203.7</v>
      </c>
      <c r="E992" s="4" t="s">
        <v>222</v>
      </c>
      <c r="F992" s="4" t="s">
        <v>939</v>
      </c>
      <c r="I992" s="4" t="s">
        <v>224</v>
      </c>
    </row>
    <row r="993">
      <c r="A993" s="67" t="str">
        <f t="shared" si="1"/>
        <v>Thu</v>
      </c>
      <c r="B993" s="69">
        <v>43601.0</v>
      </c>
      <c r="D993" s="171"/>
      <c r="F993" s="4"/>
      <c r="G993" s="4"/>
      <c r="H993" s="4" t="s">
        <v>939</v>
      </c>
      <c r="M993" s="4"/>
      <c r="N993" s="4"/>
      <c r="O993" s="4"/>
    </row>
    <row r="994">
      <c r="A994" s="67" t="str">
        <f t="shared" si="1"/>
        <v>Fri</v>
      </c>
      <c r="B994" s="69">
        <v>43602.0</v>
      </c>
      <c r="D994" s="194">
        <v>242.5</v>
      </c>
      <c r="E994" s="4" t="s">
        <v>222</v>
      </c>
      <c r="F994" s="4" t="s">
        <v>945</v>
      </c>
      <c r="G994" s="4" t="s">
        <v>945</v>
      </c>
      <c r="H994" s="4"/>
      <c r="I994" s="4" t="s">
        <v>224</v>
      </c>
      <c r="K994" s="4" t="s">
        <v>231</v>
      </c>
      <c r="L994" s="4" t="s">
        <v>225</v>
      </c>
      <c r="M994" s="4" t="s">
        <v>946</v>
      </c>
      <c r="N994" s="4" t="s">
        <v>947</v>
      </c>
      <c r="Q994" s="4" t="s">
        <v>948</v>
      </c>
      <c r="R994" s="4" t="s">
        <v>949</v>
      </c>
      <c r="S994" s="161">
        <v>3.6082150856E10</v>
      </c>
    </row>
    <row r="995">
      <c r="A995" s="67" t="str">
        <f t="shared" si="1"/>
        <v>Sat</v>
      </c>
      <c r="B995" s="69">
        <v>43603.0</v>
      </c>
      <c r="D995" s="194">
        <v>242.5</v>
      </c>
      <c r="E995" s="4" t="s">
        <v>222</v>
      </c>
      <c r="F995" s="4" t="s">
        <v>945</v>
      </c>
      <c r="I995" s="4" t="s">
        <v>224</v>
      </c>
    </row>
    <row r="996">
      <c r="A996" s="67" t="str">
        <f t="shared" si="1"/>
        <v>Sun</v>
      </c>
      <c r="B996" s="69">
        <v>43604.0</v>
      </c>
      <c r="D996" s="194">
        <v>242.5</v>
      </c>
      <c r="E996" s="4" t="s">
        <v>222</v>
      </c>
      <c r="F996" s="4" t="s">
        <v>945</v>
      </c>
      <c r="I996" s="4" t="s">
        <v>224</v>
      </c>
    </row>
    <row r="997">
      <c r="A997" s="67" t="str">
        <f t="shared" si="1"/>
        <v>Mon</v>
      </c>
      <c r="B997" s="69">
        <v>43605.0</v>
      </c>
      <c r="D997" s="171"/>
      <c r="H997" s="4" t="s">
        <v>945</v>
      </c>
    </row>
    <row r="998">
      <c r="A998" s="67" t="str">
        <f t="shared" si="1"/>
        <v>Tue</v>
      </c>
      <c r="B998" s="69">
        <v>43606.0</v>
      </c>
      <c r="D998" s="171"/>
    </row>
    <row r="999">
      <c r="A999" s="67" t="str">
        <f t="shared" si="1"/>
        <v>Wed</v>
      </c>
      <c r="B999" s="69">
        <v>43607.0</v>
      </c>
      <c r="D999" s="194">
        <v>218.25</v>
      </c>
      <c r="E999" s="4" t="s">
        <v>222</v>
      </c>
      <c r="F999" s="4" t="s">
        <v>950</v>
      </c>
      <c r="G999" s="4" t="s">
        <v>950</v>
      </c>
      <c r="I999" s="4" t="s">
        <v>224</v>
      </c>
      <c r="K999" s="4" t="s">
        <v>231</v>
      </c>
      <c r="L999" s="4" t="s">
        <v>225</v>
      </c>
      <c r="M999" s="4" t="s">
        <v>226</v>
      </c>
      <c r="N999" s="4"/>
      <c r="Q999" s="6" t="s">
        <v>951</v>
      </c>
      <c r="R999" s="6" t="s">
        <v>952</v>
      </c>
      <c r="S999" s="6" t="s">
        <v>953</v>
      </c>
    </row>
    <row r="1000">
      <c r="A1000" s="67" t="str">
        <f t="shared" si="1"/>
        <v>Thu</v>
      </c>
      <c r="B1000" s="69">
        <v>43608.0</v>
      </c>
      <c r="C1000" s="4" t="s">
        <v>758</v>
      </c>
      <c r="D1000" s="176">
        <v>970.0</v>
      </c>
      <c r="E1000" s="4" t="s">
        <v>222</v>
      </c>
      <c r="F1000" s="4" t="s">
        <v>954</v>
      </c>
      <c r="G1000" s="4" t="s">
        <v>954</v>
      </c>
      <c r="H1000" s="4" t="s">
        <v>950</v>
      </c>
      <c r="I1000" s="4" t="s">
        <v>395</v>
      </c>
      <c r="K1000" s="4" t="s">
        <v>231</v>
      </c>
      <c r="L1000" s="4" t="s">
        <v>225</v>
      </c>
      <c r="M1000" s="4" t="s">
        <v>226</v>
      </c>
      <c r="N1000" s="4" t="s">
        <v>232</v>
      </c>
      <c r="O1000" s="4" t="s">
        <v>955</v>
      </c>
      <c r="R1000" s="4" t="s">
        <v>956</v>
      </c>
    </row>
    <row r="1001">
      <c r="A1001" s="67" t="str">
        <f t="shared" si="1"/>
        <v>Fri</v>
      </c>
      <c r="B1001" s="69">
        <v>43609.0</v>
      </c>
      <c r="C1001" s="4" t="s">
        <v>758</v>
      </c>
      <c r="D1001" s="176">
        <v>970.0</v>
      </c>
      <c r="E1001" s="4" t="s">
        <v>222</v>
      </c>
      <c r="F1001" s="4" t="s">
        <v>954</v>
      </c>
      <c r="I1001" s="4" t="s">
        <v>395</v>
      </c>
    </row>
    <row r="1002">
      <c r="A1002" s="67" t="str">
        <f t="shared" si="1"/>
        <v>Sat</v>
      </c>
      <c r="B1002" s="69">
        <v>43610.0</v>
      </c>
      <c r="C1002" s="4" t="s">
        <v>758</v>
      </c>
      <c r="D1002" s="176">
        <v>970.0</v>
      </c>
      <c r="E1002" s="4" t="s">
        <v>222</v>
      </c>
      <c r="F1002" s="4" t="s">
        <v>954</v>
      </c>
      <c r="I1002" s="4" t="s">
        <v>395</v>
      </c>
    </row>
    <row r="1003">
      <c r="A1003" s="67" t="str">
        <f t="shared" si="1"/>
        <v>Sun</v>
      </c>
      <c r="B1003" s="69">
        <v>43611.0</v>
      </c>
      <c r="C1003" s="4" t="s">
        <v>758</v>
      </c>
      <c r="D1003" s="176">
        <v>970.0</v>
      </c>
      <c r="E1003" s="4" t="s">
        <v>222</v>
      </c>
      <c r="F1003" s="4" t="s">
        <v>954</v>
      </c>
      <c r="I1003" s="4" t="s">
        <v>395</v>
      </c>
    </row>
    <row r="1004">
      <c r="A1004" s="67" t="str">
        <f t="shared" si="1"/>
        <v>Mon</v>
      </c>
      <c r="B1004" s="69">
        <v>43612.0</v>
      </c>
      <c r="D1004" s="171"/>
      <c r="F1004" s="4"/>
      <c r="G1004" s="4"/>
      <c r="H1004" s="4" t="s">
        <v>954</v>
      </c>
      <c r="J1004" s="4" t="s">
        <v>228</v>
      </c>
      <c r="L1004" s="4" t="s">
        <v>229</v>
      </c>
      <c r="M1004" s="4"/>
      <c r="N1004" s="4"/>
      <c r="O1004" s="4"/>
    </row>
    <row r="1005">
      <c r="A1005" s="67" t="str">
        <f t="shared" si="1"/>
        <v>Tue</v>
      </c>
      <c r="B1005" s="69">
        <v>43613.0</v>
      </c>
      <c r="D1005" s="171"/>
      <c r="F1005" s="4"/>
      <c r="J1005" s="4" t="s">
        <v>228</v>
      </c>
    </row>
    <row r="1006">
      <c r="A1006" s="67" t="str">
        <f t="shared" si="1"/>
        <v>Wed</v>
      </c>
      <c r="B1006" s="69">
        <v>43614.0</v>
      </c>
      <c r="D1006" s="171"/>
      <c r="F1006" s="4"/>
      <c r="G1006" s="4"/>
      <c r="H1006" s="4"/>
      <c r="J1006" s="4" t="s">
        <v>228</v>
      </c>
      <c r="L1006" s="4" t="s">
        <v>229</v>
      </c>
      <c r="M1006" s="4"/>
      <c r="N1006" s="4"/>
      <c r="O1006" s="4"/>
    </row>
    <row r="1007">
      <c r="A1007" s="67" t="str">
        <f t="shared" si="1"/>
        <v>Thu</v>
      </c>
      <c r="B1007" s="69">
        <v>43615.0</v>
      </c>
      <c r="D1007" s="171"/>
      <c r="F1007" s="4"/>
      <c r="J1007" s="4" t="s">
        <v>228</v>
      </c>
    </row>
    <row r="1008">
      <c r="A1008" s="67" t="str">
        <f t="shared" si="1"/>
        <v>Fri</v>
      </c>
      <c r="B1008" s="69">
        <v>43616.0</v>
      </c>
      <c r="D1008" s="171"/>
      <c r="F1008" s="4"/>
      <c r="G1008" s="4"/>
      <c r="H1008" s="4"/>
      <c r="J1008" s="4" t="s">
        <v>295</v>
      </c>
      <c r="L1008" s="4" t="s">
        <v>229</v>
      </c>
      <c r="M1008" s="4"/>
      <c r="N1008" s="4"/>
      <c r="O1008" s="4"/>
    </row>
    <row r="1009">
      <c r="A1009" s="67" t="str">
        <f t="shared" si="1"/>
        <v>Sat</v>
      </c>
      <c r="B1009" s="69">
        <v>43617.0</v>
      </c>
      <c r="D1009" s="194">
        <v>250.0</v>
      </c>
      <c r="E1009" s="4" t="s">
        <v>337</v>
      </c>
      <c r="F1009" s="4" t="s">
        <v>957</v>
      </c>
      <c r="G1009" s="4" t="s">
        <v>957</v>
      </c>
      <c r="H1009" s="4"/>
      <c r="I1009" s="4" t="s">
        <v>224</v>
      </c>
      <c r="K1009" s="4" t="s">
        <v>958</v>
      </c>
      <c r="L1009" s="4" t="s">
        <v>229</v>
      </c>
      <c r="M1009" s="4"/>
      <c r="N1009" s="4"/>
      <c r="O1009" s="4"/>
      <c r="Q1009" s="4" t="s">
        <v>959</v>
      </c>
      <c r="R1009" s="4" t="s">
        <v>960</v>
      </c>
      <c r="S1009" s="161">
        <v>3.7946749015E10</v>
      </c>
    </row>
    <row r="1010">
      <c r="A1010" s="67" t="str">
        <f t="shared" si="1"/>
        <v>Sun</v>
      </c>
      <c r="B1010" s="69">
        <v>43618.0</v>
      </c>
      <c r="D1010" s="194">
        <v>250.0</v>
      </c>
      <c r="E1010" s="4" t="s">
        <v>337</v>
      </c>
      <c r="F1010" s="4" t="s">
        <v>957</v>
      </c>
      <c r="I1010" s="4" t="s">
        <v>224</v>
      </c>
    </row>
    <row r="1011">
      <c r="A1011" s="67" t="str">
        <f t="shared" si="1"/>
        <v>Mon</v>
      </c>
      <c r="B1011" s="69">
        <v>43619.0</v>
      </c>
      <c r="D1011" s="194">
        <v>250.0</v>
      </c>
      <c r="E1011" s="4" t="s">
        <v>337</v>
      </c>
      <c r="F1011" s="4" t="s">
        <v>957</v>
      </c>
      <c r="I1011" s="4" t="s">
        <v>224</v>
      </c>
    </row>
    <row r="1012">
      <c r="A1012" s="67" t="str">
        <f t="shared" si="1"/>
        <v>Tue</v>
      </c>
      <c r="B1012" s="69">
        <v>43620.0</v>
      </c>
      <c r="D1012" s="171"/>
      <c r="H1012" s="4" t="s">
        <v>957</v>
      </c>
    </row>
    <row r="1013">
      <c r="A1013" s="67" t="str">
        <f t="shared" si="1"/>
        <v>Wed</v>
      </c>
      <c r="B1013" s="69">
        <v>43621.0</v>
      </c>
      <c r="D1013" s="171"/>
    </row>
    <row r="1014">
      <c r="A1014" s="67" t="str">
        <f t="shared" si="1"/>
        <v>Thu</v>
      </c>
      <c r="B1014" s="69">
        <v>43622.0</v>
      </c>
      <c r="D1014" s="171"/>
    </row>
    <row r="1015">
      <c r="A1015" s="67" t="str">
        <f t="shared" si="1"/>
        <v>Fri</v>
      </c>
      <c r="B1015" s="69">
        <v>43623.0</v>
      </c>
      <c r="D1015" s="171"/>
    </row>
    <row r="1016">
      <c r="A1016" s="67" t="str">
        <f t="shared" si="1"/>
        <v>Sat</v>
      </c>
      <c r="B1016" s="69">
        <v>43624.0</v>
      </c>
      <c r="D1016" s="171"/>
    </row>
    <row r="1017">
      <c r="A1017" s="67" t="str">
        <f t="shared" si="1"/>
        <v>Sun</v>
      </c>
      <c r="B1017" s="69">
        <v>43625.0</v>
      </c>
      <c r="D1017" s="171"/>
    </row>
    <row r="1018">
      <c r="A1018" s="67" t="str">
        <f t="shared" si="1"/>
        <v>Mon</v>
      </c>
      <c r="B1018" s="69">
        <v>43626.0</v>
      </c>
      <c r="D1018" s="171"/>
    </row>
    <row r="1019">
      <c r="A1019" s="67" t="str">
        <f t="shared" si="1"/>
        <v>Tue</v>
      </c>
      <c r="B1019" s="69">
        <v>43627.0</v>
      </c>
      <c r="D1019" s="171"/>
    </row>
    <row r="1020">
      <c r="A1020" s="67" t="str">
        <f t="shared" si="1"/>
        <v>Wed</v>
      </c>
      <c r="B1020" s="69">
        <v>43628.0</v>
      </c>
      <c r="D1020" s="171"/>
    </row>
    <row r="1021">
      <c r="A1021" s="67" t="str">
        <f t="shared" si="1"/>
        <v>Thu</v>
      </c>
      <c r="B1021" s="69">
        <v>43629.0</v>
      </c>
      <c r="D1021" s="171"/>
    </row>
    <row r="1022">
      <c r="A1022" s="67" t="str">
        <f t="shared" si="1"/>
        <v>Fri</v>
      </c>
      <c r="B1022" s="69">
        <v>43630.0</v>
      </c>
      <c r="D1022" s="171"/>
    </row>
    <row r="1023">
      <c r="A1023" s="67" t="str">
        <f t="shared" si="1"/>
        <v>Sat</v>
      </c>
      <c r="B1023" s="69">
        <v>43631.0</v>
      </c>
      <c r="D1023" s="171"/>
    </row>
    <row r="1024">
      <c r="A1024" s="67" t="str">
        <f t="shared" si="1"/>
        <v>Sun</v>
      </c>
      <c r="B1024" s="69">
        <v>43632.0</v>
      </c>
      <c r="D1024" s="171"/>
    </row>
    <row r="1025">
      <c r="A1025" s="67" t="str">
        <f t="shared" si="1"/>
        <v>Mon</v>
      </c>
      <c r="B1025" s="69">
        <v>43633.0</v>
      </c>
      <c r="D1025" s="171"/>
    </row>
    <row r="1026">
      <c r="A1026" s="67" t="str">
        <f t="shared" si="1"/>
        <v>Tue</v>
      </c>
      <c r="B1026" s="69">
        <v>43634.0</v>
      </c>
      <c r="D1026" s="171"/>
    </row>
    <row r="1027">
      <c r="A1027" s="67" t="str">
        <f t="shared" si="1"/>
        <v>Wed</v>
      </c>
      <c r="B1027" s="69">
        <v>43635.0</v>
      </c>
      <c r="D1027" s="171"/>
    </row>
    <row r="1028">
      <c r="A1028" s="67" t="str">
        <f t="shared" si="1"/>
        <v>Thu</v>
      </c>
      <c r="B1028" s="69">
        <v>43636.0</v>
      </c>
      <c r="D1028" s="194">
        <v>424.1325</v>
      </c>
      <c r="E1028" s="4" t="s">
        <v>222</v>
      </c>
      <c r="F1028" s="4" t="s">
        <v>961</v>
      </c>
      <c r="G1028" s="4" t="s">
        <v>961</v>
      </c>
      <c r="I1028" s="4" t="s">
        <v>224</v>
      </c>
      <c r="K1028" s="4" t="s">
        <v>231</v>
      </c>
      <c r="L1028" s="4" t="s">
        <v>229</v>
      </c>
      <c r="M1028" s="4" t="s">
        <v>962</v>
      </c>
      <c r="N1028" s="4" t="s">
        <v>963</v>
      </c>
      <c r="O1028" s="4" t="s">
        <v>264</v>
      </c>
      <c r="Q1028" s="4" t="s">
        <v>964</v>
      </c>
      <c r="R1028" s="4" t="s">
        <v>965</v>
      </c>
      <c r="S1028" s="161">
        <v>3.7535010857E10</v>
      </c>
    </row>
    <row r="1029">
      <c r="A1029" s="67" t="str">
        <f t="shared" si="1"/>
        <v>Fri</v>
      </c>
      <c r="B1029" s="69">
        <v>43637.0</v>
      </c>
      <c r="D1029" s="194">
        <v>424.1325</v>
      </c>
      <c r="E1029" s="4" t="s">
        <v>222</v>
      </c>
      <c r="F1029" s="4" t="s">
        <v>961</v>
      </c>
      <c r="I1029" s="4" t="s">
        <v>224</v>
      </c>
    </row>
    <row r="1030">
      <c r="A1030" s="67" t="str">
        <f t="shared" si="1"/>
        <v>Sat</v>
      </c>
      <c r="B1030" s="69">
        <v>43638.0</v>
      </c>
      <c r="D1030" s="194">
        <v>424.1325</v>
      </c>
      <c r="E1030" s="4" t="s">
        <v>222</v>
      </c>
      <c r="F1030" s="4" t="s">
        <v>961</v>
      </c>
      <c r="I1030" s="4" t="s">
        <v>224</v>
      </c>
    </row>
    <row r="1031">
      <c r="A1031" s="67" t="str">
        <f t="shared" si="1"/>
        <v>Sun</v>
      </c>
      <c r="B1031" s="69">
        <v>43639.0</v>
      </c>
      <c r="D1031" s="194">
        <v>424.1325</v>
      </c>
      <c r="E1031" s="4" t="s">
        <v>222</v>
      </c>
      <c r="F1031" s="4" t="s">
        <v>961</v>
      </c>
      <c r="I1031" s="4" t="s">
        <v>224</v>
      </c>
    </row>
    <row r="1032">
      <c r="A1032" s="67" t="str">
        <f t="shared" si="1"/>
        <v>Mon</v>
      </c>
      <c r="B1032" s="69">
        <v>43640.0</v>
      </c>
      <c r="D1032" s="171"/>
      <c r="H1032" s="4" t="s">
        <v>961</v>
      </c>
    </row>
    <row r="1033">
      <c r="A1033" s="67" t="str">
        <f t="shared" si="1"/>
        <v>Tue</v>
      </c>
      <c r="B1033" s="69">
        <v>43641.0</v>
      </c>
      <c r="D1033" s="171"/>
    </row>
    <row r="1034">
      <c r="A1034" s="67" t="str">
        <f t="shared" si="1"/>
        <v>Wed</v>
      </c>
      <c r="B1034" s="69">
        <v>43642.0</v>
      </c>
      <c r="D1034" s="171"/>
    </row>
    <row r="1035">
      <c r="A1035" s="67" t="str">
        <f t="shared" si="1"/>
        <v>Thu</v>
      </c>
      <c r="B1035" s="69">
        <v>43643.0</v>
      </c>
      <c r="D1035" s="171"/>
    </row>
    <row r="1036">
      <c r="A1036" s="67" t="str">
        <f t="shared" si="1"/>
        <v>Fri</v>
      </c>
      <c r="B1036" s="69">
        <v>43644.0</v>
      </c>
      <c r="D1036" s="171"/>
    </row>
    <row r="1037">
      <c r="A1037" s="67" t="str">
        <f t="shared" si="1"/>
        <v>Sat</v>
      </c>
      <c r="B1037" s="69">
        <v>43645.0</v>
      </c>
      <c r="D1037" s="171"/>
    </row>
    <row r="1038">
      <c r="A1038" s="67" t="str">
        <f t="shared" si="1"/>
        <v>Sun</v>
      </c>
      <c r="B1038" s="69">
        <v>43646.0</v>
      </c>
      <c r="D1038" s="194">
        <v>266.75</v>
      </c>
      <c r="E1038" s="4" t="s">
        <v>222</v>
      </c>
      <c r="F1038" s="4" t="s">
        <v>966</v>
      </c>
      <c r="G1038" s="4" t="s">
        <v>966</v>
      </c>
      <c r="I1038" s="4" t="s">
        <v>359</v>
      </c>
      <c r="K1038" s="4" t="s">
        <v>231</v>
      </c>
      <c r="L1038" s="4" t="s">
        <v>240</v>
      </c>
    </row>
    <row r="1039">
      <c r="A1039" s="67" t="str">
        <f t="shared" si="1"/>
        <v>Mon</v>
      </c>
      <c r="B1039" s="69">
        <v>43647.0</v>
      </c>
      <c r="D1039" s="194">
        <v>266.75</v>
      </c>
      <c r="E1039" s="4" t="s">
        <v>222</v>
      </c>
      <c r="F1039" s="4" t="s">
        <v>966</v>
      </c>
      <c r="I1039" s="4" t="s">
        <v>359</v>
      </c>
    </row>
    <row r="1040">
      <c r="A1040" s="67" t="str">
        <f t="shared" si="1"/>
        <v>Tue</v>
      </c>
      <c r="B1040" s="69">
        <v>43648.0</v>
      </c>
      <c r="D1040" s="171"/>
      <c r="H1040" s="4" t="s">
        <v>966</v>
      </c>
    </row>
    <row r="1041">
      <c r="A1041" s="67" t="str">
        <f t="shared" si="1"/>
        <v>Wed</v>
      </c>
      <c r="B1041" s="69">
        <v>43649.0</v>
      </c>
      <c r="D1041" s="171"/>
    </row>
    <row r="1042">
      <c r="A1042" s="67" t="str">
        <f t="shared" si="1"/>
        <v>Thu</v>
      </c>
      <c r="B1042" s="69">
        <v>43650.0</v>
      </c>
      <c r="D1042" s="171"/>
    </row>
    <row r="1043">
      <c r="A1043" s="67" t="str">
        <f t="shared" si="1"/>
        <v>Fri</v>
      </c>
      <c r="B1043" s="69">
        <v>43651.0</v>
      </c>
      <c r="D1043" s="171"/>
    </row>
    <row r="1044">
      <c r="A1044" s="67" t="str">
        <f t="shared" si="1"/>
        <v>Sat</v>
      </c>
      <c r="B1044" s="69">
        <v>43652.0</v>
      </c>
      <c r="D1044" s="171"/>
    </row>
    <row r="1045">
      <c r="A1045" s="67" t="str">
        <f t="shared" si="1"/>
        <v>Sun</v>
      </c>
      <c r="B1045" s="69">
        <v>43653.0</v>
      </c>
      <c r="D1045" s="171"/>
    </row>
    <row r="1046">
      <c r="A1046" s="67" t="str">
        <f t="shared" si="1"/>
        <v>Mon</v>
      </c>
      <c r="B1046" s="69">
        <v>43654.0</v>
      </c>
      <c r="D1046" s="171"/>
    </row>
    <row r="1047">
      <c r="A1047" s="67" t="str">
        <f t="shared" si="1"/>
        <v>Tue</v>
      </c>
      <c r="B1047" s="69">
        <v>43655.0</v>
      </c>
      <c r="D1047" s="171"/>
    </row>
    <row r="1048">
      <c r="A1048" s="67" t="str">
        <f t="shared" si="1"/>
        <v>Wed</v>
      </c>
      <c r="B1048" s="69">
        <v>43656.0</v>
      </c>
      <c r="D1048" s="171"/>
    </row>
    <row r="1049">
      <c r="A1049" s="67" t="str">
        <f t="shared" si="1"/>
        <v>Thu</v>
      </c>
      <c r="B1049" s="69">
        <v>43657.0</v>
      </c>
      <c r="D1049" s="194"/>
    </row>
    <row r="1050">
      <c r="A1050" s="67" t="str">
        <f t="shared" si="1"/>
        <v>Fri</v>
      </c>
      <c r="B1050" s="69">
        <v>43658.0</v>
      </c>
      <c r="D1050" s="194"/>
    </row>
    <row r="1051">
      <c r="A1051" s="67" t="str">
        <f t="shared" si="1"/>
        <v>Sat</v>
      </c>
      <c r="B1051" s="69">
        <v>43659.0</v>
      </c>
      <c r="D1051" s="194"/>
    </row>
    <row r="1052">
      <c r="A1052" s="67" t="str">
        <f t="shared" si="1"/>
        <v>Sun</v>
      </c>
      <c r="B1052" s="69">
        <v>43660.0</v>
      </c>
      <c r="D1052" s="194">
        <v>194.0</v>
      </c>
      <c r="E1052" s="4" t="s">
        <v>222</v>
      </c>
      <c r="F1052" s="4" t="s">
        <v>967</v>
      </c>
      <c r="G1052" s="4" t="s">
        <v>967</v>
      </c>
      <c r="I1052" s="4" t="s">
        <v>224</v>
      </c>
      <c r="K1052" s="4" t="s">
        <v>231</v>
      </c>
      <c r="L1052" s="4" t="s">
        <v>229</v>
      </c>
      <c r="M1052" s="4" t="s">
        <v>968</v>
      </c>
      <c r="N1052" s="4" t="s">
        <v>969</v>
      </c>
      <c r="O1052" s="4" t="s">
        <v>970</v>
      </c>
      <c r="Q1052" s="4" t="s">
        <v>971</v>
      </c>
      <c r="R1052" s="4" t="s">
        <v>972</v>
      </c>
      <c r="S1052" s="4" t="s">
        <v>973</v>
      </c>
    </row>
    <row r="1053">
      <c r="A1053" s="67" t="str">
        <f t="shared" si="1"/>
        <v>Mon</v>
      </c>
      <c r="B1053" s="69">
        <v>43661.0</v>
      </c>
      <c r="D1053" s="194">
        <v>194.0</v>
      </c>
      <c r="E1053" s="4" t="s">
        <v>222</v>
      </c>
      <c r="F1053" s="4" t="s">
        <v>967</v>
      </c>
      <c r="I1053" s="4" t="s">
        <v>224</v>
      </c>
    </row>
    <row r="1054">
      <c r="A1054" s="67" t="str">
        <f t="shared" si="1"/>
        <v>Tue</v>
      </c>
      <c r="B1054" s="69">
        <v>43662.0</v>
      </c>
      <c r="D1054" s="194"/>
      <c r="H1054" s="4" t="s">
        <v>967</v>
      </c>
    </row>
    <row r="1055">
      <c r="A1055" s="67" t="str">
        <f t="shared" si="1"/>
        <v>Wed</v>
      </c>
      <c r="B1055" s="69">
        <v>43663.0</v>
      </c>
      <c r="D1055" s="194"/>
    </row>
    <row r="1056">
      <c r="A1056" s="67" t="str">
        <f t="shared" si="1"/>
        <v>Thu</v>
      </c>
      <c r="B1056" s="69">
        <v>43664.0</v>
      </c>
      <c r="D1056" s="194"/>
    </row>
    <row r="1057">
      <c r="A1057" s="67" t="str">
        <f t="shared" si="1"/>
        <v>Fri</v>
      </c>
      <c r="B1057" s="69">
        <v>43665.0</v>
      </c>
      <c r="D1057" s="171"/>
    </row>
    <row r="1058">
      <c r="A1058" s="67" t="str">
        <f t="shared" si="1"/>
        <v>Sat</v>
      </c>
      <c r="B1058" s="69">
        <v>43666.0</v>
      </c>
      <c r="D1058" s="171"/>
    </row>
    <row r="1059">
      <c r="A1059" s="67" t="str">
        <f t="shared" si="1"/>
        <v>Sun</v>
      </c>
      <c r="B1059" s="69">
        <v>43667.0</v>
      </c>
      <c r="D1059" s="171"/>
    </row>
    <row r="1060">
      <c r="A1060" s="67" t="str">
        <f t="shared" si="1"/>
        <v>Mon</v>
      </c>
      <c r="B1060" s="69">
        <v>43668.0</v>
      </c>
      <c r="D1060" s="171"/>
    </row>
    <row r="1061">
      <c r="A1061" s="67" t="str">
        <f t="shared" si="1"/>
        <v>Tue</v>
      </c>
      <c r="B1061" s="69">
        <v>43669.0</v>
      </c>
      <c r="D1061" s="171"/>
    </row>
    <row r="1062">
      <c r="A1062" s="67" t="str">
        <f t="shared" si="1"/>
        <v>Wed</v>
      </c>
      <c r="B1062" s="69">
        <v>43670.0</v>
      </c>
      <c r="D1062" s="171"/>
    </row>
    <row r="1063">
      <c r="A1063" s="67" t="str">
        <f t="shared" si="1"/>
        <v>Thu</v>
      </c>
      <c r="B1063" s="69">
        <v>43671.0</v>
      </c>
      <c r="D1063" s="171"/>
    </row>
    <row r="1064">
      <c r="A1064" s="67" t="str">
        <f t="shared" si="1"/>
        <v>Fri</v>
      </c>
      <c r="B1064" s="69">
        <v>43672.0</v>
      </c>
      <c r="D1064" s="171"/>
    </row>
    <row r="1065">
      <c r="A1065" s="67" t="str">
        <f t="shared" si="1"/>
        <v>Sat</v>
      </c>
      <c r="B1065" s="69">
        <v>43673.0</v>
      </c>
      <c r="D1065" s="171"/>
    </row>
    <row r="1066">
      <c r="A1066" s="67" t="str">
        <f t="shared" si="1"/>
        <v>Sun</v>
      </c>
      <c r="B1066" s="69">
        <v>43674.0</v>
      </c>
      <c r="D1066" s="171"/>
    </row>
    <row r="1067">
      <c r="A1067" s="67" t="str">
        <f t="shared" si="1"/>
        <v>Mon</v>
      </c>
      <c r="B1067" s="69">
        <v>43675.0</v>
      </c>
      <c r="D1067" s="171"/>
    </row>
    <row r="1068">
      <c r="A1068" s="67" t="str">
        <f t="shared" si="1"/>
        <v>Tue</v>
      </c>
      <c r="B1068" s="69">
        <v>43676.0</v>
      </c>
      <c r="D1068" s="171"/>
    </row>
    <row r="1069">
      <c r="A1069" s="67" t="str">
        <f t="shared" si="1"/>
        <v>Wed</v>
      </c>
      <c r="B1069" s="69">
        <v>43677.0</v>
      </c>
      <c r="D1069" s="171"/>
    </row>
    <row r="1070">
      <c r="A1070" s="67" t="str">
        <f t="shared" si="1"/>
        <v>Thu</v>
      </c>
      <c r="B1070" s="69">
        <v>43678.0</v>
      </c>
      <c r="D1070" s="171"/>
    </row>
    <row r="1071">
      <c r="A1071" s="67" t="str">
        <f t="shared" si="1"/>
        <v>Fri</v>
      </c>
      <c r="B1071" s="69">
        <v>43679.0</v>
      </c>
      <c r="D1071" s="171"/>
    </row>
    <row r="1072">
      <c r="A1072" s="67" t="str">
        <f t="shared" si="1"/>
        <v>Sat</v>
      </c>
      <c r="B1072" s="69">
        <v>43680.0</v>
      </c>
      <c r="D1072" s="171"/>
    </row>
    <row r="1073">
      <c r="A1073" s="67" t="str">
        <f t="shared" si="1"/>
        <v>Sun</v>
      </c>
      <c r="B1073" s="69">
        <v>43681.0</v>
      </c>
      <c r="D1073" s="171"/>
    </row>
    <row r="1074">
      <c r="A1074" s="67" t="str">
        <f t="shared" si="1"/>
        <v>Mon</v>
      </c>
      <c r="B1074" s="69">
        <v>43682.0</v>
      </c>
      <c r="D1074" s="171"/>
    </row>
    <row r="1075">
      <c r="A1075" s="67" t="str">
        <f t="shared" si="1"/>
        <v>Tue</v>
      </c>
      <c r="B1075" s="69">
        <v>43683.0</v>
      </c>
      <c r="D1075" s="171"/>
    </row>
    <row r="1076">
      <c r="A1076" s="67" t="str">
        <f t="shared" si="1"/>
        <v>Wed</v>
      </c>
      <c r="B1076" s="69">
        <v>43684.0</v>
      </c>
      <c r="D1076" s="171"/>
    </row>
    <row r="1077">
      <c r="A1077" s="67" t="str">
        <f t="shared" si="1"/>
        <v>Thu</v>
      </c>
      <c r="B1077" s="69">
        <v>43685.0</v>
      </c>
      <c r="D1077" s="171"/>
    </row>
    <row r="1078">
      <c r="A1078" s="67" t="str">
        <f t="shared" si="1"/>
        <v>Fri</v>
      </c>
      <c r="B1078" s="69">
        <v>43686.0</v>
      </c>
      <c r="D1078" s="171"/>
    </row>
    <row r="1079">
      <c r="A1079" s="67" t="str">
        <f t="shared" si="1"/>
        <v>Sat</v>
      </c>
      <c r="B1079" s="69">
        <v>43687.0</v>
      </c>
      <c r="D1079" s="171"/>
    </row>
    <row r="1080">
      <c r="A1080" s="67" t="str">
        <f t="shared" si="1"/>
        <v>Sun</v>
      </c>
      <c r="B1080" s="69">
        <v>43688.0</v>
      </c>
      <c r="D1080" s="171"/>
    </row>
    <row r="1081">
      <c r="A1081" s="67" t="str">
        <f t="shared" si="1"/>
        <v>Mon</v>
      </c>
      <c r="B1081" s="69">
        <v>43689.0</v>
      </c>
      <c r="D1081" s="171"/>
    </row>
    <row r="1082">
      <c r="A1082" s="67" t="str">
        <f t="shared" si="1"/>
        <v>Tue</v>
      </c>
      <c r="B1082" s="69">
        <v>43690.0</v>
      </c>
      <c r="D1082" s="171"/>
    </row>
    <row r="1083">
      <c r="A1083" s="67" t="str">
        <f t="shared" si="1"/>
        <v>Wed</v>
      </c>
      <c r="B1083" s="69">
        <v>43691.0</v>
      </c>
      <c r="D1083" s="171"/>
    </row>
    <row r="1084">
      <c r="A1084" s="67" t="str">
        <f t="shared" si="1"/>
        <v>Thu</v>
      </c>
      <c r="B1084" s="69">
        <v>43692.0</v>
      </c>
      <c r="D1084" s="171"/>
    </row>
    <row r="1085">
      <c r="A1085" s="67" t="str">
        <f t="shared" si="1"/>
        <v>Fri</v>
      </c>
      <c r="B1085" s="69">
        <v>43693.0</v>
      </c>
      <c r="D1085" s="171"/>
    </row>
    <row r="1086">
      <c r="A1086" s="67" t="str">
        <f t="shared" si="1"/>
        <v>Sat</v>
      </c>
      <c r="B1086" s="69">
        <v>43694.0</v>
      </c>
      <c r="D1086" s="171"/>
    </row>
    <row r="1087">
      <c r="A1087" s="67" t="str">
        <f t="shared" si="1"/>
        <v>Sun</v>
      </c>
      <c r="B1087" s="69">
        <v>43695.0</v>
      </c>
      <c r="D1087" s="171"/>
    </row>
    <row r="1088">
      <c r="A1088" s="67" t="str">
        <f t="shared" si="1"/>
        <v>Mon</v>
      </c>
      <c r="B1088" s="69">
        <v>43696.0</v>
      </c>
      <c r="D1088" s="171"/>
    </row>
    <row r="1089">
      <c r="A1089" s="67" t="str">
        <f t="shared" si="1"/>
        <v>Tue</v>
      </c>
      <c r="B1089" s="69">
        <v>43697.0</v>
      </c>
      <c r="D1089" s="171"/>
    </row>
    <row r="1090">
      <c r="A1090" s="67" t="str">
        <f t="shared" si="1"/>
        <v>Wed</v>
      </c>
      <c r="B1090" s="69">
        <v>43698.0</v>
      </c>
      <c r="D1090" s="171"/>
    </row>
    <row r="1091">
      <c r="A1091" s="67" t="str">
        <f t="shared" si="1"/>
        <v>Thu</v>
      </c>
      <c r="B1091" s="69">
        <v>43699.0</v>
      </c>
      <c r="D1091" s="194">
        <v>261.90000000000003</v>
      </c>
      <c r="E1091" s="4" t="s">
        <v>222</v>
      </c>
      <c r="F1091" s="4" t="s">
        <v>974</v>
      </c>
      <c r="G1091" s="4" t="s">
        <v>974</v>
      </c>
      <c r="I1091" s="4" t="s">
        <v>224</v>
      </c>
      <c r="K1091" s="4" t="s">
        <v>231</v>
      </c>
      <c r="L1091" s="4" t="s">
        <v>225</v>
      </c>
      <c r="M1091" s="4" t="s">
        <v>975</v>
      </c>
      <c r="N1091" s="4" t="s">
        <v>976</v>
      </c>
      <c r="O1091" s="4" t="s">
        <v>264</v>
      </c>
      <c r="Q1091" s="4" t="s">
        <v>977</v>
      </c>
      <c r="R1091" s="4" t="s">
        <v>978</v>
      </c>
      <c r="S1091" s="4" t="s">
        <v>979</v>
      </c>
    </row>
    <row r="1092">
      <c r="A1092" s="67" t="str">
        <f t="shared" si="1"/>
        <v>Fri</v>
      </c>
      <c r="B1092" s="69">
        <v>43700.0</v>
      </c>
      <c r="D1092" s="194">
        <v>261.90000000000003</v>
      </c>
      <c r="E1092" s="4" t="s">
        <v>222</v>
      </c>
      <c r="F1092" s="4" t="s">
        <v>974</v>
      </c>
      <c r="I1092" s="4" t="s">
        <v>224</v>
      </c>
    </row>
    <row r="1093">
      <c r="A1093" s="67" t="str">
        <f t="shared" si="1"/>
        <v>Sat</v>
      </c>
      <c r="B1093" s="69">
        <v>43701.0</v>
      </c>
      <c r="D1093" s="194">
        <v>261.90000000000003</v>
      </c>
      <c r="E1093" s="4" t="s">
        <v>222</v>
      </c>
      <c r="F1093" s="4" t="s">
        <v>974</v>
      </c>
      <c r="I1093" s="4" t="s">
        <v>224</v>
      </c>
    </row>
    <row r="1094">
      <c r="A1094" s="67" t="str">
        <f t="shared" si="1"/>
        <v>Sun</v>
      </c>
      <c r="B1094" s="69">
        <v>43702.0</v>
      </c>
      <c r="D1094" s="171"/>
      <c r="H1094" s="4" t="s">
        <v>974</v>
      </c>
    </row>
    <row r="1095">
      <c r="A1095" s="67" t="str">
        <f t="shared" si="1"/>
        <v>Mon</v>
      </c>
      <c r="B1095" s="69">
        <v>43703.0</v>
      </c>
      <c r="D1095" s="171"/>
    </row>
    <row r="1096">
      <c r="A1096" s="67" t="str">
        <f t="shared" si="1"/>
        <v>Tue</v>
      </c>
      <c r="B1096" s="69">
        <v>43704.0</v>
      </c>
      <c r="D1096" s="171"/>
    </row>
    <row r="1097">
      <c r="A1097" s="67" t="str">
        <f t="shared" si="1"/>
        <v>Wed</v>
      </c>
      <c r="B1097" s="69">
        <v>43705.0</v>
      </c>
      <c r="D1097" s="171"/>
    </row>
    <row r="1098">
      <c r="A1098" s="67" t="str">
        <f t="shared" si="1"/>
        <v>Thu</v>
      </c>
      <c r="B1098" s="69">
        <v>43706.0</v>
      </c>
      <c r="D1098" s="171"/>
    </row>
    <row r="1099">
      <c r="A1099" s="67" t="str">
        <f t="shared" si="1"/>
        <v>Fri</v>
      </c>
      <c r="B1099" s="69">
        <v>43707.0</v>
      </c>
      <c r="D1099" s="171"/>
    </row>
    <row r="1100">
      <c r="A1100" s="67" t="str">
        <f t="shared" si="1"/>
        <v>Sat</v>
      </c>
      <c r="B1100" s="69">
        <v>43708.0</v>
      </c>
      <c r="D1100" s="171"/>
    </row>
    <row r="1101">
      <c r="A1101" s="67" t="str">
        <f t="shared" si="1"/>
        <v>Sun</v>
      </c>
      <c r="B1101" s="69">
        <v>43709.0</v>
      </c>
      <c r="D1101" s="171"/>
    </row>
    <row r="1102">
      <c r="A1102" s="67" t="str">
        <f t="shared" si="1"/>
        <v>Mon</v>
      </c>
      <c r="B1102" s="69">
        <v>43710.0</v>
      </c>
      <c r="D1102" s="171"/>
    </row>
    <row r="1103">
      <c r="A1103" s="67" t="str">
        <f t="shared" si="1"/>
        <v>Tue</v>
      </c>
      <c r="B1103" s="69">
        <v>43711.0</v>
      </c>
      <c r="D1103" s="171"/>
    </row>
    <row r="1104">
      <c r="A1104" s="67" t="str">
        <f t="shared" si="1"/>
        <v>Wed</v>
      </c>
      <c r="B1104" s="69">
        <v>43712.0</v>
      </c>
      <c r="D1104" s="171"/>
    </row>
    <row r="1105">
      <c r="A1105" s="67" t="str">
        <f t="shared" si="1"/>
        <v>Thu</v>
      </c>
      <c r="B1105" s="69">
        <v>43713.0</v>
      </c>
    </row>
    <row r="1106">
      <c r="A1106" s="67" t="str">
        <f t="shared" si="1"/>
        <v>Fri</v>
      </c>
      <c r="B1106" s="69">
        <v>43714.0</v>
      </c>
    </row>
    <row r="1107">
      <c r="A1107" s="67" t="str">
        <f t="shared" si="1"/>
        <v>Sat</v>
      </c>
      <c r="B1107" s="69">
        <v>43715.0</v>
      </c>
    </row>
    <row r="1108">
      <c r="A1108" s="67" t="str">
        <f t="shared" si="1"/>
        <v>Sun</v>
      </c>
      <c r="B1108" s="69">
        <v>43716.0</v>
      </c>
    </row>
    <row r="1109">
      <c r="A1109" s="67" t="str">
        <f t="shared" si="1"/>
        <v>Mon</v>
      </c>
      <c r="B1109" s="69">
        <v>43717.0</v>
      </c>
    </row>
    <row r="1110">
      <c r="A1110" s="67" t="str">
        <f t="shared" si="1"/>
        <v>Tue</v>
      </c>
      <c r="B1110" s="69">
        <v>43718.0</v>
      </c>
    </row>
    <row r="1111">
      <c r="A1111" s="67" t="str">
        <f t="shared" si="1"/>
        <v>Wed</v>
      </c>
      <c r="B1111" s="69">
        <v>43719.0</v>
      </c>
    </row>
    <row r="1112">
      <c r="A1112" s="67" t="str">
        <f t="shared" si="1"/>
        <v>Thu</v>
      </c>
      <c r="B1112" s="69">
        <v>43720.0</v>
      </c>
      <c r="D1112" s="161">
        <v>222.32399999999998</v>
      </c>
      <c r="E1112" s="4" t="s">
        <v>222</v>
      </c>
      <c r="F1112" s="4" t="s">
        <v>980</v>
      </c>
      <c r="G1112" s="4" t="s">
        <v>980</v>
      </c>
      <c r="I1112" s="4" t="s">
        <v>224</v>
      </c>
      <c r="K1112" s="4" t="s">
        <v>231</v>
      </c>
      <c r="L1112" s="4" t="s">
        <v>240</v>
      </c>
      <c r="M1112" s="4" t="s">
        <v>226</v>
      </c>
      <c r="R1112" s="4" t="s">
        <v>981</v>
      </c>
    </row>
    <row r="1113">
      <c r="A1113" s="67" t="str">
        <f t="shared" si="1"/>
        <v>Fri</v>
      </c>
      <c r="B1113" s="69">
        <v>43721.0</v>
      </c>
      <c r="D1113" s="161">
        <v>222.32399999999998</v>
      </c>
      <c r="E1113" s="4" t="s">
        <v>222</v>
      </c>
      <c r="F1113" s="4" t="s">
        <v>980</v>
      </c>
      <c r="I1113" s="4" t="s">
        <v>224</v>
      </c>
    </row>
    <row r="1114">
      <c r="A1114" s="67" t="str">
        <f t="shared" si="1"/>
        <v>Sat</v>
      </c>
      <c r="B1114" s="69">
        <v>43722.0</v>
      </c>
      <c r="D1114" s="161">
        <v>222.32399999999998</v>
      </c>
      <c r="E1114" s="4" t="s">
        <v>222</v>
      </c>
      <c r="F1114" s="4" t="s">
        <v>980</v>
      </c>
      <c r="I1114" s="4" t="s">
        <v>224</v>
      </c>
    </row>
    <row r="1115">
      <c r="A1115" s="67" t="str">
        <f t="shared" si="1"/>
        <v>Sun</v>
      </c>
      <c r="B1115" s="69">
        <v>43723.0</v>
      </c>
      <c r="D1115" s="161">
        <v>222.32399999999998</v>
      </c>
      <c r="E1115" s="4" t="s">
        <v>222</v>
      </c>
      <c r="F1115" s="4" t="s">
        <v>980</v>
      </c>
      <c r="I1115" s="4" t="s">
        <v>224</v>
      </c>
    </row>
    <row r="1116">
      <c r="A1116" s="67" t="str">
        <f t="shared" si="1"/>
        <v>Mon</v>
      </c>
      <c r="B1116" s="69">
        <v>43724.0</v>
      </c>
      <c r="D1116" s="161">
        <v>222.32399999999998</v>
      </c>
      <c r="E1116" s="4" t="s">
        <v>222</v>
      </c>
      <c r="F1116" s="4" t="s">
        <v>980</v>
      </c>
      <c r="I1116" s="4" t="s">
        <v>224</v>
      </c>
    </row>
    <row r="1117">
      <c r="A1117" s="67" t="str">
        <f t="shared" si="1"/>
        <v>Tue</v>
      </c>
      <c r="B1117" s="69">
        <v>43725.0</v>
      </c>
      <c r="H1117" s="4" t="s">
        <v>980</v>
      </c>
    </row>
    <row r="1118">
      <c r="A1118" s="67" t="str">
        <f t="shared" si="1"/>
        <v>Wed</v>
      </c>
      <c r="B1118" s="69">
        <v>43726.0</v>
      </c>
    </row>
    <row r="1119">
      <c r="A1119" s="67" t="str">
        <f t="shared" si="1"/>
        <v>Thu</v>
      </c>
      <c r="B1119" s="69">
        <v>43727.0</v>
      </c>
    </row>
    <row r="1120">
      <c r="A1120" s="67" t="str">
        <f t="shared" si="1"/>
        <v>Fri</v>
      </c>
      <c r="B1120" s="69">
        <v>43728.0</v>
      </c>
    </row>
    <row r="1121">
      <c r="A1121" s="67" t="str">
        <f t="shared" si="1"/>
        <v>Sat</v>
      </c>
      <c r="B1121" s="69">
        <v>43729.0</v>
      </c>
    </row>
    <row r="1122">
      <c r="A1122" s="67" t="str">
        <f t="shared" si="1"/>
        <v>Sun</v>
      </c>
      <c r="B1122" s="69">
        <v>43730.0</v>
      </c>
    </row>
    <row r="1123">
      <c r="A1123" s="67" t="str">
        <f t="shared" si="1"/>
        <v>Mon</v>
      </c>
      <c r="B1123" s="69">
        <v>43731.0</v>
      </c>
    </row>
    <row r="1124">
      <c r="A1124" s="67" t="str">
        <f t="shared" si="1"/>
        <v>Tue</v>
      </c>
      <c r="B1124" s="69">
        <v>43732.0</v>
      </c>
    </row>
    <row r="1125">
      <c r="A1125" s="67" t="str">
        <f t="shared" si="1"/>
        <v>Wed</v>
      </c>
      <c r="B1125" s="69">
        <v>43733.0</v>
      </c>
    </row>
    <row r="1126">
      <c r="A1126" s="67" t="str">
        <f t="shared" si="1"/>
        <v>Thu</v>
      </c>
      <c r="B1126" s="69">
        <v>43734.0</v>
      </c>
    </row>
    <row r="1127">
      <c r="A1127" s="67" t="str">
        <f t="shared" si="1"/>
        <v>Fri</v>
      </c>
      <c r="B1127" s="69">
        <v>43735.0</v>
      </c>
      <c r="D1127" s="161">
        <v>261.9</v>
      </c>
      <c r="E1127" s="4" t="s">
        <v>222</v>
      </c>
      <c r="F1127" s="4" t="s">
        <v>982</v>
      </c>
      <c r="G1127" s="4" t="s">
        <v>982</v>
      </c>
      <c r="I1127" s="4" t="s">
        <v>224</v>
      </c>
      <c r="K1127" s="4" t="s">
        <v>231</v>
      </c>
      <c r="L1127" s="4" t="s">
        <v>240</v>
      </c>
      <c r="M1127" s="4" t="s">
        <v>226</v>
      </c>
      <c r="N1127" s="4" t="s">
        <v>232</v>
      </c>
      <c r="O1127" s="4" t="s">
        <v>983</v>
      </c>
      <c r="R1127" s="4" t="s">
        <v>984</v>
      </c>
    </row>
    <row r="1128">
      <c r="A1128" s="67" t="str">
        <f t="shared" si="1"/>
        <v>Sat</v>
      </c>
      <c r="B1128" s="69">
        <v>43736.0</v>
      </c>
      <c r="D1128" s="161">
        <v>261.9</v>
      </c>
      <c r="E1128" s="4" t="s">
        <v>222</v>
      </c>
      <c r="F1128" s="4" t="s">
        <v>982</v>
      </c>
      <c r="I1128" s="4" t="s">
        <v>224</v>
      </c>
    </row>
    <row r="1129">
      <c r="A1129" s="67" t="str">
        <f t="shared" si="1"/>
        <v>Sun</v>
      </c>
      <c r="B1129" s="69">
        <v>43737.0</v>
      </c>
      <c r="H1129" s="4" t="s">
        <v>982</v>
      </c>
    </row>
    <row r="1130">
      <c r="A1130" s="67" t="str">
        <f t="shared" si="1"/>
        <v>Mon</v>
      </c>
      <c r="B1130" s="69">
        <v>43738.0</v>
      </c>
    </row>
    <row r="1131">
      <c r="A1131" s="67" t="str">
        <f t="shared" si="1"/>
        <v>Tue</v>
      </c>
      <c r="B1131" s="69">
        <v>43739.0</v>
      </c>
    </row>
    <row r="1132">
      <c r="A1132" s="67" t="str">
        <f t="shared" si="1"/>
        <v>Wed</v>
      </c>
      <c r="B1132" s="69">
        <v>43740.0</v>
      </c>
    </row>
    <row r="1133">
      <c r="A1133" s="67" t="str">
        <f t="shared" si="1"/>
        <v>Thu</v>
      </c>
      <c r="B1133" s="69">
        <v>43741.0</v>
      </c>
    </row>
    <row r="1134">
      <c r="A1134" s="67" t="str">
        <f t="shared" si="1"/>
        <v>Fri</v>
      </c>
      <c r="B1134" s="69">
        <v>43742.0</v>
      </c>
    </row>
    <row r="1135">
      <c r="A1135" s="67" t="str">
        <f t="shared" si="1"/>
        <v>Sat</v>
      </c>
      <c r="B1135" s="69">
        <v>43743.0</v>
      </c>
    </row>
    <row r="1136">
      <c r="A1136" s="67" t="str">
        <f t="shared" si="1"/>
        <v>Sun</v>
      </c>
      <c r="B1136" s="69">
        <v>43744.0</v>
      </c>
    </row>
    <row r="1137">
      <c r="A1137" s="67" t="str">
        <f t="shared" si="1"/>
        <v>Mon</v>
      </c>
      <c r="B1137" s="69">
        <v>43745.0</v>
      </c>
    </row>
    <row r="1138">
      <c r="A1138" s="67" t="str">
        <f t="shared" si="1"/>
        <v>Tue</v>
      </c>
      <c r="B1138" s="69">
        <v>43746.0</v>
      </c>
    </row>
    <row r="1139">
      <c r="A1139" s="67" t="str">
        <f t="shared" si="1"/>
        <v>Wed</v>
      </c>
      <c r="B1139" s="69">
        <v>43747.0</v>
      </c>
    </row>
    <row r="1140">
      <c r="A1140" s="67" t="str">
        <f t="shared" si="1"/>
        <v>Thu</v>
      </c>
      <c r="B1140" s="69">
        <v>43748.0</v>
      </c>
    </row>
    <row r="1141">
      <c r="A1141" s="67" t="str">
        <f t="shared" si="1"/>
        <v>Fri</v>
      </c>
      <c r="B1141" s="69">
        <v>43749.0</v>
      </c>
    </row>
    <row r="1142">
      <c r="A1142" s="67" t="str">
        <f t="shared" si="1"/>
        <v>Sat</v>
      </c>
      <c r="B1142" s="69">
        <v>43750.0</v>
      </c>
    </row>
    <row r="1143">
      <c r="A1143" s="67" t="str">
        <f t="shared" si="1"/>
        <v>Sun</v>
      </c>
      <c r="B1143" s="69">
        <v>43751.0</v>
      </c>
    </row>
    <row r="1144">
      <c r="A1144" s="67" t="str">
        <f t="shared" si="1"/>
        <v>Mon</v>
      </c>
      <c r="B1144" s="69">
        <v>43752.0</v>
      </c>
    </row>
    <row r="1145">
      <c r="A1145" s="67" t="str">
        <f t="shared" si="1"/>
        <v>Tue</v>
      </c>
      <c r="B1145" s="69">
        <v>43753.0</v>
      </c>
    </row>
    <row r="1146">
      <c r="A1146" s="67" t="str">
        <f t="shared" si="1"/>
        <v>Wed</v>
      </c>
      <c r="B1146" s="69">
        <v>43754.0</v>
      </c>
    </row>
    <row r="1147">
      <c r="A1147" s="67" t="str">
        <f t="shared" si="1"/>
        <v>Thu</v>
      </c>
      <c r="B1147" s="69">
        <v>43755.0</v>
      </c>
    </row>
    <row r="1148">
      <c r="A1148" s="67" t="str">
        <f t="shared" si="1"/>
        <v>Fri</v>
      </c>
      <c r="B1148" s="69">
        <v>43756.0</v>
      </c>
    </row>
    <row r="1149">
      <c r="A1149" s="67" t="str">
        <f t="shared" si="1"/>
        <v>Sat</v>
      </c>
      <c r="B1149" s="69">
        <v>43757.0</v>
      </c>
    </row>
    <row r="1150">
      <c r="A1150" s="67" t="str">
        <f t="shared" si="1"/>
        <v>Sun</v>
      </c>
      <c r="B1150" s="69">
        <v>43758.0</v>
      </c>
    </row>
    <row r="1151">
      <c r="A1151" s="67" t="str">
        <f t="shared" si="1"/>
        <v>Mon</v>
      </c>
      <c r="B1151" s="69">
        <v>43759.0</v>
      </c>
    </row>
    <row r="1152">
      <c r="A1152" s="67" t="str">
        <f t="shared" si="1"/>
        <v>Tue</v>
      </c>
      <c r="B1152" s="69">
        <v>43760.0</v>
      </c>
    </row>
    <row r="1153">
      <c r="A1153" s="67" t="str">
        <f t="shared" si="1"/>
        <v>Wed</v>
      </c>
      <c r="B1153" s="69">
        <v>43761.0</v>
      </c>
    </row>
    <row r="1154">
      <c r="A1154" s="67" t="str">
        <f t="shared" si="1"/>
        <v>Thu</v>
      </c>
      <c r="B1154" s="69">
        <v>43762.0</v>
      </c>
    </row>
    <row r="1155">
      <c r="A1155" s="67" t="str">
        <f t="shared" si="1"/>
        <v>Fri</v>
      </c>
      <c r="B1155" s="69">
        <v>43763.0</v>
      </c>
    </row>
    <row r="1156">
      <c r="A1156" s="67" t="str">
        <f t="shared" si="1"/>
        <v>Sat</v>
      </c>
      <c r="B1156" s="69">
        <v>43764.0</v>
      </c>
    </row>
    <row r="1157">
      <c r="A1157" s="67" t="str">
        <f t="shared" si="1"/>
        <v>Sun</v>
      </c>
      <c r="B1157" s="69">
        <v>43765.0</v>
      </c>
    </row>
    <row r="1158">
      <c r="A1158" s="67" t="str">
        <f t="shared" si="1"/>
        <v>Mon</v>
      </c>
      <c r="B1158" s="69">
        <v>43766.0</v>
      </c>
    </row>
    <row r="1159">
      <c r="A1159" s="67" t="str">
        <f t="shared" si="1"/>
        <v>Tue</v>
      </c>
      <c r="B1159" s="69">
        <v>43767.0</v>
      </c>
    </row>
    <row r="1160">
      <c r="A1160" s="67" t="str">
        <f t="shared" si="1"/>
        <v>Wed</v>
      </c>
      <c r="B1160" s="69">
        <v>43768.0</v>
      </c>
    </row>
    <row r="1161">
      <c r="A1161" s="67" t="str">
        <f t="shared" si="1"/>
        <v>Thu</v>
      </c>
      <c r="B1161" s="69">
        <v>43769.0</v>
      </c>
    </row>
    <row r="1162">
      <c r="A1162" s="67" t="str">
        <f t="shared" si="1"/>
        <v>Fri</v>
      </c>
      <c r="B1162" s="69">
        <v>43770.0</v>
      </c>
    </row>
    <row r="1163">
      <c r="A1163" s="67" t="str">
        <f t="shared" si="1"/>
        <v>Sat</v>
      </c>
      <c r="B1163" s="69">
        <v>43771.0</v>
      </c>
    </row>
    <row r="1164">
      <c r="A1164" s="67" t="str">
        <f t="shared" si="1"/>
        <v>Sun</v>
      </c>
      <c r="B1164" s="69">
        <v>43772.0</v>
      </c>
    </row>
    <row r="1165">
      <c r="A1165" s="67" t="str">
        <f t="shared" si="1"/>
        <v>Mon</v>
      </c>
      <c r="B1165" s="69">
        <v>43773.0</v>
      </c>
    </row>
    <row r="1166">
      <c r="A1166" s="67" t="str">
        <f t="shared" si="1"/>
        <v>Tue</v>
      </c>
      <c r="B1166" s="69">
        <v>43774.0</v>
      </c>
    </row>
    <row r="1167">
      <c r="A1167" s="67" t="str">
        <f t="shared" si="1"/>
        <v>Wed</v>
      </c>
      <c r="B1167" s="69">
        <v>43775.0</v>
      </c>
    </row>
    <row r="1168">
      <c r="A1168" s="67" t="str">
        <f t="shared" si="1"/>
        <v>Thu</v>
      </c>
      <c r="B1168" s="69">
        <v>43776.0</v>
      </c>
    </row>
    <row r="1169">
      <c r="A1169" s="67" t="str">
        <f t="shared" si="1"/>
        <v>Fri</v>
      </c>
      <c r="B1169" s="69">
        <v>43777.0</v>
      </c>
    </row>
    <row r="1170">
      <c r="A1170" s="67" t="str">
        <f t="shared" si="1"/>
        <v>Sat</v>
      </c>
      <c r="B1170" s="69">
        <v>43778.0</v>
      </c>
    </row>
    <row r="1171">
      <c r="A1171" s="67" t="str">
        <f t="shared" si="1"/>
        <v>Sun</v>
      </c>
      <c r="B1171" s="69">
        <v>43779.0</v>
      </c>
    </row>
    <row r="1172">
      <c r="A1172" s="67" t="str">
        <f t="shared" si="1"/>
        <v>Mon</v>
      </c>
      <c r="B1172" s="69">
        <v>43780.0</v>
      </c>
    </row>
    <row r="1173">
      <c r="A1173" s="67" t="str">
        <f t="shared" si="1"/>
        <v>Tue</v>
      </c>
      <c r="B1173" s="69">
        <v>43781.0</v>
      </c>
    </row>
    <row r="1174">
      <c r="A1174" s="67" t="str">
        <f t="shared" si="1"/>
        <v>Wed</v>
      </c>
      <c r="B1174" s="69">
        <v>43782.0</v>
      </c>
    </row>
    <row r="1175">
      <c r="A1175" s="67" t="str">
        <f t="shared" si="1"/>
        <v>Thu</v>
      </c>
      <c r="B1175" s="69">
        <v>43783.0</v>
      </c>
    </row>
    <row r="1176">
      <c r="A1176" s="67" t="str">
        <f t="shared" si="1"/>
        <v>Fri</v>
      </c>
      <c r="B1176" s="69">
        <v>43784.0</v>
      </c>
    </row>
    <row r="1177">
      <c r="A1177" s="67" t="str">
        <f t="shared" si="1"/>
        <v>Sat</v>
      </c>
      <c r="B1177" s="69">
        <v>43785.0</v>
      </c>
    </row>
    <row r="1178">
      <c r="A1178" s="67" t="str">
        <f t="shared" si="1"/>
        <v>Sun</v>
      </c>
      <c r="B1178" s="69">
        <v>43786.0</v>
      </c>
    </row>
    <row r="1179">
      <c r="A1179" s="67" t="str">
        <f t="shared" si="1"/>
        <v>Mon</v>
      </c>
      <c r="B1179" s="69">
        <v>43787.0</v>
      </c>
    </row>
    <row r="1180">
      <c r="A1180" s="67" t="str">
        <f t="shared" si="1"/>
        <v>Tue</v>
      </c>
      <c r="B1180" s="69">
        <v>43788.0</v>
      </c>
    </row>
    <row r="1181">
      <c r="A1181" s="67" t="str">
        <f t="shared" si="1"/>
        <v>Wed</v>
      </c>
      <c r="B1181" s="69">
        <v>43789.0</v>
      </c>
    </row>
    <row r="1182">
      <c r="A1182" s="67" t="str">
        <f t="shared" si="1"/>
        <v>Thu</v>
      </c>
      <c r="B1182" s="69">
        <v>43790.0</v>
      </c>
    </row>
    <row r="1183">
      <c r="A1183" s="67" t="str">
        <f t="shared" si="1"/>
        <v>Fri</v>
      </c>
      <c r="B1183" s="69">
        <v>43791.0</v>
      </c>
    </row>
    <row r="1184">
      <c r="A1184" s="67" t="str">
        <f t="shared" si="1"/>
        <v>Sat</v>
      </c>
      <c r="B1184" s="69">
        <v>43792.0</v>
      </c>
    </row>
    <row r="1185">
      <c r="A1185" s="67" t="str">
        <f t="shared" si="1"/>
        <v>Sun</v>
      </c>
      <c r="B1185" s="69">
        <v>43793.0</v>
      </c>
    </row>
    <row r="1186">
      <c r="A1186" s="67" t="str">
        <f t="shared" si="1"/>
        <v>Mon</v>
      </c>
      <c r="B1186" s="69">
        <v>43794.0</v>
      </c>
    </row>
    <row r="1187">
      <c r="A1187" s="67" t="str">
        <f t="shared" si="1"/>
        <v>Tue</v>
      </c>
      <c r="B1187" s="69">
        <v>43795.0</v>
      </c>
    </row>
    <row r="1188">
      <c r="A1188" s="67" t="str">
        <f t="shared" si="1"/>
        <v>Wed</v>
      </c>
      <c r="B1188" s="69">
        <v>43796.0</v>
      </c>
    </row>
    <row r="1189">
      <c r="A1189" s="67" t="str">
        <f t="shared" si="1"/>
        <v>Thu</v>
      </c>
      <c r="B1189" s="69">
        <v>43797.0</v>
      </c>
    </row>
    <row r="1190">
      <c r="A1190" s="67" t="str">
        <f t="shared" si="1"/>
        <v>Fri</v>
      </c>
      <c r="B1190" s="69">
        <v>43798.0</v>
      </c>
    </row>
    <row r="1191">
      <c r="A1191" s="67" t="str">
        <f t="shared" si="1"/>
        <v>Sat</v>
      </c>
      <c r="B1191" s="69">
        <v>43799.0</v>
      </c>
    </row>
    <row r="1192">
      <c r="A1192" s="67" t="str">
        <f t="shared" si="1"/>
        <v>Sun</v>
      </c>
      <c r="B1192" s="69">
        <v>43800.0</v>
      </c>
    </row>
    <row r="1193">
      <c r="A1193" s="67" t="str">
        <f t="shared" si="1"/>
        <v>Mon</v>
      </c>
      <c r="B1193" s="69">
        <v>43801.0</v>
      </c>
    </row>
    <row r="1194">
      <c r="A1194" s="67" t="str">
        <f t="shared" si="1"/>
        <v>Tue</v>
      </c>
      <c r="B1194" s="69">
        <v>43802.0</v>
      </c>
    </row>
    <row r="1195">
      <c r="A1195" s="67" t="str">
        <f t="shared" si="1"/>
        <v>Wed</v>
      </c>
      <c r="B1195" s="69">
        <v>43803.0</v>
      </c>
    </row>
    <row r="1196">
      <c r="A1196" s="67" t="str">
        <f t="shared" si="1"/>
        <v>Thu</v>
      </c>
      <c r="B1196" s="69">
        <v>43804.0</v>
      </c>
    </row>
    <row r="1197">
      <c r="A1197" s="67" t="str">
        <f t="shared" si="1"/>
        <v>Fri</v>
      </c>
      <c r="B1197" s="69">
        <v>43805.0</v>
      </c>
    </row>
    <row r="1198">
      <c r="A1198" s="67" t="str">
        <f t="shared" si="1"/>
        <v>Sat</v>
      </c>
      <c r="B1198" s="69">
        <v>43806.0</v>
      </c>
    </row>
    <row r="1199">
      <c r="A1199" s="67" t="str">
        <f t="shared" si="1"/>
        <v>Sun</v>
      </c>
      <c r="B1199" s="69">
        <v>43807.0</v>
      </c>
    </row>
    <row r="1200">
      <c r="A1200" s="67" t="str">
        <f t="shared" si="1"/>
        <v>Mon</v>
      </c>
      <c r="B1200" s="69">
        <v>43808.0</v>
      </c>
    </row>
    <row r="1201">
      <c r="A1201" s="67" t="str">
        <f t="shared" si="1"/>
        <v>Tue</v>
      </c>
      <c r="B1201" s="69">
        <v>43809.0</v>
      </c>
    </row>
    <row r="1202">
      <c r="A1202" s="67" t="str">
        <f t="shared" si="1"/>
        <v>Wed</v>
      </c>
      <c r="B1202" s="69">
        <v>43810.0</v>
      </c>
    </row>
    <row r="1203">
      <c r="A1203" s="67" t="str">
        <f t="shared" si="1"/>
        <v>Thu</v>
      </c>
      <c r="B1203" s="69">
        <v>43811.0</v>
      </c>
    </row>
    <row r="1204">
      <c r="A1204" s="67" t="str">
        <f t="shared" si="1"/>
        <v>Fri</v>
      </c>
      <c r="B1204" s="69">
        <v>43812.0</v>
      </c>
    </row>
    <row r="1205">
      <c r="A1205" s="67" t="str">
        <f t="shared" si="1"/>
        <v>Sat</v>
      </c>
      <c r="B1205" s="69">
        <v>43813.0</v>
      </c>
    </row>
    <row r="1206">
      <c r="A1206" s="67" t="str">
        <f t="shared" si="1"/>
        <v>Sun</v>
      </c>
      <c r="B1206" s="69">
        <v>43814.0</v>
      </c>
    </row>
    <row r="1207">
      <c r="A1207" s="67" t="str">
        <f t="shared" si="1"/>
        <v>Mon</v>
      </c>
      <c r="B1207" s="69">
        <v>43815.0</v>
      </c>
    </row>
    <row r="1208">
      <c r="A1208" s="67" t="str">
        <f t="shared" si="1"/>
        <v>Tue</v>
      </c>
      <c r="B1208" s="69">
        <v>43816.0</v>
      </c>
    </row>
    <row r="1209">
      <c r="A1209" s="67" t="str">
        <f t="shared" si="1"/>
        <v>Wed</v>
      </c>
      <c r="B1209" s="69">
        <v>43817.0</v>
      </c>
    </row>
    <row r="1210">
      <c r="A1210" s="67" t="str">
        <f t="shared" si="1"/>
        <v>Thu</v>
      </c>
      <c r="B1210" s="69">
        <v>43818.0</v>
      </c>
    </row>
    <row r="1211">
      <c r="A1211" s="67" t="str">
        <f t="shared" si="1"/>
        <v>Fri</v>
      </c>
      <c r="B1211" s="69">
        <v>43819.0</v>
      </c>
      <c r="D1211" s="161">
        <v>538.35</v>
      </c>
      <c r="E1211" s="4" t="s">
        <v>222</v>
      </c>
      <c r="F1211" s="4" t="s">
        <v>989</v>
      </c>
      <c r="G1211" s="4" t="s">
        <v>989</v>
      </c>
      <c r="I1211" s="4" t="s">
        <v>224</v>
      </c>
      <c r="K1211" s="4" t="s">
        <v>231</v>
      </c>
      <c r="L1211" s="4" t="s">
        <v>229</v>
      </c>
      <c r="M1211" s="4" t="s">
        <v>990</v>
      </c>
      <c r="N1211" s="4" t="s">
        <v>991</v>
      </c>
      <c r="O1211" s="4" t="s">
        <v>264</v>
      </c>
      <c r="Q1211" s="4" t="s">
        <v>992</v>
      </c>
      <c r="R1211" s="4" t="s">
        <v>993</v>
      </c>
      <c r="S1211" s="4" t="s">
        <v>994</v>
      </c>
    </row>
    <row r="1212">
      <c r="A1212" s="67" t="str">
        <f t="shared" si="1"/>
        <v>Sat</v>
      </c>
      <c r="B1212" s="69">
        <v>43820.0</v>
      </c>
      <c r="D1212" s="161">
        <v>538.35</v>
      </c>
      <c r="E1212" s="4" t="s">
        <v>222</v>
      </c>
      <c r="F1212" s="4" t="s">
        <v>989</v>
      </c>
      <c r="I1212" s="4" t="s">
        <v>224</v>
      </c>
    </row>
    <row r="1213">
      <c r="A1213" s="67" t="str">
        <f t="shared" si="1"/>
        <v>Sun</v>
      </c>
      <c r="B1213" s="69">
        <v>43821.0</v>
      </c>
      <c r="D1213" s="161">
        <v>538.35</v>
      </c>
      <c r="E1213" s="4" t="s">
        <v>222</v>
      </c>
      <c r="F1213" s="4" t="s">
        <v>989</v>
      </c>
      <c r="I1213" s="4" t="s">
        <v>224</v>
      </c>
    </row>
    <row r="1214">
      <c r="A1214" s="67" t="str">
        <f t="shared" si="1"/>
        <v>Mon</v>
      </c>
      <c r="B1214" s="69">
        <v>43822.0</v>
      </c>
      <c r="D1214" s="161">
        <v>538.35</v>
      </c>
      <c r="E1214" s="4" t="s">
        <v>222</v>
      </c>
      <c r="F1214" s="4" t="s">
        <v>989</v>
      </c>
      <c r="I1214" s="4" t="s">
        <v>224</v>
      </c>
    </row>
    <row r="1215">
      <c r="A1215" s="67" t="str">
        <f t="shared" si="1"/>
        <v>Tue</v>
      </c>
      <c r="B1215" s="69">
        <v>43823.0</v>
      </c>
      <c r="D1215" s="161">
        <v>538.35</v>
      </c>
      <c r="E1215" s="4" t="s">
        <v>222</v>
      </c>
      <c r="F1215" s="4" t="s">
        <v>989</v>
      </c>
      <c r="I1215" s="4" t="s">
        <v>224</v>
      </c>
    </row>
    <row r="1216">
      <c r="A1216" s="67" t="str">
        <f t="shared" si="1"/>
        <v>Wed</v>
      </c>
      <c r="B1216" s="69">
        <v>43824.0</v>
      </c>
      <c r="D1216" s="161">
        <v>538.35</v>
      </c>
      <c r="E1216" s="4" t="s">
        <v>222</v>
      </c>
      <c r="F1216" s="4" t="s">
        <v>989</v>
      </c>
      <c r="I1216" s="4" t="s">
        <v>224</v>
      </c>
    </row>
    <row r="1217">
      <c r="A1217" s="67" t="str">
        <f t="shared" si="1"/>
        <v>Thu</v>
      </c>
      <c r="B1217" s="69">
        <v>43825.0</v>
      </c>
      <c r="H1217" s="4" t="s">
        <v>989</v>
      </c>
    </row>
    <row r="1218">
      <c r="A1218" s="67" t="str">
        <f t="shared" si="1"/>
        <v>Fri</v>
      </c>
      <c r="B1218" s="69">
        <v>43826.0</v>
      </c>
    </row>
    <row r="1219">
      <c r="A1219" s="67" t="str">
        <f t="shared" si="1"/>
        <v>Sat</v>
      </c>
      <c r="B1219" s="69">
        <v>43827.0</v>
      </c>
    </row>
    <row r="1220">
      <c r="A1220" s="67" t="str">
        <f t="shared" si="1"/>
        <v>Sun</v>
      </c>
      <c r="B1220" s="69">
        <v>43828.0</v>
      </c>
    </row>
    <row r="1221">
      <c r="A1221" s="67" t="str">
        <f t="shared" si="1"/>
        <v>Mon</v>
      </c>
      <c r="B1221" s="69">
        <v>43829.0</v>
      </c>
    </row>
    <row r="1222">
      <c r="A1222" s="67" t="str">
        <f t="shared" si="1"/>
        <v>Tue</v>
      </c>
      <c r="B1222" s="69">
        <v>43830.0</v>
      </c>
    </row>
    <row r="1223">
      <c r="A1223" s="67" t="str">
        <f t="shared" si="1"/>
        <v>Wed</v>
      </c>
      <c r="B1223" s="69">
        <v>43831.0</v>
      </c>
    </row>
    <row r="1224">
      <c r="A1224" s="67" t="str">
        <f t="shared" si="1"/>
        <v>Thu</v>
      </c>
      <c r="B1224" s="69">
        <v>43832.0</v>
      </c>
    </row>
    <row r="1225">
      <c r="A1225" s="67" t="str">
        <f t="shared" si="1"/>
        <v>Fri</v>
      </c>
      <c r="B1225" s="69">
        <v>43833.0</v>
      </c>
    </row>
    <row r="1226">
      <c r="A1226" s="67" t="str">
        <f t="shared" si="1"/>
        <v>Sat</v>
      </c>
      <c r="B1226" s="69">
        <v>43834.0</v>
      </c>
    </row>
    <row r="1227">
      <c r="A1227" s="67" t="str">
        <f t="shared" si="1"/>
        <v>Sun</v>
      </c>
      <c r="B1227" s="69">
        <v>43835.0</v>
      </c>
    </row>
    <row r="1228">
      <c r="A1228" s="67" t="str">
        <f t="shared" si="1"/>
        <v>Mon</v>
      </c>
      <c r="B1228" s="69">
        <v>43836.0</v>
      </c>
    </row>
    <row r="1229">
      <c r="A1229" s="67" t="str">
        <f t="shared" si="1"/>
        <v>Tue</v>
      </c>
      <c r="B1229" s="69">
        <v>43837.0</v>
      </c>
    </row>
    <row r="1230">
      <c r="A1230" s="67" t="str">
        <f t="shared" si="1"/>
        <v>Wed</v>
      </c>
      <c r="B1230" s="69">
        <v>43838.0</v>
      </c>
    </row>
    <row r="1231">
      <c r="A1231" s="67" t="str">
        <f t="shared" si="1"/>
        <v>Thu</v>
      </c>
      <c r="B1231" s="69">
        <v>43839.0</v>
      </c>
    </row>
    <row r="1232">
      <c r="A1232" s="67" t="str">
        <f t="shared" si="1"/>
        <v>Fri</v>
      </c>
      <c r="B1232" s="69">
        <v>43840.0</v>
      </c>
    </row>
    <row r="1233">
      <c r="A1233" s="67" t="str">
        <f t="shared" si="1"/>
        <v>Sat</v>
      </c>
      <c r="B1233" s="69">
        <v>43841.0</v>
      </c>
    </row>
    <row r="1234">
      <c r="A1234" s="67" t="str">
        <f t="shared" si="1"/>
        <v>Sun</v>
      </c>
      <c r="B1234" s="69">
        <v>43842.0</v>
      </c>
    </row>
    <row r="1235">
      <c r="A1235" s="67" t="str">
        <f t="shared" si="1"/>
        <v>Mon</v>
      </c>
      <c r="B1235" s="69">
        <v>43843.0</v>
      </c>
    </row>
    <row r="1236">
      <c r="A1236" s="67" t="str">
        <f t="shared" si="1"/>
        <v>Tue</v>
      </c>
      <c r="B1236" s="69">
        <v>43844.0</v>
      </c>
    </row>
    <row r="1237">
      <c r="A1237" s="67" t="str">
        <f t="shared" si="1"/>
        <v>Wed</v>
      </c>
      <c r="B1237" s="69">
        <v>43845.0</v>
      </c>
    </row>
    <row r="1238">
      <c r="A1238" s="67" t="str">
        <f t="shared" si="1"/>
        <v>Thu</v>
      </c>
      <c r="B1238" s="69">
        <v>43846.0</v>
      </c>
    </row>
    <row r="1239">
      <c r="A1239" s="67" t="str">
        <f t="shared" si="1"/>
        <v>Fri</v>
      </c>
      <c r="B1239" s="69">
        <v>43847.0</v>
      </c>
    </row>
    <row r="1240">
      <c r="A1240" s="67" t="str">
        <f t="shared" si="1"/>
        <v>Sat</v>
      </c>
      <c r="B1240" s="69">
        <v>43848.0</v>
      </c>
    </row>
    <row r="1241">
      <c r="A1241" s="67" t="str">
        <f t="shared" si="1"/>
        <v>Sun</v>
      </c>
      <c r="B1241" s="69">
        <v>43849.0</v>
      </c>
    </row>
    <row r="1242">
      <c r="A1242" s="67" t="str">
        <f t="shared" si="1"/>
        <v>Mon</v>
      </c>
      <c r="B1242" s="69">
        <v>43850.0</v>
      </c>
    </row>
    <row r="1243">
      <c r="A1243" s="67" t="str">
        <f t="shared" si="1"/>
        <v>Tue</v>
      </c>
      <c r="B1243" s="69">
        <v>43851.0</v>
      </c>
    </row>
    <row r="1244">
      <c r="A1244" s="67" t="str">
        <f t="shared" si="1"/>
        <v>Wed</v>
      </c>
      <c r="B1244" s="69">
        <v>43852.0</v>
      </c>
    </row>
    <row r="1245">
      <c r="A1245" s="67" t="str">
        <f t="shared" si="1"/>
        <v>Thu</v>
      </c>
      <c r="B1245" s="69">
        <v>43853.0</v>
      </c>
    </row>
    <row r="1246">
      <c r="A1246" s="67" t="str">
        <f t="shared" si="1"/>
        <v>Fri</v>
      </c>
      <c r="B1246" s="69">
        <v>43854.0</v>
      </c>
    </row>
    <row r="1247">
      <c r="A1247" s="67" t="str">
        <f t="shared" si="1"/>
        <v>Sat</v>
      </c>
      <c r="B1247" s="69">
        <v>43855.0</v>
      </c>
    </row>
    <row r="1248">
      <c r="A1248" s="67" t="str">
        <f t="shared" si="1"/>
        <v>Sun</v>
      </c>
      <c r="B1248" s="69">
        <v>43856.0</v>
      </c>
    </row>
    <row r="1249">
      <c r="A1249" s="67" t="str">
        <f t="shared" si="1"/>
        <v>Mon</v>
      </c>
      <c r="B1249" s="69">
        <v>43857.0</v>
      </c>
    </row>
    <row r="1250">
      <c r="A1250" s="67" t="str">
        <f t="shared" si="1"/>
        <v>Tue</v>
      </c>
      <c r="B1250" s="69">
        <v>43858.0</v>
      </c>
    </row>
    <row r="1251">
      <c r="A1251" s="67" t="str">
        <f t="shared" si="1"/>
        <v>Wed</v>
      </c>
      <c r="B1251" s="69">
        <v>43859.0</v>
      </c>
    </row>
    <row r="1252">
      <c r="A1252" s="67" t="str">
        <f t="shared" si="1"/>
        <v>Thu</v>
      </c>
      <c r="B1252" s="69">
        <v>43860.0</v>
      </c>
    </row>
    <row r="1253">
      <c r="A1253" s="67" t="str">
        <f t="shared" si="1"/>
        <v>Fri</v>
      </c>
      <c r="B1253" s="69">
        <v>43861.0</v>
      </c>
    </row>
    <row r="1254">
      <c r="A1254" s="67" t="str">
        <f t="shared" si="1"/>
        <v>Sat</v>
      </c>
      <c r="B1254" s="69">
        <v>43862.0</v>
      </c>
    </row>
    <row r="1255">
      <c r="A1255" s="67" t="str">
        <f t="shared" si="1"/>
        <v>Sun</v>
      </c>
      <c r="B1255" s="69">
        <v>43863.0</v>
      </c>
    </row>
    <row r="1256">
      <c r="A1256" s="67" t="str">
        <f t="shared" si="1"/>
        <v>Mon</v>
      </c>
      <c r="B1256" s="69">
        <v>43864.0</v>
      </c>
    </row>
    <row r="1257">
      <c r="A1257" s="67" t="str">
        <f t="shared" si="1"/>
        <v>Tue</v>
      </c>
      <c r="B1257" s="69">
        <v>43865.0</v>
      </c>
    </row>
    <row r="1258">
      <c r="A1258" s="67" t="str">
        <f t="shared" si="1"/>
        <v>Wed</v>
      </c>
      <c r="B1258" s="69">
        <v>43866.0</v>
      </c>
    </row>
    <row r="1259">
      <c r="A1259" s="67" t="str">
        <f t="shared" si="1"/>
        <v>Thu</v>
      </c>
      <c r="B1259" s="69">
        <v>43867.0</v>
      </c>
    </row>
    <row r="1260">
      <c r="A1260" s="67" t="str">
        <f t="shared" si="1"/>
        <v>Fri</v>
      </c>
      <c r="B1260" s="69">
        <v>43868.0</v>
      </c>
    </row>
    <row r="1261">
      <c r="A1261" s="67" t="str">
        <f t="shared" si="1"/>
        <v>Sat</v>
      </c>
      <c r="B1261" s="69">
        <v>43869.0</v>
      </c>
    </row>
    <row r="1262">
      <c r="A1262" s="67" t="str">
        <f t="shared" si="1"/>
        <v>Sun</v>
      </c>
      <c r="B1262" s="69">
        <v>43870.0</v>
      </c>
    </row>
    <row r="1263">
      <c r="A1263" s="67" t="str">
        <f t="shared" si="1"/>
        <v>Mon</v>
      </c>
      <c r="B1263" s="69">
        <v>43871.0</v>
      </c>
    </row>
    <row r="1264">
      <c r="A1264" s="67" t="str">
        <f t="shared" si="1"/>
        <v>Tue</v>
      </c>
      <c r="B1264" s="69">
        <v>43872.0</v>
      </c>
    </row>
    <row r="1265">
      <c r="A1265" s="67" t="str">
        <f t="shared" si="1"/>
        <v>Wed</v>
      </c>
      <c r="B1265" s="69">
        <v>43873.0</v>
      </c>
    </row>
    <row r="1266">
      <c r="A1266" s="67" t="str">
        <f t="shared" si="1"/>
        <v>Thu</v>
      </c>
      <c r="B1266" s="69">
        <v>43874.0</v>
      </c>
    </row>
    <row r="1267">
      <c r="A1267" s="67" t="str">
        <f t="shared" si="1"/>
        <v>Fri</v>
      </c>
      <c r="B1267" s="69">
        <v>43875.0</v>
      </c>
    </row>
    <row r="1268">
      <c r="A1268" s="67" t="str">
        <f t="shared" si="1"/>
        <v>Sat</v>
      </c>
      <c r="B1268" s="69">
        <v>43876.0</v>
      </c>
    </row>
    <row r="1269">
      <c r="A1269" s="67" t="str">
        <f t="shared" si="1"/>
        <v>Sun</v>
      </c>
      <c r="B1269" s="69">
        <v>43877.0</v>
      </c>
    </row>
    <row r="1270">
      <c r="A1270" s="67" t="str">
        <f t="shared" si="1"/>
        <v>Mon</v>
      </c>
      <c r="B1270" s="69">
        <v>43878.0</v>
      </c>
    </row>
    <row r="1271">
      <c r="A1271" s="67" t="str">
        <f t="shared" si="1"/>
        <v>Tue</v>
      </c>
      <c r="B1271" s="69">
        <v>43879.0</v>
      </c>
    </row>
    <row r="1272">
      <c r="A1272" s="67" t="str">
        <f t="shared" si="1"/>
        <v>Wed</v>
      </c>
      <c r="B1272" s="69">
        <v>43880.0</v>
      </c>
    </row>
  </sheetData>
  <mergeCells count="5">
    <mergeCell ref="E1:F1"/>
    <mergeCell ref="E2:F2"/>
    <mergeCell ref="E3:F3"/>
    <mergeCell ref="A1:C3"/>
    <mergeCell ref="G1:R3"/>
  </mergeCells>
  <conditionalFormatting sqref="K978:L981">
    <cfRule type="cellIs" dxfId="0" priority="1" operator="equal">
      <formula>"Enviar email para hotel"</formula>
    </cfRule>
  </conditionalFormatting>
  <conditionalFormatting sqref="K1:L942 K946:L976 K982:L1272">
    <cfRule type="cellIs" dxfId="0" priority="2" operator="equal">
      <formula>"Enviar email para hotel"</formula>
    </cfRule>
  </conditionalFormatting>
  <dataValidations>
    <dataValidation type="list" allowBlank="1" sqref="L858:L976 L978:L1272">
      <formula1>"Enviar email para hotel,Enviado para o hotel,Código de reserva enviado para hóspede,Verificar dados com o hóspede,URGENTE,Fechado"</formula1>
    </dataValidation>
    <dataValidation type="list" allowBlank="1" sqref="K6:L857">
      <formula1>"Enviar email para hotel,Enviado para o hotel,Código de reserva enviado para hóspede,Fechado"</formula1>
    </dataValidation>
    <dataValidation type="list" allowBlank="1" sqref="K858:K976 K978:K1272">
      <formula1>"A PAGAR,PARCIALMENTE PAGO,PAGO"</formula1>
    </dataValidation>
  </dataValidations>
  <hyperlinks>
    <hyperlink display="Sumario" location="Sumario!A1" ref="A4"/>
  </hyperlinks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13.57"/>
    <col customWidth="1" min="4" max="4" width="17.0"/>
  </cols>
  <sheetData>
    <row r="1">
      <c r="A1" s="1"/>
      <c r="B1" s="2"/>
      <c r="C1" s="3"/>
      <c r="D1" s="11" t="s">
        <v>198</v>
      </c>
      <c r="E1" s="153" t="s">
        <v>199</v>
      </c>
      <c r="F1" s="3"/>
      <c r="G1" s="154" t="s">
        <v>512</v>
      </c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155"/>
    </row>
    <row r="2">
      <c r="A2" s="13"/>
      <c r="C2" s="15"/>
      <c r="D2" s="9" t="s">
        <v>201</v>
      </c>
      <c r="E2" s="156">
        <v>2203.0</v>
      </c>
      <c r="F2" s="15"/>
      <c r="R2" s="15"/>
      <c r="S2" s="155"/>
    </row>
    <row r="3">
      <c r="A3" s="17"/>
      <c r="B3" s="19"/>
      <c r="C3" s="21"/>
      <c r="D3" s="26" t="s">
        <v>202</v>
      </c>
      <c r="E3" s="157" t="s">
        <v>95</v>
      </c>
      <c r="F3" s="21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21"/>
      <c r="S3" s="155"/>
    </row>
    <row r="4">
      <c r="A4" s="158" t="s">
        <v>203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N4" s="30"/>
      <c r="O4" s="30"/>
      <c r="P4" s="30"/>
      <c r="Q4" s="30"/>
      <c r="R4" s="30"/>
      <c r="S4" s="30"/>
      <c r="T4" s="30"/>
      <c r="U4" s="30"/>
    </row>
    <row r="5">
      <c r="A5" s="42" t="s">
        <v>204</v>
      </c>
      <c r="B5" s="45" t="s">
        <v>33</v>
      </c>
      <c r="C5" s="45" t="s">
        <v>205</v>
      </c>
      <c r="D5" s="45" t="s">
        <v>206</v>
      </c>
      <c r="E5" s="45" t="s">
        <v>207</v>
      </c>
      <c r="F5" s="45" t="s">
        <v>208</v>
      </c>
      <c r="G5" s="45" t="s">
        <v>209</v>
      </c>
      <c r="H5" s="45" t="s">
        <v>210</v>
      </c>
      <c r="I5" s="45" t="s">
        <v>211</v>
      </c>
      <c r="J5" s="45" t="s">
        <v>212</v>
      </c>
      <c r="K5" s="45" t="s">
        <v>213</v>
      </c>
      <c r="L5" s="45" t="s">
        <v>214</v>
      </c>
      <c r="M5" s="45" t="s">
        <v>215</v>
      </c>
      <c r="N5" s="45" t="s">
        <v>216</v>
      </c>
      <c r="O5" s="45" t="s">
        <v>217</v>
      </c>
      <c r="P5" s="45" t="s">
        <v>218</v>
      </c>
      <c r="Q5" s="45" t="s">
        <v>219</v>
      </c>
      <c r="R5" s="160" t="s">
        <v>220</v>
      </c>
      <c r="S5" s="160" t="s">
        <v>221</v>
      </c>
    </row>
    <row r="6">
      <c r="A6" s="67" t="str">
        <f t="shared" ref="A6:A370" si="1">CHOOSE(weekday(B6),"Sun","Mon","Tue","Wed","Thu","Fri","Sat")</f>
        <v>Tue</v>
      </c>
      <c r="B6" s="69">
        <v>43466.0</v>
      </c>
    </row>
    <row r="7">
      <c r="A7" s="67" t="str">
        <f t="shared" si="1"/>
        <v>Wed</v>
      </c>
      <c r="B7" s="69">
        <v>43467.0</v>
      </c>
    </row>
    <row r="8">
      <c r="A8" s="67" t="str">
        <f t="shared" si="1"/>
        <v>Thu</v>
      </c>
      <c r="B8" s="69">
        <v>43468.0</v>
      </c>
    </row>
    <row r="9">
      <c r="A9" s="67" t="str">
        <f t="shared" si="1"/>
        <v>Fri</v>
      </c>
      <c r="B9" s="69">
        <v>43469.0</v>
      </c>
    </row>
    <row r="10">
      <c r="A10" s="67" t="str">
        <f t="shared" si="1"/>
        <v>Sat</v>
      </c>
      <c r="B10" s="69">
        <v>43470.0</v>
      </c>
    </row>
    <row r="11">
      <c r="A11" s="67" t="str">
        <f t="shared" si="1"/>
        <v>Sun</v>
      </c>
      <c r="B11" s="69">
        <v>43471.0</v>
      </c>
    </row>
    <row r="12">
      <c r="A12" s="67" t="str">
        <f t="shared" si="1"/>
        <v>Mon</v>
      </c>
      <c r="B12" s="69">
        <v>43472.0</v>
      </c>
    </row>
    <row r="13">
      <c r="A13" s="67" t="str">
        <f t="shared" si="1"/>
        <v>Tue</v>
      </c>
      <c r="B13" s="69">
        <v>43473.0</v>
      </c>
    </row>
    <row r="14">
      <c r="A14" s="67" t="str">
        <f t="shared" si="1"/>
        <v>Wed</v>
      </c>
      <c r="B14" s="69">
        <v>43474.0</v>
      </c>
    </row>
    <row r="15">
      <c r="A15" s="67" t="str">
        <f t="shared" si="1"/>
        <v>Thu</v>
      </c>
      <c r="B15" s="69">
        <v>43475.0</v>
      </c>
    </row>
    <row r="16">
      <c r="A16" s="67" t="str">
        <f t="shared" si="1"/>
        <v>Fri</v>
      </c>
      <c r="B16" s="69">
        <v>43476.0</v>
      </c>
    </row>
    <row r="17">
      <c r="A17" s="67" t="str">
        <f t="shared" si="1"/>
        <v>Sat</v>
      </c>
      <c r="B17" s="69">
        <v>43477.0</v>
      </c>
    </row>
    <row r="18">
      <c r="A18" s="67" t="str">
        <f t="shared" si="1"/>
        <v>Sun</v>
      </c>
      <c r="B18" s="69">
        <v>43478.0</v>
      </c>
    </row>
    <row r="19">
      <c r="A19" s="67" t="str">
        <f t="shared" si="1"/>
        <v>Mon</v>
      </c>
      <c r="B19" s="69">
        <v>43479.0</v>
      </c>
    </row>
    <row r="20">
      <c r="A20" s="67" t="str">
        <f t="shared" si="1"/>
        <v>Tue</v>
      </c>
      <c r="B20" s="69">
        <v>43480.0</v>
      </c>
    </row>
    <row r="21">
      <c r="A21" s="67" t="str">
        <f t="shared" si="1"/>
        <v>Wed</v>
      </c>
      <c r="B21" s="69">
        <v>43481.0</v>
      </c>
    </row>
    <row r="22">
      <c r="A22" s="67" t="str">
        <f t="shared" si="1"/>
        <v>Thu</v>
      </c>
      <c r="B22" s="69">
        <v>43482.0</v>
      </c>
    </row>
    <row r="23">
      <c r="A23" s="67" t="str">
        <f t="shared" si="1"/>
        <v>Fri</v>
      </c>
      <c r="B23" s="69">
        <v>43483.0</v>
      </c>
    </row>
    <row r="24">
      <c r="A24" s="67" t="str">
        <f t="shared" si="1"/>
        <v>Sat</v>
      </c>
      <c r="B24" s="69">
        <v>43484.0</v>
      </c>
    </row>
    <row r="25">
      <c r="A25" s="67" t="str">
        <f t="shared" si="1"/>
        <v>Sun</v>
      </c>
      <c r="B25" s="69">
        <v>43485.0</v>
      </c>
    </row>
    <row r="26">
      <c r="A26" s="67" t="str">
        <f t="shared" si="1"/>
        <v>Mon</v>
      </c>
      <c r="B26" s="69">
        <v>43486.0</v>
      </c>
    </row>
    <row r="27">
      <c r="A27" s="67" t="str">
        <f t="shared" si="1"/>
        <v>Tue</v>
      </c>
      <c r="B27" s="69">
        <v>43487.0</v>
      </c>
    </row>
    <row r="28">
      <c r="A28" s="67" t="str">
        <f t="shared" si="1"/>
        <v>Wed</v>
      </c>
      <c r="B28" s="69">
        <v>43488.0</v>
      </c>
    </row>
    <row r="29">
      <c r="A29" s="67" t="str">
        <f t="shared" si="1"/>
        <v>Thu</v>
      </c>
      <c r="B29" s="69">
        <v>43489.0</v>
      </c>
    </row>
    <row r="30">
      <c r="A30" s="67" t="str">
        <f t="shared" si="1"/>
        <v>Fri</v>
      </c>
      <c r="B30" s="69">
        <v>43490.0</v>
      </c>
    </row>
    <row r="31">
      <c r="A31" s="67" t="str">
        <f t="shared" si="1"/>
        <v>Sat</v>
      </c>
      <c r="B31" s="69">
        <v>43491.0</v>
      </c>
    </row>
    <row r="32">
      <c r="A32" s="67" t="str">
        <f t="shared" si="1"/>
        <v>Sun</v>
      </c>
      <c r="B32" s="69">
        <v>43492.0</v>
      </c>
    </row>
    <row r="33">
      <c r="A33" s="67" t="str">
        <f t="shared" si="1"/>
        <v>Mon</v>
      </c>
      <c r="B33" s="69">
        <v>43493.0</v>
      </c>
    </row>
    <row r="34">
      <c r="A34" s="67" t="str">
        <f t="shared" si="1"/>
        <v>Tue</v>
      </c>
      <c r="B34" s="69">
        <v>43494.0</v>
      </c>
    </row>
    <row r="35">
      <c r="A35" s="67" t="str">
        <f t="shared" si="1"/>
        <v>Wed</v>
      </c>
      <c r="B35" s="69">
        <v>43495.0</v>
      </c>
    </row>
    <row r="36">
      <c r="A36" s="67" t="str">
        <f t="shared" si="1"/>
        <v>Thu</v>
      </c>
      <c r="B36" s="69">
        <v>43496.0</v>
      </c>
    </row>
    <row r="37">
      <c r="A37" s="67" t="str">
        <f t="shared" si="1"/>
        <v>Fri</v>
      </c>
      <c r="B37" s="69">
        <v>43497.0</v>
      </c>
    </row>
    <row r="38">
      <c r="A38" s="67" t="str">
        <f t="shared" si="1"/>
        <v>Sat</v>
      </c>
      <c r="B38" s="69">
        <v>43498.0</v>
      </c>
    </row>
    <row r="39">
      <c r="A39" s="67" t="str">
        <f t="shared" si="1"/>
        <v>Sun</v>
      </c>
      <c r="B39" s="69">
        <v>43499.0</v>
      </c>
    </row>
    <row r="40">
      <c r="A40" s="67" t="str">
        <f t="shared" si="1"/>
        <v>Mon</v>
      </c>
      <c r="B40" s="69">
        <v>43500.0</v>
      </c>
    </row>
    <row r="41">
      <c r="A41" s="67" t="str">
        <f t="shared" si="1"/>
        <v>Tue</v>
      </c>
      <c r="B41" s="69">
        <v>43501.0</v>
      </c>
    </row>
    <row r="42">
      <c r="A42" s="67" t="str">
        <f t="shared" si="1"/>
        <v>Wed</v>
      </c>
      <c r="B42" s="69">
        <v>43502.0</v>
      </c>
    </row>
    <row r="43">
      <c r="A43" s="67" t="str">
        <f t="shared" si="1"/>
        <v>Thu</v>
      </c>
      <c r="B43" s="69">
        <v>43503.0</v>
      </c>
    </row>
    <row r="44">
      <c r="A44" s="67" t="str">
        <f t="shared" si="1"/>
        <v>Fri</v>
      </c>
      <c r="B44" s="69">
        <v>43504.0</v>
      </c>
    </row>
    <row r="45">
      <c r="A45" s="67" t="str">
        <f t="shared" si="1"/>
        <v>Sat</v>
      </c>
      <c r="B45" s="69">
        <v>43505.0</v>
      </c>
    </row>
    <row r="46">
      <c r="A46" s="67" t="str">
        <f t="shared" si="1"/>
        <v>Sun</v>
      </c>
      <c r="B46" s="69">
        <v>43506.0</v>
      </c>
      <c r="M46" s="4"/>
      <c r="N46" s="4"/>
      <c r="O46" s="4"/>
    </row>
    <row r="47">
      <c r="A47" s="67" t="str">
        <f t="shared" si="1"/>
        <v>Mon</v>
      </c>
      <c r="B47" s="69">
        <v>43507.0</v>
      </c>
      <c r="D47">
        <f t="shared" ref="D47:D49" si="2">1452.09/3</f>
        <v>484.03</v>
      </c>
      <c r="E47" s="4" t="s">
        <v>222</v>
      </c>
      <c r="F47" s="4" t="s">
        <v>520</v>
      </c>
      <c r="G47" s="4" t="s">
        <v>520</v>
      </c>
      <c r="I47" s="4" t="s">
        <v>292</v>
      </c>
      <c r="M47" s="4"/>
      <c r="N47" s="4"/>
      <c r="O47" s="4"/>
    </row>
    <row r="48">
      <c r="A48" s="67" t="str">
        <f t="shared" si="1"/>
        <v>Tue</v>
      </c>
      <c r="B48" s="69">
        <v>43508.0</v>
      </c>
      <c r="D48">
        <f t="shared" si="2"/>
        <v>484.03</v>
      </c>
      <c r="E48" s="4" t="s">
        <v>222</v>
      </c>
      <c r="F48" s="4" t="s">
        <v>520</v>
      </c>
      <c r="I48" s="4" t="s">
        <v>292</v>
      </c>
      <c r="M48" s="4"/>
      <c r="N48" s="4"/>
      <c r="O48" s="4"/>
    </row>
    <row r="49">
      <c r="A49" s="67" t="str">
        <f t="shared" si="1"/>
        <v>Wed</v>
      </c>
      <c r="B49" s="69">
        <v>43509.0</v>
      </c>
      <c r="D49">
        <f t="shared" si="2"/>
        <v>484.03</v>
      </c>
      <c r="E49" s="4" t="s">
        <v>222</v>
      </c>
      <c r="F49" s="4" t="s">
        <v>520</v>
      </c>
      <c r="I49" s="4" t="s">
        <v>292</v>
      </c>
      <c r="M49" s="4"/>
      <c r="N49" s="4"/>
      <c r="O49" s="4"/>
    </row>
    <row r="50">
      <c r="A50" s="67" t="str">
        <f t="shared" si="1"/>
        <v>Thu</v>
      </c>
      <c r="B50" s="69">
        <v>43510.0</v>
      </c>
      <c r="F50" s="4"/>
      <c r="G50" s="4"/>
      <c r="H50" s="4" t="s">
        <v>520</v>
      </c>
      <c r="L50" s="4" t="s">
        <v>225</v>
      </c>
      <c r="M50" s="4"/>
      <c r="N50" s="4"/>
      <c r="O50" s="4"/>
    </row>
    <row r="51">
      <c r="A51" s="67" t="str">
        <f t="shared" si="1"/>
        <v>Fri</v>
      </c>
      <c r="B51" s="69">
        <v>43511.0</v>
      </c>
    </row>
    <row r="52">
      <c r="A52" s="67" t="str">
        <f t="shared" si="1"/>
        <v>Sat</v>
      </c>
      <c r="B52" s="69">
        <v>43512.0</v>
      </c>
    </row>
    <row r="53">
      <c r="A53" s="67" t="str">
        <f t="shared" si="1"/>
        <v>Sun</v>
      </c>
      <c r="B53" s="69">
        <v>43513.0</v>
      </c>
    </row>
    <row r="54">
      <c r="A54" s="67" t="str">
        <f t="shared" si="1"/>
        <v>Mon</v>
      </c>
      <c r="B54" s="69">
        <v>43514.0</v>
      </c>
      <c r="M54" s="4"/>
      <c r="N54" s="4"/>
      <c r="O54" s="4"/>
    </row>
    <row r="55">
      <c r="A55" s="67" t="str">
        <f t="shared" si="1"/>
        <v>Tue</v>
      </c>
      <c r="B55" s="69">
        <v>43515.0</v>
      </c>
      <c r="M55" s="4"/>
      <c r="N55" s="4"/>
      <c r="O55" s="4"/>
    </row>
    <row r="56">
      <c r="A56" s="67" t="str">
        <f t="shared" si="1"/>
        <v>Wed</v>
      </c>
      <c r="B56" s="69">
        <v>43516.0</v>
      </c>
      <c r="M56" s="4"/>
      <c r="N56" s="4"/>
      <c r="O56" s="4"/>
    </row>
    <row r="57">
      <c r="A57" s="67" t="str">
        <f t="shared" si="1"/>
        <v>Thu</v>
      </c>
      <c r="B57" s="69">
        <v>43517.0</v>
      </c>
      <c r="L57" s="4" t="s">
        <v>225</v>
      </c>
      <c r="M57" s="4"/>
      <c r="N57" s="4"/>
      <c r="O57" s="4"/>
    </row>
    <row r="58">
      <c r="A58" s="67" t="str">
        <f t="shared" si="1"/>
        <v>Fri</v>
      </c>
      <c r="B58" s="69">
        <v>43518.0</v>
      </c>
    </row>
    <row r="59">
      <c r="A59" s="67" t="str">
        <f t="shared" si="1"/>
        <v>Sat</v>
      </c>
      <c r="B59" s="69">
        <v>43519.0</v>
      </c>
    </row>
    <row r="60">
      <c r="A60" s="67" t="str">
        <f t="shared" si="1"/>
        <v>Sun</v>
      </c>
      <c r="B60" s="69">
        <v>43520.0</v>
      </c>
    </row>
    <row r="61">
      <c r="A61" s="67" t="str">
        <f t="shared" si="1"/>
        <v>Mon</v>
      </c>
      <c r="B61" s="69">
        <v>43521.0</v>
      </c>
      <c r="N61" s="4"/>
      <c r="O61" s="4"/>
    </row>
    <row r="62">
      <c r="A62" s="67" t="str">
        <f t="shared" si="1"/>
        <v>Tue</v>
      </c>
      <c r="B62" s="69">
        <v>43522.0</v>
      </c>
      <c r="N62" s="4"/>
      <c r="O62" s="4"/>
    </row>
    <row r="63">
      <c r="A63" s="67" t="str">
        <f t="shared" si="1"/>
        <v>Wed</v>
      </c>
      <c r="B63" s="69">
        <v>43523.0</v>
      </c>
      <c r="N63" s="4"/>
      <c r="O63" s="4"/>
    </row>
    <row r="64">
      <c r="A64" s="67" t="str">
        <f t="shared" si="1"/>
        <v>Thu</v>
      </c>
      <c r="B64" s="69">
        <v>43524.0</v>
      </c>
      <c r="N64" s="4"/>
      <c r="O64" s="4"/>
    </row>
    <row r="65">
      <c r="A65" s="67" t="str">
        <f t="shared" si="1"/>
        <v>Fri</v>
      </c>
      <c r="B65" s="69">
        <v>43525.0</v>
      </c>
    </row>
    <row r="66">
      <c r="A66" s="67" t="str">
        <f t="shared" si="1"/>
        <v>Sat</v>
      </c>
      <c r="B66" s="69">
        <v>43526.0</v>
      </c>
      <c r="D66">
        <f t="shared" ref="D66:D69" si="3">3488.12/4</f>
        <v>872.03</v>
      </c>
      <c r="E66" s="4" t="s">
        <v>222</v>
      </c>
      <c r="F66" s="4" t="s">
        <v>524</v>
      </c>
      <c r="G66" s="4" t="s">
        <v>524</v>
      </c>
      <c r="I66" s="4" t="s">
        <v>292</v>
      </c>
      <c r="J66" s="4" t="s">
        <v>525</v>
      </c>
      <c r="K66" s="4" t="s">
        <v>231</v>
      </c>
      <c r="L66" s="4" t="s">
        <v>293</v>
      </c>
    </row>
    <row r="67">
      <c r="A67" s="67" t="str">
        <f t="shared" si="1"/>
        <v>Sun</v>
      </c>
      <c r="B67" s="69">
        <v>43527.0</v>
      </c>
      <c r="D67">
        <f t="shared" si="3"/>
        <v>872.03</v>
      </c>
      <c r="E67" s="4" t="s">
        <v>222</v>
      </c>
      <c r="F67" s="4" t="s">
        <v>524</v>
      </c>
      <c r="I67" s="4" t="s">
        <v>292</v>
      </c>
    </row>
    <row r="68">
      <c r="A68" s="67" t="str">
        <f t="shared" si="1"/>
        <v>Mon</v>
      </c>
      <c r="B68" s="69">
        <v>43528.0</v>
      </c>
      <c r="D68">
        <f t="shared" si="3"/>
        <v>872.03</v>
      </c>
      <c r="E68" s="4" t="s">
        <v>222</v>
      </c>
      <c r="F68" s="4" t="s">
        <v>524</v>
      </c>
      <c r="I68" s="4" t="s">
        <v>292</v>
      </c>
    </row>
    <row r="69">
      <c r="A69" s="67" t="str">
        <f t="shared" si="1"/>
        <v>Tue</v>
      </c>
      <c r="B69" s="69">
        <v>43529.0</v>
      </c>
      <c r="D69">
        <f t="shared" si="3"/>
        <v>872.03</v>
      </c>
      <c r="E69" s="4" t="s">
        <v>222</v>
      </c>
      <c r="F69" s="4" t="s">
        <v>524</v>
      </c>
      <c r="I69" s="4" t="s">
        <v>292</v>
      </c>
    </row>
    <row r="70">
      <c r="A70" s="67" t="str">
        <f t="shared" si="1"/>
        <v>Wed</v>
      </c>
      <c r="B70" s="69">
        <v>43530.0</v>
      </c>
      <c r="H70" s="4" t="s">
        <v>524</v>
      </c>
    </row>
    <row r="71">
      <c r="A71" s="67" t="str">
        <f t="shared" si="1"/>
        <v>Thu</v>
      </c>
      <c r="B71" s="69">
        <v>43531.0</v>
      </c>
      <c r="D71" s="161">
        <v>339.5</v>
      </c>
      <c r="E71" s="4" t="s">
        <v>222</v>
      </c>
      <c r="F71" s="4" t="s">
        <v>527</v>
      </c>
      <c r="G71" s="4" t="s">
        <v>527</v>
      </c>
      <c r="I71" s="4" t="s">
        <v>359</v>
      </c>
      <c r="K71" s="4" t="s">
        <v>231</v>
      </c>
      <c r="L71" s="4" t="s">
        <v>225</v>
      </c>
      <c r="M71" s="4" t="s">
        <v>528</v>
      </c>
      <c r="N71" s="4" t="s">
        <v>529</v>
      </c>
      <c r="O71" s="4" t="s">
        <v>530</v>
      </c>
      <c r="Q71" s="4" t="s">
        <v>531</v>
      </c>
      <c r="R71" s="4" t="s">
        <v>532</v>
      </c>
      <c r="S71" s="4">
        <v>1.7468598819E10</v>
      </c>
    </row>
    <row r="72">
      <c r="A72" s="67" t="str">
        <f t="shared" si="1"/>
        <v>Fri</v>
      </c>
      <c r="B72" s="69">
        <v>43532.0</v>
      </c>
      <c r="D72" s="161">
        <v>339.5</v>
      </c>
      <c r="E72" s="4" t="s">
        <v>222</v>
      </c>
      <c r="F72" s="4" t="s">
        <v>527</v>
      </c>
      <c r="I72" s="4" t="s">
        <v>359</v>
      </c>
    </row>
    <row r="73">
      <c r="A73" s="67" t="str">
        <f t="shared" si="1"/>
        <v>Sat</v>
      </c>
      <c r="B73" s="69">
        <v>43533.0</v>
      </c>
      <c r="D73" s="161">
        <v>339.5</v>
      </c>
      <c r="E73" s="4" t="s">
        <v>222</v>
      </c>
      <c r="F73" s="4" t="s">
        <v>527</v>
      </c>
      <c r="I73" s="4" t="s">
        <v>359</v>
      </c>
    </row>
    <row r="74">
      <c r="A74" s="67" t="str">
        <f t="shared" si="1"/>
        <v>Sun</v>
      </c>
      <c r="B74" s="69">
        <v>43534.0</v>
      </c>
      <c r="D74" s="161">
        <v>339.5</v>
      </c>
      <c r="E74" s="4" t="s">
        <v>222</v>
      </c>
      <c r="F74" s="4" t="s">
        <v>527</v>
      </c>
      <c r="I74" s="4" t="s">
        <v>359</v>
      </c>
    </row>
    <row r="75">
      <c r="A75" s="67" t="str">
        <f t="shared" si="1"/>
        <v>Mon</v>
      </c>
      <c r="B75" s="69">
        <v>43535.0</v>
      </c>
      <c r="H75" s="4" t="s">
        <v>527</v>
      </c>
    </row>
    <row r="76">
      <c r="A76" s="67" t="str">
        <f t="shared" si="1"/>
        <v>Tue</v>
      </c>
      <c r="B76" s="69">
        <v>43536.0</v>
      </c>
    </row>
    <row r="77">
      <c r="A77" s="67" t="str">
        <f t="shared" si="1"/>
        <v>Wed</v>
      </c>
      <c r="B77" s="69">
        <v>43537.0</v>
      </c>
      <c r="D77" s="161">
        <v>339.5</v>
      </c>
      <c r="E77" s="4" t="s">
        <v>222</v>
      </c>
      <c r="F77" s="4" t="s">
        <v>534</v>
      </c>
      <c r="G77" s="4" t="s">
        <v>534</v>
      </c>
      <c r="I77" s="4" t="s">
        <v>359</v>
      </c>
      <c r="K77" s="4" t="s">
        <v>231</v>
      </c>
      <c r="L77" s="4" t="s">
        <v>225</v>
      </c>
      <c r="M77" s="4" t="s">
        <v>226</v>
      </c>
      <c r="N77" s="4" t="s">
        <v>232</v>
      </c>
      <c r="O77" s="4" t="s">
        <v>264</v>
      </c>
      <c r="Q77" s="4" t="s">
        <v>535</v>
      </c>
      <c r="R77" s="4" t="s">
        <v>536</v>
      </c>
      <c r="S77" s="161">
        <v>3.0836622898E10</v>
      </c>
    </row>
    <row r="78">
      <c r="A78" s="67" t="str">
        <f t="shared" si="1"/>
        <v>Thu</v>
      </c>
      <c r="B78" s="69">
        <v>43538.0</v>
      </c>
      <c r="H78" s="4" t="s">
        <v>534</v>
      </c>
    </row>
    <row r="79">
      <c r="A79" s="67" t="str">
        <f t="shared" si="1"/>
        <v>Fri</v>
      </c>
      <c r="B79" s="69">
        <v>43539.0</v>
      </c>
    </row>
    <row r="80">
      <c r="A80" s="67" t="str">
        <f t="shared" si="1"/>
        <v>Sat</v>
      </c>
      <c r="B80" s="69">
        <v>43540.0</v>
      </c>
      <c r="D80" s="4">
        <v>450.0</v>
      </c>
      <c r="E80" s="4" t="s">
        <v>337</v>
      </c>
      <c r="F80" s="4" t="s">
        <v>537</v>
      </c>
      <c r="G80" s="4" t="s">
        <v>537</v>
      </c>
      <c r="I80" s="4" t="s">
        <v>359</v>
      </c>
      <c r="J80" s="4" t="s">
        <v>538</v>
      </c>
      <c r="K80" s="4" t="s">
        <v>231</v>
      </c>
      <c r="L80" s="4" t="s">
        <v>225</v>
      </c>
      <c r="M80" s="4" t="s">
        <v>539</v>
      </c>
    </row>
    <row r="81">
      <c r="A81" s="67" t="str">
        <f t="shared" si="1"/>
        <v>Sun</v>
      </c>
      <c r="B81" s="69">
        <v>43541.0</v>
      </c>
      <c r="D81" s="161">
        <v>242.5</v>
      </c>
      <c r="E81" s="4" t="s">
        <v>222</v>
      </c>
      <c r="F81" s="4" t="s">
        <v>541</v>
      </c>
      <c r="G81" s="4" t="s">
        <v>541</v>
      </c>
      <c r="H81" s="4" t="s">
        <v>537</v>
      </c>
      <c r="I81" s="4" t="s">
        <v>359</v>
      </c>
      <c r="K81" s="4" t="s">
        <v>231</v>
      </c>
      <c r="L81" s="4" t="s">
        <v>225</v>
      </c>
      <c r="M81" s="4" t="s">
        <v>542</v>
      </c>
      <c r="N81" s="4" t="s">
        <v>232</v>
      </c>
      <c r="O81" s="4" t="s">
        <v>264</v>
      </c>
    </row>
    <row r="82">
      <c r="A82" s="67" t="str">
        <f t="shared" si="1"/>
        <v>Mon</v>
      </c>
      <c r="B82" s="69">
        <v>43542.0</v>
      </c>
      <c r="D82" s="161">
        <v>242.5</v>
      </c>
      <c r="E82" s="4" t="s">
        <v>222</v>
      </c>
      <c r="F82" s="4" t="s">
        <v>541</v>
      </c>
      <c r="I82" s="4" t="s">
        <v>359</v>
      </c>
    </row>
    <row r="83">
      <c r="A83" s="67" t="str">
        <f t="shared" si="1"/>
        <v>Tue</v>
      </c>
      <c r="B83" s="69">
        <v>43543.0</v>
      </c>
      <c r="H83" s="4" t="s">
        <v>541</v>
      </c>
    </row>
    <row r="84">
      <c r="A84" s="67" t="str">
        <f t="shared" si="1"/>
        <v>Wed</v>
      </c>
      <c r="B84" s="69">
        <v>43544.0</v>
      </c>
      <c r="D84" s="4">
        <v>242.5</v>
      </c>
      <c r="E84" s="4" t="s">
        <v>222</v>
      </c>
      <c r="F84" s="4" t="s">
        <v>544</v>
      </c>
      <c r="G84" s="4" t="s">
        <v>544</v>
      </c>
      <c r="I84" s="4" t="s">
        <v>359</v>
      </c>
      <c r="K84" s="4" t="s">
        <v>231</v>
      </c>
      <c r="L84" s="4" t="s">
        <v>225</v>
      </c>
      <c r="M84" s="4" t="s">
        <v>310</v>
      </c>
      <c r="N84" s="4" t="s">
        <v>310</v>
      </c>
      <c r="O84" s="4" t="s">
        <v>310</v>
      </c>
    </row>
    <row r="85">
      <c r="A85" s="67" t="str">
        <f t="shared" si="1"/>
        <v>Thu</v>
      </c>
      <c r="B85" s="69">
        <v>43545.0</v>
      </c>
      <c r="D85" s="4">
        <v>242.5</v>
      </c>
      <c r="E85" s="4" t="s">
        <v>222</v>
      </c>
      <c r="F85" s="4" t="s">
        <v>544</v>
      </c>
      <c r="G85" s="4"/>
      <c r="I85" s="4" t="s">
        <v>359</v>
      </c>
      <c r="M85" s="4"/>
      <c r="N85" s="4"/>
      <c r="O85" s="4"/>
    </row>
    <row r="86">
      <c r="A86" s="67" t="str">
        <f t="shared" si="1"/>
        <v>Fri</v>
      </c>
      <c r="B86" s="69">
        <v>43546.0</v>
      </c>
      <c r="D86" s="161">
        <v>339.5</v>
      </c>
      <c r="E86" s="4" t="s">
        <v>222</v>
      </c>
      <c r="F86" s="4" t="s">
        <v>545</v>
      </c>
      <c r="G86" s="4" t="s">
        <v>545</v>
      </c>
      <c r="H86" s="4" t="s">
        <v>544</v>
      </c>
      <c r="I86" s="4" t="s">
        <v>224</v>
      </c>
      <c r="K86" s="4" t="s">
        <v>231</v>
      </c>
      <c r="L86" s="4" t="s">
        <v>225</v>
      </c>
      <c r="M86" s="4" t="s">
        <v>547</v>
      </c>
      <c r="N86" s="4" t="s">
        <v>548</v>
      </c>
      <c r="R86" s="4" t="s">
        <v>549</v>
      </c>
      <c r="S86" s="4">
        <v>3.466261961E9</v>
      </c>
    </row>
    <row r="87">
      <c r="A87" s="67" t="str">
        <f t="shared" si="1"/>
        <v>Sat</v>
      </c>
      <c r="B87" s="69">
        <v>43547.0</v>
      </c>
      <c r="D87" s="161">
        <v>339.5</v>
      </c>
      <c r="E87" s="4" t="s">
        <v>222</v>
      </c>
      <c r="F87" s="4" t="s">
        <v>545</v>
      </c>
      <c r="I87" s="4" t="s">
        <v>224</v>
      </c>
    </row>
    <row r="88">
      <c r="A88" s="67" t="str">
        <f t="shared" si="1"/>
        <v>Sun</v>
      </c>
      <c r="B88" s="69">
        <v>43548.0</v>
      </c>
      <c r="D88" s="161">
        <v>339.5</v>
      </c>
      <c r="E88" s="4" t="s">
        <v>222</v>
      </c>
      <c r="F88" s="4" t="s">
        <v>550</v>
      </c>
      <c r="G88" s="4" t="s">
        <v>550</v>
      </c>
      <c r="H88" s="4" t="s">
        <v>545</v>
      </c>
      <c r="I88" s="4" t="s">
        <v>359</v>
      </c>
      <c r="K88" s="4" t="s">
        <v>231</v>
      </c>
      <c r="L88" s="4" t="s">
        <v>225</v>
      </c>
      <c r="M88" s="4" t="s">
        <v>551</v>
      </c>
      <c r="N88" s="4" t="s">
        <v>552</v>
      </c>
      <c r="Q88" s="4" t="s">
        <v>553</v>
      </c>
      <c r="R88" s="4" t="s">
        <v>554</v>
      </c>
      <c r="S88" s="4"/>
    </row>
    <row r="89">
      <c r="A89" s="67" t="str">
        <f t="shared" si="1"/>
        <v>Mon</v>
      </c>
      <c r="B89" s="69">
        <v>43549.0</v>
      </c>
      <c r="D89" s="161">
        <v>339.5</v>
      </c>
      <c r="E89" s="4" t="s">
        <v>222</v>
      </c>
      <c r="F89" s="4" t="s">
        <v>550</v>
      </c>
      <c r="I89" s="4" t="s">
        <v>359</v>
      </c>
    </row>
    <row r="90">
      <c r="A90" s="67" t="str">
        <f t="shared" si="1"/>
        <v>Tue</v>
      </c>
      <c r="B90" s="69">
        <v>43550.0</v>
      </c>
      <c r="D90" s="161">
        <v>339.5</v>
      </c>
      <c r="E90" s="4" t="s">
        <v>222</v>
      </c>
      <c r="F90" s="4" t="s">
        <v>550</v>
      </c>
      <c r="I90" s="4" t="s">
        <v>359</v>
      </c>
    </row>
    <row r="91">
      <c r="A91" s="67" t="str">
        <f t="shared" si="1"/>
        <v>Wed</v>
      </c>
      <c r="B91" s="69">
        <v>43551.0</v>
      </c>
      <c r="D91" s="161">
        <v>339.5</v>
      </c>
      <c r="E91" s="4" t="s">
        <v>222</v>
      </c>
      <c r="F91" s="4" t="s">
        <v>550</v>
      </c>
      <c r="I91" s="4" t="s">
        <v>359</v>
      </c>
    </row>
    <row r="92">
      <c r="A92" s="67" t="str">
        <f t="shared" si="1"/>
        <v>Thu</v>
      </c>
      <c r="B92" s="69">
        <v>43552.0</v>
      </c>
      <c r="D92" s="161">
        <v>339.5</v>
      </c>
      <c r="E92" s="4" t="s">
        <v>222</v>
      </c>
      <c r="F92" s="4" t="s">
        <v>550</v>
      </c>
      <c r="I92" s="4" t="s">
        <v>359</v>
      </c>
    </row>
    <row r="93">
      <c r="A93" s="67" t="str">
        <f t="shared" si="1"/>
        <v>Fri</v>
      </c>
      <c r="B93" s="69">
        <v>43553.0</v>
      </c>
      <c r="H93" s="4" t="s">
        <v>550</v>
      </c>
      <c r="J93" s="4"/>
    </row>
    <row r="94">
      <c r="A94" s="67" t="str">
        <f t="shared" si="1"/>
        <v>Sat</v>
      </c>
      <c r="B94" s="69">
        <v>43554.0</v>
      </c>
      <c r="D94" s="161">
        <v>242.5</v>
      </c>
      <c r="E94" s="4" t="s">
        <v>222</v>
      </c>
      <c r="F94" s="4" t="s">
        <v>557</v>
      </c>
      <c r="G94" s="4" t="s">
        <v>557</v>
      </c>
      <c r="I94" s="4" t="s">
        <v>224</v>
      </c>
      <c r="J94" s="4"/>
      <c r="K94" s="4" t="s">
        <v>231</v>
      </c>
      <c r="L94" s="4" t="s">
        <v>225</v>
      </c>
      <c r="M94" s="4" t="s">
        <v>559</v>
      </c>
      <c r="Q94" s="4" t="s">
        <v>560</v>
      </c>
      <c r="R94" s="4" t="s">
        <v>561</v>
      </c>
      <c r="S94" s="4">
        <v>2.502385008E9</v>
      </c>
    </row>
    <row r="95">
      <c r="A95" s="67" t="str">
        <f t="shared" si="1"/>
        <v>Sun</v>
      </c>
      <c r="B95" s="69">
        <v>43555.0</v>
      </c>
      <c r="D95" s="161">
        <v>242.5</v>
      </c>
      <c r="E95" s="4" t="s">
        <v>222</v>
      </c>
      <c r="F95" s="4" t="s">
        <v>557</v>
      </c>
      <c r="I95" s="4" t="s">
        <v>224</v>
      </c>
      <c r="J95" s="4"/>
    </row>
    <row r="96">
      <c r="A96" s="67" t="str">
        <f t="shared" si="1"/>
        <v>Mon</v>
      </c>
      <c r="B96" s="69">
        <v>43556.0</v>
      </c>
      <c r="H96" s="4" t="s">
        <v>557</v>
      </c>
      <c r="J96" s="4"/>
    </row>
    <row r="97">
      <c r="A97" s="67" t="str">
        <f t="shared" si="1"/>
        <v>Tue</v>
      </c>
      <c r="B97" s="69">
        <v>43557.0</v>
      </c>
      <c r="J97" s="4"/>
    </row>
    <row r="98">
      <c r="A98" s="67" t="str">
        <f t="shared" si="1"/>
        <v>Wed</v>
      </c>
      <c r="B98" s="69">
        <v>43558.0</v>
      </c>
      <c r="J98" s="4"/>
    </row>
    <row r="99">
      <c r="A99" s="67" t="str">
        <f t="shared" si="1"/>
        <v>Thu</v>
      </c>
      <c r="B99" s="69">
        <v>43559.0</v>
      </c>
      <c r="J99" s="4"/>
    </row>
    <row r="100">
      <c r="A100" s="67" t="str">
        <f t="shared" si="1"/>
        <v>Fri</v>
      </c>
      <c r="B100" s="69">
        <v>43560.0</v>
      </c>
      <c r="D100" s="4">
        <v>250.0</v>
      </c>
      <c r="E100" s="4" t="s">
        <v>337</v>
      </c>
      <c r="F100" s="4" t="s">
        <v>562</v>
      </c>
      <c r="G100" s="4" t="s">
        <v>562</v>
      </c>
      <c r="I100" s="4" t="s">
        <v>224</v>
      </c>
      <c r="K100" s="4" t="s">
        <v>231</v>
      </c>
      <c r="L100" s="4" t="s">
        <v>225</v>
      </c>
      <c r="M100" s="4" t="s">
        <v>226</v>
      </c>
      <c r="N100" s="178" t="s">
        <v>232</v>
      </c>
      <c r="O100" s="178" t="s">
        <v>264</v>
      </c>
      <c r="Q100" s="4" t="s">
        <v>563</v>
      </c>
      <c r="R100" s="4" t="s">
        <v>564</v>
      </c>
      <c r="S100" s="4">
        <v>5.270306948E9</v>
      </c>
    </row>
    <row r="101">
      <c r="A101" s="67" t="str">
        <f t="shared" si="1"/>
        <v>Sat</v>
      </c>
      <c r="B101" s="69">
        <v>43561.0</v>
      </c>
      <c r="D101" s="161">
        <v>242.5</v>
      </c>
      <c r="E101" s="4" t="s">
        <v>222</v>
      </c>
      <c r="F101" s="4" t="s">
        <v>565</v>
      </c>
      <c r="G101" s="4" t="s">
        <v>565</v>
      </c>
      <c r="H101" s="4" t="s">
        <v>562</v>
      </c>
      <c r="I101" s="4" t="s">
        <v>224</v>
      </c>
      <c r="K101" s="4" t="s">
        <v>231</v>
      </c>
      <c r="L101" s="4" t="s">
        <v>225</v>
      </c>
      <c r="M101" s="4" t="s">
        <v>567</v>
      </c>
      <c r="Q101" s="4" t="s">
        <v>568</v>
      </c>
      <c r="R101" s="4" t="s">
        <v>569</v>
      </c>
      <c r="S101" s="161">
        <v>6.650004995E9</v>
      </c>
    </row>
    <row r="102">
      <c r="A102" s="67" t="str">
        <f t="shared" si="1"/>
        <v>Sun</v>
      </c>
      <c r="B102" s="69">
        <v>43562.0</v>
      </c>
      <c r="D102" s="161">
        <v>242.5</v>
      </c>
      <c r="E102" s="4" t="s">
        <v>222</v>
      </c>
      <c r="F102" s="4" t="s">
        <v>565</v>
      </c>
      <c r="I102" s="4" t="s">
        <v>224</v>
      </c>
    </row>
    <row r="103">
      <c r="A103" s="67" t="str">
        <f t="shared" si="1"/>
        <v>Mon</v>
      </c>
      <c r="B103" s="69">
        <v>43563.0</v>
      </c>
      <c r="H103" s="4" t="s">
        <v>565</v>
      </c>
      <c r="J103" s="4"/>
    </row>
    <row r="104">
      <c r="A104" s="67" t="str">
        <f t="shared" si="1"/>
        <v>Tue</v>
      </c>
      <c r="B104" s="69">
        <v>43564.0</v>
      </c>
      <c r="J104" s="4"/>
    </row>
    <row r="105">
      <c r="A105" s="67" t="str">
        <f t="shared" si="1"/>
        <v>Wed</v>
      </c>
      <c r="B105" s="69">
        <v>43565.0</v>
      </c>
      <c r="J105" s="4"/>
    </row>
    <row r="106">
      <c r="A106" s="67" t="str">
        <f t="shared" si="1"/>
        <v>Thu</v>
      </c>
      <c r="B106" s="69">
        <v>43566.0</v>
      </c>
      <c r="D106" s="161">
        <v>277.74333333333334</v>
      </c>
      <c r="E106" s="4" t="s">
        <v>222</v>
      </c>
      <c r="F106" s="4" t="s">
        <v>570</v>
      </c>
      <c r="G106" s="4" t="s">
        <v>570</v>
      </c>
      <c r="I106" s="4" t="s">
        <v>224</v>
      </c>
      <c r="K106" s="4" t="s">
        <v>231</v>
      </c>
      <c r="L106" s="4" t="s">
        <v>225</v>
      </c>
      <c r="M106" s="179" t="s">
        <v>571</v>
      </c>
      <c r="Q106" s="4" t="s">
        <v>574</v>
      </c>
      <c r="R106" s="167" t="s">
        <v>575</v>
      </c>
      <c r="S106" s="179" t="s">
        <v>576</v>
      </c>
    </row>
    <row r="107">
      <c r="A107" s="67" t="str">
        <f t="shared" si="1"/>
        <v>Fri</v>
      </c>
      <c r="B107" s="69">
        <v>43567.0</v>
      </c>
      <c r="D107" s="161">
        <v>277.74333333333334</v>
      </c>
      <c r="E107" s="4" t="s">
        <v>222</v>
      </c>
      <c r="F107" s="4" t="s">
        <v>570</v>
      </c>
      <c r="I107" s="4" t="s">
        <v>224</v>
      </c>
    </row>
    <row r="108">
      <c r="A108" s="67" t="str">
        <f t="shared" si="1"/>
        <v>Sat</v>
      </c>
      <c r="B108" s="69">
        <v>43568.0</v>
      </c>
      <c r="D108" s="161">
        <v>277.74333333333334</v>
      </c>
      <c r="E108" s="4" t="s">
        <v>222</v>
      </c>
      <c r="F108" s="4" t="s">
        <v>570</v>
      </c>
      <c r="I108" s="4" t="s">
        <v>224</v>
      </c>
    </row>
    <row r="109">
      <c r="A109" s="67" t="str">
        <f t="shared" si="1"/>
        <v>Sun</v>
      </c>
      <c r="B109" s="69">
        <v>43569.0</v>
      </c>
      <c r="D109" s="161">
        <v>277.74333333333334</v>
      </c>
      <c r="E109" s="4" t="s">
        <v>222</v>
      </c>
      <c r="F109" s="4" t="s">
        <v>570</v>
      </c>
      <c r="I109" s="4" t="s">
        <v>224</v>
      </c>
    </row>
    <row r="110">
      <c r="A110" s="67" t="str">
        <f t="shared" si="1"/>
        <v>Mon</v>
      </c>
      <c r="B110" s="69">
        <v>43570.0</v>
      </c>
      <c r="D110" s="161">
        <v>277.74333333333334</v>
      </c>
      <c r="E110" s="4" t="s">
        <v>222</v>
      </c>
      <c r="F110" s="4" t="s">
        <v>570</v>
      </c>
      <c r="I110" s="4" t="s">
        <v>224</v>
      </c>
    </row>
    <row r="111">
      <c r="A111" s="67" t="str">
        <f t="shared" si="1"/>
        <v>Tue</v>
      </c>
      <c r="B111" s="69">
        <v>43571.0</v>
      </c>
      <c r="D111" s="161">
        <v>277.74333333333334</v>
      </c>
      <c r="E111" s="4" t="s">
        <v>222</v>
      </c>
      <c r="F111" s="4" t="s">
        <v>570</v>
      </c>
      <c r="I111" s="4" t="s">
        <v>224</v>
      </c>
    </row>
    <row r="112">
      <c r="A112" s="67" t="str">
        <f t="shared" si="1"/>
        <v>Wed</v>
      </c>
      <c r="B112" s="69">
        <v>43572.0</v>
      </c>
      <c r="H112" s="4" t="s">
        <v>570</v>
      </c>
      <c r="J112" s="4"/>
    </row>
    <row r="113">
      <c r="A113" s="67" t="str">
        <f t="shared" si="1"/>
        <v>Thu</v>
      </c>
      <c r="B113" s="69">
        <v>43573.0</v>
      </c>
      <c r="D113" s="161">
        <v>600.0</v>
      </c>
      <c r="E113" s="4" t="s">
        <v>337</v>
      </c>
      <c r="F113" s="4" t="s">
        <v>577</v>
      </c>
      <c r="G113" s="4" t="s">
        <v>577</v>
      </c>
      <c r="I113" s="4" t="s">
        <v>224</v>
      </c>
      <c r="K113" s="4" t="s">
        <v>339</v>
      </c>
      <c r="L113" s="4" t="s">
        <v>225</v>
      </c>
      <c r="M113" s="4" t="s">
        <v>578</v>
      </c>
      <c r="N113" s="4" t="s">
        <v>579</v>
      </c>
      <c r="Q113" s="4" t="s">
        <v>580</v>
      </c>
      <c r="R113" s="4" t="s">
        <v>581</v>
      </c>
      <c r="S113" s="161">
        <v>1.0185762905E10</v>
      </c>
    </row>
    <row r="114">
      <c r="A114" s="67" t="str">
        <f t="shared" si="1"/>
        <v>Fri</v>
      </c>
      <c r="B114" s="69">
        <v>43574.0</v>
      </c>
      <c r="D114" s="161">
        <v>600.0</v>
      </c>
      <c r="E114" s="4" t="s">
        <v>337</v>
      </c>
      <c r="F114" s="4" t="s">
        <v>577</v>
      </c>
      <c r="I114" s="4" t="s">
        <v>224</v>
      </c>
    </row>
    <row r="115">
      <c r="A115" s="67" t="str">
        <f t="shared" si="1"/>
        <v>Sat</v>
      </c>
      <c r="B115" s="69">
        <v>43575.0</v>
      </c>
      <c r="D115" s="161">
        <v>600.0</v>
      </c>
      <c r="E115" s="4" t="s">
        <v>337</v>
      </c>
      <c r="F115" s="4" t="s">
        <v>577</v>
      </c>
      <c r="I115" s="4" t="s">
        <v>224</v>
      </c>
    </row>
    <row r="116">
      <c r="A116" s="67" t="str">
        <f t="shared" si="1"/>
        <v>Sun</v>
      </c>
      <c r="B116" s="69">
        <v>43576.0</v>
      </c>
      <c r="D116" s="4">
        <v>200.0</v>
      </c>
      <c r="E116" s="4" t="s">
        <v>337</v>
      </c>
      <c r="F116" s="4" t="s">
        <v>577</v>
      </c>
      <c r="I116" s="4" t="s">
        <v>224</v>
      </c>
      <c r="J116" s="4"/>
    </row>
    <row r="117">
      <c r="A117" s="67" t="str">
        <f t="shared" si="1"/>
        <v>Mon</v>
      </c>
      <c r="B117" s="69">
        <v>43577.0</v>
      </c>
      <c r="H117" s="4" t="s">
        <v>577</v>
      </c>
      <c r="J117" s="4"/>
    </row>
    <row r="118">
      <c r="A118" s="67" t="str">
        <f t="shared" si="1"/>
        <v>Tue</v>
      </c>
      <c r="B118" s="69">
        <v>43578.0</v>
      </c>
      <c r="G118" s="4" t="s">
        <v>95</v>
      </c>
      <c r="J118" s="4" t="s">
        <v>422</v>
      </c>
      <c r="L118" s="4" t="s">
        <v>225</v>
      </c>
      <c r="M118" s="4" t="s">
        <v>226</v>
      </c>
      <c r="N118" s="4" t="s">
        <v>232</v>
      </c>
      <c r="O118" s="4" t="s">
        <v>264</v>
      </c>
    </row>
    <row r="119">
      <c r="A119" s="67" t="str">
        <f t="shared" si="1"/>
        <v>Wed</v>
      </c>
      <c r="B119" s="69">
        <v>43579.0</v>
      </c>
      <c r="D119" s="161">
        <v>285.18</v>
      </c>
      <c r="E119" s="4" t="s">
        <v>222</v>
      </c>
      <c r="F119" s="4" t="s">
        <v>582</v>
      </c>
      <c r="G119" s="4" t="s">
        <v>582</v>
      </c>
      <c r="H119" s="4" t="s">
        <v>95</v>
      </c>
      <c r="I119" s="4" t="s">
        <v>224</v>
      </c>
      <c r="K119" s="4" t="s">
        <v>231</v>
      </c>
      <c r="L119" s="4" t="s">
        <v>225</v>
      </c>
      <c r="M119" s="4" t="s">
        <v>583</v>
      </c>
      <c r="Q119" s="4" t="s">
        <v>584</v>
      </c>
      <c r="R119" s="4" t="s">
        <v>585</v>
      </c>
      <c r="S119" s="161">
        <v>1.5382508615E10</v>
      </c>
    </row>
    <row r="120">
      <c r="A120" s="67" t="str">
        <f t="shared" si="1"/>
        <v>Thu</v>
      </c>
      <c r="B120" s="69">
        <v>43580.0</v>
      </c>
      <c r="D120" s="161">
        <v>285.18</v>
      </c>
      <c r="E120" s="4" t="s">
        <v>222</v>
      </c>
      <c r="F120" s="4" t="s">
        <v>582</v>
      </c>
      <c r="I120" s="4" t="s">
        <v>224</v>
      </c>
    </row>
    <row r="121">
      <c r="A121" s="67" t="str">
        <f t="shared" si="1"/>
        <v>Fri</v>
      </c>
      <c r="B121" s="69">
        <v>43581.0</v>
      </c>
      <c r="D121" s="161">
        <v>285.18</v>
      </c>
      <c r="E121" s="4" t="s">
        <v>222</v>
      </c>
      <c r="F121" s="4" t="s">
        <v>582</v>
      </c>
      <c r="I121" s="4" t="s">
        <v>224</v>
      </c>
    </row>
    <row r="122">
      <c r="A122" s="67" t="str">
        <f t="shared" si="1"/>
        <v>Sat</v>
      </c>
      <c r="B122" s="69">
        <v>43582.0</v>
      </c>
      <c r="D122" s="161">
        <v>285.18</v>
      </c>
      <c r="E122" s="4" t="s">
        <v>222</v>
      </c>
      <c r="F122" s="4" t="s">
        <v>582</v>
      </c>
      <c r="I122" s="4" t="s">
        <v>224</v>
      </c>
    </row>
    <row r="123">
      <c r="A123" s="67" t="str">
        <f t="shared" si="1"/>
        <v>Sun</v>
      </c>
      <c r="B123" s="69">
        <v>43583.0</v>
      </c>
      <c r="D123" s="161">
        <v>285.18</v>
      </c>
      <c r="E123" s="4" t="s">
        <v>222</v>
      </c>
      <c r="F123" s="4" t="s">
        <v>582</v>
      </c>
      <c r="I123" s="4" t="s">
        <v>224</v>
      </c>
    </row>
    <row r="124">
      <c r="A124" s="67" t="str">
        <f t="shared" si="1"/>
        <v>Mon</v>
      </c>
      <c r="B124" s="69">
        <v>43584.0</v>
      </c>
      <c r="F124" s="4"/>
      <c r="G124" s="4"/>
      <c r="H124" s="4" t="s">
        <v>582</v>
      </c>
      <c r="M124" s="4"/>
      <c r="N124" s="4"/>
      <c r="O124" s="4"/>
    </row>
    <row r="125">
      <c r="A125" s="67" t="str">
        <f t="shared" si="1"/>
        <v>Tue</v>
      </c>
      <c r="B125" s="69">
        <v>43585.0</v>
      </c>
      <c r="D125" s="4">
        <v>174.6</v>
      </c>
      <c r="E125" s="4" t="s">
        <v>222</v>
      </c>
      <c r="F125" s="4" t="s">
        <v>586</v>
      </c>
      <c r="G125" s="4" t="s">
        <v>586</v>
      </c>
      <c r="I125" s="4" t="s">
        <v>224</v>
      </c>
      <c r="J125" s="4" t="s">
        <v>228</v>
      </c>
      <c r="K125" s="4" t="s">
        <v>231</v>
      </c>
      <c r="L125" s="4" t="s">
        <v>225</v>
      </c>
      <c r="M125" s="4" t="s">
        <v>226</v>
      </c>
      <c r="N125" s="4" t="s">
        <v>232</v>
      </c>
      <c r="O125" s="4" t="s">
        <v>264</v>
      </c>
      <c r="R125" s="4" t="s">
        <v>587</v>
      </c>
    </row>
    <row r="126">
      <c r="A126" s="67" t="str">
        <f t="shared" si="1"/>
        <v>Wed</v>
      </c>
      <c r="B126" s="69">
        <v>43586.0</v>
      </c>
      <c r="F126" s="4"/>
      <c r="G126" s="4"/>
      <c r="H126" s="4" t="s">
        <v>586</v>
      </c>
      <c r="N126" s="4"/>
      <c r="O126" s="4"/>
    </row>
    <row r="127">
      <c r="A127" s="67" t="str">
        <f t="shared" si="1"/>
        <v>Thu</v>
      </c>
      <c r="B127" s="69">
        <v>43587.0</v>
      </c>
      <c r="F127" s="4"/>
    </row>
    <row r="128">
      <c r="A128" s="67" t="str">
        <f t="shared" si="1"/>
        <v>Fri</v>
      </c>
      <c r="B128" s="69">
        <v>43588.0</v>
      </c>
      <c r="D128" s="161">
        <v>242.5</v>
      </c>
      <c r="E128" s="4" t="s">
        <v>222</v>
      </c>
      <c r="F128" s="4" t="s">
        <v>589</v>
      </c>
      <c r="G128" s="4" t="s">
        <v>589</v>
      </c>
      <c r="H128" s="4"/>
      <c r="I128" s="4" t="s">
        <v>224</v>
      </c>
      <c r="K128" s="4" t="s">
        <v>231</v>
      </c>
      <c r="L128" s="4" t="s">
        <v>225</v>
      </c>
      <c r="M128" s="4" t="s">
        <v>226</v>
      </c>
      <c r="N128" s="4" t="s">
        <v>232</v>
      </c>
      <c r="O128" s="4" t="s">
        <v>264</v>
      </c>
      <c r="Q128" s="4" t="s">
        <v>590</v>
      </c>
      <c r="R128" s="4" t="s">
        <v>591</v>
      </c>
      <c r="S128" s="161">
        <v>3.2448081824E10</v>
      </c>
    </row>
    <row r="129">
      <c r="A129" s="67" t="str">
        <f t="shared" si="1"/>
        <v>Sat</v>
      </c>
      <c r="B129" s="69">
        <v>43589.0</v>
      </c>
      <c r="D129" s="161">
        <v>242.5</v>
      </c>
      <c r="E129" s="4" t="s">
        <v>222</v>
      </c>
      <c r="F129" s="4" t="s">
        <v>589</v>
      </c>
      <c r="I129" s="4" t="s">
        <v>224</v>
      </c>
    </row>
    <row r="130">
      <c r="A130" s="67" t="str">
        <f t="shared" si="1"/>
        <v>Sun</v>
      </c>
      <c r="B130" s="69">
        <v>43590.0</v>
      </c>
      <c r="F130" s="4"/>
      <c r="G130" s="4"/>
      <c r="H130" s="4" t="s">
        <v>589</v>
      </c>
      <c r="M130" s="4"/>
      <c r="N130" s="4"/>
      <c r="O130" s="4"/>
    </row>
    <row r="131">
      <c r="A131" s="67" t="str">
        <f t="shared" si="1"/>
        <v>Mon</v>
      </c>
      <c r="B131" s="69">
        <v>43591.0</v>
      </c>
      <c r="F131" s="4"/>
    </row>
    <row r="132">
      <c r="A132" s="67" t="str">
        <f t="shared" si="1"/>
        <v>Tue</v>
      </c>
      <c r="B132" s="69">
        <v>43592.0</v>
      </c>
      <c r="F132" s="4"/>
      <c r="G132" s="4"/>
      <c r="H132" s="4"/>
      <c r="M132" s="4"/>
      <c r="N132" s="4"/>
      <c r="O132" s="4"/>
    </row>
    <row r="133">
      <c r="A133" s="67" t="str">
        <f t="shared" si="1"/>
        <v>Wed</v>
      </c>
      <c r="B133" s="69">
        <v>43593.0</v>
      </c>
      <c r="F133" s="4"/>
    </row>
    <row r="134">
      <c r="A134" s="67" t="str">
        <f t="shared" si="1"/>
        <v>Thu</v>
      </c>
      <c r="B134" s="69">
        <v>43594.0</v>
      </c>
      <c r="F134" s="4"/>
      <c r="G134" s="4"/>
      <c r="H134" s="4"/>
      <c r="M134" s="4"/>
      <c r="N134" s="4"/>
      <c r="O134" s="4"/>
    </row>
    <row r="135">
      <c r="A135" s="67" t="str">
        <f t="shared" si="1"/>
        <v>Fri</v>
      </c>
      <c r="B135" s="69">
        <v>43595.0</v>
      </c>
      <c r="F135" s="4"/>
    </row>
    <row r="136">
      <c r="A136" s="67" t="str">
        <f t="shared" si="1"/>
        <v>Sat</v>
      </c>
      <c r="B136" s="69">
        <v>43596.0</v>
      </c>
      <c r="F136" s="4"/>
      <c r="G136" s="4"/>
      <c r="H136" s="4"/>
      <c r="M136" s="4"/>
      <c r="N136" s="4"/>
      <c r="O136" s="4"/>
    </row>
    <row r="137">
      <c r="A137" s="67" t="str">
        <f t="shared" si="1"/>
        <v>Sun</v>
      </c>
      <c r="B137" s="69">
        <v>43597.0</v>
      </c>
      <c r="F137" s="4"/>
    </row>
    <row r="138">
      <c r="A138" s="67" t="str">
        <f t="shared" si="1"/>
        <v>Mon</v>
      </c>
      <c r="B138" s="69">
        <v>43598.0</v>
      </c>
      <c r="F138" s="4"/>
      <c r="G138" s="4"/>
      <c r="H138" s="4"/>
      <c r="M138" s="4"/>
      <c r="N138" s="4"/>
      <c r="O138" s="4"/>
    </row>
    <row r="139">
      <c r="A139" s="67" t="str">
        <f t="shared" si="1"/>
        <v>Tue</v>
      </c>
      <c r="B139" s="69">
        <v>43599.0</v>
      </c>
      <c r="F139" s="4"/>
    </row>
    <row r="140">
      <c r="A140" s="67" t="str">
        <f t="shared" si="1"/>
        <v>Wed</v>
      </c>
      <c r="B140" s="69">
        <v>43600.0</v>
      </c>
      <c r="F140" s="4"/>
      <c r="G140" s="4"/>
      <c r="H140" s="4"/>
      <c r="M140" s="4"/>
      <c r="N140" s="4"/>
      <c r="O140" s="4"/>
    </row>
    <row r="141">
      <c r="A141" s="67" t="str">
        <f t="shared" si="1"/>
        <v>Thu</v>
      </c>
      <c r="B141" s="69">
        <v>43601.0</v>
      </c>
      <c r="F141" s="4"/>
    </row>
    <row r="142">
      <c r="A142" s="67" t="str">
        <f t="shared" si="1"/>
        <v>Fri</v>
      </c>
      <c r="B142" s="69">
        <v>43602.0</v>
      </c>
      <c r="F142" s="4"/>
      <c r="G142" s="4"/>
      <c r="H142" s="4"/>
      <c r="M142" s="4"/>
      <c r="N142" s="4"/>
      <c r="O142" s="4"/>
    </row>
    <row r="143">
      <c r="A143" s="67" t="str">
        <f t="shared" si="1"/>
        <v>Sat</v>
      </c>
      <c r="B143" s="69">
        <v>43603.0</v>
      </c>
      <c r="D143" s="4">
        <v>266.75</v>
      </c>
      <c r="E143" s="4" t="s">
        <v>337</v>
      </c>
      <c r="F143" s="4" t="s">
        <v>594</v>
      </c>
      <c r="G143" s="4" t="s">
        <v>594</v>
      </c>
      <c r="I143" s="4" t="s">
        <v>224</v>
      </c>
      <c r="L143" s="4" t="s">
        <v>225</v>
      </c>
      <c r="M143" s="4" t="s">
        <v>323</v>
      </c>
    </row>
    <row r="144">
      <c r="A144" s="67" t="str">
        <f t="shared" si="1"/>
        <v>Sun</v>
      </c>
      <c r="B144" s="69">
        <v>43604.0</v>
      </c>
      <c r="D144" s="4">
        <v>225.0</v>
      </c>
      <c r="E144" s="4" t="s">
        <v>337</v>
      </c>
      <c r="F144" s="4" t="s">
        <v>595</v>
      </c>
      <c r="G144" s="4" t="s">
        <v>595</v>
      </c>
      <c r="H144" s="4" t="s">
        <v>594</v>
      </c>
      <c r="I144" s="4" t="s">
        <v>224</v>
      </c>
      <c r="L144" s="4" t="s">
        <v>225</v>
      </c>
      <c r="M144" s="4" t="s">
        <v>596</v>
      </c>
      <c r="N144" s="4" t="s">
        <v>597</v>
      </c>
      <c r="Q144" s="4" t="s">
        <v>598</v>
      </c>
      <c r="R144" s="4" t="s">
        <v>599</v>
      </c>
      <c r="S144" s="4" t="s">
        <v>600</v>
      </c>
    </row>
    <row r="145">
      <c r="A145" s="67" t="str">
        <f t="shared" si="1"/>
        <v>Mon</v>
      </c>
      <c r="B145" s="69">
        <v>43605.0</v>
      </c>
      <c r="H145" s="4" t="s">
        <v>595</v>
      </c>
    </row>
    <row r="146">
      <c r="A146" s="67" t="str">
        <f t="shared" si="1"/>
        <v>Tue</v>
      </c>
      <c r="B146" s="69">
        <v>43606.0</v>
      </c>
    </row>
    <row r="147">
      <c r="A147" s="67" t="str">
        <f t="shared" si="1"/>
        <v>Wed</v>
      </c>
      <c r="B147" s="69">
        <v>43607.0</v>
      </c>
      <c r="F147" s="4"/>
      <c r="G147" s="4"/>
      <c r="M147" s="4"/>
      <c r="N147" s="4"/>
      <c r="O147" s="4"/>
    </row>
    <row r="148">
      <c r="A148" s="67" t="str">
        <f t="shared" si="1"/>
        <v>Thu</v>
      </c>
      <c r="B148" s="69">
        <v>43608.0</v>
      </c>
      <c r="F148" s="4"/>
    </row>
    <row r="149">
      <c r="A149" s="67" t="str">
        <f t="shared" si="1"/>
        <v>Fri</v>
      </c>
      <c r="B149" s="69">
        <v>43609.0</v>
      </c>
      <c r="F149" s="4"/>
      <c r="G149" s="4"/>
      <c r="H149" s="4"/>
      <c r="M149" s="4"/>
      <c r="N149" s="4"/>
      <c r="O149" s="4"/>
    </row>
    <row r="150">
      <c r="A150" s="67" t="str">
        <f t="shared" si="1"/>
        <v>Sat</v>
      </c>
      <c r="B150" s="69">
        <v>43610.0</v>
      </c>
      <c r="F150" s="4"/>
    </row>
    <row r="151">
      <c r="A151" s="67" t="str">
        <f t="shared" si="1"/>
        <v>Sun</v>
      </c>
      <c r="B151" s="69">
        <v>43611.0</v>
      </c>
      <c r="F151" s="4"/>
      <c r="G151" s="4"/>
      <c r="H151" s="4"/>
      <c r="J151" s="4" t="s">
        <v>228</v>
      </c>
      <c r="L151" s="4" t="s">
        <v>229</v>
      </c>
      <c r="M151" s="4"/>
      <c r="N151" s="4"/>
      <c r="O151" s="4"/>
    </row>
    <row r="152">
      <c r="A152" s="67" t="str">
        <f t="shared" si="1"/>
        <v>Mon</v>
      </c>
      <c r="B152" s="69">
        <v>43612.0</v>
      </c>
      <c r="F152" s="4"/>
      <c r="J152" s="4" t="s">
        <v>228</v>
      </c>
    </row>
    <row r="153">
      <c r="A153" s="67" t="str">
        <f t="shared" si="1"/>
        <v>Tue</v>
      </c>
      <c r="B153" s="69">
        <v>43613.0</v>
      </c>
      <c r="F153" s="4"/>
      <c r="G153" s="4"/>
      <c r="H153" s="4"/>
      <c r="J153" s="4" t="s">
        <v>228</v>
      </c>
      <c r="L153" s="4" t="s">
        <v>229</v>
      </c>
      <c r="M153" s="4"/>
      <c r="N153" s="4"/>
      <c r="O153" s="4"/>
    </row>
    <row r="154">
      <c r="A154" s="67" t="str">
        <f t="shared" si="1"/>
        <v>Wed</v>
      </c>
      <c r="B154" s="69">
        <v>43614.0</v>
      </c>
      <c r="F154" s="4"/>
      <c r="J154" s="4" t="s">
        <v>228</v>
      </c>
    </row>
    <row r="155">
      <c r="A155" s="67" t="str">
        <f t="shared" si="1"/>
        <v>Thu</v>
      </c>
      <c r="B155" s="69">
        <v>43615.0</v>
      </c>
      <c r="F155" s="4"/>
      <c r="G155" s="4"/>
      <c r="H155" s="4"/>
      <c r="J155" s="4" t="s">
        <v>295</v>
      </c>
      <c r="L155" s="4" t="s">
        <v>229</v>
      </c>
      <c r="M155" s="4"/>
      <c r="N155" s="4"/>
      <c r="O155" s="4"/>
    </row>
    <row r="156">
      <c r="A156" s="67" t="str">
        <f t="shared" si="1"/>
        <v>Fri</v>
      </c>
      <c r="B156" s="69">
        <v>43616.0</v>
      </c>
      <c r="D156" s="161">
        <v>227.95</v>
      </c>
      <c r="E156" s="4" t="s">
        <v>222</v>
      </c>
      <c r="F156" s="4" t="s">
        <v>604</v>
      </c>
      <c r="G156" s="4" t="s">
        <v>604</v>
      </c>
      <c r="H156" s="4"/>
      <c r="I156" s="4" t="s">
        <v>224</v>
      </c>
      <c r="K156" s="4" t="s">
        <v>231</v>
      </c>
      <c r="L156" s="4" t="s">
        <v>225</v>
      </c>
      <c r="M156" s="4" t="s">
        <v>605</v>
      </c>
      <c r="N156" s="4" t="s">
        <v>606</v>
      </c>
      <c r="O156" s="4" t="s">
        <v>607</v>
      </c>
      <c r="Q156" s="4" t="s">
        <v>608</v>
      </c>
      <c r="R156" s="4" t="s">
        <v>609</v>
      </c>
      <c r="S156" s="15"/>
    </row>
    <row r="157">
      <c r="A157" s="67" t="str">
        <f t="shared" si="1"/>
        <v>Sat</v>
      </c>
      <c r="B157" s="69">
        <v>43617.0</v>
      </c>
      <c r="D157" s="161">
        <v>227.95</v>
      </c>
      <c r="E157" s="4" t="s">
        <v>222</v>
      </c>
      <c r="F157" s="4" t="s">
        <v>604</v>
      </c>
      <c r="I157" s="4" t="s">
        <v>224</v>
      </c>
      <c r="S157" s="15"/>
    </row>
    <row r="158">
      <c r="A158" s="67" t="str">
        <f t="shared" si="1"/>
        <v>Sun</v>
      </c>
      <c r="B158" s="69">
        <v>43618.0</v>
      </c>
      <c r="H158" s="4" t="s">
        <v>604</v>
      </c>
      <c r="S158" s="15"/>
    </row>
    <row r="159">
      <c r="A159" s="67" t="str">
        <f t="shared" si="1"/>
        <v>Mon</v>
      </c>
      <c r="B159" s="69">
        <v>43619.0</v>
      </c>
    </row>
    <row r="160">
      <c r="A160" s="67" t="str">
        <f t="shared" si="1"/>
        <v>Tue</v>
      </c>
      <c r="B160" s="69">
        <v>43620.0</v>
      </c>
    </row>
    <row r="161">
      <c r="A161" s="67" t="str">
        <f t="shared" si="1"/>
        <v>Wed</v>
      </c>
      <c r="B161" s="69">
        <v>43621.0</v>
      </c>
    </row>
    <row r="162">
      <c r="A162" s="67" t="str">
        <f t="shared" si="1"/>
        <v>Thu</v>
      </c>
      <c r="B162" s="69">
        <v>43622.0</v>
      </c>
    </row>
    <row r="163">
      <c r="A163" s="67" t="str">
        <f t="shared" si="1"/>
        <v>Fri</v>
      </c>
      <c r="B163" s="69">
        <v>43623.0</v>
      </c>
    </row>
    <row r="164">
      <c r="A164" s="67" t="str">
        <f t="shared" si="1"/>
        <v>Sat</v>
      </c>
      <c r="B164" s="69">
        <v>43624.0</v>
      </c>
    </row>
    <row r="165">
      <c r="A165" s="67" t="str">
        <f t="shared" si="1"/>
        <v>Sun</v>
      </c>
      <c r="B165" s="69">
        <v>43625.0</v>
      </c>
    </row>
    <row r="166">
      <c r="A166" s="67" t="str">
        <f t="shared" si="1"/>
        <v>Mon</v>
      </c>
      <c r="B166" s="69">
        <v>43626.0</v>
      </c>
    </row>
    <row r="167">
      <c r="A167" s="67" t="str">
        <f t="shared" si="1"/>
        <v>Tue</v>
      </c>
      <c r="B167" s="69">
        <v>43627.0</v>
      </c>
    </row>
    <row r="168">
      <c r="A168" s="67" t="str">
        <f t="shared" si="1"/>
        <v>Wed</v>
      </c>
      <c r="B168" s="69">
        <v>43628.0</v>
      </c>
    </row>
    <row r="169">
      <c r="A169" s="67" t="str">
        <f t="shared" si="1"/>
        <v>Thu</v>
      </c>
      <c r="B169" s="69">
        <v>43629.0</v>
      </c>
    </row>
    <row r="170">
      <c r="A170" s="67" t="str">
        <f t="shared" si="1"/>
        <v>Fri</v>
      </c>
      <c r="B170" s="69">
        <v>43630.0</v>
      </c>
    </row>
    <row r="171">
      <c r="A171" s="67" t="str">
        <f t="shared" si="1"/>
        <v>Sat</v>
      </c>
      <c r="B171" s="69">
        <v>43631.0</v>
      </c>
      <c r="D171" s="161">
        <v>247.95</v>
      </c>
      <c r="E171" s="4" t="s">
        <v>169</v>
      </c>
      <c r="F171" s="4" t="s">
        <v>613</v>
      </c>
      <c r="G171" s="4" t="s">
        <v>613</v>
      </c>
      <c r="I171" s="4" t="s">
        <v>359</v>
      </c>
      <c r="K171" s="4" t="s">
        <v>231</v>
      </c>
      <c r="L171" s="4" t="s">
        <v>229</v>
      </c>
      <c r="M171" s="4" t="s">
        <v>226</v>
      </c>
      <c r="N171" s="4" t="s">
        <v>232</v>
      </c>
      <c r="O171" s="4" t="s">
        <v>264</v>
      </c>
    </row>
    <row r="172">
      <c r="A172" s="67" t="str">
        <f t="shared" si="1"/>
        <v>Sun</v>
      </c>
      <c r="B172" s="69">
        <v>43632.0</v>
      </c>
      <c r="D172" s="161">
        <v>247.95</v>
      </c>
      <c r="E172" s="4" t="s">
        <v>169</v>
      </c>
      <c r="F172" s="4" t="s">
        <v>613</v>
      </c>
      <c r="I172" s="4" t="s">
        <v>359</v>
      </c>
    </row>
    <row r="173">
      <c r="A173" s="67" t="str">
        <f t="shared" si="1"/>
        <v>Mon</v>
      </c>
      <c r="B173" s="69">
        <v>43633.0</v>
      </c>
      <c r="H173" s="4" t="s">
        <v>613</v>
      </c>
    </row>
    <row r="174">
      <c r="A174" s="67" t="str">
        <f t="shared" si="1"/>
        <v>Tue</v>
      </c>
      <c r="B174" s="69">
        <v>43634.0</v>
      </c>
    </row>
    <row r="175">
      <c r="A175" s="67" t="str">
        <f t="shared" si="1"/>
        <v>Wed</v>
      </c>
      <c r="B175" s="69">
        <v>43635.0</v>
      </c>
      <c r="D175" s="161">
        <v>326.25</v>
      </c>
      <c r="E175" s="4" t="s">
        <v>169</v>
      </c>
      <c r="F175" s="4" t="s">
        <v>614</v>
      </c>
      <c r="G175" s="4" t="s">
        <v>614</v>
      </c>
      <c r="I175" s="4" t="s">
        <v>224</v>
      </c>
      <c r="K175" s="4" t="s">
        <v>231</v>
      </c>
      <c r="L175" s="4" t="s">
        <v>225</v>
      </c>
      <c r="M175" s="4" t="s">
        <v>226</v>
      </c>
      <c r="N175" s="4" t="s">
        <v>232</v>
      </c>
      <c r="O175" s="4" t="s">
        <v>264</v>
      </c>
      <c r="R175" s="4" t="s">
        <v>615</v>
      </c>
    </row>
    <row r="176">
      <c r="A176" s="67" t="str">
        <f t="shared" si="1"/>
        <v>Thu</v>
      </c>
      <c r="B176" s="69">
        <v>43636.0</v>
      </c>
      <c r="D176" s="161">
        <v>326.25</v>
      </c>
      <c r="E176" s="4" t="s">
        <v>169</v>
      </c>
      <c r="F176" s="4" t="s">
        <v>614</v>
      </c>
      <c r="I176" s="4" t="s">
        <v>224</v>
      </c>
    </row>
    <row r="177">
      <c r="A177" s="67" t="str">
        <f t="shared" si="1"/>
        <v>Fri</v>
      </c>
      <c r="B177" s="69">
        <v>43637.0</v>
      </c>
      <c r="D177" s="161">
        <v>326.25</v>
      </c>
      <c r="E177" s="4" t="s">
        <v>169</v>
      </c>
      <c r="F177" s="4" t="s">
        <v>614</v>
      </c>
      <c r="I177" s="4" t="s">
        <v>224</v>
      </c>
    </row>
    <row r="178">
      <c r="A178" s="67" t="str">
        <f t="shared" si="1"/>
        <v>Sat</v>
      </c>
      <c r="B178" s="69">
        <v>43638.0</v>
      </c>
      <c r="D178" s="161">
        <v>326.25</v>
      </c>
      <c r="E178" s="4" t="s">
        <v>169</v>
      </c>
      <c r="F178" s="4" t="s">
        <v>614</v>
      </c>
      <c r="I178" s="4" t="s">
        <v>224</v>
      </c>
    </row>
    <row r="179">
      <c r="A179" s="67" t="str">
        <f t="shared" si="1"/>
        <v>Sun</v>
      </c>
      <c r="B179" s="69">
        <v>43639.0</v>
      </c>
      <c r="H179" s="4" t="s">
        <v>614</v>
      </c>
    </row>
    <row r="180">
      <c r="A180" s="67" t="str">
        <f t="shared" si="1"/>
        <v>Mon</v>
      </c>
      <c r="B180" s="69">
        <v>43640.0</v>
      </c>
    </row>
    <row r="181">
      <c r="A181" s="67" t="str">
        <f t="shared" si="1"/>
        <v>Tue</v>
      </c>
      <c r="B181" s="69">
        <v>43641.0</v>
      </c>
    </row>
    <row r="182">
      <c r="A182" s="67" t="str">
        <f t="shared" si="1"/>
        <v>Wed</v>
      </c>
      <c r="B182" s="69">
        <v>43642.0</v>
      </c>
    </row>
    <row r="183">
      <c r="A183" s="67" t="str">
        <f t="shared" si="1"/>
        <v>Thu</v>
      </c>
      <c r="B183" s="69">
        <v>43643.0</v>
      </c>
    </row>
    <row r="184">
      <c r="A184" s="67" t="str">
        <f t="shared" si="1"/>
        <v>Fri</v>
      </c>
      <c r="B184" s="69">
        <v>43644.0</v>
      </c>
    </row>
    <row r="185">
      <c r="A185" s="67" t="str">
        <f t="shared" si="1"/>
        <v>Sat</v>
      </c>
      <c r="B185" s="69">
        <v>43645.0</v>
      </c>
    </row>
    <row r="186">
      <c r="A186" s="67" t="str">
        <f t="shared" si="1"/>
        <v>Sun</v>
      </c>
      <c r="B186" s="69">
        <v>43646.0</v>
      </c>
    </row>
    <row r="187">
      <c r="A187" s="67" t="str">
        <f t="shared" si="1"/>
        <v>Mon</v>
      </c>
      <c r="B187" s="69">
        <v>43647.0</v>
      </c>
    </row>
    <row r="188">
      <c r="A188" s="67" t="str">
        <f t="shared" si="1"/>
        <v>Tue</v>
      </c>
      <c r="B188" s="69">
        <v>43648.0</v>
      </c>
    </row>
    <row r="189">
      <c r="A189" s="67" t="str">
        <f t="shared" si="1"/>
        <v>Wed</v>
      </c>
      <c r="B189" s="69">
        <v>43649.0</v>
      </c>
    </row>
    <row r="190">
      <c r="A190" s="67" t="str">
        <f t="shared" si="1"/>
        <v>Thu</v>
      </c>
      <c r="B190" s="69">
        <v>43650.0</v>
      </c>
    </row>
    <row r="191">
      <c r="A191" s="67" t="str">
        <f t="shared" si="1"/>
        <v>Fri</v>
      </c>
      <c r="B191" s="69">
        <v>43651.0</v>
      </c>
    </row>
    <row r="192">
      <c r="A192" s="67" t="str">
        <f t="shared" si="1"/>
        <v>Sat</v>
      </c>
      <c r="B192" s="69">
        <v>43652.0</v>
      </c>
    </row>
    <row r="193">
      <c r="A193" s="67" t="str">
        <f t="shared" si="1"/>
        <v>Sun</v>
      </c>
      <c r="B193" s="69">
        <v>43653.0</v>
      </c>
    </row>
    <row r="194">
      <c r="A194" s="67" t="str">
        <f t="shared" si="1"/>
        <v>Mon</v>
      </c>
      <c r="B194" s="69">
        <v>43654.0</v>
      </c>
    </row>
    <row r="195">
      <c r="A195" s="67" t="str">
        <f t="shared" si="1"/>
        <v>Tue</v>
      </c>
      <c r="B195" s="69">
        <v>43655.0</v>
      </c>
    </row>
    <row r="196">
      <c r="A196" s="67" t="str">
        <f t="shared" si="1"/>
        <v>Wed</v>
      </c>
      <c r="B196" s="69">
        <v>43656.0</v>
      </c>
    </row>
    <row r="197">
      <c r="A197" s="67" t="str">
        <f t="shared" si="1"/>
        <v>Thu</v>
      </c>
      <c r="B197" s="69">
        <v>43657.0</v>
      </c>
    </row>
    <row r="198">
      <c r="A198" s="67" t="str">
        <f t="shared" si="1"/>
        <v>Fri</v>
      </c>
      <c r="B198" s="69">
        <v>43658.0</v>
      </c>
    </row>
    <row r="199">
      <c r="A199" s="67" t="str">
        <f t="shared" si="1"/>
        <v>Sat</v>
      </c>
      <c r="B199" s="69">
        <v>43659.0</v>
      </c>
    </row>
    <row r="200">
      <c r="A200" s="67" t="str">
        <f t="shared" si="1"/>
        <v>Sun</v>
      </c>
      <c r="B200" s="69">
        <v>43660.0</v>
      </c>
    </row>
    <row r="201">
      <c r="A201" s="67" t="str">
        <f t="shared" si="1"/>
        <v>Mon</v>
      </c>
      <c r="B201" s="69">
        <v>43661.0</v>
      </c>
    </row>
    <row r="202">
      <c r="A202" s="67" t="str">
        <f t="shared" si="1"/>
        <v>Tue</v>
      </c>
      <c r="B202" s="69">
        <v>43662.0</v>
      </c>
    </row>
    <row r="203">
      <c r="A203" s="67" t="str">
        <f t="shared" si="1"/>
        <v>Wed</v>
      </c>
      <c r="B203" s="69">
        <v>43663.0</v>
      </c>
    </row>
    <row r="204">
      <c r="A204" s="67" t="str">
        <f t="shared" si="1"/>
        <v>Thu</v>
      </c>
      <c r="B204" s="69">
        <v>43664.0</v>
      </c>
    </row>
    <row r="205">
      <c r="A205" s="67" t="str">
        <f t="shared" si="1"/>
        <v>Fri</v>
      </c>
      <c r="B205" s="69">
        <v>43665.0</v>
      </c>
    </row>
    <row r="206">
      <c r="A206" s="67" t="str">
        <f t="shared" si="1"/>
        <v>Sat</v>
      </c>
      <c r="B206" s="69">
        <v>43666.0</v>
      </c>
    </row>
    <row r="207">
      <c r="A207" s="67" t="str">
        <f t="shared" si="1"/>
        <v>Sun</v>
      </c>
      <c r="B207" s="69">
        <v>43667.0</v>
      </c>
    </row>
    <row r="208">
      <c r="A208" s="67" t="str">
        <f t="shared" si="1"/>
        <v>Mon</v>
      </c>
      <c r="B208" s="69">
        <v>43668.0</v>
      </c>
    </row>
    <row r="209">
      <c r="A209" s="67" t="str">
        <f t="shared" si="1"/>
        <v>Tue</v>
      </c>
      <c r="B209" s="69">
        <v>43669.0</v>
      </c>
    </row>
    <row r="210">
      <c r="A210" s="67" t="str">
        <f t="shared" si="1"/>
        <v>Wed</v>
      </c>
      <c r="B210" s="69">
        <v>43670.0</v>
      </c>
    </row>
    <row r="211">
      <c r="A211" s="67" t="str">
        <f t="shared" si="1"/>
        <v>Thu</v>
      </c>
      <c r="B211" s="69">
        <v>43671.0</v>
      </c>
    </row>
    <row r="212">
      <c r="A212" s="67" t="str">
        <f t="shared" si="1"/>
        <v>Fri</v>
      </c>
      <c r="B212" s="69">
        <v>43672.0</v>
      </c>
    </row>
    <row r="213">
      <c r="A213" s="67" t="str">
        <f t="shared" si="1"/>
        <v>Sat</v>
      </c>
      <c r="B213" s="69">
        <v>43673.0</v>
      </c>
    </row>
    <row r="214">
      <c r="A214" s="67" t="str">
        <f t="shared" si="1"/>
        <v>Sun</v>
      </c>
      <c r="B214" s="69">
        <v>43674.0</v>
      </c>
    </row>
    <row r="215">
      <c r="A215" s="67" t="str">
        <f t="shared" si="1"/>
        <v>Mon</v>
      </c>
      <c r="B215" s="69">
        <v>43675.0</v>
      </c>
    </row>
    <row r="216">
      <c r="A216" s="67" t="str">
        <f t="shared" si="1"/>
        <v>Tue</v>
      </c>
      <c r="B216" s="69">
        <v>43676.0</v>
      </c>
    </row>
    <row r="217">
      <c r="A217" s="67" t="str">
        <f t="shared" si="1"/>
        <v>Wed</v>
      </c>
      <c r="B217" s="69">
        <v>43677.0</v>
      </c>
    </row>
    <row r="218">
      <c r="A218" s="67" t="str">
        <f t="shared" si="1"/>
        <v>Thu</v>
      </c>
      <c r="B218" s="69">
        <v>43678.0</v>
      </c>
    </row>
    <row r="219">
      <c r="A219" s="67" t="str">
        <f t="shared" si="1"/>
        <v>Fri</v>
      </c>
      <c r="B219" s="69">
        <v>43679.0</v>
      </c>
    </row>
    <row r="220">
      <c r="A220" s="67" t="str">
        <f t="shared" si="1"/>
        <v>Sat</v>
      </c>
      <c r="B220" s="69">
        <v>43680.0</v>
      </c>
    </row>
    <row r="221">
      <c r="A221" s="67" t="str">
        <f t="shared" si="1"/>
        <v>Sun</v>
      </c>
      <c r="B221" s="69">
        <v>43681.0</v>
      </c>
    </row>
    <row r="222">
      <c r="A222" s="67" t="str">
        <f t="shared" si="1"/>
        <v>Mon</v>
      </c>
      <c r="B222" s="69">
        <v>43682.0</v>
      </c>
    </row>
    <row r="223">
      <c r="A223" s="67" t="str">
        <f t="shared" si="1"/>
        <v>Tue</v>
      </c>
      <c r="B223" s="69">
        <v>43683.0</v>
      </c>
    </row>
    <row r="224">
      <c r="A224" s="67" t="str">
        <f t="shared" si="1"/>
        <v>Wed</v>
      </c>
      <c r="B224" s="69">
        <v>43684.0</v>
      </c>
    </row>
    <row r="225">
      <c r="A225" s="67" t="str">
        <f t="shared" si="1"/>
        <v>Thu</v>
      </c>
      <c r="B225" s="69">
        <v>43685.0</v>
      </c>
    </row>
    <row r="226">
      <c r="A226" s="67" t="str">
        <f t="shared" si="1"/>
        <v>Fri</v>
      </c>
      <c r="B226" s="69">
        <v>43686.0</v>
      </c>
    </row>
    <row r="227">
      <c r="A227" s="67" t="str">
        <f t="shared" si="1"/>
        <v>Sat</v>
      </c>
      <c r="B227" s="69">
        <v>43687.0</v>
      </c>
    </row>
    <row r="228">
      <c r="A228" s="67" t="str">
        <f t="shared" si="1"/>
        <v>Sun</v>
      </c>
      <c r="B228" s="69">
        <v>43688.0</v>
      </c>
    </row>
    <row r="229">
      <c r="A229" s="67" t="str">
        <f t="shared" si="1"/>
        <v>Mon</v>
      </c>
      <c r="B229" s="69">
        <v>43689.0</v>
      </c>
    </row>
    <row r="230">
      <c r="A230" s="67" t="str">
        <f t="shared" si="1"/>
        <v>Tue</v>
      </c>
      <c r="B230" s="69">
        <v>43690.0</v>
      </c>
    </row>
    <row r="231">
      <c r="A231" s="67" t="str">
        <f t="shared" si="1"/>
        <v>Wed</v>
      </c>
      <c r="B231" s="69">
        <v>43691.0</v>
      </c>
    </row>
    <row r="232">
      <c r="A232" s="67" t="str">
        <f t="shared" si="1"/>
        <v>Thu</v>
      </c>
      <c r="B232" s="69">
        <v>43692.0</v>
      </c>
    </row>
    <row r="233">
      <c r="A233" s="67" t="str">
        <f t="shared" si="1"/>
        <v>Fri</v>
      </c>
      <c r="B233" s="69">
        <v>43693.0</v>
      </c>
    </row>
    <row r="234">
      <c r="A234" s="67" t="str">
        <f t="shared" si="1"/>
        <v>Sat</v>
      </c>
      <c r="B234" s="69">
        <v>43694.0</v>
      </c>
    </row>
    <row r="235">
      <c r="A235" s="67" t="str">
        <f t="shared" si="1"/>
        <v>Sun</v>
      </c>
      <c r="B235" s="69">
        <v>43695.0</v>
      </c>
    </row>
    <row r="236">
      <c r="A236" s="67" t="str">
        <f t="shared" si="1"/>
        <v>Mon</v>
      </c>
      <c r="B236" s="69">
        <v>43696.0</v>
      </c>
    </row>
    <row r="237">
      <c r="A237" s="67" t="str">
        <f t="shared" si="1"/>
        <v>Tue</v>
      </c>
      <c r="B237" s="69">
        <v>43697.0</v>
      </c>
    </row>
    <row r="238">
      <c r="A238" s="67" t="str">
        <f t="shared" si="1"/>
        <v>Wed</v>
      </c>
      <c r="B238" s="69">
        <v>43698.0</v>
      </c>
    </row>
    <row r="239">
      <c r="A239" s="67" t="str">
        <f t="shared" si="1"/>
        <v>Thu</v>
      </c>
      <c r="B239" s="69">
        <v>43699.0</v>
      </c>
    </row>
    <row r="240">
      <c r="A240" s="67" t="str">
        <f t="shared" si="1"/>
        <v>Fri</v>
      </c>
      <c r="B240" s="69">
        <v>43700.0</v>
      </c>
    </row>
    <row r="241">
      <c r="A241" s="67" t="str">
        <f t="shared" si="1"/>
        <v>Sat</v>
      </c>
      <c r="B241" s="69">
        <v>43701.0</v>
      </c>
    </row>
    <row r="242">
      <c r="A242" s="67" t="str">
        <f t="shared" si="1"/>
        <v>Sun</v>
      </c>
      <c r="B242" s="69">
        <v>43702.0</v>
      </c>
    </row>
    <row r="243">
      <c r="A243" s="67" t="str">
        <f t="shared" si="1"/>
        <v>Mon</v>
      </c>
      <c r="B243" s="69">
        <v>43703.0</v>
      </c>
    </row>
    <row r="244">
      <c r="A244" s="67" t="str">
        <f t="shared" si="1"/>
        <v>Tue</v>
      </c>
      <c r="B244" s="69">
        <v>43704.0</v>
      </c>
    </row>
    <row r="245">
      <c r="A245" s="67" t="str">
        <f t="shared" si="1"/>
        <v>Wed</v>
      </c>
      <c r="B245" s="69">
        <v>43705.0</v>
      </c>
    </row>
    <row r="246">
      <c r="A246" s="67" t="str">
        <f t="shared" si="1"/>
        <v>Thu</v>
      </c>
      <c r="B246" s="69">
        <v>43706.0</v>
      </c>
    </row>
    <row r="247">
      <c r="A247" s="67" t="str">
        <f t="shared" si="1"/>
        <v>Fri</v>
      </c>
      <c r="B247" s="69">
        <v>43707.0</v>
      </c>
    </row>
    <row r="248">
      <c r="A248" s="67" t="str">
        <f t="shared" si="1"/>
        <v>Sat</v>
      </c>
      <c r="B248" s="69">
        <v>43708.0</v>
      </c>
    </row>
    <row r="249">
      <c r="A249" s="67" t="str">
        <f t="shared" si="1"/>
        <v>Sun</v>
      </c>
      <c r="B249" s="69">
        <v>43709.0</v>
      </c>
    </row>
    <row r="250">
      <c r="A250" s="67" t="str">
        <f t="shared" si="1"/>
        <v>Mon</v>
      </c>
      <c r="B250" s="69">
        <v>43710.0</v>
      </c>
    </row>
    <row r="251">
      <c r="A251" s="67" t="str">
        <f t="shared" si="1"/>
        <v>Tue</v>
      </c>
      <c r="B251" s="69">
        <v>43711.0</v>
      </c>
      <c r="D251" s="161">
        <v>261.9</v>
      </c>
      <c r="E251" s="4" t="s">
        <v>222</v>
      </c>
      <c r="F251" s="4" t="s">
        <v>623</v>
      </c>
      <c r="G251" s="4" t="s">
        <v>623</v>
      </c>
      <c r="I251" s="4" t="s">
        <v>224</v>
      </c>
      <c r="K251" s="4" t="s">
        <v>231</v>
      </c>
      <c r="L251" s="4" t="s">
        <v>229</v>
      </c>
      <c r="M251" s="4" t="s">
        <v>226</v>
      </c>
      <c r="N251" s="4" t="s">
        <v>232</v>
      </c>
      <c r="O251" s="4" t="s">
        <v>264</v>
      </c>
      <c r="Q251" s="4" t="s">
        <v>624</v>
      </c>
      <c r="R251" s="4" t="s">
        <v>625</v>
      </c>
      <c r="S251" s="161">
        <v>3.2318933804E10</v>
      </c>
    </row>
    <row r="252">
      <c r="A252" s="67" t="str">
        <f t="shared" si="1"/>
        <v>Wed</v>
      </c>
      <c r="B252" s="69">
        <v>43712.0</v>
      </c>
      <c r="D252" s="161">
        <v>261.9</v>
      </c>
      <c r="E252" s="4" t="s">
        <v>222</v>
      </c>
      <c r="F252" s="4" t="s">
        <v>623</v>
      </c>
      <c r="I252" s="4" t="s">
        <v>224</v>
      </c>
    </row>
    <row r="253">
      <c r="A253" s="67" t="str">
        <f t="shared" si="1"/>
        <v>Thu</v>
      </c>
      <c r="B253" s="69">
        <v>43713.0</v>
      </c>
      <c r="D253" s="161">
        <v>261.9</v>
      </c>
      <c r="E253" s="4" t="s">
        <v>222</v>
      </c>
      <c r="F253" s="4" t="s">
        <v>623</v>
      </c>
      <c r="I253" s="4" t="s">
        <v>224</v>
      </c>
    </row>
    <row r="254">
      <c r="A254" s="67" t="str">
        <f t="shared" si="1"/>
        <v>Fri</v>
      </c>
      <c r="B254" s="69">
        <v>43714.0</v>
      </c>
      <c r="D254" s="161">
        <v>261.9</v>
      </c>
      <c r="E254" s="4" t="s">
        <v>222</v>
      </c>
      <c r="F254" s="4" t="s">
        <v>623</v>
      </c>
      <c r="I254" s="4" t="s">
        <v>224</v>
      </c>
    </row>
    <row r="255">
      <c r="A255" s="67" t="str">
        <f t="shared" si="1"/>
        <v>Sat</v>
      </c>
      <c r="B255" s="69">
        <v>43715.0</v>
      </c>
      <c r="D255" s="161">
        <v>261.9</v>
      </c>
      <c r="E255" s="4" t="s">
        <v>222</v>
      </c>
      <c r="F255" s="4" t="s">
        <v>623</v>
      </c>
      <c r="I255" s="4" t="s">
        <v>224</v>
      </c>
    </row>
    <row r="256">
      <c r="A256" s="67" t="str">
        <f t="shared" si="1"/>
        <v>Sun</v>
      </c>
      <c r="B256" s="69">
        <v>43716.0</v>
      </c>
      <c r="H256" s="4" t="s">
        <v>623</v>
      </c>
    </row>
    <row r="257">
      <c r="A257" s="67" t="str">
        <f t="shared" si="1"/>
        <v>Mon</v>
      </c>
      <c r="B257" s="69">
        <v>43717.0</v>
      </c>
    </row>
    <row r="258">
      <c r="A258" s="67" t="str">
        <f t="shared" si="1"/>
        <v>Tue</v>
      </c>
      <c r="B258" s="69">
        <v>43718.0</v>
      </c>
    </row>
    <row r="259">
      <c r="A259" s="67" t="str">
        <f t="shared" si="1"/>
        <v>Wed</v>
      </c>
      <c r="B259" s="69">
        <v>43719.0</v>
      </c>
    </row>
    <row r="260">
      <c r="A260" s="67" t="str">
        <f t="shared" si="1"/>
        <v>Thu</v>
      </c>
      <c r="B260" s="69">
        <v>43720.0</v>
      </c>
    </row>
    <row r="261">
      <c r="A261" s="67" t="str">
        <f t="shared" si="1"/>
        <v>Fri</v>
      </c>
      <c r="B261" s="69">
        <v>43721.0</v>
      </c>
    </row>
    <row r="262">
      <c r="A262" s="67" t="str">
        <f t="shared" si="1"/>
        <v>Sat</v>
      </c>
      <c r="B262" s="69">
        <v>43722.0</v>
      </c>
    </row>
    <row r="263">
      <c r="A263" s="67" t="str">
        <f t="shared" si="1"/>
        <v>Sun</v>
      </c>
      <c r="B263" s="69">
        <v>43723.0</v>
      </c>
    </row>
    <row r="264">
      <c r="A264" s="67" t="str">
        <f t="shared" si="1"/>
        <v>Mon</v>
      </c>
      <c r="B264" s="69">
        <v>43724.0</v>
      </c>
    </row>
    <row r="265">
      <c r="A265" s="67" t="str">
        <f t="shared" si="1"/>
        <v>Tue</v>
      </c>
      <c r="B265" s="69">
        <v>43725.0</v>
      </c>
    </row>
    <row r="266">
      <c r="A266" s="67" t="str">
        <f t="shared" si="1"/>
        <v>Wed</v>
      </c>
      <c r="B266" s="69">
        <v>43726.0</v>
      </c>
    </row>
    <row r="267">
      <c r="A267" s="67" t="str">
        <f t="shared" si="1"/>
        <v>Thu</v>
      </c>
      <c r="B267" s="69">
        <v>43727.0</v>
      </c>
    </row>
    <row r="268">
      <c r="A268" s="67" t="str">
        <f t="shared" si="1"/>
        <v>Fri</v>
      </c>
      <c r="B268" s="69">
        <v>43728.0</v>
      </c>
    </row>
    <row r="269">
      <c r="A269" s="67" t="str">
        <f t="shared" si="1"/>
        <v>Sat</v>
      </c>
      <c r="B269" s="69">
        <v>43729.0</v>
      </c>
    </row>
    <row r="270">
      <c r="A270" s="67" t="str">
        <f t="shared" si="1"/>
        <v>Sun</v>
      </c>
      <c r="B270" s="69">
        <v>43730.0</v>
      </c>
    </row>
    <row r="271">
      <c r="A271" s="67" t="str">
        <f t="shared" si="1"/>
        <v>Mon</v>
      </c>
      <c r="B271" s="69">
        <v>43731.0</v>
      </c>
    </row>
    <row r="272">
      <c r="A272" s="67" t="str">
        <f t="shared" si="1"/>
        <v>Tue</v>
      </c>
      <c r="B272" s="69">
        <v>43732.0</v>
      </c>
    </row>
    <row r="273">
      <c r="A273" s="67" t="str">
        <f t="shared" si="1"/>
        <v>Wed</v>
      </c>
      <c r="B273" s="69">
        <v>43733.0</v>
      </c>
    </row>
    <row r="274">
      <c r="A274" s="67" t="str">
        <f t="shared" si="1"/>
        <v>Thu</v>
      </c>
      <c r="B274" s="69">
        <v>43734.0</v>
      </c>
    </row>
    <row r="275">
      <c r="A275" s="67" t="str">
        <f t="shared" si="1"/>
        <v>Fri</v>
      </c>
      <c r="B275" s="69">
        <v>43735.0</v>
      </c>
    </row>
    <row r="276">
      <c r="A276" s="67" t="str">
        <f t="shared" si="1"/>
        <v>Sat</v>
      </c>
      <c r="B276" s="69">
        <v>43736.0</v>
      </c>
    </row>
    <row r="277">
      <c r="A277" s="67" t="str">
        <f t="shared" si="1"/>
        <v>Sun</v>
      </c>
      <c r="B277" s="69">
        <v>43737.0</v>
      </c>
    </row>
    <row r="278">
      <c r="A278" s="67" t="str">
        <f t="shared" si="1"/>
        <v>Mon</v>
      </c>
      <c r="B278" s="69">
        <v>43738.0</v>
      </c>
    </row>
    <row r="279">
      <c r="A279" s="67" t="str">
        <f t="shared" si="1"/>
        <v>Tue</v>
      </c>
      <c r="B279" s="69">
        <v>43739.0</v>
      </c>
    </row>
    <row r="280">
      <c r="A280" s="67" t="str">
        <f t="shared" si="1"/>
        <v>Wed</v>
      </c>
      <c r="B280" s="69">
        <v>43740.0</v>
      </c>
    </row>
    <row r="281">
      <c r="A281" s="67" t="str">
        <f t="shared" si="1"/>
        <v>Thu</v>
      </c>
      <c r="B281" s="69">
        <v>43741.0</v>
      </c>
    </row>
    <row r="282">
      <c r="A282" s="67" t="str">
        <f t="shared" si="1"/>
        <v>Fri</v>
      </c>
      <c r="B282" s="69">
        <v>43742.0</v>
      </c>
    </row>
    <row r="283">
      <c r="A283" s="67" t="str">
        <f t="shared" si="1"/>
        <v>Sat</v>
      </c>
      <c r="B283" s="69">
        <v>43743.0</v>
      </c>
    </row>
    <row r="284">
      <c r="A284" s="67" t="str">
        <f t="shared" si="1"/>
        <v>Sun</v>
      </c>
      <c r="B284" s="69">
        <v>43744.0</v>
      </c>
    </row>
    <row r="285">
      <c r="A285" s="67" t="str">
        <f t="shared" si="1"/>
        <v>Mon</v>
      </c>
      <c r="B285" s="69">
        <v>43745.0</v>
      </c>
    </row>
    <row r="286">
      <c r="A286" s="67" t="str">
        <f t="shared" si="1"/>
        <v>Tue</v>
      </c>
      <c r="B286" s="69">
        <v>43746.0</v>
      </c>
    </row>
    <row r="287">
      <c r="A287" s="67" t="str">
        <f t="shared" si="1"/>
        <v>Wed</v>
      </c>
      <c r="B287" s="69">
        <v>43747.0</v>
      </c>
    </row>
    <row r="288">
      <c r="A288" s="67" t="str">
        <f t="shared" si="1"/>
        <v>Thu</v>
      </c>
      <c r="B288" s="69">
        <v>43748.0</v>
      </c>
    </row>
    <row r="289">
      <c r="A289" s="67" t="str">
        <f t="shared" si="1"/>
        <v>Fri</v>
      </c>
      <c r="B289" s="69">
        <v>43749.0</v>
      </c>
    </row>
    <row r="290">
      <c r="A290" s="67" t="str">
        <f t="shared" si="1"/>
        <v>Sat</v>
      </c>
      <c r="B290" s="69">
        <v>43750.0</v>
      </c>
    </row>
    <row r="291">
      <c r="A291" s="67" t="str">
        <f t="shared" si="1"/>
        <v>Sun</v>
      </c>
      <c r="B291" s="69">
        <v>43751.0</v>
      </c>
    </row>
    <row r="292">
      <c r="A292" s="67" t="str">
        <f t="shared" si="1"/>
        <v>Mon</v>
      </c>
      <c r="B292" s="69">
        <v>43752.0</v>
      </c>
    </row>
    <row r="293">
      <c r="A293" s="67" t="str">
        <f t="shared" si="1"/>
        <v>Tue</v>
      </c>
      <c r="B293" s="69">
        <v>43753.0</v>
      </c>
    </row>
    <row r="294">
      <c r="A294" s="67" t="str">
        <f t="shared" si="1"/>
        <v>Wed</v>
      </c>
      <c r="B294" s="69">
        <v>43754.0</v>
      </c>
    </row>
    <row r="295">
      <c r="A295" s="67" t="str">
        <f t="shared" si="1"/>
        <v>Thu</v>
      </c>
      <c r="B295" s="69">
        <v>43755.0</v>
      </c>
    </row>
    <row r="296">
      <c r="A296" s="67" t="str">
        <f t="shared" si="1"/>
        <v>Fri</v>
      </c>
      <c r="B296" s="69">
        <v>43756.0</v>
      </c>
    </row>
    <row r="297">
      <c r="A297" s="67" t="str">
        <f t="shared" si="1"/>
        <v>Sat</v>
      </c>
      <c r="B297" s="69">
        <v>43757.0</v>
      </c>
    </row>
    <row r="298">
      <c r="A298" s="67" t="str">
        <f t="shared" si="1"/>
        <v>Sun</v>
      </c>
      <c r="B298" s="69">
        <v>43758.0</v>
      </c>
    </row>
    <row r="299">
      <c r="A299" s="67" t="str">
        <f t="shared" si="1"/>
        <v>Mon</v>
      </c>
      <c r="B299" s="69">
        <v>43759.0</v>
      </c>
    </row>
    <row r="300">
      <c r="A300" s="67" t="str">
        <f t="shared" si="1"/>
        <v>Tue</v>
      </c>
      <c r="B300" s="69">
        <v>43760.0</v>
      </c>
    </row>
    <row r="301">
      <c r="A301" s="67" t="str">
        <f t="shared" si="1"/>
        <v>Wed</v>
      </c>
      <c r="B301" s="69">
        <v>43761.0</v>
      </c>
    </row>
    <row r="302">
      <c r="A302" s="67" t="str">
        <f t="shared" si="1"/>
        <v>Thu</v>
      </c>
      <c r="B302" s="69">
        <v>43762.0</v>
      </c>
    </row>
    <row r="303">
      <c r="A303" s="67" t="str">
        <f t="shared" si="1"/>
        <v>Fri</v>
      </c>
      <c r="B303" s="69">
        <v>43763.0</v>
      </c>
    </row>
    <row r="304">
      <c r="A304" s="67" t="str">
        <f t="shared" si="1"/>
        <v>Sat</v>
      </c>
      <c r="B304" s="69">
        <v>43764.0</v>
      </c>
    </row>
    <row r="305">
      <c r="A305" s="67" t="str">
        <f t="shared" si="1"/>
        <v>Sun</v>
      </c>
      <c r="B305" s="69">
        <v>43765.0</v>
      </c>
    </row>
    <row r="306">
      <c r="A306" s="67" t="str">
        <f t="shared" si="1"/>
        <v>Mon</v>
      </c>
      <c r="B306" s="69">
        <v>43766.0</v>
      </c>
    </row>
    <row r="307">
      <c r="A307" s="67" t="str">
        <f t="shared" si="1"/>
        <v>Tue</v>
      </c>
      <c r="B307" s="69">
        <v>43767.0</v>
      </c>
    </row>
    <row r="308">
      <c r="A308" s="67" t="str">
        <f t="shared" si="1"/>
        <v>Wed</v>
      </c>
      <c r="B308" s="69">
        <v>43768.0</v>
      </c>
    </row>
    <row r="309">
      <c r="A309" s="67" t="str">
        <f t="shared" si="1"/>
        <v>Thu</v>
      </c>
      <c r="B309" s="69">
        <v>43769.0</v>
      </c>
    </row>
    <row r="310">
      <c r="A310" s="67" t="str">
        <f t="shared" si="1"/>
        <v>Fri</v>
      </c>
      <c r="B310" s="69">
        <v>43770.0</v>
      </c>
    </row>
    <row r="311">
      <c r="A311" s="67" t="str">
        <f t="shared" si="1"/>
        <v>Sat</v>
      </c>
      <c r="B311" s="69">
        <v>43771.0</v>
      </c>
    </row>
    <row r="312">
      <c r="A312" s="67" t="str">
        <f t="shared" si="1"/>
        <v>Sun</v>
      </c>
      <c r="B312" s="69">
        <v>43772.0</v>
      </c>
    </row>
    <row r="313">
      <c r="A313" s="67" t="str">
        <f t="shared" si="1"/>
        <v>Mon</v>
      </c>
      <c r="B313" s="69">
        <v>43773.0</v>
      </c>
    </row>
    <row r="314">
      <c r="A314" s="67" t="str">
        <f t="shared" si="1"/>
        <v>Tue</v>
      </c>
      <c r="B314" s="69">
        <v>43774.0</v>
      </c>
    </row>
    <row r="315">
      <c r="A315" s="67" t="str">
        <f t="shared" si="1"/>
        <v>Wed</v>
      </c>
      <c r="B315" s="69">
        <v>43775.0</v>
      </c>
    </row>
    <row r="316">
      <c r="A316" s="67" t="str">
        <f t="shared" si="1"/>
        <v>Thu</v>
      </c>
      <c r="B316" s="69">
        <v>43776.0</v>
      </c>
    </row>
    <row r="317">
      <c r="A317" s="67" t="str">
        <f t="shared" si="1"/>
        <v>Fri</v>
      </c>
      <c r="B317" s="69">
        <v>43777.0</v>
      </c>
    </row>
    <row r="318">
      <c r="A318" s="67" t="str">
        <f t="shared" si="1"/>
        <v>Sat</v>
      </c>
      <c r="B318" s="69">
        <v>43778.0</v>
      </c>
    </row>
    <row r="319">
      <c r="A319" s="67" t="str">
        <f t="shared" si="1"/>
        <v>Sun</v>
      </c>
      <c r="B319" s="69">
        <v>43779.0</v>
      </c>
    </row>
    <row r="320">
      <c r="A320" s="67" t="str">
        <f t="shared" si="1"/>
        <v>Mon</v>
      </c>
      <c r="B320" s="69">
        <v>43780.0</v>
      </c>
    </row>
    <row r="321">
      <c r="A321" s="67" t="str">
        <f t="shared" si="1"/>
        <v>Tue</v>
      </c>
      <c r="B321" s="69">
        <v>43781.0</v>
      </c>
    </row>
    <row r="322">
      <c r="A322" s="67" t="str">
        <f t="shared" si="1"/>
        <v>Wed</v>
      </c>
      <c r="B322" s="69">
        <v>43782.0</v>
      </c>
    </row>
    <row r="323">
      <c r="A323" s="67" t="str">
        <f t="shared" si="1"/>
        <v>Thu</v>
      </c>
      <c r="B323" s="69">
        <v>43783.0</v>
      </c>
    </row>
    <row r="324">
      <c r="A324" s="67" t="str">
        <f t="shared" si="1"/>
        <v>Fri</v>
      </c>
      <c r="B324" s="69">
        <v>43784.0</v>
      </c>
    </row>
    <row r="325">
      <c r="A325" s="67" t="str">
        <f t="shared" si="1"/>
        <v>Sat</v>
      </c>
      <c r="B325" s="69">
        <v>43785.0</v>
      </c>
    </row>
    <row r="326">
      <c r="A326" s="67" t="str">
        <f t="shared" si="1"/>
        <v>Sun</v>
      </c>
      <c r="B326" s="69">
        <v>43786.0</v>
      </c>
    </row>
    <row r="327">
      <c r="A327" s="67" t="str">
        <f t="shared" si="1"/>
        <v>Mon</v>
      </c>
      <c r="B327" s="69">
        <v>43787.0</v>
      </c>
    </row>
    <row r="328">
      <c r="A328" s="67" t="str">
        <f t="shared" si="1"/>
        <v>Tue</v>
      </c>
      <c r="B328" s="69">
        <v>43788.0</v>
      </c>
    </row>
    <row r="329">
      <c r="A329" s="67" t="str">
        <f t="shared" si="1"/>
        <v>Wed</v>
      </c>
      <c r="B329" s="69">
        <v>43789.0</v>
      </c>
    </row>
    <row r="330">
      <c r="A330" s="67" t="str">
        <f t="shared" si="1"/>
        <v>Thu</v>
      </c>
      <c r="B330" s="69">
        <v>43790.0</v>
      </c>
    </row>
    <row r="331">
      <c r="A331" s="67" t="str">
        <f t="shared" si="1"/>
        <v>Fri</v>
      </c>
      <c r="B331" s="69">
        <v>43791.0</v>
      </c>
    </row>
    <row r="332">
      <c r="A332" s="67" t="str">
        <f t="shared" si="1"/>
        <v>Sat</v>
      </c>
      <c r="B332" s="69">
        <v>43792.0</v>
      </c>
    </row>
    <row r="333">
      <c r="A333" s="67" t="str">
        <f t="shared" si="1"/>
        <v>Sun</v>
      </c>
      <c r="B333" s="69">
        <v>43793.0</v>
      </c>
    </row>
    <row r="334">
      <c r="A334" s="67" t="str">
        <f t="shared" si="1"/>
        <v>Mon</v>
      </c>
      <c r="B334" s="69">
        <v>43794.0</v>
      </c>
    </row>
    <row r="335">
      <c r="A335" s="67" t="str">
        <f t="shared" si="1"/>
        <v>Tue</v>
      </c>
      <c r="B335" s="69">
        <v>43795.0</v>
      </c>
    </row>
    <row r="336">
      <c r="A336" s="67" t="str">
        <f t="shared" si="1"/>
        <v>Wed</v>
      </c>
      <c r="B336" s="69">
        <v>43796.0</v>
      </c>
    </row>
    <row r="337">
      <c r="A337" s="67" t="str">
        <f t="shared" si="1"/>
        <v>Thu</v>
      </c>
      <c r="B337" s="69">
        <v>43797.0</v>
      </c>
    </row>
    <row r="338">
      <c r="A338" s="67" t="str">
        <f t="shared" si="1"/>
        <v>Fri</v>
      </c>
      <c r="B338" s="69">
        <v>43798.0</v>
      </c>
    </row>
    <row r="339">
      <c r="A339" s="67" t="str">
        <f t="shared" si="1"/>
        <v>Sat</v>
      </c>
      <c r="B339" s="69">
        <v>43799.0</v>
      </c>
    </row>
    <row r="340">
      <c r="A340" s="67" t="str">
        <f t="shared" si="1"/>
        <v>Sun</v>
      </c>
      <c r="B340" s="69">
        <v>43800.0</v>
      </c>
    </row>
    <row r="341">
      <c r="A341" s="67" t="str">
        <f t="shared" si="1"/>
        <v>Mon</v>
      </c>
      <c r="B341" s="69">
        <v>43801.0</v>
      </c>
    </row>
    <row r="342">
      <c r="A342" s="67" t="str">
        <f t="shared" si="1"/>
        <v>Tue</v>
      </c>
      <c r="B342" s="69">
        <v>43802.0</v>
      </c>
    </row>
    <row r="343">
      <c r="A343" s="67" t="str">
        <f t="shared" si="1"/>
        <v>Wed</v>
      </c>
      <c r="B343" s="69">
        <v>43803.0</v>
      </c>
    </row>
    <row r="344">
      <c r="A344" s="67" t="str">
        <f t="shared" si="1"/>
        <v>Thu</v>
      </c>
      <c r="B344" s="69">
        <v>43804.0</v>
      </c>
    </row>
    <row r="345">
      <c r="A345" s="67" t="str">
        <f t="shared" si="1"/>
        <v>Fri</v>
      </c>
      <c r="B345" s="69">
        <v>43805.0</v>
      </c>
      <c r="G345" s="4"/>
    </row>
    <row r="346">
      <c r="A346" s="67" t="str">
        <f t="shared" si="1"/>
        <v>Sat</v>
      </c>
      <c r="B346" s="69">
        <v>43806.0</v>
      </c>
      <c r="G346" s="4"/>
      <c r="H346" s="4"/>
    </row>
    <row r="347">
      <c r="A347" s="67" t="str">
        <f t="shared" si="1"/>
        <v>Sun</v>
      </c>
      <c r="B347" s="69">
        <v>43807.0</v>
      </c>
      <c r="G347" s="4"/>
    </row>
    <row r="348">
      <c r="A348" s="67" t="str">
        <f t="shared" si="1"/>
        <v>Mon</v>
      </c>
      <c r="B348" s="69">
        <v>43808.0</v>
      </c>
      <c r="G348" s="4"/>
      <c r="H348" s="4"/>
    </row>
    <row r="349">
      <c r="A349" s="67" t="str">
        <f t="shared" si="1"/>
        <v>Tue</v>
      </c>
      <c r="B349" s="69">
        <v>43809.0</v>
      </c>
      <c r="G349" s="4"/>
    </row>
    <row r="350">
      <c r="A350" s="67" t="str">
        <f t="shared" si="1"/>
        <v>Wed</v>
      </c>
      <c r="B350" s="69">
        <v>43810.0</v>
      </c>
      <c r="G350" s="4"/>
      <c r="H350" s="4"/>
    </row>
    <row r="351">
      <c r="A351" s="67" t="str">
        <f t="shared" si="1"/>
        <v>Thu</v>
      </c>
      <c r="B351" s="69">
        <v>43811.0</v>
      </c>
      <c r="G351" s="4"/>
    </row>
    <row r="352">
      <c r="A352" s="67" t="str">
        <f t="shared" si="1"/>
        <v>Fri</v>
      </c>
      <c r="B352" s="69">
        <v>43812.0</v>
      </c>
      <c r="G352" s="4"/>
      <c r="H352" s="4"/>
    </row>
    <row r="353">
      <c r="A353" s="67" t="str">
        <f t="shared" si="1"/>
        <v>Sat</v>
      </c>
      <c r="B353" s="69">
        <v>43813.0</v>
      </c>
      <c r="G353" s="4"/>
    </row>
    <row r="354">
      <c r="A354" s="67" t="str">
        <f t="shared" si="1"/>
        <v>Sun</v>
      </c>
      <c r="B354" s="69">
        <v>43814.0</v>
      </c>
      <c r="G354" s="4"/>
      <c r="H354" s="4"/>
    </row>
    <row r="355">
      <c r="A355" s="67" t="str">
        <f t="shared" si="1"/>
        <v>Mon</v>
      </c>
      <c r="B355" s="69">
        <v>43815.0</v>
      </c>
      <c r="G355" s="4"/>
    </row>
    <row r="356">
      <c r="A356" s="67" t="str">
        <f t="shared" si="1"/>
        <v>Tue</v>
      </c>
      <c r="B356" s="69">
        <v>43816.0</v>
      </c>
      <c r="G356" s="4"/>
      <c r="H356" s="4"/>
    </row>
    <row r="357">
      <c r="A357" s="67" t="str">
        <f t="shared" si="1"/>
        <v>Wed</v>
      </c>
      <c r="B357" s="69">
        <v>43817.0</v>
      </c>
      <c r="G357" s="4"/>
    </row>
    <row r="358">
      <c r="A358" s="67" t="str">
        <f t="shared" si="1"/>
        <v>Thu</v>
      </c>
      <c r="B358" s="69">
        <v>43818.0</v>
      </c>
      <c r="G358" s="4"/>
      <c r="H358" s="4"/>
    </row>
    <row r="359">
      <c r="A359" s="67" t="str">
        <f t="shared" si="1"/>
        <v>Fri</v>
      </c>
      <c r="B359" s="69">
        <v>43819.0</v>
      </c>
      <c r="G359" s="4"/>
    </row>
    <row r="360">
      <c r="A360" s="67" t="str">
        <f t="shared" si="1"/>
        <v>Sat</v>
      </c>
      <c r="B360" s="69">
        <v>43820.0</v>
      </c>
      <c r="G360" s="4"/>
      <c r="H360" s="4"/>
    </row>
    <row r="361">
      <c r="A361" s="67" t="str">
        <f t="shared" si="1"/>
        <v>Sun</v>
      </c>
      <c r="B361" s="69">
        <v>43821.0</v>
      </c>
      <c r="G361" s="4"/>
    </row>
    <row r="362">
      <c r="A362" s="67" t="str">
        <f t="shared" si="1"/>
        <v>Mon</v>
      </c>
      <c r="B362" s="69">
        <v>43822.0</v>
      </c>
      <c r="G362" s="4"/>
      <c r="H362" s="4"/>
    </row>
    <row r="363">
      <c r="A363" s="67" t="str">
        <f t="shared" si="1"/>
        <v>Tue</v>
      </c>
      <c r="B363" s="69">
        <v>43823.0</v>
      </c>
      <c r="G363" s="4"/>
    </row>
    <row r="364">
      <c r="A364" s="67" t="str">
        <f t="shared" si="1"/>
        <v>Wed</v>
      </c>
      <c r="B364" s="69">
        <v>43824.0</v>
      </c>
      <c r="G364" s="4"/>
      <c r="H364" s="4"/>
    </row>
    <row r="365">
      <c r="A365" s="67" t="str">
        <f t="shared" si="1"/>
        <v>Thu</v>
      </c>
      <c r="B365" s="69">
        <v>43825.0</v>
      </c>
      <c r="G365" s="4"/>
    </row>
    <row r="366">
      <c r="A366" s="67" t="str">
        <f t="shared" si="1"/>
        <v>Fri</v>
      </c>
      <c r="B366" s="69">
        <v>43826.0</v>
      </c>
      <c r="G366" s="4"/>
      <c r="H366" s="4"/>
    </row>
    <row r="367">
      <c r="A367" s="67" t="str">
        <f t="shared" si="1"/>
        <v>Sat</v>
      </c>
      <c r="B367" s="69">
        <v>43827.0</v>
      </c>
      <c r="G367" s="4"/>
    </row>
    <row r="368">
      <c r="A368" s="67" t="str">
        <f t="shared" si="1"/>
        <v>Sun</v>
      </c>
      <c r="B368" s="69">
        <v>43828.0</v>
      </c>
      <c r="G368" s="4"/>
      <c r="H368" s="4"/>
    </row>
    <row r="369">
      <c r="A369" s="67" t="str">
        <f t="shared" si="1"/>
        <v>Mon</v>
      </c>
      <c r="B369" s="69">
        <v>43829.0</v>
      </c>
      <c r="G369" s="4"/>
    </row>
    <row r="370">
      <c r="A370" s="67" t="str">
        <f t="shared" si="1"/>
        <v>Tue</v>
      </c>
      <c r="B370" s="69">
        <v>43830.0</v>
      </c>
      <c r="G370" s="4"/>
      <c r="H370" s="4"/>
    </row>
  </sheetData>
  <mergeCells count="5">
    <mergeCell ref="E1:F1"/>
    <mergeCell ref="E2:F2"/>
    <mergeCell ref="E3:F3"/>
    <mergeCell ref="A1:C3"/>
    <mergeCell ref="G1:R3"/>
  </mergeCells>
  <conditionalFormatting sqref="K156:L158">
    <cfRule type="cellIs" dxfId="0" priority="1" operator="equal">
      <formula>"Enviar email para hotel"</formula>
    </cfRule>
  </conditionalFormatting>
  <conditionalFormatting sqref="K4:L78 K80:L155 K159:L370">
    <cfRule type="cellIs" dxfId="0" priority="2" operator="equal">
      <formula>"Enviar email para hotel"</formula>
    </cfRule>
  </conditionalFormatting>
  <dataValidations>
    <dataValidation type="list" allowBlank="1" sqref="L6:L78 L80:L370">
      <formula1>"Enviar email para hotel,Enviado para o hotel,Código de reserva enviado para hóspede,Verificar dados com o hóspede,URGENTE,Fechado"</formula1>
    </dataValidation>
    <dataValidation type="list" allowBlank="1" sqref="K6:K78 K80:K370">
      <formula1>"A PAGAR,PARCIALMENTE PAGO,PAGO"</formula1>
    </dataValidation>
  </dataValidations>
  <hyperlinks>
    <hyperlink display="Sumario" location="Sumario!A1" ref="A4"/>
  </hyperlink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13.57"/>
    <col customWidth="1" min="4" max="4" width="17.0"/>
  </cols>
  <sheetData>
    <row r="1">
      <c r="A1" s="183"/>
      <c r="B1" s="2"/>
      <c r="C1" s="3"/>
      <c r="D1" s="11" t="s">
        <v>198</v>
      </c>
      <c r="E1" s="153" t="s">
        <v>199</v>
      </c>
      <c r="F1" s="3"/>
      <c r="G1" s="154" t="s">
        <v>644</v>
      </c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155"/>
    </row>
    <row r="2">
      <c r="A2" s="13"/>
      <c r="C2" s="15"/>
      <c r="D2" s="9" t="s">
        <v>201</v>
      </c>
      <c r="E2" s="156">
        <v>2206.0</v>
      </c>
      <c r="F2" s="15"/>
      <c r="R2" s="15"/>
      <c r="S2" s="155"/>
    </row>
    <row r="3">
      <c r="A3" s="17"/>
      <c r="B3" s="19"/>
      <c r="C3" s="21"/>
      <c r="D3" s="26" t="s">
        <v>202</v>
      </c>
      <c r="E3" s="157" t="s">
        <v>98</v>
      </c>
      <c r="F3" s="21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21"/>
      <c r="S3" s="155"/>
    </row>
    <row r="4">
      <c r="A4" s="184" t="s">
        <v>203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N4" s="30"/>
      <c r="O4" s="30"/>
      <c r="P4" s="30"/>
      <c r="Q4" s="30"/>
      <c r="R4" s="30"/>
      <c r="S4" s="30"/>
      <c r="T4" s="30"/>
      <c r="U4" s="30"/>
    </row>
    <row r="5">
      <c r="A5" s="185" t="s">
        <v>204</v>
      </c>
      <c r="B5" s="45" t="s">
        <v>33</v>
      </c>
      <c r="C5" s="45" t="s">
        <v>205</v>
      </c>
      <c r="D5" s="45" t="s">
        <v>206</v>
      </c>
      <c r="E5" s="45" t="s">
        <v>207</v>
      </c>
      <c r="F5" s="45" t="s">
        <v>208</v>
      </c>
      <c r="G5" s="45" t="s">
        <v>209</v>
      </c>
      <c r="H5" s="45" t="s">
        <v>210</v>
      </c>
      <c r="I5" s="45" t="s">
        <v>211</v>
      </c>
      <c r="J5" s="45" t="s">
        <v>212</v>
      </c>
      <c r="K5" s="45" t="s">
        <v>213</v>
      </c>
      <c r="L5" s="45" t="s">
        <v>214</v>
      </c>
      <c r="M5" s="45" t="s">
        <v>215</v>
      </c>
      <c r="N5" s="45" t="s">
        <v>216</v>
      </c>
      <c r="O5" s="45" t="s">
        <v>217</v>
      </c>
      <c r="P5" s="45" t="s">
        <v>218</v>
      </c>
      <c r="Q5" s="45" t="s">
        <v>219</v>
      </c>
      <c r="R5" s="160" t="s">
        <v>220</v>
      </c>
      <c r="S5" s="160" t="s">
        <v>221</v>
      </c>
    </row>
    <row r="6">
      <c r="A6" s="67" t="str">
        <f t="shared" ref="A6:A370" si="1">CHOOSE(weekday(B6),"Sun","Mon","Tue","Wed","Thu","Fri","Sat")</f>
        <v>Tue</v>
      </c>
      <c r="B6" s="69">
        <v>43466.0</v>
      </c>
      <c r="F6" s="4" t="s">
        <v>651</v>
      </c>
      <c r="J6" s="4" t="s">
        <v>651</v>
      </c>
    </row>
    <row r="7">
      <c r="A7" s="67" t="str">
        <f t="shared" si="1"/>
        <v>Wed</v>
      </c>
      <c r="B7" s="69">
        <v>43467.0</v>
      </c>
      <c r="F7" s="4" t="s">
        <v>651</v>
      </c>
      <c r="J7" s="4" t="s">
        <v>651</v>
      </c>
    </row>
    <row r="8">
      <c r="A8" s="67" t="str">
        <f t="shared" si="1"/>
        <v>Thu</v>
      </c>
      <c r="B8" s="69">
        <v>43468.0</v>
      </c>
      <c r="F8" s="4" t="s">
        <v>651</v>
      </c>
      <c r="J8" s="4" t="s">
        <v>651</v>
      </c>
    </row>
    <row r="9">
      <c r="A9" s="67" t="str">
        <f t="shared" si="1"/>
        <v>Fri</v>
      </c>
      <c r="B9" s="69">
        <v>43469.0</v>
      </c>
      <c r="F9" s="4" t="s">
        <v>651</v>
      </c>
      <c r="J9" s="4" t="s">
        <v>651</v>
      </c>
    </row>
    <row r="10">
      <c r="A10" s="67" t="str">
        <f t="shared" si="1"/>
        <v>Sat</v>
      </c>
      <c r="B10" s="69">
        <v>43470.0</v>
      </c>
      <c r="F10" s="4" t="s">
        <v>651</v>
      </c>
      <c r="J10" s="4" t="s">
        <v>651</v>
      </c>
    </row>
    <row r="11">
      <c r="A11" s="67" t="str">
        <f t="shared" si="1"/>
        <v>Sun</v>
      </c>
      <c r="B11" s="69">
        <v>43471.0</v>
      </c>
      <c r="F11" s="4" t="s">
        <v>651</v>
      </c>
      <c r="J11" s="4" t="s">
        <v>651</v>
      </c>
    </row>
    <row r="12">
      <c r="A12" s="67" t="str">
        <f t="shared" si="1"/>
        <v>Mon</v>
      </c>
      <c r="B12" s="69">
        <v>43472.0</v>
      </c>
      <c r="F12" s="4" t="s">
        <v>651</v>
      </c>
      <c r="J12" s="4" t="s">
        <v>651</v>
      </c>
    </row>
    <row r="13">
      <c r="A13" s="67" t="str">
        <f t="shared" si="1"/>
        <v>Tue</v>
      </c>
      <c r="B13" s="69">
        <v>43473.0</v>
      </c>
      <c r="F13" s="4" t="s">
        <v>651</v>
      </c>
      <c r="J13" s="4" t="s">
        <v>651</v>
      </c>
    </row>
    <row r="14">
      <c r="A14" s="67" t="str">
        <f t="shared" si="1"/>
        <v>Wed</v>
      </c>
      <c r="B14" s="69">
        <v>43474.0</v>
      </c>
      <c r="F14" s="4" t="s">
        <v>651</v>
      </c>
      <c r="J14" s="4" t="s">
        <v>651</v>
      </c>
    </row>
    <row r="15">
      <c r="A15" s="67" t="str">
        <f t="shared" si="1"/>
        <v>Thu</v>
      </c>
      <c r="B15" s="69">
        <v>43475.0</v>
      </c>
      <c r="F15" s="4" t="s">
        <v>651</v>
      </c>
      <c r="J15" s="4" t="s">
        <v>651</v>
      </c>
    </row>
    <row r="16">
      <c r="A16" s="67" t="str">
        <f t="shared" si="1"/>
        <v>Fri</v>
      </c>
      <c r="B16" s="69">
        <v>43476.0</v>
      </c>
      <c r="F16" s="4" t="s">
        <v>651</v>
      </c>
      <c r="J16" s="4" t="s">
        <v>651</v>
      </c>
    </row>
    <row r="17">
      <c r="A17" s="67" t="str">
        <f t="shared" si="1"/>
        <v>Sat</v>
      </c>
      <c r="B17" s="69">
        <v>43477.0</v>
      </c>
      <c r="F17" s="4" t="s">
        <v>651</v>
      </c>
      <c r="J17" s="4" t="s">
        <v>651</v>
      </c>
    </row>
    <row r="18">
      <c r="A18" s="67" t="str">
        <f t="shared" si="1"/>
        <v>Sun</v>
      </c>
      <c r="B18" s="69">
        <v>43478.0</v>
      </c>
      <c r="F18" s="4" t="s">
        <v>651</v>
      </c>
      <c r="J18" s="4" t="s">
        <v>651</v>
      </c>
    </row>
    <row r="19">
      <c r="A19" s="67" t="str">
        <f t="shared" si="1"/>
        <v>Mon</v>
      </c>
      <c r="B19" s="69">
        <v>43479.0</v>
      </c>
      <c r="F19" s="4" t="s">
        <v>651</v>
      </c>
      <c r="J19" s="4" t="s">
        <v>651</v>
      </c>
    </row>
    <row r="20">
      <c r="A20" s="67" t="str">
        <f t="shared" si="1"/>
        <v>Tue</v>
      </c>
      <c r="B20" s="69">
        <v>43480.0</v>
      </c>
      <c r="F20" s="4" t="s">
        <v>651</v>
      </c>
      <c r="J20" s="4" t="s">
        <v>651</v>
      </c>
    </row>
    <row r="21">
      <c r="A21" s="67" t="str">
        <f t="shared" si="1"/>
        <v>Wed</v>
      </c>
      <c r="B21" s="69">
        <v>43481.0</v>
      </c>
      <c r="F21" s="4" t="s">
        <v>651</v>
      </c>
      <c r="J21" s="4" t="s">
        <v>651</v>
      </c>
    </row>
    <row r="22">
      <c r="A22" s="67" t="str">
        <f t="shared" si="1"/>
        <v>Thu</v>
      </c>
      <c r="B22" s="69">
        <v>43482.0</v>
      </c>
      <c r="F22" s="4" t="s">
        <v>651</v>
      </c>
      <c r="J22" s="4" t="s">
        <v>651</v>
      </c>
    </row>
    <row r="23">
      <c r="A23" s="67" t="str">
        <f t="shared" si="1"/>
        <v>Fri</v>
      </c>
      <c r="B23" s="69">
        <v>43483.0</v>
      </c>
      <c r="F23" s="4" t="s">
        <v>651</v>
      </c>
      <c r="J23" s="4" t="s">
        <v>651</v>
      </c>
    </row>
    <row r="24">
      <c r="A24" s="67" t="str">
        <f t="shared" si="1"/>
        <v>Sat</v>
      </c>
      <c r="B24" s="69">
        <v>43484.0</v>
      </c>
      <c r="F24" s="4" t="s">
        <v>651</v>
      </c>
      <c r="J24" s="4" t="s">
        <v>651</v>
      </c>
    </row>
    <row r="25">
      <c r="A25" s="67" t="str">
        <f t="shared" si="1"/>
        <v>Sun</v>
      </c>
      <c r="B25" s="69">
        <v>43485.0</v>
      </c>
      <c r="F25" s="4" t="s">
        <v>651</v>
      </c>
      <c r="J25" s="4" t="s">
        <v>651</v>
      </c>
    </row>
    <row r="26">
      <c r="A26" s="67" t="str">
        <f t="shared" si="1"/>
        <v>Mon</v>
      </c>
      <c r="B26" s="69">
        <v>43486.0</v>
      </c>
      <c r="F26" s="4" t="s">
        <v>651</v>
      </c>
      <c r="J26" s="4" t="s">
        <v>651</v>
      </c>
    </row>
    <row r="27">
      <c r="A27" s="67" t="str">
        <f t="shared" si="1"/>
        <v>Tue</v>
      </c>
      <c r="B27" s="69">
        <v>43487.0</v>
      </c>
      <c r="F27" s="4" t="s">
        <v>651</v>
      </c>
      <c r="J27" s="4" t="s">
        <v>651</v>
      </c>
    </row>
    <row r="28">
      <c r="A28" s="67" t="str">
        <f t="shared" si="1"/>
        <v>Wed</v>
      </c>
      <c r="B28" s="69">
        <v>43488.0</v>
      </c>
      <c r="F28" s="4" t="s">
        <v>651</v>
      </c>
      <c r="J28" s="4" t="s">
        <v>651</v>
      </c>
    </row>
    <row r="29">
      <c r="A29" s="67" t="str">
        <f t="shared" si="1"/>
        <v>Thu</v>
      </c>
      <c r="B29" s="69">
        <v>43489.0</v>
      </c>
      <c r="F29" s="4" t="s">
        <v>651</v>
      </c>
      <c r="J29" s="4" t="s">
        <v>651</v>
      </c>
    </row>
    <row r="30">
      <c r="A30" s="67" t="str">
        <f t="shared" si="1"/>
        <v>Fri</v>
      </c>
      <c r="B30" s="69">
        <v>43490.0</v>
      </c>
      <c r="F30" s="4" t="s">
        <v>651</v>
      </c>
      <c r="J30" s="4" t="s">
        <v>651</v>
      </c>
    </row>
    <row r="31">
      <c r="A31" s="67" t="str">
        <f t="shared" si="1"/>
        <v>Sat</v>
      </c>
      <c r="B31" s="69">
        <v>43491.0</v>
      </c>
      <c r="F31" s="4" t="s">
        <v>651</v>
      </c>
      <c r="J31" s="4" t="s">
        <v>651</v>
      </c>
    </row>
    <row r="32">
      <c r="A32" s="67" t="str">
        <f t="shared" si="1"/>
        <v>Sun</v>
      </c>
      <c r="B32" s="69">
        <v>43492.0</v>
      </c>
      <c r="F32" s="4" t="s">
        <v>651</v>
      </c>
      <c r="J32" s="4" t="s">
        <v>651</v>
      </c>
    </row>
    <row r="33">
      <c r="A33" s="67" t="str">
        <f t="shared" si="1"/>
        <v>Mon</v>
      </c>
      <c r="B33" s="69">
        <v>43493.0</v>
      </c>
      <c r="F33" s="4" t="s">
        <v>651</v>
      </c>
      <c r="J33" s="4" t="s">
        <v>651</v>
      </c>
    </row>
    <row r="34">
      <c r="A34" s="67" t="str">
        <f t="shared" si="1"/>
        <v>Tue</v>
      </c>
      <c r="B34" s="69">
        <v>43494.0</v>
      </c>
      <c r="F34" s="4" t="s">
        <v>651</v>
      </c>
      <c r="J34" s="4" t="s">
        <v>651</v>
      </c>
    </row>
    <row r="35">
      <c r="A35" s="67" t="str">
        <f t="shared" si="1"/>
        <v>Wed</v>
      </c>
      <c r="B35" s="69">
        <v>43495.0</v>
      </c>
      <c r="F35" s="4" t="s">
        <v>651</v>
      </c>
      <c r="J35" s="4" t="s">
        <v>651</v>
      </c>
    </row>
    <row r="36">
      <c r="A36" s="67" t="str">
        <f t="shared" si="1"/>
        <v>Thu</v>
      </c>
      <c r="B36" s="69">
        <v>43496.0</v>
      </c>
      <c r="F36" s="4" t="s">
        <v>651</v>
      </c>
      <c r="J36" s="4" t="s">
        <v>651</v>
      </c>
    </row>
    <row r="37">
      <c r="A37" s="67" t="str">
        <f t="shared" si="1"/>
        <v>Fri</v>
      </c>
      <c r="B37" s="69">
        <v>43497.0</v>
      </c>
      <c r="F37" s="4" t="s">
        <v>651</v>
      </c>
      <c r="J37" s="4" t="s">
        <v>651</v>
      </c>
    </row>
    <row r="38">
      <c r="A38" s="67" t="str">
        <f t="shared" si="1"/>
        <v>Sat</v>
      </c>
      <c r="B38" s="69">
        <v>43498.0</v>
      </c>
      <c r="F38" s="4" t="s">
        <v>651</v>
      </c>
      <c r="J38" s="4" t="s">
        <v>651</v>
      </c>
    </row>
    <row r="39">
      <c r="A39" s="67" t="str">
        <f t="shared" si="1"/>
        <v>Sun</v>
      </c>
      <c r="B39" s="69">
        <v>43499.0</v>
      </c>
      <c r="F39" s="4" t="s">
        <v>651</v>
      </c>
      <c r="J39" s="4" t="s">
        <v>651</v>
      </c>
    </row>
    <row r="40">
      <c r="A40" s="67" t="str">
        <f t="shared" si="1"/>
        <v>Mon</v>
      </c>
      <c r="B40" s="69">
        <v>43500.0</v>
      </c>
      <c r="F40" s="4" t="s">
        <v>651</v>
      </c>
      <c r="J40" s="4" t="s">
        <v>651</v>
      </c>
    </row>
    <row r="41">
      <c r="A41" s="67" t="str">
        <f t="shared" si="1"/>
        <v>Tue</v>
      </c>
      <c r="B41" s="69">
        <v>43501.0</v>
      </c>
      <c r="F41" s="4" t="s">
        <v>651</v>
      </c>
      <c r="J41" s="4" t="s">
        <v>651</v>
      </c>
    </row>
    <row r="42">
      <c r="A42" s="67" t="str">
        <f t="shared" si="1"/>
        <v>Wed</v>
      </c>
      <c r="B42" s="69">
        <v>43502.0</v>
      </c>
      <c r="F42" s="4" t="s">
        <v>651</v>
      </c>
      <c r="J42" s="4" t="s">
        <v>651</v>
      </c>
    </row>
    <row r="43">
      <c r="A43" s="67" t="str">
        <f t="shared" si="1"/>
        <v>Thu</v>
      </c>
      <c r="B43" s="69">
        <v>43503.0</v>
      </c>
      <c r="F43" s="4" t="s">
        <v>651</v>
      </c>
      <c r="J43" s="4" t="s">
        <v>651</v>
      </c>
    </row>
    <row r="44">
      <c r="A44" s="67" t="str">
        <f t="shared" si="1"/>
        <v>Fri</v>
      </c>
      <c r="B44" s="69">
        <v>43504.0</v>
      </c>
      <c r="F44" s="4" t="s">
        <v>651</v>
      </c>
      <c r="J44" s="4" t="s">
        <v>651</v>
      </c>
    </row>
    <row r="45">
      <c r="A45" s="67" t="str">
        <f t="shared" si="1"/>
        <v>Sat</v>
      </c>
      <c r="B45" s="69">
        <v>43505.0</v>
      </c>
      <c r="F45" s="4" t="s">
        <v>651</v>
      </c>
      <c r="J45" s="4" t="s">
        <v>651</v>
      </c>
    </row>
    <row r="46">
      <c r="A46" s="67" t="str">
        <f t="shared" si="1"/>
        <v>Sun</v>
      </c>
      <c r="B46" s="69">
        <v>43506.0</v>
      </c>
      <c r="F46" s="4" t="s">
        <v>651</v>
      </c>
      <c r="J46" s="4" t="s">
        <v>651</v>
      </c>
    </row>
    <row r="47">
      <c r="A47" s="67" t="str">
        <f t="shared" si="1"/>
        <v>Mon</v>
      </c>
      <c r="B47" s="69">
        <v>43507.0</v>
      </c>
      <c r="F47" s="4" t="s">
        <v>651</v>
      </c>
      <c r="J47" s="4" t="s">
        <v>651</v>
      </c>
    </row>
    <row r="48">
      <c r="A48" s="67" t="str">
        <f t="shared" si="1"/>
        <v>Tue</v>
      </c>
      <c r="B48" s="69">
        <v>43508.0</v>
      </c>
      <c r="F48" s="4" t="s">
        <v>651</v>
      </c>
      <c r="J48" s="4" t="s">
        <v>651</v>
      </c>
    </row>
    <row r="49">
      <c r="A49" s="67" t="str">
        <f t="shared" si="1"/>
        <v>Wed</v>
      </c>
      <c r="B49" s="69">
        <v>43509.0</v>
      </c>
      <c r="F49" s="4" t="s">
        <v>651</v>
      </c>
      <c r="J49" s="4" t="s">
        <v>651</v>
      </c>
    </row>
    <row r="50">
      <c r="A50" s="67" t="str">
        <f t="shared" si="1"/>
        <v>Thu</v>
      </c>
      <c r="B50" s="69">
        <v>43510.0</v>
      </c>
      <c r="F50" s="4" t="s">
        <v>651</v>
      </c>
      <c r="J50" s="4" t="s">
        <v>651</v>
      </c>
    </row>
    <row r="51">
      <c r="A51" s="67" t="str">
        <f t="shared" si="1"/>
        <v>Fri</v>
      </c>
      <c r="B51" s="69">
        <v>43511.0</v>
      </c>
      <c r="F51" s="4" t="s">
        <v>651</v>
      </c>
      <c r="J51" s="4" t="s">
        <v>651</v>
      </c>
    </row>
    <row r="52">
      <c r="A52" s="67" t="str">
        <f t="shared" si="1"/>
        <v>Sat</v>
      </c>
      <c r="B52" s="69">
        <v>43512.0</v>
      </c>
      <c r="F52" s="4" t="s">
        <v>651</v>
      </c>
      <c r="J52" s="4" t="s">
        <v>651</v>
      </c>
    </row>
    <row r="53">
      <c r="A53" s="67" t="str">
        <f t="shared" si="1"/>
        <v>Sun</v>
      </c>
      <c r="B53" s="69">
        <v>43513.0</v>
      </c>
      <c r="F53" s="4" t="s">
        <v>651</v>
      </c>
      <c r="J53" s="4" t="s">
        <v>651</v>
      </c>
    </row>
    <row r="54">
      <c r="A54" s="67" t="str">
        <f t="shared" si="1"/>
        <v>Mon</v>
      </c>
      <c r="B54" s="69">
        <v>43514.0</v>
      </c>
      <c r="F54" s="4" t="s">
        <v>651</v>
      </c>
      <c r="J54" s="4" t="s">
        <v>651</v>
      </c>
    </row>
    <row r="55">
      <c r="A55" s="67" t="str">
        <f t="shared" si="1"/>
        <v>Tue</v>
      </c>
      <c r="B55" s="69">
        <v>43515.0</v>
      </c>
      <c r="F55" s="4" t="s">
        <v>651</v>
      </c>
      <c r="J55" s="4" t="s">
        <v>651</v>
      </c>
    </row>
    <row r="56">
      <c r="A56" s="67" t="str">
        <f t="shared" si="1"/>
        <v>Wed</v>
      </c>
      <c r="B56" s="69">
        <v>43516.0</v>
      </c>
      <c r="F56" s="4" t="s">
        <v>651</v>
      </c>
      <c r="J56" s="4" t="s">
        <v>651</v>
      </c>
    </row>
    <row r="57">
      <c r="A57" s="67" t="str">
        <f t="shared" si="1"/>
        <v>Thu</v>
      </c>
      <c r="B57" s="69">
        <v>43517.0</v>
      </c>
      <c r="F57" s="4" t="s">
        <v>651</v>
      </c>
      <c r="J57" s="4" t="s">
        <v>651</v>
      </c>
    </row>
    <row r="58">
      <c r="A58" s="67" t="str">
        <f t="shared" si="1"/>
        <v>Fri</v>
      </c>
      <c r="B58" s="69">
        <v>43518.0</v>
      </c>
      <c r="F58" s="4" t="s">
        <v>651</v>
      </c>
      <c r="J58" s="4" t="s">
        <v>651</v>
      </c>
    </row>
    <row r="59">
      <c r="A59" s="67" t="str">
        <f t="shared" si="1"/>
        <v>Sat</v>
      </c>
      <c r="B59" s="69">
        <v>43519.0</v>
      </c>
      <c r="F59" s="4" t="s">
        <v>651</v>
      </c>
      <c r="J59" s="4" t="s">
        <v>651</v>
      </c>
    </row>
    <row r="60">
      <c r="A60" s="67" t="str">
        <f t="shared" si="1"/>
        <v>Sun</v>
      </c>
      <c r="B60" s="69">
        <v>43520.0</v>
      </c>
      <c r="F60" s="4" t="s">
        <v>651</v>
      </c>
      <c r="J60" s="4" t="s">
        <v>651</v>
      </c>
    </row>
    <row r="61">
      <c r="A61" s="67" t="str">
        <f t="shared" si="1"/>
        <v>Mon</v>
      </c>
      <c r="B61" s="69">
        <v>43521.0</v>
      </c>
      <c r="F61" s="4" t="s">
        <v>651</v>
      </c>
      <c r="J61" s="4" t="s">
        <v>651</v>
      </c>
    </row>
    <row r="62">
      <c r="A62" s="67" t="str">
        <f t="shared" si="1"/>
        <v>Tue</v>
      </c>
      <c r="B62" s="69">
        <v>43522.0</v>
      </c>
      <c r="F62" s="4" t="s">
        <v>651</v>
      </c>
      <c r="J62" s="4" t="s">
        <v>651</v>
      </c>
    </row>
    <row r="63">
      <c r="A63" s="67" t="str">
        <f t="shared" si="1"/>
        <v>Wed</v>
      </c>
      <c r="B63" s="69">
        <v>43523.0</v>
      </c>
      <c r="F63" s="4" t="s">
        <v>651</v>
      </c>
      <c r="J63" s="4" t="s">
        <v>651</v>
      </c>
    </row>
    <row r="64">
      <c r="A64" s="67" t="str">
        <f t="shared" si="1"/>
        <v>Thu</v>
      </c>
      <c r="B64" s="69">
        <v>43524.0</v>
      </c>
      <c r="F64" s="4" t="s">
        <v>651</v>
      </c>
      <c r="J64" s="4" t="s">
        <v>651</v>
      </c>
    </row>
    <row r="65">
      <c r="A65" s="67" t="str">
        <f t="shared" si="1"/>
        <v>Fri</v>
      </c>
      <c r="B65" s="69">
        <v>43525.0</v>
      </c>
      <c r="D65" s="161">
        <v>980.0</v>
      </c>
      <c r="E65" s="4" t="s">
        <v>337</v>
      </c>
      <c r="F65" s="4" t="s">
        <v>660</v>
      </c>
      <c r="G65" s="4" t="s">
        <v>660</v>
      </c>
      <c r="I65" s="4" t="s">
        <v>359</v>
      </c>
      <c r="K65" s="4" t="s">
        <v>231</v>
      </c>
      <c r="L65" s="4" t="s">
        <v>225</v>
      </c>
      <c r="M65" s="4" t="s">
        <v>226</v>
      </c>
      <c r="N65" s="4" t="s">
        <v>232</v>
      </c>
      <c r="O65" s="4" t="s">
        <v>264</v>
      </c>
    </row>
    <row r="66">
      <c r="A66" s="67" t="str">
        <f t="shared" si="1"/>
        <v>Sat</v>
      </c>
      <c r="B66" s="69">
        <v>43526.0</v>
      </c>
      <c r="D66" s="161">
        <v>980.0</v>
      </c>
      <c r="E66" s="4" t="s">
        <v>337</v>
      </c>
      <c r="F66" s="4" t="s">
        <v>660</v>
      </c>
      <c r="I66" s="4" t="s">
        <v>359</v>
      </c>
    </row>
    <row r="67">
      <c r="A67" s="67" t="str">
        <f t="shared" si="1"/>
        <v>Sun</v>
      </c>
      <c r="B67" s="69">
        <v>43527.0</v>
      </c>
      <c r="D67" s="161">
        <v>980.0</v>
      </c>
      <c r="E67" s="4" t="s">
        <v>337</v>
      </c>
      <c r="F67" s="4" t="s">
        <v>660</v>
      </c>
      <c r="I67" s="4" t="s">
        <v>359</v>
      </c>
    </row>
    <row r="68">
      <c r="A68" s="67" t="str">
        <f t="shared" si="1"/>
        <v>Mon</v>
      </c>
      <c r="B68" s="69">
        <v>43528.0</v>
      </c>
      <c r="D68" s="161">
        <v>980.0</v>
      </c>
      <c r="E68" s="4" t="s">
        <v>337</v>
      </c>
      <c r="F68" s="4" t="s">
        <v>660</v>
      </c>
      <c r="I68" s="4" t="s">
        <v>359</v>
      </c>
    </row>
    <row r="69">
      <c r="A69" s="67" t="str">
        <f t="shared" si="1"/>
        <v>Tue</v>
      </c>
      <c r="B69" s="69">
        <v>43529.0</v>
      </c>
      <c r="D69" s="161">
        <v>980.0</v>
      </c>
      <c r="E69" s="4" t="s">
        <v>337</v>
      </c>
      <c r="F69" s="4" t="s">
        <v>660</v>
      </c>
      <c r="I69" s="4" t="s">
        <v>359</v>
      </c>
    </row>
    <row r="70">
      <c r="A70" s="67" t="str">
        <f t="shared" si="1"/>
        <v>Wed</v>
      </c>
      <c r="B70" s="69">
        <v>43530.0</v>
      </c>
      <c r="D70" s="161">
        <v>339.5</v>
      </c>
      <c r="E70" s="4" t="s">
        <v>222</v>
      </c>
      <c r="F70" s="4" t="s">
        <v>662</v>
      </c>
      <c r="G70" s="4" t="s">
        <v>662</v>
      </c>
      <c r="H70" s="4" t="s">
        <v>660</v>
      </c>
      <c r="I70" s="4" t="s">
        <v>359</v>
      </c>
      <c r="K70" s="4" t="s">
        <v>231</v>
      </c>
      <c r="L70" s="4" t="s">
        <v>225</v>
      </c>
      <c r="M70" s="4" t="s">
        <v>226</v>
      </c>
      <c r="N70" s="4" t="s">
        <v>232</v>
      </c>
      <c r="O70" s="4" t="s">
        <v>264</v>
      </c>
      <c r="S70" s="4">
        <v>1.059514982E9</v>
      </c>
    </row>
    <row r="71">
      <c r="A71" s="67" t="str">
        <f t="shared" si="1"/>
        <v>Thu</v>
      </c>
      <c r="B71" s="69">
        <v>43531.0</v>
      </c>
      <c r="D71" s="161">
        <v>339.5</v>
      </c>
      <c r="E71" s="4" t="s">
        <v>222</v>
      </c>
      <c r="F71" s="4" t="s">
        <v>664</v>
      </c>
      <c r="G71" s="4" t="s">
        <v>664</v>
      </c>
      <c r="H71" s="4" t="s">
        <v>662</v>
      </c>
      <c r="I71" s="4" t="s">
        <v>359</v>
      </c>
      <c r="K71" s="4" t="s">
        <v>231</v>
      </c>
      <c r="L71" s="4" t="s">
        <v>225</v>
      </c>
      <c r="M71" s="4" t="s">
        <v>665</v>
      </c>
      <c r="Q71" s="4" t="s">
        <v>666</v>
      </c>
      <c r="R71" s="4" t="s">
        <v>667</v>
      </c>
      <c r="S71" s="4"/>
    </row>
    <row r="72">
      <c r="A72" s="67" t="str">
        <f t="shared" si="1"/>
        <v>Fri</v>
      </c>
      <c r="B72" s="69">
        <v>43532.0</v>
      </c>
      <c r="D72" s="161">
        <v>339.5</v>
      </c>
      <c r="E72" s="4" t="s">
        <v>222</v>
      </c>
      <c r="F72" s="4" t="s">
        <v>664</v>
      </c>
      <c r="I72" s="4" t="s">
        <v>359</v>
      </c>
    </row>
    <row r="73">
      <c r="A73" s="67" t="str">
        <f t="shared" si="1"/>
        <v>Sat</v>
      </c>
      <c r="B73" s="69">
        <v>43533.0</v>
      </c>
      <c r="D73" s="161">
        <v>339.5</v>
      </c>
      <c r="E73" s="4" t="s">
        <v>222</v>
      </c>
      <c r="F73" s="4" t="s">
        <v>664</v>
      </c>
      <c r="I73" s="4" t="s">
        <v>359</v>
      </c>
    </row>
    <row r="74">
      <c r="A74" s="67" t="str">
        <f t="shared" si="1"/>
        <v>Sun</v>
      </c>
      <c r="B74" s="69">
        <v>43534.0</v>
      </c>
      <c r="D74" s="161">
        <v>339.5</v>
      </c>
      <c r="E74" s="4" t="s">
        <v>222</v>
      </c>
      <c r="F74" s="4" t="s">
        <v>664</v>
      </c>
      <c r="I74" s="4" t="s">
        <v>359</v>
      </c>
    </row>
    <row r="75">
      <c r="A75" s="67" t="str">
        <f t="shared" si="1"/>
        <v>Mon</v>
      </c>
      <c r="B75" s="69">
        <v>43535.0</v>
      </c>
      <c r="D75" s="161">
        <v>339.5</v>
      </c>
      <c r="E75" s="4" t="s">
        <v>222</v>
      </c>
      <c r="F75" s="4" t="s">
        <v>664</v>
      </c>
      <c r="I75" s="4" t="s">
        <v>359</v>
      </c>
    </row>
    <row r="76">
      <c r="A76" s="67" t="str">
        <f t="shared" si="1"/>
        <v>Tue</v>
      </c>
      <c r="B76" s="69">
        <v>43536.0</v>
      </c>
      <c r="D76" s="161">
        <v>339.5</v>
      </c>
      <c r="E76" s="4" t="s">
        <v>222</v>
      </c>
      <c r="F76" s="4" t="s">
        <v>664</v>
      </c>
      <c r="I76" s="4" t="s">
        <v>359</v>
      </c>
    </row>
    <row r="77">
      <c r="A77" s="67" t="str">
        <f t="shared" si="1"/>
        <v>Wed</v>
      </c>
      <c r="B77" s="69">
        <v>43537.0</v>
      </c>
      <c r="D77" s="161">
        <v>339.5</v>
      </c>
      <c r="E77" s="4" t="s">
        <v>222</v>
      </c>
      <c r="F77" s="4" t="s">
        <v>664</v>
      </c>
      <c r="I77" s="4" t="s">
        <v>359</v>
      </c>
    </row>
    <row r="78">
      <c r="A78" s="67" t="str">
        <f t="shared" si="1"/>
        <v>Thu</v>
      </c>
      <c r="B78" s="69">
        <v>43538.0</v>
      </c>
      <c r="D78" s="161">
        <v>339.5</v>
      </c>
      <c r="E78" s="4" t="s">
        <v>222</v>
      </c>
      <c r="F78" s="4" t="s">
        <v>664</v>
      </c>
      <c r="I78" s="4" t="s">
        <v>359</v>
      </c>
    </row>
    <row r="79">
      <c r="A79" s="67" t="str">
        <f t="shared" si="1"/>
        <v>Fri</v>
      </c>
      <c r="B79" s="69">
        <v>43539.0</v>
      </c>
      <c r="D79" s="161">
        <v>339.5</v>
      </c>
      <c r="E79" s="4" t="s">
        <v>222</v>
      </c>
      <c r="F79" s="4" t="s">
        <v>664</v>
      </c>
      <c r="I79" s="4" t="s">
        <v>359</v>
      </c>
    </row>
    <row r="80">
      <c r="A80" s="67" t="str">
        <f t="shared" si="1"/>
        <v>Sat</v>
      </c>
      <c r="B80" s="69">
        <v>43540.0</v>
      </c>
      <c r="D80" s="161">
        <v>339.5</v>
      </c>
      <c r="E80" s="4" t="s">
        <v>222</v>
      </c>
      <c r="F80" s="4" t="s">
        <v>664</v>
      </c>
      <c r="I80" s="4" t="s">
        <v>359</v>
      </c>
    </row>
    <row r="81">
      <c r="A81" s="67" t="str">
        <f t="shared" si="1"/>
        <v>Sun</v>
      </c>
      <c r="B81" s="69">
        <v>43541.0</v>
      </c>
      <c r="D81" s="161">
        <v>446.31</v>
      </c>
      <c r="E81" s="4" t="s">
        <v>169</v>
      </c>
      <c r="F81" s="4" t="s">
        <v>537</v>
      </c>
      <c r="G81" s="4" t="s">
        <v>537</v>
      </c>
      <c r="H81" s="4" t="s">
        <v>664</v>
      </c>
      <c r="I81" s="4" t="s">
        <v>359</v>
      </c>
      <c r="K81" s="4" t="s">
        <v>231</v>
      </c>
      <c r="L81" s="4" t="s">
        <v>225</v>
      </c>
      <c r="M81" s="4" t="s">
        <v>539</v>
      </c>
    </row>
    <row r="82">
      <c r="A82" s="67" t="str">
        <f t="shared" si="1"/>
        <v>Mon</v>
      </c>
      <c r="B82" s="69">
        <v>43542.0</v>
      </c>
      <c r="D82" s="161">
        <v>446.31</v>
      </c>
      <c r="E82" s="4" t="s">
        <v>169</v>
      </c>
      <c r="F82" s="4" t="s">
        <v>537</v>
      </c>
      <c r="I82" s="4" t="s">
        <v>359</v>
      </c>
    </row>
    <row r="83">
      <c r="A83" s="67" t="str">
        <f t="shared" si="1"/>
        <v>Tue</v>
      </c>
      <c r="B83" s="69">
        <v>43543.0</v>
      </c>
      <c r="D83" s="161">
        <v>446.31</v>
      </c>
      <c r="E83" s="4" t="s">
        <v>169</v>
      </c>
      <c r="F83" s="4" t="s">
        <v>537</v>
      </c>
      <c r="I83" s="4" t="s">
        <v>359</v>
      </c>
    </row>
    <row r="84">
      <c r="A84" s="67" t="str">
        <f t="shared" si="1"/>
        <v>Wed</v>
      </c>
      <c r="B84" s="69">
        <v>43544.0</v>
      </c>
      <c r="D84" s="161">
        <v>446.31</v>
      </c>
      <c r="E84" s="4" t="s">
        <v>169</v>
      </c>
      <c r="F84" s="4" t="s">
        <v>537</v>
      </c>
      <c r="I84" s="4" t="s">
        <v>359</v>
      </c>
    </row>
    <row r="85">
      <c r="A85" s="67" t="str">
        <f t="shared" si="1"/>
        <v>Thu</v>
      </c>
      <c r="B85" s="69">
        <v>43545.0</v>
      </c>
      <c r="D85" s="161">
        <v>446.31</v>
      </c>
      <c r="E85" s="4" t="s">
        <v>169</v>
      </c>
      <c r="F85" s="4" t="s">
        <v>537</v>
      </c>
      <c r="I85" s="4" t="s">
        <v>359</v>
      </c>
    </row>
    <row r="86">
      <c r="A86" s="67" t="str">
        <f t="shared" si="1"/>
        <v>Fri</v>
      </c>
      <c r="B86" s="69">
        <v>43546.0</v>
      </c>
      <c r="D86" s="161">
        <v>446.31</v>
      </c>
      <c r="E86" s="4" t="s">
        <v>169</v>
      </c>
      <c r="F86" s="4" t="s">
        <v>537</v>
      </c>
      <c r="I86" s="4" t="s">
        <v>359</v>
      </c>
    </row>
    <row r="87">
      <c r="A87" s="67" t="str">
        <f t="shared" si="1"/>
        <v>Sat</v>
      </c>
      <c r="B87" s="69">
        <v>43547.0</v>
      </c>
      <c r="D87" s="161">
        <v>400.0</v>
      </c>
      <c r="E87" s="4" t="s">
        <v>337</v>
      </c>
      <c r="F87" s="4" t="s">
        <v>670</v>
      </c>
      <c r="G87" s="4" t="s">
        <v>670</v>
      </c>
      <c r="H87" s="4" t="s">
        <v>537</v>
      </c>
      <c r="I87" s="4" t="s">
        <v>224</v>
      </c>
      <c r="K87" s="4" t="s">
        <v>231</v>
      </c>
      <c r="L87" s="4" t="s">
        <v>225</v>
      </c>
      <c r="M87" s="4" t="s">
        <v>671</v>
      </c>
      <c r="R87" s="167" t="s">
        <v>672</v>
      </c>
      <c r="S87" s="4" t="s">
        <v>673</v>
      </c>
    </row>
    <row r="88">
      <c r="A88" s="67" t="str">
        <f t="shared" si="1"/>
        <v>Sun</v>
      </c>
      <c r="B88" s="69">
        <v>43548.0</v>
      </c>
      <c r="D88" s="161">
        <v>242.5</v>
      </c>
      <c r="E88" s="4" t="s">
        <v>222</v>
      </c>
      <c r="F88" s="4" t="s">
        <v>674</v>
      </c>
      <c r="G88" s="4" t="s">
        <v>674</v>
      </c>
      <c r="H88" s="4" t="s">
        <v>670</v>
      </c>
      <c r="I88" s="4" t="s">
        <v>224</v>
      </c>
      <c r="K88" s="4" t="s">
        <v>231</v>
      </c>
      <c r="L88" s="4" t="s">
        <v>225</v>
      </c>
      <c r="M88" s="4" t="s">
        <v>675</v>
      </c>
      <c r="N88" s="4" t="s">
        <v>676</v>
      </c>
      <c r="Q88" s="4" t="s">
        <v>677</v>
      </c>
      <c r="R88" s="4" t="s">
        <v>678</v>
      </c>
      <c r="S88" s="4" t="s">
        <v>679</v>
      </c>
    </row>
    <row r="89">
      <c r="A89" s="67" t="str">
        <f t="shared" si="1"/>
        <v>Mon</v>
      </c>
      <c r="B89" s="69">
        <v>43549.0</v>
      </c>
      <c r="F89" s="4"/>
      <c r="G89" s="4"/>
      <c r="H89" s="4" t="s">
        <v>674</v>
      </c>
      <c r="M89" s="4"/>
      <c r="N89" s="4"/>
      <c r="O89" s="4"/>
    </row>
    <row r="90">
      <c r="A90" s="67" t="str">
        <f t="shared" si="1"/>
        <v>Tue</v>
      </c>
      <c r="B90" s="69">
        <v>43550.0</v>
      </c>
      <c r="F90" s="4"/>
    </row>
    <row r="91">
      <c r="A91" s="67" t="str">
        <f t="shared" si="1"/>
        <v>Wed</v>
      </c>
      <c r="B91" s="69">
        <v>43551.0</v>
      </c>
      <c r="D91" s="161">
        <v>230.85999999999999</v>
      </c>
      <c r="E91" s="4" t="s">
        <v>222</v>
      </c>
      <c r="F91" s="4" t="s">
        <v>681</v>
      </c>
      <c r="G91" s="4" t="s">
        <v>681</v>
      </c>
      <c r="H91" s="4"/>
      <c r="I91" s="4" t="s">
        <v>224</v>
      </c>
      <c r="J91" s="4" t="s">
        <v>682</v>
      </c>
      <c r="K91" s="4" t="s">
        <v>231</v>
      </c>
      <c r="L91" s="4" t="s">
        <v>225</v>
      </c>
      <c r="M91" s="4" t="s">
        <v>226</v>
      </c>
      <c r="N91" s="4" t="s">
        <v>683</v>
      </c>
      <c r="O91" s="4"/>
      <c r="R91" s="4" t="s">
        <v>684</v>
      </c>
    </row>
    <row r="92">
      <c r="A92" s="67" t="str">
        <f t="shared" si="1"/>
        <v>Thu</v>
      </c>
      <c r="B92" s="69">
        <v>43552.0</v>
      </c>
      <c r="D92" s="161">
        <v>230.85999999999999</v>
      </c>
      <c r="E92" s="4" t="s">
        <v>222</v>
      </c>
      <c r="F92" s="4" t="s">
        <v>681</v>
      </c>
      <c r="I92" s="4" t="s">
        <v>224</v>
      </c>
      <c r="J92" s="4"/>
    </row>
    <row r="93">
      <c r="A93" s="67" t="str">
        <f t="shared" si="1"/>
        <v>Fri</v>
      </c>
      <c r="B93" s="69">
        <v>43553.0</v>
      </c>
      <c r="D93" s="161">
        <v>230.85999999999999</v>
      </c>
      <c r="E93" s="4" t="s">
        <v>222</v>
      </c>
      <c r="F93" s="4" t="s">
        <v>681</v>
      </c>
      <c r="H93" s="4"/>
      <c r="I93" s="4" t="s">
        <v>224</v>
      </c>
      <c r="J93" s="4"/>
    </row>
    <row r="94">
      <c r="A94" s="67" t="str">
        <f t="shared" si="1"/>
        <v>Sat</v>
      </c>
      <c r="B94" s="69">
        <v>43554.0</v>
      </c>
      <c r="D94" s="161">
        <v>230.85999999999999</v>
      </c>
      <c r="E94" s="4" t="s">
        <v>222</v>
      </c>
      <c r="F94" s="4" t="s">
        <v>681</v>
      </c>
      <c r="I94" s="4" t="s">
        <v>224</v>
      </c>
    </row>
    <row r="95">
      <c r="A95" s="67" t="str">
        <f t="shared" si="1"/>
        <v>Sun</v>
      </c>
      <c r="B95" s="69">
        <v>43555.0</v>
      </c>
      <c r="D95" s="161">
        <v>230.85999999999999</v>
      </c>
      <c r="E95" s="4" t="s">
        <v>222</v>
      </c>
      <c r="F95" s="4" t="s">
        <v>681</v>
      </c>
      <c r="I95" s="4" t="s">
        <v>224</v>
      </c>
    </row>
    <row r="96">
      <c r="A96" s="67" t="str">
        <f t="shared" si="1"/>
        <v>Mon</v>
      </c>
      <c r="B96" s="69">
        <v>43556.0</v>
      </c>
      <c r="D96" s="161">
        <v>242.5</v>
      </c>
      <c r="E96" s="4" t="s">
        <v>222</v>
      </c>
      <c r="F96" s="4" t="s">
        <v>686</v>
      </c>
      <c r="G96" s="4" t="s">
        <v>686</v>
      </c>
      <c r="H96" s="4" t="s">
        <v>681</v>
      </c>
      <c r="I96" s="4" t="s">
        <v>224</v>
      </c>
      <c r="K96" s="4" t="s">
        <v>231</v>
      </c>
      <c r="L96" s="4" t="s">
        <v>225</v>
      </c>
      <c r="M96" s="4" t="s">
        <v>226</v>
      </c>
      <c r="N96" s="4" t="s">
        <v>232</v>
      </c>
      <c r="R96" s="4" t="s">
        <v>687</v>
      </c>
    </row>
    <row r="97">
      <c r="A97" s="67" t="str">
        <f t="shared" si="1"/>
        <v>Tue</v>
      </c>
      <c r="B97" s="69">
        <v>43557.0</v>
      </c>
      <c r="D97" s="161">
        <v>242.5</v>
      </c>
      <c r="E97" s="4" t="s">
        <v>222</v>
      </c>
      <c r="F97" s="4" t="s">
        <v>686</v>
      </c>
      <c r="I97" s="4" t="s">
        <v>224</v>
      </c>
    </row>
    <row r="98">
      <c r="A98" s="67" t="str">
        <f t="shared" si="1"/>
        <v>Wed</v>
      </c>
      <c r="B98" s="69">
        <v>43558.0</v>
      </c>
      <c r="H98" s="4" t="s">
        <v>686</v>
      </c>
      <c r="J98" s="4"/>
    </row>
    <row r="99">
      <c r="A99" s="67" t="str">
        <f t="shared" si="1"/>
        <v>Thu</v>
      </c>
      <c r="B99" s="69">
        <v>43559.0</v>
      </c>
      <c r="J99" s="4"/>
    </row>
    <row r="100">
      <c r="A100" s="67" t="str">
        <f t="shared" si="1"/>
        <v>Fri</v>
      </c>
      <c r="B100" s="69">
        <v>43560.0</v>
      </c>
      <c r="D100" s="161">
        <v>242.5</v>
      </c>
      <c r="E100" s="4" t="s">
        <v>222</v>
      </c>
      <c r="F100" s="4" t="s">
        <v>688</v>
      </c>
      <c r="G100" s="4" t="s">
        <v>688</v>
      </c>
      <c r="I100" s="4" t="s">
        <v>224</v>
      </c>
      <c r="K100" s="4" t="s">
        <v>231</v>
      </c>
      <c r="L100" s="4" t="s">
        <v>225</v>
      </c>
      <c r="Q100" s="4" t="s">
        <v>689</v>
      </c>
      <c r="R100" s="4" t="s">
        <v>690</v>
      </c>
      <c r="S100" s="161">
        <v>1.200718607E9</v>
      </c>
    </row>
    <row r="101">
      <c r="A101" s="67" t="str">
        <f t="shared" si="1"/>
        <v>Sat</v>
      </c>
      <c r="B101" s="69">
        <v>43561.0</v>
      </c>
      <c r="D101" s="161">
        <v>242.5</v>
      </c>
      <c r="E101" s="4" t="s">
        <v>222</v>
      </c>
      <c r="F101" s="4" t="s">
        <v>688</v>
      </c>
      <c r="I101" s="4" t="s">
        <v>224</v>
      </c>
    </row>
    <row r="102">
      <c r="A102" s="67" t="str">
        <f t="shared" si="1"/>
        <v>Sun</v>
      </c>
      <c r="B102" s="69">
        <v>43562.0</v>
      </c>
      <c r="H102" s="4" t="s">
        <v>688</v>
      </c>
      <c r="J102" s="4"/>
    </row>
    <row r="103">
      <c r="A103" s="67" t="str">
        <f t="shared" si="1"/>
        <v>Mon</v>
      </c>
      <c r="B103" s="69">
        <v>43563.0</v>
      </c>
      <c r="D103" s="161">
        <v>280.0</v>
      </c>
      <c r="E103" s="4" t="s">
        <v>337</v>
      </c>
      <c r="F103" s="4" t="s">
        <v>692</v>
      </c>
      <c r="G103" s="4" t="s">
        <v>692</v>
      </c>
      <c r="I103" s="4" t="s">
        <v>359</v>
      </c>
      <c r="K103" s="4" t="s">
        <v>231</v>
      </c>
      <c r="L103" s="4" t="s">
        <v>225</v>
      </c>
      <c r="M103" s="4" t="s">
        <v>693</v>
      </c>
      <c r="N103" s="4" t="s">
        <v>694</v>
      </c>
      <c r="O103" s="4" t="s">
        <v>695</v>
      </c>
      <c r="R103" s="4" t="s">
        <v>696</v>
      </c>
      <c r="S103" s="4"/>
    </row>
    <row r="104">
      <c r="A104" s="67" t="str">
        <f t="shared" si="1"/>
        <v>Tue</v>
      </c>
      <c r="B104" s="69">
        <v>43564.0</v>
      </c>
      <c r="D104" s="161">
        <v>280.0</v>
      </c>
      <c r="E104" s="4" t="s">
        <v>337</v>
      </c>
      <c r="F104" s="4" t="s">
        <v>692</v>
      </c>
      <c r="I104" s="4" t="s">
        <v>359</v>
      </c>
    </row>
    <row r="105">
      <c r="A105" s="67" t="str">
        <f t="shared" si="1"/>
        <v>Wed</v>
      </c>
      <c r="B105" s="69">
        <v>43565.0</v>
      </c>
      <c r="D105" s="161">
        <v>280.0</v>
      </c>
      <c r="E105" s="4" t="s">
        <v>337</v>
      </c>
      <c r="F105" s="4" t="s">
        <v>692</v>
      </c>
      <c r="I105" s="4" t="s">
        <v>359</v>
      </c>
    </row>
    <row r="106">
      <c r="A106" s="67" t="str">
        <f t="shared" si="1"/>
        <v>Thu</v>
      </c>
      <c r="B106" s="69">
        <v>43566.0</v>
      </c>
      <c r="D106" s="161">
        <v>280.0</v>
      </c>
      <c r="E106" s="4" t="s">
        <v>337</v>
      </c>
      <c r="F106" s="4" t="s">
        <v>692</v>
      </c>
      <c r="I106" s="4" t="s">
        <v>359</v>
      </c>
    </row>
    <row r="107">
      <c r="A107" s="67" t="str">
        <f t="shared" si="1"/>
        <v>Fri</v>
      </c>
      <c r="B107" s="69">
        <v>43567.0</v>
      </c>
      <c r="D107" s="161">
        <v>280.0</v>
      </c>
      <c r="E107" s="4" t="s">
        <v>337</v>
      </c>
      <c r="F107" s="4" t="s">
        <v>692</v>
      </c>
      <c r="I107" s="4" t="s">
        <v>359</v>
      </c>
    </row>
    <row r="108">
      <c r="A108" s="186" t="str">
        <f t="shared" si="1"/>
        <v>Sat</v>
      </c>
      <c r="B108" s="187">
        <v>43568.0</v>
      </c>
      <c r="D108" s="161">
        <v>242.5</v>
      </c>
      <c r="E108" s="4" t="s">
        <v>222</v>
      </c>
      <c r="F108" s="4" t="s">
        <v>699</v>
      </c>
      <c r="G108" s="4" t="s">
        <v>699</v>
      </c>
      <c r="H108" s="6" t="s">
        <v>692</v>
      </c>
      <c r="I108" s="4" t="s">
        <v>224</v>
      </c>
      <c r="K108" s="4" t="s">
        <v>231</v>
      </c>
      <c r="L108" s="4" t="s">
        <v>225</v>
      </c>
      <c r="M108" s="4" t="s">
        <v>700</v>
      </c>
      <c r="N108" s="4" t="s">
        <v>701</v>
      </c>
      <c r="O108" s="4" t="s">
        <v>264</v>
      </c>
      <c r="Q108" s="4" t="s">
        <v>702</v>
      </c>
      <c r="R108" s="4" t="s">
        <v>703</v>
      </c>
      <c r="S108" s="4">
        <v>6.492141962E9</v>
      </c>
    </row>
    <row r="109">
      <c r="A109" s="67" t="str">
        <f t="shared" si="1"/>
        <v>Sun</v>
      </c>
      <c r="B109" s="69">
        <v>43569.0</v>
      </c>
      <c r="D109" s="4">
        <v>250.0</v>
      </c>
      <c r="E109" s="4" t="s">
        <v>337</v>
      </c>
      <c r="F109" s="4" t="s">
        <v>704</v>
      </c>
      <c r="G109" s="4" t="s">
        <v>704</v>
      </c>
      <c r="H109" s="4" t="s">
        <v>699</v>
      </c>
      <c r="I109" s="4" t="s">
        <v>224</v>
      </c>
      <c r="J109" s="4"/>
      <c r="K109" s="4" t="s">
        <v>231</v>
      </c>
      <c r="L109" s="4" t="s">
        <v>225</v>
      </c>
      <c r="M109" s="4" t="s">
        <v>226</v>
      </c>
      <c r="N109" s="4" t="s">
        <v>232</v>
      </c>
      <c r="O109" s="4" t="s">
        <v>264</v>
      </c>
    </row>
    <row r="110">
      <c r="A110" s="67" t="str">
        <f t="shared" si="1"/>
        <v>Mon</v>
      </c>
      <c r="B110" s="69">
        <v>43570.0</v>
      </c>
      <c r="H110" s="4" t="s">
        <v>704</v>
      </c>
      <c r="J110" s="4"/>
    </row>
    <row r="111">
      <c r="A111" s="67" t="str">
        <f t="shared" si="1"/>
        <v>Tue</v>
      </c>
      <c r="B111" s="69">
        <v>43571.0</v>
      </c>
      <c r="D111" s="161">
        <v>300.0</v>
      </c>
      <c r="E111" s="4" t="s">
        <v>337</v>
      </c>
      <c r="F111" s="4" t="s">
        <v>705</v>
      </c>
      <c r="G111" s="4" t="s">
        <v>705</v>
      </c>
      <c r="I111" s="4" t="s">
        <v>359</v>
      </c>
      <c r="K111" s="4" t="s">
        <v>231</v>
      </c>
      <c r="L111" s="4" t="s">
        <v>225</v>
      </c>
      <c r="M111" s="4" t="s">
        <v>706</v>
      </c>
      <c r="N111" s="4" t="s">
        <v>707</v>
      </c>
      <c r="O111" s="4" t="s">
        <v>708</v>
      </c>
      <c r="Q111" s="4" t="s">
        <v>709</v>
      </c>
      <c r="R111" s="4" t="s">
        <v>710</v>
      </c>
      <c r="S111" s="161">
        <v>6.759875702E10</v>
      </c>
    </row>
    <row r="112">
      <c r="A112" s="67" t="str">
        <f t="shared" si="1"/>
        <v>Wed</v>
      </c>
      <c r="B112" s="69">
        <v>43572.0</v>
      </c>
      <c r="D112" s="161">
        <v>300.0</v>
      </c>
      <c r="E112" s="4" t="s">
        <v>337</v>
      </c>
      <c r="F112" s="4" t="s">
        <v>705</v>
      </c>
      <c r="I112" s="4" t="s">
        <v>359</v>
      </c>
    </row>
    <row r="113">
      <c r="A113" s="67" t="str">
        <f t="shared" si="1"/>
        <v>Thu</v>
      </c>
      <c r="B113" s="69">
        <v>43573.0</v>
      </c>
      <c r="D113" s="161">
        <v>300.0</v>
      </c>
      <c r="E113" s="4" t="s">
        <v>337</v>
      </c>
      <c r="F113" s="4" t="s">
        <v>705</v>
      </c>
      <c r="I113" s="4" t="s">
        <v>359</v>
      </c>
    </row>
    <row r="114">
      <c r="A114" s="67" t="str">
        <f t="shared" si="1"/>
        <v>Fri</v>
      </c>
      <c r="B114" s="69">
        <v>43574.0</v>
      </c>
      <c r="D114" s="161">
        <v>300.0</v>
      </c>
      <c r="E114" s="4" t="s">
        <v>337</v>
      </c>
      <c r="F114" s="4" t="s">
        <v>705</v>
      </c>
      <c r="I114" s="4" t="s">
        <v>359</v>
      </c>
    </row>
    <row r="115">
      <c r="A115" s="67" t="str">
        <f t="shared" si="1"/>
        <v>Sat</v>
      </c>
      <c r="B115" s="69">
        <v>43575.0</v>
      </c>
      <c r="D115" s="161">
        <v>300.0</v>
      </c>
      <c r="E115" s="4" t="s">
        <v>337</v>
      </c>
      <c r="F115" s="4" t="s">
        <v>705</v>
      </c>
      <c r="I115" s="4" t="s">
        <v>359</v>
      </c>
    </row>
    <row r="116">
      <c r="A116" s="67" t="str">
        <f t="shared" si="1"/>
        <v>Sun</v>
      </c>
      <c r="B116" s="69">
        <v>43576.0</v>
      </c>
      <c r="D116" s="161">
        <v>300.0</v>
      </c>
      <c r="E116" s="4" t="s">
        <v>337</v>
      </c>
      <c r="F116" s="4" t="s">
        <v>705</v>
      </c>
      <c r="I116" s="4" t="s">
        <v>359</v>
      </c>
    </row>
    <row r="117">
      <c r="A117" s="67" t="str">
        <f t="shared" si="1"/>
        <v>Mon</v>
      </c>
      <c r="B117" s="69">
        <v>43577.0</v>
      </c>
      <c r="H117" s="4" t="s">
        <v>705</v>
      </c>
      <c r="J117" s="4"/>
      <c r="L117" s="4" t="s">
        <v>225</v>
      </c>
      <c r="M117" s="4" t="s">
        <v>226</v>
      </c>
      <c r="N117" s="4" t="s">
        <v>232</v>
      </c>
      <c r="O117" s="4" t="s">
        <v>264</v>
      </c>
    </row>
    <row r="118">
      <c r="A118" s="67" t="str">
        <f t="shared" si="1"/>
        <v>Tue</v>
      </c>
      <c r="B118" s="69">
        <v>43578.0</v>
      </c>
    </row>
    <row r="119">
      <c r="A119" s="67" t="str">
        <f t="shared" si="1"/>
        <v>Wed</v>
      </c>
      <c r="B119" s="69">
        <v>43579.0</v>
      </c>
      <c r="D119" s="4">
        <v>203.7</v>
      </c>
      <c r="E119" s="4" t="s">
        <v>222</v>
      </c>
      <c r="J119" s="4" t="s">
        <v>713</v>
      </c>
    </row>
    <row r="120">
      <c r="A120" s="67" t="str">
        <f t="shared" si="1"/>
        <v>Thu</v>
      </c>
      <c r="B120" s="69">
        <v>43580.0</v>
      </c>
      <c r="K120" s="4" t="s">
        <v>231</v>
      </c>
      <c r="L120" s="4" t="s">
        <v>225</v>
      </c>
      <c r="M120" s="4" t="s">
        <v>226</v>
      </c>
      <c r="N120" s="4" t="s">
        <v>232</v>
      </c>
      <c r="O120" s="4" t="s">
        <v>264</v>
      </c>
    </row>
    <row r="121">
      <c r="A121" s="67" t="str">
        <f t="shared" si="1"/>
        <v>Fri</v>
      </c>
      <c r="B121" s="69">
        <v>43581.0</v>
      </c>
      <c r="M121" s="4"/>
      <c r="N121" s="4"/>
      <c r="O121" s="4"/>
    </row>
    <row r="122">
      <c r="A122" s="67" t="str">
        <f t="shared" si="1"/>
        <v>Sat</v>
      </c>
      <c r="B122" s="69">
        <v>43582.0</v>
      </c>
      <c r="D122" s="161">
        <v>218.25</v>
      </c>
      <c r="E122" s="4" t="s">
        <v>222</v>
      </c>
      <c r="F122" s="4" t="s">
        <v>714</v>
      </c>
      <c r="G122" s="4" t="s">
        <v>714</v>
      </c>
      <c r="I122" s="4" t="s">
        <v>224</v>
      </c>
      <c r="J122" s="4"/>
      <c r="K122" s="4" t="s">
        <v>231</v>
      </c>
      <c r="L122" s="4" t="s">
        <v>225</v>
      </c>
      <c r="M122" s="4" t="s">
        <v>715</v>
      </c>
      <c r="N122" s="4" t="s">
        <v>232</v>
      </c>
      <c r="O122" s="4" t="s">
        <v>264</v>
      </c>
      <c r="Q122" s="4" t="s">
        <v>716</v>
      </c>
      <c r="R122" s="4" t="s">
        <v>717</v>
      </c>
      <c r="S122" s="4">
        <v>8.105099624E9</v>
      </c>
    </row>
    <row r="123">
      <c r="A123" s="67" t="str">
        <f t="shared" si="1"/>
        <v>Sun</v>
      </c>
      <c r="B123" s="69">
        <v>43583.0</v>
      </c>
      <c r="D123" s="161">
        <v>218.25</v>
      </c>
      <c r="E123" s="4" t="s">
        <v>222</v>
      </c>
      <c r="F123" s="4" t="s">
        <v>714</v>
      </c>
      <c r="H123" s="4"/>
      <c r="I123" s="4" t="s">
        <v>224</v>
      </c>
    </row>
    <row r="124">
      <c r="A124" s="67" t="str">
        <f t="shared" si="1"/>
        <v>Mon</v>
      </c>
      <c r="B124" s="69">
        <v>43584.0</v>
      </c>
      <c r="D124" s="4">
        <v>203.7</v>
      </c>
      <c r="E124" s="4" t="s">
        <v>222</v>
      </c>
      <c r="F124" s="4" t="s">
        <v>718</v>
      </c>
      <c r="G124" s="4" t="s">
        <v>718</v>
      </c>
      <c r="H124" s="4" t="s">
        <v>714</v>
      </c>
      <c r="I124" s="4" t="s">
        <v>224</v>
      </c>
      <c r="L124" s="4" t="s">
        <v>225</v>
      </c>
      <c r="M124" s="4" t="s">
        <v>720</v>
      </c>
      <c r="N124" s="4"/>
      <c r="O124" s="4"/>
      <c r="R124" s="4" t="s">
        <v>721</v>
      </c>
    </row>
    <row r="125">
      <c r="A125" s="67" t="str">
        <f t="shared" si="1"/>
        <v>Tue</v>
      </c>
      <c r="B125" s="69">
        <v>43585.0</v>
      </c>
      <c r="D125" s="4">
        <v>203.7</v>
      </c>
      <c r="E125" s="4" t="s">
        <v>222</v>
      </c>
      <c r="F125" s="4" t="s">
        <v>718</v>
      </c>
      <c r="I125" s="4" t="s">
        <v>224</v>
      </c>
    </row>
    <row r="126">
      <c r="A126" s="67" t="str">
        <f t="shared" si="1"/>
        <v>Wed</v>
      </c>
      <c r="B126" s="69">
        <v>43586.0</v>
      </c>
      <c r="D126" s="161">
        <v>242.5</v>
      </c>
      <c r="E126" s="4" t="s">
        <v>222</v>
      </c>
      <c r="F126" s="4" t="s">
        <v>722</v>
      </c>
      <c r="G126" s="4" t="s">
        <v>722</v>
      </c>
      <c r="H126" s="4" t="s">
        <v>718</v>
      </c>
      <c r="I126" s="4" t="s">
        <v>224</v>
      </c>
      <c r="K126" s="4" t="s">
        <v>231</v>
      </c>
      <c r="L126" s="4" t="s">
        <v>225</v>
      </c>
      <c r="M126" s="4"/>
      <c r="Q126" s="6" t="s">
        <v>723</v>
      </c>
      <c r="R126" s="6" t="s">
        <v>724</v>
      </c>
      <c r="S126">
        <v>2.6513679826E10</v>
      </c>
    </row>
    <row r="127">
      <c r="A127" s="67" t="str">
        <f t="shared" si="1"/>
        <v>Thu</v>
      </c>
      <c r="B127" s="69">
        <v>43587.0</v>
      </c>
      <c r="D127" s="161">
        <v>242.5</v>
      </c>
      <c r="E127" s="4" t="s">
        <v>222</v>
      </c>
      <c r="F127" s="4" t="s">
        <v>722</v>
      </c>
      <c r="G127" s="4"/>
      <c r="I127" s="4" t="s">
        <v>224</v>
      </c>
      <c r="M127" s="4"/>
      <c r="N127" s="4"/>
      <c r="O127" s="4"/>
    </row>
    <row r="128">
      <c r="A128" s="67" t="str">
        <f t="shared" si="1"/>
        <v>Fri</v>
      </c>
      <c r="B128" s="69">
        <v>43588.0</v>
      </c>
      <c r="D128" s="161">
        <v>242.5</v>
      </c>
      <c r="E128" s="4" t="s">
        <v>222</v>
      </c>
      <c r="F128" s="4" t="s">
        <v>722</v>
      </c>
      <c r="H128" s="4"/>
      <c r="I128" s="4" t="s">
        <v>224</v>
      </c>
    </row>
    <row r="129">
      <c r="A129" s="67" t="str">
        <f t="shared" si="1"/>
        <v>Sat</v>
      </c>
      <c r="B129" s="69">
        <v>43589.0</v>
      </c>
      <c r="D129" s="161">
        <v>242.5</v>
      </c>
      <c r="E129" s="4" t="s">
        <v>222</v>
      </c>
      <c r="F129" s="4" t="s">
        <v>722</v>
      </c>
      <c r="I129" s="4" t="s">
        <v>224</v>
      </c>
    </row>
    <row r="130">
      <c r="A130" s="67" t="str">
        <f t="shared" si="1"/>
        <v>Sun</v>
      </c>
      <c r="B130" s="69">
        <v>43590.0</v>
      </c>
      <c r="F130" s="4"/>
      <c r="G130" s="4"/>
      <c r="H130" s="4" t="s">
        <v>722</v>
      </c>
      <c r="N130" s="4"/>
      <c r="O130" s="4"/>
    </row>
    <row r="131">
      <c r="A131" s="67" t="str">
        <f t="shared" si="1"/>
        <v>Mon</v>
      </c>
      <c r="B131" s="69">
        <v>43591.0</v>
      </c>
      <c r="F131" s="4"/>
    </row>
    <row r="132">
      <c r="A132" s="67" t="str">
        <f t="shared" si="1"/>
        <v>Tue</v>
      </c>
      <c r="B132" s="69">
        <v>43592.0</v>
      </c>
      <c r="F132" s="4"/>
      <c r="G132" s="4"/>
      <c r="H132" s="4"/>
      <c r="N132" s="4"/>
      <c r="O132" s="4"/>
    </row>
    <row r="133">
      <c r="A133" s="67" t="str">
        <f t="shared" si="1"/>
        <v>Wed</v>
      </c>
      <c r="B133" s="69">
        <v>43593.0</v>
      </c>
      <c r="F133" s="4"/>
    </row>
    <row r="134">
      <c r="A134" s="67" t="str">
        <f t="shared" si="1"/>
        <v>Thu</v>
      </c>
      <c r="B134" s="69">
        <v>43594.0</v>
      </c>
      <c r="F134" s="4"/>
      <c r="G134" s="4"/>
      <c r="H134" s="4"/>
      <c r="N134" s="4"/>
      <c r="O134" s="4"/>
    </row>
    <row r="135">
      <c r="A135" s="67" t="str">
        <f t="shared" si="1"/>
        <v>Fri</v>
      </c>
      <c r="B135" s="69">
        <v>43595.0</v>
      </c>
      <c r="D135" s="161">
        <v>242.5</v>
      </c>
      <c r="E135" s="4" t="s">
        <v>222</v>
      </c>
      <c r="F135" s="4" t="s">
        <v>725</v>
      </c>
      <c r="G135" s="4" t="s">
        <v>725</v>
      </c>
      <c r="H135" s="4"/>
      <c r="I135" s="4" t="s">
        <v>224</v>
      </c>
      <c r="K135" s="4" t="s">
        <v>231</v>
      </c>
      <c r="L135" s="4" t="s">
        <v>225</v>
      </c>
      <c r="M135" s="4" t="s">
        <v>726</v>
      </c>
      <c r="Q135" s="4" t="s">
        <v>727</v>
      </c>
      <c r="R135" s="4" t="s">
        <v>728</v>
      </c>
      <c r="S135" s="4">
        <v>5.491488925E9</v>
      </c>
    </row>
    <row r="136">
      <c r="A136" s="67" t="str">
        <f t="shared" si="1"/>
        <v>Sat</v>
      </c>
      <c r="B136" s="69">
        <v>43596.0</v>
      </c>
      <c r="D136" s="161">
        <v>242.5</v>
      </c>
      <c r="E136" s="4" t="s">
        <v>222</v>
      </c>
      <c r="F136" s="4" t="s">
        <v>725</v>
      </c>
      <c r="I136" s="4" t="s">
        <v>224</v>
      </c>
    </row>
    <row r="137">
      <c r="A137" s="67" t="str">
        <f t="shared" si="1"/>
        <v>Sun</v>
      </c>
      <c r="B137" s="69">
        <v>43597.0</v>
      </c>
      <c r="F137" s="4"/>
      <c r="G137" s="4"/>
      <c r="H137" s="4" t="s">
        <v>725</v>
      </c>
      <c r="N137" s="4"/>
      <c r="O137" s="4"/>
    </row>
    <row r="138">
      <c r="A138" s="67" t="str">
        <f t="shared" si="1"/>
        <v>Mon</v>
      </c>
      <c r="B138" s="69">
        <v>43598.0</v>
      </c>
      <c r="F138" s="4"/>
    </row>
    <row r="139">
      <c r="A139" s="67" t="str">
        <f t="shared" si="1"/>
        <v>Tue</v>
      </c>
      <c r="B139" s="69">
        <v>43599.0</v>
      </c>
      <c r="F139" s="4"/>
      <c r="G139" s="4"/>
      <c r="H139" s="4"/>
      <c r="N139" s="4"/>
      <c r="O139" s="4"/>
    </row>
    <row r="140">
      <c r="A140" s="67" t="str">
        <f t="shared" si="1"/>
        <v>Wed</v>
      </c>
      <c r="B140" s="69">
        <v>43600.0</v>
      </c>
      <c r="F140" s="4"/>
    </row>
    <row r="141">
      <c r="A141" s="67" t="str">
        <f t="shared" si="1"/>
        <v>Thu</v>
      </c>
      <c r="B141" s="69">
        <v>43601.0</v>
      </c>
      <c r="F141" s="4"/>
      <c r="G141" s="4"/>
      <c r="H141" s="4"/>
      <c r="N141" s="4"/>
      <c r="O141" s="4"/>
    </row>
    <row r="142">
      <c r="A142" s="67" t="str">
        <f t="shared" si="1"/>
        <v>Fri</v>
      </c>
      <c r="B142" s="69">
        <v>43602.0</v>
      </c>
      <c r="F142" s="4"/>
    </row>
    <row r="143">
      <c r="A143" s="67" t="str">
        <f t="shared" si="1"/>
        <v>Sat</v>
      </c>
      <c r="B143" s="69">
        <v>43603.0</v>
      </c>
      <c r="D143" s="4">
        <v>241.66</v>
      </c>
      <c r="E143" s="4" t="s">
        <v>337</v>
      </c>
      <c r="F143" s="4" t="s">
        <v>730</v>
      </c>
      <c r="G143" s="4" t="s">
        <v>730</v>
      </c>
      <c r="H143" s="4"/>
      <c r="I143" s="4" t="s">
        <v>224</v>
      </c>
      <c r="L143" s="4" t="s">
        <v>225</v>
      </c>
      <c r="M143" s="4" t="s">
        <v>226</v>
      </c>
      <c r="N143" s="4" t="s">
        <v>232</v>
      </c>
      <c r="O143" s="4" t="s">
        <v>264</v>
      </c>
      <c r="Q143" s="4" t="s">
        <v>731</v>
      </c>
      <c r="R143" s="4" t="s">
        <v>732</v>
      </c>
      <c r="S143" s="4" t="s">
        <v>733</v>
      </c>
    </row>
    <row r="144">
      <c r="A144" s="67" t="str">
        <f t="shared" si="1"/>
        <v>Sun</v>
      </c>
      <c r="B144" s="69">
        <v>43604.0</v>
      </c>
      <c r="D144" s="4">
        <v>241.67</v>
      </c>
      <c r="E144" s="4" t="s">
        <v>337</v>
      </c>
      <c r="F144" s="4" t="s">
        <v>730</v>
      </c>
      <c r="I144" s="4" t="s">
        <v>224</v>
      </c>
    </row>
    <row r="145">
      <c r="A145" s="67" t="str">
        <f t="shared" si="1"/>
        <v>Mon</v>
      </c>
      <c r="B145" s="69">
        <v>43605.0</v>
      </c>
      <c r="D145" s="4">
        <v>241.67</v>
      </c>
      <c r="E145" s="4" t="s">
        <v>337</v>
      </c>
      <c r="F145" s="4" t="s">
        <v>730</v>
      </c>
      <c r="H145" s="4"/>
      <c r="I145" s="4" t="s">
        <v>224</v>
      </c>
    </row>
    <row r="146">
      <c r="A146" s="67" t="str">
        <f t="shared" si="1"/>
        <v>Tue</v>
      </c>
      <c r="B146" s="69">
        <v>43606.0</v>
      </c>
      <c r="D146" s="4">
        <v>250.0</v>
      </c>
      <c r="E146" s="4" t="s">
        <v>337</v>
      </c>
      <c r="F146" s="4" t="s">
        <v>734</v>
      </c>
      <c r="G146" s="4" t="s">
        <v>734</v>
      </c>
      <c r="H146" s="4" t="s">
        <v>730</v>
      </c>
      <c r="I146" s="4" t="s">
        <v>224</v>
      </c>
      <c r="K146" s="4" t="s">
        <v>231</v>
      </c>
      <c r="L146" s="4" t="s">
        <v>225</v>
      </c>
      <c r="M146" s="4" t="s">
        <v>735</v>
      </c>
      <c r="S146" s="4">
        <v>2.0484291068E10</v>
      </c>
    </row>
    <row r="147">
      <c r="A147" s="67" t="str">
        <f t="shared" si="1"/>
        <v>Wed</v>
      </c>
      <c r="B147" s="69">
        <v>43607.0</v>
      </c>
      <c r="D147" s="4">
        <v>250.0</v>
      </c>
      <c r="E147" s="4" t="s">
        <v>337</v>
      </c>
      <c r="F147" s="4" t="s">
        <v>734</v>
      </c>
      <c r="G147" s="4"/>
      <c r="I147" s="4" t="s">
        <v>224</v>
      </c>
      <c r="N147" s="4"/>
      <c r="O147" s="4"/>
    </row>
    <row r="148">
      <c r="A148" s="67" t="str">
        <f t="shared" si="1"/>
        <v>Thu</v>
      </c>
      <c r="B148" s="69">
        <v>43608.0</v>
      </c>
      <c r="D148" s="161">
        <v>800.0</v>
      </c>
      <c r="E148" s="4" t="s">
        <v>337</v>
      </c>
      <c r="F148" s="4" t="s">
        <v>737</v>
      </c>
      <c r="G148" s="4" t="s">
        <v>737</v>
      </c>
      <c r="H148" s="4" t="s">
        <v>734</v>
      </c>
      <c r="I148" s="4" t="s">
        <v>224</v>
      </c>
      <c r="J148" s="4" t="s">
        <v>738</v>
      </c>
      <c r="K148" s="4" t="s">
        <v>231</v>
      </c>
      <c r="L148" s="4" t="s">
        <v>225</v>
      </c>
      <c r="M148" s="4" t="s">
        <v>739</v>
      </c>
      <c r="Q148" s="190" t="s">
        <v>741</v>
      </c>
      <c r="R148" s="191" t="s">
        <v>743</v>
      </c>
    </row>
    <row r="149">
      <c r="A149" s="67" t="str">
        <f t="shared" si="1"/>
        <v>Fri</v>
      </c>
      <c r="B149" s="69">
        <v>43609.0</v>
      </c>
      <c r="D149" s="161">
        <v>800.0</v>
      </c>
      <c r="E149" s="4" t="s">
        <v>337</v>
      </c>
      <c r="F149" s="4" t="s">
        <v>737</v>
      </c>
      <c r="I149" s="4" t="s">
        <v>224</v>
      </c>
      <c r="J149" s="4" t="s">
        <v>745</v>
      </c>
    </row>
    <row r="150">
      <c r="A150" s="67" t="str">
        <f t="shared" si="1"/>
        <v>Sat</v>
      </c>
      <c r="B150" s="69">
        <v>43610.0</v>
      </c>
      <c r="D150" s="161">
        <v>800.0</v>
      </c>
      <c r="E150" s="4" t="s">
        <v>337</v>
      </c>
      <c r="F150" s="4" t="s">
        <v>737</v>
      </c>
      <c r="I150" s="4" t="s">
        <v>224</v>
      </c>
      <c r="J150" s="4" t="s">
        <v>745</v>
      </c>
    </row>
    <row r="151">
      <c r="A151" s="67" t="str">
        <f t="shared" si="1"/>
        <v>Sun</v>
      </c>
      <c r="B151" s="69">
        <v>43611.0</v>
      </c>
      <c r="D151" s="161">
        <v>800.0</v>
      </c>
      <c r="E151" s="4" t="s">
        <v>337</v>
      </c>
      <c r="F151" s="4" t="s">
        <v>737</v>
      </c>
      <c r="I151" s="4" t="s">
        <v>224</v>
      </c>
      <c r="J151" s="4" t="s">
        <v>745</v>
      </c>
    </row>
    <row r="152">
      <c r="A152" s="67" t="str">
        <f t="shared" si="1"/>
        <v>Mon</v>
      </c>
      <c r="B152" s="69">
        <v>43612.0</v>
      </c>
      <c r="F152" s="4"/>
      <c r="G152" s="4"/>
      <c r="H152" s="4" t="s">
        <v>737</v>
      </c>
      <c r="J152" s="4" t="s">
        <v>228</v>
      </c>
      <c r="L152" s="4" t="s">
        <v>229</v>
      </c>
      <c r="M152" s="4"/>
      <c r="N152" s="4"/>
      <c r="O152" s="4"/>
    </row>
    <row r="153">
      <c r="A153" s="67" t="str">
        <f t="shared" si="1"/>
        <v>Tue</v>
      </c>
      <c r="B153" s="69">
        <v>43613.0</v>
      </c>
      <c r="F153" s="4"/>
      <c r="J153" s="4" t="s">
        <v>228</v>
      </c>
    </row>
    <row r="154">
      <c r="A154" s="67" t="str">
        <f t="shared" si="1"/>
        <v>Wed</v>
      </c>
      <c r="B154" s="69">
        <v>43614.0</v>
      </c>
      <c r="F154" s="4"/>
      <c r="G154" s="4"/>
      <c r="H154" s="4"/>
      <c r="J154" s="4" t="s">
        <v>228</v>
      </c>
      <c r="L154" s="4" t="s">
        <v>229</v>
      </c>
      <c r="M154" s="4"/>
      <c r="N154" s="4"/>
      <c r="O154" s="4"/>
    </row>
    <row r="155">
      <c r="A155" s="67" t="str">
        <f t="shared" si="1"/>
        <v>Thu</v>
      </c>
      <c r="B155" s="69">
        <v>43615.0</v>
      </c>
      <c r="F155" s="4"/>
      <c r="J155" s="4" t="s">
        <v>228</v>
      </c>
    </row>
    <row r="156">
      <c r="A156" s="67" t="str">
        <f t="shared" si="1"/>
        <v>Fri</v>
      </c>
      <c r="B156" s="69">
        <v>43616.0</v>
      </c>
      <c r="F156" s="4"/>
      <c r="G156" s="4"/>
      <c r="H156" s="4"/>
      <c r="J156" s="4" t="s">
        <v>295</v>
      </c>
      <c r="L156" s="4" t="s">
        <v>229</v>
      </c>
      <c r="M156" s="4"/>
      <c r="N156" s="4"/>
      <c r="O156" s="4"/>
    </row>
    <row r="157">
      <c r="A157" s="67" t="str">
        <f t="shared" si="1"/>
        <v>Sat</v>
      </c>
      <c r="B157" s="69">
        <v>43617.0</v>
      </c>
      <c r="H157" s="4"/>
    </row>
    <row r="158">
      <c r="A158" s="67" t="str">
        <f t="shared" si="1"/>
        <v>Sun</v>
      </c>
      <c r="B158" s="69">
        <v>43618.0</v>
      </c>
    </row>
    <row r="159">
      <c r="A159" s="67" t="str">
        <f t="shared" si="1"/>
        <v>Mon</v>
      </c>
      <c r="B159" s="69">
        <v>43619.0</v>
      </c>
    </row>
    <row r="160">
      <c r="A160" s="67" t="str">
        <f t="shared" si="1"/>
        <v>Tue</v>
      </c>
      <c r="B160" s="69">
        <v>43620.0</v>
      </c>
    </row>
    <row r="161">
      <c r="A161" s="67" t="str">
        <f t="shared" si="1"/>
        <v>Wed</v>
      </c>
      <c r="B161" s="69">
        <v>43621.0</v>
      </c>
    </row>
    <row r="162">
      <c r="A162" s="67" t="str">
        <f t="shared" si="1"/>
        <v>Thu</v>
      </c>
      <c r="B162" s="69">
        <v>43622.0</v>
      </c>
    </row>
    <row r="163">
      <c r="A163" s="67" t="str">
        <f t="shared" si="1"/>
        <v>Fri</v>
      </c>
      <c r="B163" s="69">
        <v>43623.0</v>
      </c>
    </row>
    <row r="164">
      <c r="A164" s="67" t="str">
        <f t="shared" si="1"/>
        <v>Sat</v>
      </c>
      <c r="B164" s="69">
        <v>43624.0</v>
      </c>
    </row>
    <row r="165">
      <c r="A165" s="67" t="str">
        <f t="shared" si="1"/>
        <v>Sun</v>
      </c>
      <c r="B165" s="69">
        <v>43625.0</v>
      </c>
    </row>
    <row r="166">
      <c r="A166" s="67" t="str">
        <f t="shared" si="1"/>
        <v>Mon</v>
      </c>
      <c r="B166" s="69">
        <v>43626.0</v>
      </c>
    </row>
    <row r="167">
      <c r="A167" s="67" t="str">
        <f t="shared" si="1"/>
        <v>Tue</v>
      </c>
      <c r="B167" s="69">
        <v>43627.0</v>
      </c>
    </row>
    <row r="168">
      <c r="A168" s="67" t="str">
        <f t="shared" si="1"/>
        <v>Wed</v>
      </c>
      <c r="B168" s="69">
        <v>43628.0</v>
      </c>
    </row>
    <row r="169">
      <c r="A169" s="67" t="str">
        <f t="shared" si="1"/>
        <v>Thu</v>
      </c>
      <c r="B169" s="69">
        <v>43629.0</v>
      </c>
    </row>
    <row r="170">
      <c r="A170" s="67" t="str">
        <f t="shared" si="1"/>
        <v>Fri</v>
      </c>
      <c r="B170" s="69">
        <v>43630.0</v>
      </c>
    </row>
    <row r="171">
      <c r="A171" s="67" t="str">
        <f t="shared" si="1"/>
        <v>Sat</v>
      </c>
      <c r="B171" s="69">
        <v>43631.0</v>
      </c>
    </row>
    <row r="172">
      <c r="A172" s="67" t="str">
        <f t="shared" si="1"/>
        <v>Sun</v>
      </c>
      <c r="B172" s="69">
        <v>43632.0</v>
      </c>
    </row>
    <row r="173">
      <c r="A173" s="67" t="str">
        <f t="shared" si="1"/>
        <v>Mon</v>
      </c>
      <c r="B173" s="69">
        <v>43633.0</v>
      </c>
    </row>
    <row r="174">
      <c r="A174" s="67" t="str">
        <f t="shared" si="1"/>
        <v>Tue</v>
      </c>
      <c r="B174" s="69">
        <v>43634.0</v>
      </c>
    </row>
    <row r="175">
      <c r="A175" s="67" t="str">
        <f t="shared" si="1"/>
        <v>Wed</v>
      </c>
      <c r="B175" s="69">
        <v>43635.0</v>
      </c>
    </row>
    <row r="176">
      <c r="A176" s="67" t="str">
        <f t="shared" si="1"/>
        <v>Thu</v>
      </c>
      <c r="B176" s="69">
        <v>43636.0</v>
      </c>
    </row>
    <row r="177">
      <c r="A177" s="67" t="str">
        <f t="shared" si="1"/>
        <v>Fri</v>
      </c>
      <c r="B177" s="69">
        <v>43637.0</v>
      </c>
    </row>
    <row r="178">
      <c r="A178" s="67" t="str">
        <f t="shared" si="1"/>
        <v>Sat</v>
      </c>
      <c r="B178" s="69">
        <v>43638.0</v>
      </c>
    </row>
    <row r="179">
      <c r="A179" s="67" t="str">
        <f t="shared" si="1"/>
        <v>Sun</v>
      </c>
      <c r="B179" s="69">
        <v>43639.0</v>
      </c>
    </row>
    <row r="180">
      <c r="A180" s="67" t="str">
        <f t="shared" si="1"/>
        <v>Mon</v>
      </c>
      <c r="B180" s="69">
        <v>43640.0</v>
      </c>
    </row>
    <row r="181">
      <c r="A181" s="67" t="str">
        <f t="shared" si="1"/>
        <v>Tue</v>
      </c>
      <c r="B181" s="69">
        <v>43641.0</v>
      </c>
    </row>
    <row r="182">
      <c r="A182" s="67" t="str">
        <f t="shared" si="1"/>
        <v>Wed</v>
      </c>
      <c r="B182" s="69">
        <v>43642.0</v>
      </c>
    </row>
    <row r="183">
      <c r="A183" s="67" t="str">
        <f t="shared" si="1"/>
        <v>Thu</v>
      </c>
      <c r="B183" s="69">
        <v>43643.0</v>
      </c>
    </row>
    <row r="184">
      <c r="A184" s="67" t="str">
        <f t="shared" si="1"/>
        <v>Fri</v>
      </c>
      <c r="B184" s="69">
        <v>43644.0</v>
      </c>
    </row>
    <row r="185">
      <c r="A185" s="67" t="str">
        <f t="shared" si="1"/>
        <v>Sat</v>
      </c>
      <c r="B185" s="69">
        <v>43645.0</v>
      </c>
    </row>
    <row r="186">
      <c r="A186" s="67" t="str">
        <f t="shared" si="1"/>
        <v>Sun</v>
      </c>
      <c r="B186" s="69">
        <v>43646.0</v>
      </c>
    </row>
    <row r="187">
      <c r="A187" s="67" t="str">
        <f t="shared" si="1"/>
        <v>Mon</v>
      </c>
      <c r="B187" s="69">
        <v>43647.0</v>
      </c>
    </row>
    <row r="188">
      <c r="A188" s="67" t="str">
        <f t="shared" si="1"/>
        <v>Tue</v>
      </c>
      <c r="B188" s="69">
        <v>43648.0</v>
      </c>
    </row>
    <row r="189">
      <c r="A189" s="67" t="str">
        <f t="shared" si="1"/>
        <v>Wed</v>
      </c>
      <c r="B189" s="69">
        <v>43649.0</v>
      </c>
    </row>
    <row r="190">
      <c r="A190" s="67" t="str">
        <f t="shared" si="1"/>
        <v>Thu</v>
      </c>
      <c r="B190" s="69">
        <v>43650.0</v>
      </c>
    </row>
    <row r="191">
      <c r="A191" s="67" t="str">
        <f t="shared" si="1"/>
        <v>Fri</v>
      </c>
      <c r="B191" s="69">
        <v>43651.0</v>
      </c>
    </row>
    <row r="192">
      <c r="A192" s="67" t="str">
        <f t="shared" si="1"/>
        <v>Sat</v>
      </c>
      <c r="B192" s="69">
        <v>43652.0</v>
      </c>
    </row>
    <row r="193">
      <c r="A193" s="67" t="str">
        <f t="shared" si="1"/>
        <v>Sun</v>
      </c>
      <c r="B193" s="69">
        <v>43653.0</v>
      </c>
    </row>
    <row r="194">
      <c r="A194" s="67" t="str">
        <f t="shared" si="1"/>
        <v>Mon</v>
      </c>
      <c r="B194" s="69">
        <v>43654.0</v>
      </c>
    </row>
    <row r="195">
      <c r="A195" s="67" t="str">
        <f t="shared" si="1"/>
        <v>Tue</v>
      </c>
      <c r="B195" s="69">
        <v>43655.0</v>
      </c>
    </row>
    <row r="196">
      <c r="A196" s="67" t="str">
        <f t="shared" si="1"/>
        <v>Wed</v>
      </c>
      <c r="B196" s="69">
        <v>43656.0</v>
      </c>
    </row>
    <row r="197">
      <c r="A197" s="67" t="str">
        <f t="shared" si="1"/>
        <v>Thu</v>
      </c>
      <c r="B197" s="69">
        <v>43657.0</v>
      </c>
    </row>
    <row r="198">
      <c r="A198" s="67" t="str">
        <f t="shared" si="1"/>
        <v>Fri</v>
      </c>
      <c r="B198" s="69">
        <v>43658.0</v>
      </c>
    </row>
    <row r="199">
      <c r="A199" s="67" t="str">
        <f t="shared" si="1"/>
        <v>Sat</v>
      </c>
      <c r="B199" s="69">
        <v>43659.0</v>
      </c>
    </row>
    <row r="200">
      <c r="A200" s="67" t="str">
        <f t="shared" si="1"/>
        <v>Sun</v>
      </c>
      <c r="B200" s="69">
        <v>43660.0</v>
      </c>
    </row>
    <row r="201">
      <c r="A201" s="67" t="str">
        <f t="shared" si="1"/>
        <v>Mon</v>
      </c>
      <c r="B201" s="69">
        <v>43661.0</v>
      </c>
    </row>
    <row r="202">
      <c r="A202" s="67" t="str">
        <f t="shared" si="1"/>
        <v>Tue</v>
      </c>
      <c r="B202" s="69">
        <v>43662.0</v>
      </c>
    </row>
    <row r="203">
      <c r="A203" s="67" t="str">
        <f t="shared" si="1"/>
        <v>Wed</v>
      </c>
      <c r="B203" s="69">
        <v>43663.0</v>
      </c>
    </row>
    <row r="204">
      <c r="A204" s="67" t="str">
        <f t="shared" si="1"/>
        <v>Thu</v>
      </c>
      <c r="B204" s="69">
        <v>43664.0</v>
      </c>
    </row>
    <row r="205">
      <c r="A205" s="67" t="str">
        <f t="shared" si="1"/>
        <v>Fri</v>
      </c>
      <c r="B205" s="69">
        <v>43665.0</v>
      </c>
    </row>
    <row r="206">
      <c r="A206" s="67" t="str">
        <f t="shared" si="1"/>
        <v>Sat</v>
      </c>
      <c r="B206" s="69">
        <v>43666.0</v>
      </c>
    </row>
    <row r="207">
      <c r="A207" s="67" t="str">
        <f t="shared" si="1"/>
        <v>Sun</v>
      </c>
      <c r="B207" s="69">
        <v>43667.0</v>
      </c>
    </row>
    <row r="208">
      <c r="A208" s="67" t="str">
        <f t="shared" si="1"/>
        <v>Mon</v>
      </c>
      <c r="B208" s="69">
        <v>43668.0</v>
      </c>
    </row>
    <row r="209">
      <c r="A209" s="67" t="str">
        <f t="shared" si="1"/>
        <v>Tue</v>
      </c>
      <c r="B209" s="69">
        <v>43669.0</v>
      </c>
    </row>
    <row r="210">
      <c r="A210" s="67" t="str">
        <f t="shared" si="1"/>
        <v>Wed</v>
      </c>
      <c r="B210" s="69">
        <v>43670.0</v>
      </c>
    </row>
    <row r="211">
      <c r="A211" s="67" t="str">
        <f t="shared" si="1"/>
        <v>Thu</v>
      </c>
      <c r="B211" s="69">
        <v>43671.0</v>
      </c>
    </row>
    <row r="212">
      <c r="A212" s="67" t="str">
        <f t="shared" si="1"/>
        <v>Fri</v>
      </c>
      <c r="B212" s="69">
        <v>43672.0</v>
      </c>
    </row>
    <row r="213">
      <c r="A213" s="67" t="str">
        <f t="shared" si="1"/>
        <v>Sat</v>
      </c>
      <c r="B213" s="69">
        <v>43673.0</v>
      </c>
    </row>
    <row r="214">
      <c r="A214" s="67" t="str">
        <f t="shared" si="1"/>
        <v>Sun</v>
      </c>
      <c r="B214" s="69">
        <v>43674.0</v>
      </c>
    </row>
    <row r="215">
      <c r="A215" s="67" t="str">
        <f t="shared" si="1"/>
        <v>Mon</v>
      </c>
      <c r="B215" s="69">
        <v>43675.0</v>
      </c>
    </row>
    <row r="216">
      <c r="A216" s="67" t="str">
        <f t="shared" si="1"/>
        <v>Tue</v>
      </c>
      <c r="B216" s="69">
        <v>43676.0</v>
      </c>
    </row>
    <row r="217">
      <c r="A217" s="67" t="str">
        <f t="shared" si="1"/>
        <v>Wed</v>
      </c>
      <c r="B217" s="69">
        <v>43677.0</v>
      </c>
    </row>
    <row r="218">
      <c r="A218" s="67" t="str">
        <f t="shared" si="1"/>
        <v>Thu</v>
      </c>
      <c r="B218" s="69">
        <v>43678.0</v>
      </c>
    </row>
    <row r="219">
      <c r="A219" s="67" t="str">
        <f t="shared" si="1"/>
        <v>Fri</v>
      </c>
      <c r="B219" s="69">
        <v>43679.0</v>
      </c>
    </row>
    <row r="220">
      <c r="A220" s="67" t="str">
        <f t="shared" si="1"/>
        <v>Sat</v>
      </c>
      <c r="B220" s="69">
        <v>43680.0</v>
      </c>
    </row>
    <row r="221">
      <c r="A221" s="67" t="str">
        <f t="shared" si="1"/>
        <v>Sun</v>
      </c>
      <c r="B221" s="69">
        <v>43681.0</v>
      </c>
    </row>
    <row r="222">
      <c r="A222" s="67" t="str">
        <f t="shared" si="1"/>
        <v>Mon</v>
      </c>
      <c r="B222" s="69">
        <v>43682.0</v>
      </c>
    </row>
    <row r="223">
      <c r="A223" s="67" t="str">
        <f t="shared" si="1"/>
        <v>Tue</v>
      </c>
      <c r="B223" s="69">
        <v>43683.0</v>
      </c>
    </row>
    <row r="224">
      <c r="A224" s="67" t="str">
        <f t="shared" si="1"/>
        <v>Wed</v>
      </c>
      <c r="B224" s="69">
        <v>43684.0</v>
      </c>
    </row>
    <row r="225">
      <c r="A225" s="67" t="str">
        <f t="shared" si="1"/>
        <v>Thu</v>
      </c>
      <c r="B225" s="69">
        <v>43685.0</v>
      </c>
    </row>
    <row r="226">
      <c r="A226" s="67" t="str">
        <f t="shared" si="1"/>
        <v>Fri</v>
      </c>
      <c r="B226" s="69">
        <v>43686.0</v>
      </c>
    </row>
    <row r="227">
      <c r="A227" s="67" t="str">
        <f t="shared" si="1"/>
        <v>Sat</v>
      </c>
      <c r="B227" s="69">
        <v>43687.0</v>
      </c>
    </row>
    <row r="228">
      <c r="A228" s="67" t="str">
        <f t="shared" si="1"/>
        <v>Sun</v>
      </c>
      <c r="B228" s="69">
        <v>43688.0</v>
      </c>
    </row>
    <row r="229">
      <c r="A229" s="67" t="str">
        <f t="shared" si="1"/>
        <v>Mon</v>
      </c>
      <c r="B229" s="69">
        <v>43689.0</v>
      </c>
    </row>
    <row r="230">
      <c r="A230" s="67" t="str">
        <f t="shared" si="1"/>
        <v>Tue</v>
      </c>
      <c r="B230" s="69">
        <v>43690.0</v>
      </c>
    </row>
    <row r="231">
      <c r="A231" s="67" t="str">
        <f t="shared" si="1"/>
        <v>Wed</v>
      </c>
      <c r="B231" s="69">
        <v>43691.0</v>
      </c>
    </row>
    <row r="232">
      <c r="A232" s="67" t="str">
        <f t="shared" si="1"/>
        <v>Thu</v>
      </c>
      <c r="B232" s="69">
        <v>43692.0</v>
      </c>
    </row>
    <row r="233">
      <c r="A233" s="67" t="str">
        <f t="shared" si="1"/>
        <v>Fri</v>
      </c>
      <c r="B233" s="69">
        <v>43693.0</v>
      </c>
    </row>
    <row r="234">
      <c r="A234" s="67" t="str">
        <f t="shared" si="1"/>
        <v>Sat</v>
      </c>
      <c r="B234" s="69">
        <v>43694.0</v>
      </c>
    </row>
    <row r="235">
      <c r="A235" s="67" t="str">
        <f t="shared" si="1"/>
        <v>Sun</v>
      </c>
      <c r="B235" s="69">
        <v>43695.0</v>
      </c>
    </row>
    <row r="236">
      <c r="A236" s="67" t="str">
        <f t="shared" si="1"/>
        <v>Mon</v>
      </c>
      <c r="B236" s="69">
        <v>43696.0</v>
      </c>
    </row>
    <row r="237">
      <c r="A237" s="67" t="str">
        <f t="shared" si="1"/>
        <v>Tue</v>
      </c>
      <c r="B237" s="69">
        <v>43697.0</v>
      </c>
    </row>
    <row r="238">
      <c r="A238" s="67" t="str">
        <f t="shared" si="1"/>
        <v>Wed</v>
      </c>
      <c r="B238" s="69">
        <v>43698.0</v>
      </c>
    </row>
    <row r="239">
      <c r="A239" s="67" t="str">
        <f t="shared" si="1"/>
        <v>Thu</v>
      </c>
      <c r="B239" s="69">
        <v>43699.0</v>
      </c>
    </row>
    <row r="240">
      <c r="A240" s="67" t="str">
        <f t="shared" si="1"/>
        <v>Fri</v>
      </c>
      <c r="B240" s="69">
        <v>43700.0</v>
      </c>
    </row>
    <row r="241">
      <c r="A241" s="67" t="str">
        <f t="shared" si="1"/>
        <v>Sat</v>
      </c>
      <c r="B241" s="69">
        <v>43701.0</v>
      </c>
    </row>
    <row r="242">
      <c r="A242" s="67" t="str">
        <f t="shared" si="1"/>
        <v>Sun</v>
      </c>
      <c r="B242" s="69">
        <v>43702.0</v>
      </c>
    </row>
    <row r="243">
      <c r="A243" s="67" t="str">
        <f t="shared" si="1"/>
        <v>Mon</v>
      </c>
      <c r="B243" s="69">
        <v>43703.0</v>
      </c>
    </row>
    <row r="244">
      <c r="A244" s="67" t="str">
        <f t="shared" si="1"/>
        <v>Tue</v>
      </c>
      <c r="B244" s="69">
        <v>43704.0</v>
      </c>
    </row>
    <row r="245">
      <c r="A245" s="67" t="str">
        <f t="shared" si="1"/>
        <v>Wed</v>
      </c>
      <c r="B245" s="69">
        <v>43705.0</v>
      </c>
    </row>
    <row r="246">
      <c r="A246" s="67" t="str">
        <f t="shared" si="1"/>
        <v>Thu</v>
      </c>
      <c r="B246" s="69">
        <v>43706.0</v>
      </c>
    </row>
    <row r="247">
      <c r="A247" s="67" t="str">
        <f t="shared" si="1"/>
        <v>Fri</v>
      </c>
      <c r="B247" s="69">
        <v>43707.0</v>
      </c>
    </row>
    <row r="248">
      <c r="A248" s="67" t="str">
        <f t="shared" si="1"/>
        <v>Sat</v>
      </c>
      <c r="B248" s="69">
        <v>43708.0</v>
      </c>
    </row>
    <row r="249">
      <c r="A249" s="67" t="str">
        <f t="shared" si="1"/>
        <v>Sun</v>
      </c>
      <c r="B249" s="69">
        <v>43709.0</v>
      </c>
    </row>
    <row r="250">
      <c r="A250" s="67" t="str">
        <f t="shared" si="1"/>
        <v>Mon</v>
      </c>
      <c r="B250" s="69">
        <v>43710.0</v>
      </c>
    </row>
    <row r="251">
      <c r="A251" s="67" t="str">
        <f t="shared" si="1"/>
        <v>Tue</v>
      </c>
      <c r="B251" s="69">
        <v>43711.0</v>
      </c>
    </row>
    <row r="252">
      <c r="A252" s="67" t="str">
        <f t="shared" si="1"/>
        <v>Wed</v>
      </c>
      <c r="B252" s="69">
        <v>43712.0</v>
      </c>
    </row>
    <row r="253">
      <c r="A253" s="67" t="str">
        <f t="shared" si="1"/>
        <v>Thu</v>
      </c>
      <c r="B253" s="69">
        <v>43713.0</v>
      </c>
    </row>
    <row r="254">
      <c r="A254" s="67" t="str">
        <f t="shared" si="1"/>
        <v>Fri</v>
      </c>
      <c r="B254" s="69">
        <v>43714.0</v>
      </c>
    </row>
    <row r="255">
      <c r="A255" s="67" t="str">
        <f t="shared" si="1"/>
        <v>Sat</v>
      </c>
      <c r="B255" s="69">
        <v>43715.0</v>
      </c>
    </row>
    <row r="256">
      <c r="A256" s="67" t="str">
        <f t="shared" si="1"/>
        <v>Sun</v>
      </c>
      <c r="B256" s="69">
        <v>43716.0</v>
      </c>
    </row>
    <row r="257">
      <c r="A257" s="67" t="str">
        <f t="shared" si="1"/>
        <v>Mon</v>
      </c>
      <c r="B257" s="69">
        <v>43717.0</v>
      </c>
    </row>
    <row r="258">
      <c r="A258" s="67" t="str">
        <f t="shared" si="1"/>
        <v>Tue</v>
      </c>
      <c r="B258" s="69">
        <v>43718.0</v>
      </c>
    </row>
    <row r="259">
      <c r="A259" s="67" t="str">
        <f t="shared" si="1"/>
        <v>Wed</v>
      </c>
      <c r="B259" s="69">
        <v>43719.0</v>
      </c>
    </row>
    <row r="260">
      <c r="A260" s="67" t="str">
        <f t="shared" si="1"/>
        <v>Thu</v>
      </c>
      <c r="B260" s="69">
        <v>43720.0</v>
      </c>
    </row>
    <row r="261">
      <c r="A261" s="67" t="str">
        <f t="shared" si="1"/>
        <v>Fri</v>
      </c>
      <c r="B261" s="69">
        <v>43721.0</v>
      </c>
    </row>
    <row r="262">
      <c r="A262" s="67" t="str">
        <f t="shared" si="1"/>
        <v>Sat</v>
      </c>
      <c r="B262" s="69">
        <v>43722.0</v>
      </c>
    </row>
    <row r="263">
      <c r="A263" s="67" t="str">
        <f t="shared" si="1"/>
        <v>Sun</v>
      </c>
      <c r="B263" s="69">
        <v>43723.0</v>
      </c>
    </row>
    <row r="264">
      <c r="A264" s="67" t="str">
        <f t="shared" si="1"/>
        <v>Mon</v>
      </c>
      <c r="B264" s="69">
        <v>43724.0</v>
      </c>
    </row>
    <row r="265">
      <c r="A265" s="67" t="str">
        <f t="shared" si="1"/>
        <v>Tue</v>
      </c>
      <c r="B265" s="69">
        <v>43725.0</v>
      </c>
    </row>
    <row r="266">
      <c r="A266" s="67" t="str">
        <f t="shared" si="1"/>
        <v>Wed</v>
      </c>
      <c r="B266" s="69">
        <v>43726.0</v>
      </c>
    </row>
    <row r="267">
      <c r="A267" s="67" t="str">
        <f t="shared" si="1"/>
        <v>Thu</v>
      </c>
      <c r="B267" s="69">
        <v>43727.0</v>
      </c>
    </row>
    <row r="268">
      <c r="A268" s="67" t="str">
        <f t="shared" si="1"/>
        <v>Fri</v>
      </c>
      <c r="B268" s="69">
        <v>43728.0</v>
      </c>
    </row>
    <row r="269">
      <c r="A269" s="67" t="str">
        <f t="shared" si="1"/>
        <v>Sat</v>
      </c>
      <c r="B269" s="69">
        <v>43729.0</v>
      </c>
    </row>
    <row r="270">
      <c r="A270" s="67" t="str">
        <f t="shared" si="1"/>
        <v>Sun</v>
      </c>
      <c r="B270" s="69">
        <v>43730.0</v>
      </c>
    </row>
    <row r="271">
      <c r="A271" s="67" t="str">
        <f t="shared" si="1"/>
        <v>Mon</v>
      </c>
      <c r="B271" s="69">
        <v>43731.0</v>
      </c>
    </row>
    <row r="272">
      <c r="A272" s="67" t="str">
        <f t="shared" si="1"/>
        <v>Tue</v>
      </c>
      <c r="B272" s="69">
        <v>43732.0</v>
      </c>
    </row>
    <row r="273">
      <c r="A273" s="67" t="str">
        <f t="shared" si="1"/>
        <v>Wed</v>
      </c>
      <c r="B273" s="69">
        <v>43733.0</v>
      </c>
    </row>
    <row r="274">
      <c r="A274" s="67" t="str">
        <f t="shared" si="1"/>
        <v>Thu</v>
      </c>
      <c r="B274" s="69">
        <v>43734.0</v>
      </c>
    </row>
    <row r="275">
      <c r="A275" s="67" t="str">
        <f t="shared" si="1"/>
        <v>Fri</v>
      </c>
      <c r="B275" s="69">
        <v>43735.0</v>
      </c>
    </row>
    <row r="276">
      <c r="A276" s="67" t="str">
        <f t="shared" si="1"/>
        <v>Sat</v>
      </c>
      <c r="B276" s="69">
        <v>43736.0</v>
      </c>
    </row>
    <row r="277">
      <c r="A277" s="67" t="str">
        <f t="shared" si="1"/>
        <v>Sun</v>
      </c>
      <c r="B277" s="69">
        <v>43737.0</v>
      </c>
    </row>
    <row r="278">
      <c r="A278" s="67" t="str">
        <f t="shared" si="1"/>
        <v>Mon</v>
      </c>
      <c r="B278" s="69">
        <v>43738.0</v>
      </c>
    </row>
    <row r="279">
      <c r="A279" s="67" t="str">
        <f t="shared" si="1"/>
        <v>Tue</v>
      </c>
      <c r="B279" s="69">
        <v>43739.0</v>
      </c>
    </row>
    <row r="280">
      <c r="A280" s="67" t="str">
        <f t="shared" si="1"/>
        <v>Wed</v>
      </c>
      <c r="B280" s="69">
        <v>43740.0</v>
      </c>
    </row>
    <row r="281">
      <c r="A281" s="67" t="str">
        <f t="shared" si="1"/>
        <v>Thu</v>
      </c>
      <c r="B281" s="69">
        <v>43741.0</v>
      </c>
    </row>
    <row r="282">
      <c r="A282" s="67" t="str">
        <f t="shared" si="1"/>
        <v>Fri</v>
      </c>
      <c r="B282" s="69">
        <v>43742.0</v>
      </c>
    </row>
    <row r="283">
      <c r="A283" s="67" t="str">
        <f t="shared" si="1"/>
        <v>Sat</v>
      </c>
      <c r="B283" s="69">
        <v>43743.0</v>
      </c>
    </row>
    <row r="284">
      <c r="A284" s="67" t="str">
        <f t="shared" si="1"/>
        <v>Sun</v>
      </c>
      <c r="B284" s="69">
        <v>43744.0</v>
      </c>
      <c r="D284" s="161">
        <v>391.5</v>
      </c>
      <c r="E284" s="4" t="s">
        <v>169</v>
      </c>
      <c r="F284" s="4" t="s">
        <v>766</v>
      </c>
      <c r="G284" s="4" t="s">
        <v>766</v>
      </c>
      <c r="I284" s="4" t="s">
        <v>224</v>
      </c>
      <c r="K284" s="4" t="s">
        <v>231</v>
      </c>
      <c r="L284" s="4" t="s">
        <v>225</v>
      </c>
      <c r="M284" s="4"/>
      <c r="N284" s="4"/>
      <c r="O284" s="4"/>
      <c r="Q284" s="4" t="s">
        <v>768</v>
      </c>
      <c r="R284" s="4" t="s">
        <v>769</v>
      </c>
      <c r="S284" s="4" t="s">
        <v>770</v>
      </c>
    </row>
    <row r="285">
      <c r="A285" s="67" t="str">
        <f t="shared" si="1"/>
        <v>Mon</v>
      </c>
      <c r="B285" s="69">
        <v>43745.0</v>
      </c>
      <c r="D285" s="161">
        <v>391.5</v>
      </c>
      <c r="E285" s="4" t="s">
        <v>169</v>
      </c>
      <c r="F285" s="4" t="s">
        <v>766</v>
      </c>
      <c r="I285" s="4" t="s">
        <v>224</v>
      </c>
    </row>
    <row r="286">
      <c r="A286" s="67" t="str">
        <f t="shared" si="1"/>
        <v>Tue</v>
      </c>
      <c r="B286" s="69">
        <v>43746.0</v>
      </c>
      <c r="D286" s="161">
        <v>391.5</v>
      </c>
      <c r="E286" s="4" t="s">
        <v>169</v>
      </c>
      <c r="F286" s="4" t="s">
        <v>766</v>
      </c>
      <c r="I286" s="4" t="s">
        <v>224</v>
      </c>
    </row>
    <row r="287">
      <c r="A287" s="67" t="str">
        <f t="shared" si="1"/>
        <v>Wed</v>
      </c>
      <c r="B287" s="69">
        <v>43747.0</v>
      </c>
      <c r="H287" s="4" t="s">
        <v>766</v>
      </c>
    </row>
    <row r="288">
      <c r="A288" s="67" t="str">
        <f t="shared" si="1"/>
        <v>Thu</v>
      </c>
      <c r="B288" s="69">
        <v>43748.0</v>
      </c>
    </row>
    <row r="289">
      <c r="A289" s="67" t="str">
        <f t="shared" si="1"/>
        <v>Fri</v>
      </c>
      <c r="B289" s="69">
        <v>43749.0</v>
      </c>
    </row>
    <row r="290">
      <c r="A290" s="67" t="str">
        <f t="shared" si="1"/>
        <v>Sat</v>
      </c>
      <c r="B290" s="69">
        <v>43750.0</v>
      </c>
    </row>
    <row r="291">
      <c r="A291" s="67" t="str">
        <f t="shared" si="1"/>
        <v>Sun</v>
      </c>
      <c r="B291" s="69">
        <v>43751.0</v>
      </c>
    </row>
    <row r="292">
      <c r="A292" s="67" t="str">
        <f t="shared" si="1"/>
        <v>Mon</v>
      </c>
      <c r="B292" s="69">
        <v>43752.0</v>
      </c>
    </row>
    <row r="293">
      <c r="A293" s="67" t="str">
        <f t="shared" si="1"/>
        <v>Tue</v>
      </c>
      <c r="B293" s="69">
        <v>43753.0</v>
      </c>
    </row>
    <row r="294">
      <c r="A294" s="67" t="str">
        <f t="shared" si="1"/>
        <v>Wed</v>
      </c>
      <c r="B294" s="69">
        <v>43754.0</v>
      </c>
    </row>
    <row r="295">
      <c r="A295" s="67" t="str">
        <f t="shared" si="1"/>
        <v>Thu</v>
      </c>
      <c r="B295" s="69">
        <v>43755.0</v>
      </c>
    </row>
    <row r="296">
      <c r="A296" s="67" t="str">
        <f t="shared" si="1"/>
        <v>Fri</v>
      </c>
      <c r="B296" s="69">
        <v>43756.0</v>
      </c>
    </row>
    <row r="297">
      <c r="A297" s="67" t="str">
        <f t="shared" si="1"/>
        <v>Sat</v>
      </c>
      <c r="B297" s="69">
        <v>43757.0</v>
      </c>
    </row>
    <row r="298">
      <c r="A298" s="67" t="str">
        <f t="shared" si="1"/>
        <v>Sun</v>
      </c>
      <c r="B298" s="69">
        <v>43758.0</v>
      </c>
    </row>
    <row r="299">
      <c r="A299" s="67" t="str">
        <f t="shared" si="1"/>
        <v>Mon</v>
      </c>
      <c r="B299" s="69">
        <v>43759.0</v>
      </c>
    </row>
    <row r="300">
      <c r="A300" s="67" t="str">
        <f t="shared" si="1"/>
        <v>Tue</v>
      </c>
      <c r="B300" s="69">
        <v>43760.0</v>
      </c>
    </row>
    <row r="301">
      <c r="A301" s="67" t="str">
        <f t="shared" si="1"/>
        <v>Wed</v>
      </c>
      <c r="B301" s="69">
        <v>43761.0</v>
      </c>
    </row>
    <row r="302">
      <c r="A302" s="67" t="str">
        <f t="shared" si="1"/>
        <v>Thu</v>
      </c>
      <c r="B302" s="69">
        <v>43762.0</v>
      </c>
    </row>
    <row r="303">
      <c r="A303" s="67" t="str">
        <f t="shared" si="1"/>
        <v>Fri</v>
      </c>
      <c r="B303" s="69">
        <v>43763.0</v>
      </c>
    </row>
    <row r="304">
      <c r="A304" s="67" t="str">
        <f t="shared" si="1"/>
        <v>Sat</v>
      </c>
      <c r="B304" s="69">
        <v>43764.0</v>
      </c>
    </row>
    <row r="305">
      <c r="A305" s="67" t="str">
        <f t="shared" si="1"/>
        <v>Sun</v>
      </c>
      <c r="B305" s="69">
        <v>43765.0</v>
      </c>
    </row>
    <row r="306">
      <c r="A306" s="67" t="str">
        <f t="shared" si="1"/>
        <v>Mon</v>
      </c>
      <c r="B306" s="69">
        <v>43766.0</v>
      </c>
    </row>
    <row r="307">
      <c r="A307" s="67" t="str">
        <f t="shared" si="1"/>
        <v>Tue</v>
      </c>
      <c r="B307" s="69">
        <v>43767.0</v>
      </c>
    </row>
    <row r="308">
      <c r="A308" s="67" t="str">
        <f t="shared" si="1"/>
        <v>Wed</v>
      </c>
      <c r="B308" s="69">
        <v>43768.0</v>
      </c>
    </row>
    <row r="309">
      <c r="A309" s="67" t="str">
        <f t="shared" si="1"/>
        <v>Thu</v>
      </c>
      <c r="B309" s="69">
        <v>43769.0</v>
      </c>
    </row>
    <row r="310">
      <c r="A310" s="67" t="str">
        <f t="shared" si="1"/>
        <v>Fri</v>
      </c>
      <c r="B310" s="69">
        <v>43770.0</v>
      </c>
    </row>
    <row r="311">
      <c r="A311" s="67" t="str">
        <f t="shared" si="1"/>
        <v>Sat</v>
      </c>
      <c r="B311" s="69">
        <v>43771.0</v>
      </c>
    </row>
    <row r="312">
      <c r="A312" s="67" t="str">
        <f t="shared" si="1"/>
        <v>Sun</v>
      </c>
      <c r="B312" s="69">
        <v>43772.0</v>
      </c>
    </row>
    <row r="313">
      <c r="A313" s="67" t="str">
        <f t="shared" si="1"/>
        <v>Mon</v>
      </c>
      <c r="B313" s="69">
        <v>43773.0</v>
      </c>
    </row>
    <row r="314">
      <c r="A314" s="67" t="str">
        <f t="shared" si="1"/>
        <v>Tue</v>
      </c>
      <c r="B314" s="69">
        <v>43774.0</v>
      </c>
    </row>
    <row r="315">
      <c r="A315" s="67" t="str">
        <f t="shared" si="1"/>
        <v>Wed</v>
      </c>
      <c r="B315" s="69">
        <v>43775.0</v>
      </c>
    </row>
    <row r="316">
      <c r="A316" s="67" t="str">
        <f t="shared" si="1"/>
        <v>Thu</v>
      </c>
      <c r="B316" s="69">
        <v>43776.0</v>
      </c>
    </row>
    <row r="317">
      <c r="A317" s="67" t="str">
        <f t="shared" si="1"/>
        <v>Fri</v>
      </c>
      <c r="B317" s="69">
        <v>43777.0</v>
      </c>
    </row>
    <row r="318">
      <c r="A318" s="67" t="str">
        <f t="shared" si="1"/>
        <v>Sat</v>
      </c>
      <c r="B318" s="69">
        <v>43778.0</v>
      </c>
    </row>
    <row r="319">
      <c r="A319" s="67" t="str">
        <f t="shared" si="1"/>
        <v>Sun</v>
      </c>
      <c r="B319" s="69">
        <v>43779.0</v>
      </c>
    </row>
    <row r="320">
      <c r="A320" s="67" t="str">
        <f t="shared" si="1"/>
        <v>Mon</v>
      </c>
      <c r="B320" s="69">
        <v>43780.0</v>
      </c>
    </row>
    <row r="321">
      <c r="A321" s="67" t="str">
        <f t="shared" si="1"/>
        <v>Tue</v>
      </c>
      <c r="B321" s="69">
        <v>43781.0</v>
      </c>
    </row>
    <row r="322">
      <c r="A322" s="67" t="str">
        <f t="shared" si="1"/>
        <v>Wed</v>
      </c>
      <c r="B322" s="69">
        <v>43782.0</v>
      </c>
    </row>
    <row r="323">
      <c r="A323" s="67" t="str">
        <f t="shared" si="1"/>
        <v>Thu</v>
      </c>
      <c r="B323" s="69">
        <v>43783.0</v>
      </c>
    </row>
    <row r="324">
      <c r="A324" s="67" t="str">
        <f t="shared" si="1"/>
        <v>Fri</v>
      </c>
      <c r="B324" s="69">
        <v>43784.0</v>
      </c>
    </row>
    <row r="325">
      <c r="A325" s="67" t="str">
        <f t="shared" si="1"/>
        <v>Sat</v>
      </c>
      <c r="B325" s="69">
        <v>43785.0</v>
      </c>
    </row>
    <row r="326">
      <c r="A326" s="67" t="str">
        <f t="shared" si="1"/>
        <v>Sun</v>
      </c>
      <c r="B326" s="69">
        <v>43786.0</v>
      </c>
    </row>
    <row r="327">
      <c r="A327" s="67" t="str">
        <f t="shared" si="1"/>
        <v>Mon</v>
      </c>
      <c r="B327" s="69">
        <v>43787.0</v>
      </c>
    </row>
    <row r="328">
      <c r="A328" s="67" t="str">
        <f t="shared" si="1"/>
        <v>Tue</v>
      </c>
      <c r="B328" s="69">
        <v>43788.0</v>
      </c>
    </row>
    <row r="329">
      <c r="A329" s="67" t="str">
        <f t="shared" si="1"/>
        <v>Wed</v>
      </c>
      <c r="B329" s="69">
        <v>43789.0</v>
      </c>
    </row>
    <row r="330">
      <c r="A330" s="67" t="str">
        <f t="shared" si="1"/>
        <v>Thu</v>
      </c>
      <c r="B330" s="69">
        <v>43790.0</v>
      </c>
    </row>
    <row r="331">
      <c r="A331" s="67" t="str">
        <f t="shared" si="1"/>
        <v>Fri</v>
      </c>
      <c r="B331" s="69">
        <v>43791.0</v>
      </c>
    </row>
    <row r="332">
      <c r="A332" s="67" t="str">
        <f t="shared" si="1"/>
        <v>Sat</v>
      </c>
      <c r="B332" s="69">
        <v>43792.0</v>
      </c>
    </row>
    <row r="333">
      <c r="A333" s="67" t="str">
        <f t="shared" si="1"/>
        <v>Sun</v>
      </c>
      <c r="B333" s="69">
        <v>43793.0</v>
      </c>
    </row>
    <row r="334">
      <c r="A334" s="67" t="str">
        <f t="shared" si="1"/>
        <v>Mon</v>
      </c>
      <c r="B334" s="69">
        <v>43794.0</v>
      </c>
    </row>
    <row r="335">
      <c r="A335" s="67" t="str">
        <f t="shared" si="1"/>
        <v>Tue</v>
      </c>
      <c r="B335" s="69">
        <v>43795.0</v>
      </c>
    </row>
    <row r="336">
      <c r="A336" s="67" t="str">
        <f t="shared" si="1"/>
        <v>Wed</v>
      </c>
      <c r="B336" s="69">
        <v>43796.0</v>
      </c>
    </row>
    <row r="337">
      <c r="A337" s="67" t="str">
        <f t="shared" si="1"/>
        <v>Thu</v>
      </c>
      <c r="B337" s="69">
        <v>43797.0</v>
      </c>
    </row>
    <row r="338">
      <c r="A338" s="67" t="str">
        <f t="shared" si="1"/>
        <v>Fri</v>
      </c>
      <c r="B338" s="69">
        <v>43798.0</v>
      </c>
    </row>
    <row r="339">
      <c r="A339" s="67" t="str">
        <f t="shared" si="1"/>
        <v>Sat</v>
      </c>
      <c r="B339" s="69">
        <v>43799.0</v>
      </c>
    </row>
    <row r="340">
      <c r="A340" s="67" t="str">
        <f t="shared" si="1"/>
        <v>Sun</v>
      </c>
      <c r="B340" s="69">
        <v>43800.0</v>
      </c>
    </row>
    <row r="341">
      <c r="A341" s="67" t="str">
        <f t="shared" si="1"/>
        <v>Mon</v>
      </c>
      <c r="B341" s="69">
        <v>43801.0</v>
      </c>
    </row>
    <row r="342">
      <c r="A342" s="67" t="str">
        <f t="shared" si="1"/>
        <v>Tue</v>
      </c>
      <c r="B342" s="69">
        <v>43802.0</v>
      </c>
    </row>
    <row r="343">
      <c r="A343" s="67" t="str">
        <f t="shared" si="1"/>
        <v>Wed</v>
      </c>
      <c r="B343" s="69">
        <v>43803.0</v>
      </c>
    </row>
    <row r="344">
      <c r="A344" s="67" t="str">
        <f t="shared" si="1"/>
        <v>Thu</v>
      </c>
      <c r="B344" s="69">
        <v>43804.0</v>
      </c>
    </row>
    <row r="345">
      <c r="A345" s="67" t="str">
        <f t="shared" si="1"/>
        <v>Fri</v>
      </c>
      <c r="B345" s="69">
        <v>43805.0</v>
      </c>
    </row>
    <row r="346">
      <c r="A346" s="67" t="str">
        <f t="shared" si="1"/>
        <v>Sat</v>
      </c>
      <c r="B346" s="69">
        <v>43806.0</v>
      </c>
    </row>
    <row r="347">
      <c r="A347" s="67" t="str">
        <f t="shared" si="1"/>
        <v>Sun</v>
      </c>
      <c r="B347" s="69">
        <v>43807.0</v>
      </c>
    </row>
    <row r="348">
      <c r="A348" s="67" t="str">
        <f t="shared" si="1"/>
        <v>Mon</v>
      </c>
      <c r="B348" s="69">
        <v>43808.0</v>
      </c>
    </row>
    <row r="349">
      <c r="A349" s="67" t="str">
        <f t="shared" si="1"/>
        <v>Tue</v>
      </c>
      <c r="B349" s="69">
        <v>43809.0</v>
      </c>
    </row>
    <row r="350">
      <c r="A350" s="67" t="str">
        <f t="shared" si="1"/>
        <v>Wed</v>
      </c>
      <c r="B350" s="69">
        <v>43810.0</v>
      </c>
    </row>
    <row r="351">
      <c r="A351" s="67" t="str">
        <f t="shared" si="1"/>
        <v>Thu</v>
      </c>
      <c r="B351" s="69">
        <v>43811.0</v>
      </c>
    </row>
    <row r="352">
      <c r="A352" s="67" t="str">
        <f t="shared" si="1"/>
        <v>Fri</v>
      </c>
      <c r="B352" s="69">
        <v>43812.0</v>
      </c>
    </row>
    <row r="353">
      <c r="A353" s="67" t="str">
        <f t="shared" si="1"/>
        <v>Sat</v>
      </c>
      <c r="B353" s="69">
        <v>43813.0</v>
      </c>
    </row>
    <row r="354">
      <c r="A354" s="67" t="str">
        <f t="shared" si="1"/>
        <v>Sun</v>
      </c>
      <c r="B354" s="69">
        <v>43814.0</v>
      </c>
    </row>
    <row r="355">
      <c r="A355" s="67" t="str">
        <f t="shared" si="1"/>
        <v>Mon</v>
      </c>
      <c r="B355" s="69">
        <v>43815.0</v>
      </c>
    </row>
    <row r="356">
      <c r="A356" s="67" t="str">
        <f t="shared" si="1"/>
        <v>Tue</v>
      </c>
      <c r="B356" s="69">
        <v>43816.0</v>
      </c>
    </row>
    <row r="357">
      <c r="A357" s="67" t="str">
        <f t="shared" si="1"/>
        <v>Wed</v>
      </c>
      <c r="B357" s="69">
        <v>43817.0</v>
      </c>
    </row>
    <row r="358">
      <c r="A358" s="67" t="str">
        <f t="shared" si="1"/>
        <v>Thu</v>
      </c>
      <c r="B358" s="69">
        <v>43818.0</v>
      </c>
    </row>
    <row r="359">
      <c r="A359" s="67" t="str">
        <f t="shared" si="1"/>
        <v>Fri</v>
      </c>
      <c r="B359" s="69">
        <v>43819.0</v>
      </c>
    </row>
    <row r="360">
      <c r="A360" s="67" t="str">
        <f t="shared" si="1"/>
        <v>Sat</v>
      </c>
      <c r="B360" s="69">
        <v>43820.0</v>
      </c>
    </row>
    <row r="361">
      <c r="A361" s="67" t="str">
        <f t="shared" si="1"/>
        <v>Sun</v>
      </c>
      <c r="B361" s="69">
        <v>43821.0</v>
      </c>
    </row>
    <row r="362">
      <c r="A362" s="67" t="str">
        <f t="shared" si="1"/>
        <v>Mon</v>
      </c>
      <c r="B362" s="69">
        <v>43822.0</v>
      </c>
    </row>
    <row r="363">
      <c r="A363" s="67" t="str">
        <f t="shared" si="1"/>
        <v>Tue</v>
      </c>
      <c r="B363" s="69">
        <v>43823.0</v>
      </c>
    </row>
    <row r="364">
      <c r="A364" s="67" t="str">
        <f t="shared" si="1"/>
        <v>Wed</v>
      </c>
      <c r="B364" s="69">
        <v>43824.0</v>
      </c>
    </row>
    <row r="365">
      <c r="A365" s="67" t="str">
        <f t="shared" si="1"/>
        <v>Thu</v>
      </c>
      <c r="B365" s="69">
        <v>43825.0</v>
      </c>
    </row>
    <row r="366">
      <c r="A366" s="67" t="str">
        <f t="shared" si="1"/>
        <v>Fri</v>
      </c>
      <c r="B366" s="69">
        <v>43826.0</v>
      </c>
    </row>
    <row r="367">
      <c r="A367" s="67" t="str">
        <f t="shared" si="1"/>
        <v>Sat</v>
      </c>
      <c r="B367" s="69">
        <v>43827.0</v>
      </c>
    </row>
    <row r="368">
      <c r="A368" s="67" t="str">
        <f t="shared" si="1"/>
        <v>Sun</v>
      </c>
      <c r="B368" s="69">
        <v>43828.0</v>
      </c>
    </row>
    <row r="369">
      <c r="A369" s="67" t="str">
        <f t="shared" si="1"/>
        <v>Mon</v>
      </c>
      <c r="B369" s="69">
        <v>43829.0</v>
      </c>
    </row>
    <row r="370">
      <c r="A370" s="67" t="str">
        <f t="shared" si="1"/>
        <v>Tue</v>
      </c>
      <c r="B370" s="69">
        <v>43830.0</v>
      </c>
    </row>
  </sheetData>
  <mergeCells count="5">
    <mergeCell ref="E1:F1"/>
    <mergeCell ref="E2:F2"/>
    <mergeCell ref="E3:F3"/>
    <mergeCell ref="A1:C3"/>
    <mergeCell ref="G1:R3"/>
  </mergeCells>
  <conditionalFormatting sqref="K4:L107 K109:L370">
    <cfRule type="cellIs" dxfId="0" priority="1" operator="equal">
      <formula>"Enviar email para hotel"</formula>
    </cfRule>
  </conditionalFormatting>
  <dataValidations>
    <dataValidation type="list" allowBlank="1" sqref="L6:L370">
      <formula1>"Enviar email para hotel,Enviado para o hotel,Código de reserva enviado para hóspede,Verificar dados com o hóspede,URGENTE,Fechado"</formula1>
    </dataValidation>
    <dataValidation type="list" allowBlank="1" sqref="K6:K370">
      <formula1>"A PAGAR,PARCIALMENTE PAGO,PAGO"</formula1>
    </dataValidation>
  </dataValidations>
  <hyperlinks>
    <hyperlink display="Sumario" location="Sumario!A1" ref="A4"/>
    <hyperlink r:id="rId1" ref="Q148"/>
  </hyperlinks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57"/>
    <col customWidth="1" min="4" max="4" width="17.0"/>
  </cols>
  <sheetData>
    <row r="1">
      <c r="A1" s="1"/>
      <c r="B1" s="2"/>
      <c r="C1" s="3"/>
      <c r="D1" s="11" t="s">
        <v>198</v>
      </c>
      <c r="E1" s="153" t="s">
        <v>199</v>
      </c>
      <c r="F1" s="3"/>
      <c r="G1" s="154" t="s">
        <v>796</v>
      </c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>
      <c r="A2" s="13"/>
      <c r="C2" s="15"/>
      <c r="D2" s="9" t="s">
        <v>201</v>
      </c>
      <c r="E2" s="156">
        <v>2303.0</v>
      </c>
      <c r="F2" s="15"/>
      <c r="R2" s="15"/>
    </row>
    <row r="3">
      <c r="A3" s="17"/>
      <c r="B3" s="19"/>
      <c r="C3" s="21"/>
      <c r="D3" s="26" t="s">
        <v>202</v>
      </c>
      <c r="E3" s="157" t="s">
        <v>100</v>
      </c>
      <c r="F3" s="21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21"/>
    </row>
    <row r="4">
      <c r="A4" s="158" t="s">
        <v>203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N4" s="30"/>
      <c r="O4" s="30"/>
      <c r="P4" s="30"/>
      <c r="Q4" s="30"/>
      <c r="R4" s="30"/>
      <c r="S4" s="30"/>
      <c r="T4" s="30"/>
    </row>
    <row r="5">
      <c r="A5" s="42" t="s">
        <v>204</v>
      </c>
      <c r="B5" s="45" t="s">
        <v>33</v>
      </c>
      <c r="C5" s="45" t="s">
        <v>205</v>
      </c>
      <c r="D5" s="45" t="s">
        <v>206</v>
      </c>
      <c r="E5" s="45" t="s">
        <v>207</v>
      </c>
      <c r="F5" s="45" t="s">
        <v>208</v>
      </c>
      <c r="G5" s="45" t="s">
        <v>209</v>
      </c>
      <c r="H5" s="45" t="s">
        <v>210</v>
      </c>
      <c r="I5" s="45" t="s">
        <v>211</v>
      </c>
      <c r="J5" s="45" t="s">
        <v>212</v>
      </c>
      <c r="K5" s="45" t="s">
        <v>213</v>
      </c>
      <c r="L5" s="45" t="s">
        <v>214</v>
      </c>
      <c r="M5" s="45" t="s">
        <v>215</v>
      </c>
      <c r="N5" s="45" t="s">
        <v>216</v>
      </c>
      <c r="O5" s="45" t="s">
        <v>217</v>
      </c>
      <c r="P5" s="45" t="s">
        <v>218</v>
      </c>
      <c r="Q5" s="45" t="s">
        <v>219</v>
      </c>
      <c r="R5" s="160" t="s">
        <v>220</v>
      </c>
      <c r="S5" s="160" t="s">
        <v>221</v>
      </c>
    </row>
    <row r="6">
      <c r="A6" s="67" t="str">
        <f t="shared" ref="A6:A401" si="1">CHOOSE(weekday(B6),"Sun","Mon","Tue","Wed","Thu","Fri","Sat")</f>
        <v>Sat</v>
      </c>
      <c r="B6" s="69">
        <v>43435.0</v>
      </c>
      <c r="F6" s="4" t="s">
        <v>651</v>
      </c>
      <c r="J6" s="4" t="s">
        <v>651</v>
      </c>
      <c r="M6" s="166"/>
      <c r="N6" s="166"/>
      <c r="O6" s="166"/>
      <c r="P6" s="166"/>
      <c r="Q6" s="166"/>
      <c r="R6" s="166"/>
    </row>
    <row r="7">
      <c r="A7" s="67" t="str">
        <f t="shared" si="1"/>
        <v>Sun</v>
      </c>
      <c r="B7" s="69">
        <v>43436.0</v>
      </c>
      <c r="F7" s="4" t="s">
        <v>651</v>
      </c>
      <c r="J7" s="4" t="s">
        <v>651</v>
      </c>
    </row>
    <row r="8">
      <c r="A8" s="67" t="str">
        <f t="shared" si="1"/>
        <v>Mon</v>
      </c>
      <c r="B8" s="69">
        <v>43437.0</v>
      </c>
      <c r="F8" s="4" t="s">
        <v>651</v>
      </c>
      <c r="J8" s="4" t="s">
        <v>651</v>
      </c>
      <c r="M8" s="166"/>
      <c r="N8" s="166"/>
      <c r="O8" s="166"/>
      <c r="P8" s="166"/>
      <c r="Q8" s="166"/>
      <c r="R8" s="166"/>
    </row>
    <row r="9">
      <c r="A9" s="67" t="str">
        <f t="shared" si="1"/>
        <v>Tue</v>
      </c>
      <c r="B9" s="69">
        <v>43438.0</v>
      </c>
      <c r="F9" s="4" t="s">
        <v>651</v>
      </c>
      <c r="J9" s="4" t="s">
        <v>651</v>
      </c>
    </row>
    <row r="10">
      <c r="A10" s="67" t="str">
        <f t="shared" si="1"/>
        <v>Wed</v>
      </c>
      <c r="B10" s="69">
        <v>43439.0</v>
      </c>
      <c r="F10" s="4" t="s">
        <v>651</v>
      </c>
      <c r="J10" s="4" t="s">
        <v>651</v>
      </c>
    </row>
    <row r="11">
      <c r="A11" s="67" t="str">
        <f t="shared" si="1"/>
        <v>Thu</v>
      </c>
      <c r="B11" s="69">
        <v>43440.0</v>
      </c>
      <c r="F11" s="4" t="s">
        <v>651</v>
      </c>
      <c r="J11" s="4" t="s">
        <v>651</v>
      </c>
    </row>
    <row r="12">
      <c r="A12" s="67" t="str">
        <f t="shared" si="1"/>
        <v>Fri</v>
      </c>
      <c r="B12" s="69">
        <v>43441.0</v>
      </c>
      <c r="F12" s="4" t="s">
        <v>651</v>
      </c>
      <c r="J12" s="4" t="s">
        <v>651</v>
      </c>
    </row>
    <row r="13">
      <c r="A13" s="67" t="str">
        <f t="shared" si="1"/>
        <v>Sat</v>
      </c>
      <c r="B13" s="69">
        <v>43442.0</v>
      </c>
      <c r="F13" s="4" t="s">
        <v>651</v>
      </c>
      <c r="J13" s="4" t="s">
        <v>651</v>
      </c>
    </row>
    <row r="14">
      <c r="A14" s="67" t="str">
        <f t="shared" si="1"/>
        <v>Sun</v>
      </c>
      <c r="B14" s="69">
        <v>43443.0</v>
      </c>
      <c r="F14" s="4" t="s">
        <v>651</v>
      </c>
      <c r="J14" s="4" t="s">
        <v>651</v>
      </c>
    </row>
    <row r="15">
      <c r="A15" s="67" t="str">
        <f t="shared" si="1"/>
        <v>Mon</v>
      </c>
      <c r="B15" s="69">
        <v>43444.0</v>
      </c>
      <c r="F15" s="4" t="s">
        <v>651</v>
      </c>
      <c r="J15" s="4" t="s">
        <v>651</v>
      </c>
    </row>
    <row r="16">
      <c r="A16" s="67" t="str">
        <f t="shared" si="1"/>
        <v>Tue</v>
      </c>
      <c r="B16" s="69">
        <v>43445.0</v>
      </c>
      <c r="F16" s="4" t="s">
        <v>651</v>
      </c>
      <c r="J16" s="4" t="s">
        <v>651</v>
      </c>
    </row>
    <row r="17">
      <c r="A17" s="67" t="str">
        <f t="shared" si="1"/>
        <v>Wed</v>
      </c>
      <c r="B17" s="69">
        <v>43446.0</v>
      </c>
      <c r="F17" s="4" t="s">
        <v>651</v>
      </c>
      <c r="J17" s="4" t="s">
        <v>651</v>
      </c>
    </row>
    <row r="18">
      <c r="A18" s="67" t="str">
        <f t="shared" si="1"/>
        <v>Thu</v>
      </c>
      <c r="B18" s="69">
        <v>43447.0</v>
      </c>
      <c r="F18" s="4" t="s">
        <v>651</v>
      </c>
      <c r="J18" s="4" t="s">
        <v>651</v>
      </c>
    </row>
    <row r="19">
      <c r="A19" s="67" t="str">
        <f t="shared" si="1"/>
        <v>Fri</v>
      </c>
      <c r="B19" s="69">
        <v>43448.0</v>
      </c>
      <c r="F19" s="4" t="s">
        <v>651</v>
      </c>
      <c r="J19" s="4" t="s">
        <v>651</v>
      </c>
    </row>
    <row r="20">
      <c r="A20" s="67" t="str">
        <f t="shared" si="1"/>
        <v>Sat</v>
      </c>
      <c r="B20" s="69">
        <v>43449.0</v>
      </c>
      <c r="F20" s="4" t="s">
        <v>651</v>
      </c>
      <c r="J20" s="4" t="s">
        <v>651</v>
      </c>
    </row>
    <row r="21">
      <c r="A21" s="67" t="str">
        <f t="shared" si="1"/>
        <v>Sun</v>
      </c>
      <c r="B21" s="69">
        <v>43450.0</v>
      </c>
      <c r="F21" s="4" t="s">
        <v>651</v>
      </c>
      <c r="J21" s="4" t="s">
        <v>651</v>
      </c>
      <c r="M21" s="166"/>
      <c r="N21" s="166"/>
      <c r="O21" s="166"/>
      <c r="P21" s="166"/>
      <c r="Q21" s="166"/>
      <c r="R21" s="166"/>
    </row>
    <row r="22">
      <c r="A22" s="67" t="str">
        <f t="shared" si="1"/>
        <v>Mon</v>
      </c>
      <c r="B22" s="69">
        <v>43451.0</v>
      </c>
      <c r="F22" s="4" t="s">
        <v>651</v>
      </c>
      <c r="J22" s="4" t="s">
        <v>651</v>
      </c>
    </row>
    <row r="23">
      <c r="A23" s="67" t="str">
        <f t="shared" si="1"/>
        <v>Tue</v>
      </c>
      <c r="B23" s="69">
        <v>43452.0</v>
      </c>
      <c r="F23" s="4" t="s">
        <v>651</v>
      </c>
      <c r="J23" s="4" t="s">
        <v>651</v>
      </c>
    </row>
    <row r="24">
      <c r="A24" s="67" t="str">
        <f t="shared" si="1"/>
        <v>Wed</v>
      </c>
      <c r="B24" s="69">
        <v>43453.0</v>
      </c>
      <c r="F24" s="4" t="s">
        <v>651</v>
      </c>
      <c r="J24" s="4" t="s">
        <v>651</v>
      </c>
    </row>
    <row r="25">
      <c r="A25" s="67" t="str">
        <f t="shared" si="1"/>
        <v>Thu</v>
      </c>
      <c r="B25" s="69">
        <v>43454.0</v>
      </c>
      <c r="F25" s="4" t="s">
        <v>651</v>
      </c>
      <c r="J25" s="4" t="s">
        <v>651</v>
      </c>
    </row>
    <row r="26">
      <c r="A26" s="67" t="str">
        <f t="shared" si="1"/>
        <v>Fri</v>
      </c>
      <c r="B26" s="69">
        <v>43455.0</v>
      </c>
      <c r="F26" s="4" t="s">
        <v>651</v>
      </c>
      <c r="J26" s="4" t="s">
        <v>651</v>
      </c>
    </row>
    <row r="27">
      <c r="A27" s="67" t="str">
        <f t="shared" si="1"/>
        <v>Sat</v>
      </c>
      <c r="B27" s="69">
        <v>43456.0</v>
      </c>
      <c r="F27" s="4" t="s">
        <v>651</v>
      </c>
      <c r="J27" s="4" t="s">
        <v>651</v>
      </c>
    </row>
    <row r="28">
      <c r="A28" s="67" t="str">
        <f t="shared" si="1"/>
        <v>Sun</v>
      </c>
      <c r="B28" s="69">
        <v>43457.0</v>
      </c>
      <c r="F28" s="4" t="s">
        <v>651</v>
      </c>
      <c r="J28" s="4" t="s">
        <v>651</v>
      </c>
    </row>
    <row r="29">
      <c r="A29" s="67" t="str">
        <f t="shared" si="1"/>
        <v>Mon</v>
      </c>
      <c r="B29" s="69">
        <v>43458.0</v>
      </c>
      <c r="F29" s="4" t="s">
        <v>651</v>
      </c>
      <c r="J29" s="4" t="s">
        <v>651</v>
      </c>
    </row>
    <row r="30">
      <c r="A30" s="67" t="str">
        <f t="shared" si="1"/>
        <v>Tue</v>
      </c>
      <c r="B30" s="69">
        <v>43459.0</v>
      </c>
      <c r="F30" s="4" t="s">
        <v>651</v>
      </c>
      <c r="J30" s="4" t="s">
        <v>651</v>
      </c>
    </row>
    <row r="31">
      <c r="A31" s="67" t="str">
        <f t="shared" si="1"/>
        <v>Wed</v>
      </c>
      <c r="B31" s="69">
        <v>43460.0</v>
      </c>
      <c r="F31" s="4" t="s">
        <v>651</v>
      </c>
      <c r="J31" s="4" t="s">
        <v>651</v>
      </c>
    </row>
    <row r="32">
      <c r="A32" s="67" t="str">
        <f t="shared" si="1"/>
        <v>Thu</v>
      </c>
      <c r="B32" s="69">
        <v>43461.0</v>
      </c>
      <c r="F32" s="4" t="s">
        <v>651</v>
      </c>
      <c r="J32" s="4" t="s">
        <v>651</v>
      </c>
    </row>
    <row r="33">
      <c r="A33" s="67" t="str">
        <f t="shared" si="1"/>
        <v>Fri</v>
      </c>
      <c r="B33" s="69">
        <v>43462.0</v>
      </c>
      <c r="D33" s="4">
        <v>1600.0</v>
      </c>
      <c r="E33" s="4" t="s">
        <v>222</v>
      </c>
      <c r="F33" s="4" t="s">
        <v>805</v>
      </c>
      <c r="G33" s="4" t="s">
        <v>805</v>
      </c>
      <c r="I33" s="4" t="s">
        <v>359</v>
      </c>
      <c r="K33" s="4"/>
      <c r="L33" s="4" t="s">
        <v>293</v>
      </c>
      <c r="M33" s="4" t="s">
        <v>806</v>
      </c>
      <c r="N33" s="4" t="s">
        <v>310</v>
      </c>
      <c r="O33" s="4" t="s">
        <v>310</v>
      </c>
      <c r="P33" s="4" t="s">
        <v>310</v>
      </c>
      <c r="Q33" s="4" t="s">
        <v>807</v>
      </c>
      <c r="R33" s="4" t="s">
        <v>808</v>
      </c>
    </row>
    <row r="34">
      <c r="A34" s="67" t="str">
        <f t="shared" si="1"/>
        <v>Sat</v>
      </c>
      <c r="B34" s="69">
        <v>43463.0</v>
      </c>
      <c r="D34" s="4">
        <v>1600.0</v>
      </c>
      <c r="E34" s="4" t="s">
        <v>222</v>
      </c>
      <c r="F34" s="4" t="s">
        <v>805</v>
      </c>
      <c r="I34" s="4" t="s">
        <v>359</v>
      </c>
    </row>
    <row r="35">
      <c r="A35" s="67" t="str">
        <f t="shared" si="1"/>
        <v>Sun</v>
      </c>
      <c r="B35" s="69">
        <v>43464.0</v>
      </c>
      <c r="D35" s="4">
        <v>1600.0</v>
      </c>
      <c r="E35" s="4" t="s">
        <v>222</v>
      </c>
      <c r="F35" s="4" t="s">
        <v>805</v>
      </c>
      <c r="I35" s="4" t="s">
        <v>359</v>
      </c>
    </row>
    <row r="36">
      <c r="A36" s="67" t="str">
        <f t="shared" si="1"/>
        <v>Mon</v>
      </c>
      <c r="B36" s="69">
        <v>43465.0</v>
      </c>
      <c r="D36" s="4">
        <v>1600.0</v>
      </c>
      <c r="E36" s="4" t="s">
        <v>222</v>
      </c>
      <c r="F36" s="4" t="s">
        <v>805</v>
      </c>
      <c r="I36" s="4" t="s">
        <v>359</v>
      </c>
    </row>
    <row r="37">
      <c r="A37" s="67" t="str">
        <f t="shared" si="1"/>
        <v>Tue</v>
      </c>
      <c r="B37" s="69">
        <v>43466.0</v>
      </c>
      <c r="D37" s="4">
        <v>1600.0</v>
      </c>
      <c r="E37" s="4" t="s">
        <v>222</v>
      </c>
      <c r="F37" s="4" t="s">
        <v>805</v>
      </c>
      <c r="I37" s="4" t="s">
        <v>359</v>
      </c>
    </row>
    <row r="38">
      <c r="A38" s="67" t="str">
        <f t="shared" si="1"/>
        <v>Wed</v>
      </c>
      <c r="B38" s="69">
        <v>43467.0</v>
      </c>
      <c r="F38" s="4" t="s">
        <v>651</v>
      </c>
      <c r="H38" s="4" t="s">
        <v>805</v>
      </c>
      <c r="J38" s="4" t="s">
        <v>651</v>
      </c>
      <c r="M38" s="4" t="s">
        <v>310</v>
      </c>
      <c r="N38" s="4" t="s">
        <v>310</v>
      </c>
      <c r="O38" s="4" t="s">
        <v>310</v>
      </c>
      <c r="Q38" s="4" t="s">
        <v>810</v>
      </c>
      <c r="R38" s="167" t="s">
        <v>811</v>
      </c>
    </row>
    <row r="39">
      <c r="A39" s="67" t="str">
        <f t="shared" si="1"/>
        <v>Thu</v>
      </c>
      <c r="B39" s="69">
        <v>43468.0</v>
      </c>
      <c r="F39" s="4" t="s">
        <v>651</v>
      </c>
      <c r="J39" s="4" t="s">
        <v>651</v>
      </c>
    </row>
    <row r="40">
      <c r="A40" s="67" t="str">
        <f t="shared" si="1"/>
        <v>Fri</v>
      </c>
      <c r="B40" s="69">
        <v>43469.0</v>
      </c>
      <c r="F40" s="4" t="s">
        <v>651</v>
      </c>
      <c r="J40" s="4" t="s">
        <v>651</v>
      </c>
    </row>
    <row r="41">
      <c r="A41" s="67" t="str">
        <f t="shared" si="1"/>
        <v>Sat</v>
      </c>
      <c r="B41" s="69">
        <v>43470.0</v>
      </c>
      <c r="F41" s="4" t="s">
        <v>651</v>
      </c>
      <c r="J41" s="4" t="s">
        <v>651</v>
      </c>
    </row>
    <row r="42">
      <c r="A42" s="67" t="str">
        <f t="shared" si="1"/>
        <v>Sun</v>
      </c>
      <c r="B42" s="69">
        <v>43471.0</v>
      </c>
      <c r="F42" s="4" t="s">
        <v>651</v>
      </c>
      <c r="J42" s="4" t="s">
        <v>651</v>
      </c>
    </row>
    <row r="43">
      <c r="A43" s="67" t="str">
        <f t="shared" si="1"/>
        <v>Mon</v>
      </c>
      <c r="B43" s="69">
        <v>43472.0</v>
      </c>
      <c r="F43" s="4" t="s">
        <v>651</v>
      </c>
      <c r="J43" s="4" t="s">
        <v>651</v>
      </c>
    </row>
    <row r="44">
      <c r="A44" s="67" t="str">
        <f t="shared" si="1"/>
        <v>Tue</v>
      </c>
      <c r="B44" s="69">
        <v>43473.0</v>
      </c>
      <c r="F44" s="4" t="s">
        <v>651</v>
      </c>
      <c r="J44" s="4" t="s">
        <v>651</v>
      </c>
    </row>
    <row r="45">
      <c r="A45" s="67" t="str">
        <f t="shared" si="1"/>
        <v>Wed</v>
      </c>
      <c r="B45" s="69">
        <v>43474.0</v>
      </c>
      <c r="F45" s="4" t="s">
        <v>651</v>
      </c>
      <c r="J45" s="4" t="s">
        <v>651</v>
      </c>
    </row>
    <row r="46">
      <c r="A46" s="67" t="str">
        <f t="shared" si="1"/>
        <v>Thu</v>
      </c>
      <c r="B46" s="69">
        <v>43475.0</v>
      </c>
      <c r="F46" s="4" t="s">
        <v>651</v>
      </c>
      <c r="J46" s="4" t="s">
        <v>651</v>
      </c>
    </row>
    <row r="47">
      <c r="A47" s="67" t="str">
        <f t="shared" si="1"/>
        <v>Fri</v>
      </c>
      <c r="B47" s="69">
        <v>43476.0</v>
      </c>
      <c r="F47" s="4" t="s">
        <v>651</v>
      </c>
      <c r="J47" s="4" t="s">
        <v>651</v>
      </c>
    </row>
    <row r="48">
      <c r="A48" s="67" t="str">
        <f t="shared" si="1"/>
        <v>Sat</v>
      </c>
      <c r="B48" s="69">
        <v>43477.0</v>
      </c>
      <c r="F48" s="4" t="s">
        <v>651</v>
      </c>
      <c r="J48" s="4" t="s">
        <v>651</v>
      </c>
    </row>
    <row r="49">
      <c r="A49" s="67" t="str">
        <f t="shared" si="1"/>
        <v>Sun</v>
      </c>
      <c r="B49" s="69">
        <v>43478.0</v>
      </c>
      <c r="F49" s="4" t="s">
        <v>651</v>
      </c>
      <c r="J49" s="4" t="s">
        <v>651</v>
      </c>
    </row>
    <row r="50">
      <c r="A50" s="67" t="str">
        <f t="shared" si="1"/>
        <v>Mon</v>
      </c>
      <c r="B50" s="69">
        <v>43479.0</v>
      </c>
      <c r="F50" s="4" t="s">
        <v>651</v>
      </c>
      <c r="J50" s="4" t="s">
        <v>651</v>
      </c>
    </row>
    <row r="51">
      <c r="A51" s="67" t="str">
        <f t="shared" si="1"/>
        <v>Tue</v>
      </c>
      <c r="B51" s="69">
        <v>43480.0</v>
      </c>
      <c r="F51" s="4" t="s">
        <v>651</v>
      </c>
      <c r="J51" s="4" t="s">
        <v>651</v>
      </c>
    </row>
    <row r="52">
      <c r="A52" s="67" t="str">
        <f t="shared" si="1"/>
        <v>Wed</v>
      </c>
      <c r="B52" s="69">
        <v>43481.0</v>
      </c>
      <c r="F52" s="4" t="s">
        <v>651</v>
      </c>
      <c r="J52" s="4" t="s">
        <v>651</v>
      </c>
    </row>
    <row r="53">
      <c r="A53" s="67" t="str">
        <f t="shared" si="1"/>
        <v>Thu</v>
      </c>
      <c r="B53" s="69">
        <v>43482.0</v>
      </c>
      <c r="F53" s="4" t="s">
        <v>651</v>
      </c>
      <c r="J53" s="4" t="s">
        <v>651</v>
      </c>
    </row>
    <row r="54">
      <c r="A54" s="67" t="str">
        <f t="shared" si="1"/>
        <v>Fri</v>
      </c>
      <c r="B54" s="69">
        <v>43483.0</v>
      </c>
      <c r="F54" s="4" t="s">
        <v>651</v>
      </c>
      <c r="J54" s="4" t="s">
        <v>651</v>
      </c>
    </row>
    <row r="55">
      <c r="A55" s="67" t="str">
        <f t="shared" si="1"/>
        <v>Sat</v>
      </c>
      <c r="B55" s="69">
        <v>43484.0</v>
      </c>
      <c r="F55" s="4" t="s">
        <v>651</v>
      </c>
      <c r="J55" s="4" t="s">
        <v>651</v>
      </c>
    </row>
    <row r="56">
      <c r="A56" s="67" t="str">
        <f t="shared" si="1"/>
        <v>Sun</v>
      </c>
      <c r="B56" s="69">
        <v>43485.0</v>
      </c>
      <c r="F56" s="4" t="s">
        <v>651</v>
      </c>
      <c r="J56" s="4" t="s">
        <v>651</v>
      </c>
    </row>
    <row r="57">
      <c r="A57" s="67" t="str">
        <f t="shared" si="1"/>
        <v>Mon</v>
      </c>
      <c r="B57" s="69">
        <v>43486.0</v>
      </c>
      <c r="F57" s="4" t="s">
        <v>651</v>
      </c>
      <c r="J57" s="4" t="s">
        <v>651</v>
      </c>
    </row>
    <row r="58">
      <c r="A58" s="67" t="str">
        <f t="shared" si="1"/>
        <v>Tue</v>
      </c>
      <c r="B58" s="69">
        <v>43487.0</v>
      </c>
      <c r="F58" s="4" t="s">
        <v>651</v>
      </c>
      <c r="J58" s="4" t="s">
        <v>651</v>
      </c>
    </row>
    <row r="59">
      <c r="A59" s="67" t="str">
        <f t="shared" si="1"/>
        <v>Wed</v>
      </c>
      <c r="B59" s="69">
        <v>43488.0</v>
      </c>
      <c r="F59" s="4" t="s">
        <v>651</v>
      </c>
      <c r="J59" s="4" t="s">
        <v>651</v>
      </c>
    </row>
    <row r="60">
      <c r="A60" s="67" t="str">
        <f t="shared" si="1"/>
        <v>Thu</v>
      </c>
      <c r="B60" s="69">
        <v>43489.0</v>
      </c>
      <c r="F60" s="4" t="s">
        <v>651</v>
      </c>
      <c r="J60" s="4" t="s">
        <v>651</v>
      </c>
    </row>
    <row r="61">
      <c r="A61" s="67" t="str">
        <f t="shared" si="1"/>
        <v>Fri</v>
      </c>
      <c r="B61" s="69">
        <v>43490.0</v>
      </c>
      <c r="F61" s="4" t="s">
        <v>651</v>
      </c>
      <c r="J61" s="4" t="s">
        <v>651</v>
      </c>
    </row>
    <row r="62">
      <c r="A62" s="67" t="str">
        <f t="shared" si="1"/>
        <v>Sat</v>
      </c>
      <c r="B62" s="69">
        <v>43491.0</v>
      </c>
      <c r="F62" s="4" t="s">
        <v>651</v>
      </c>
      <c r="J62" s="4" t="s">
        <v>651</v>
      </c>
    </row>
    <row r="63">
      <c r="A63" s="67" t="str">
        <f t="shared" si="1"/>
        <v>Sun</v>
      </c>
      <c r="B63" s="69">
        <v>43492.0</v>
      </c>
      <c r="F63" s="4" t="s">
        <v>651</v>
      </c>
      <c r="J63" s="4" t="s">
        <v>651</v>
      </c>
    </row>
    <row r="64">
      <c r="A64" s="67" t="str">
        <f t="shared" si="1"/>
        <v>Mon</v>
      </c>
      <c r="B64" s="69">
        <v>43493.0</v>
      </c>
      <c r="F64" s="4" t="s">
        <v>651</v>
      </c>
      <c r="J64" s="4" t="s">
        <v>651</v>
      </c>
    </row>
    <row r="65">
      <c r="A65" s="67" t="str">
        <f t="shared" si="1"/>
        <v>Tue</v>
      </c>
      <c r="B65" s="69">
        <v>43494.0</v>
      </c>
      <c r="F65" s="4" t="s">
        <v>651</v>
      </c>
      <c r="J65" s="4" t="s">
        <v>651</v>
      </c>
    </row>
    <row r="66">
      <c r="A66" s="67" t="str">
        <f t="shared" si="1"/>
        <v>Wed</v>
      </c>
      <c r="B66" s="69">
        <v>43495.0</v>
      </c>
      <c r="F66" s="4" t="s">
        <v>651</v>
      </c>
      <c r="J66" s="4" t="s">
        <v>651</v>
      </c>
    </row>
    <row r="67">
      <c r="A67" s="67" t="str">
        <f t="shared" si="1"/>
        <v>Thu</v>
      </c>
      <c r="B67" s="69">
        <v>43496.0</v>
      </c>
      <c r="F67" s="4" t="s">
        <v>651</v>
      </c>
      <c r="J67" s="4" t="s">
        <v>651</v>
      </c>
    </row>
    <row r="68">
      <c r="A68" s="67" t="str">
        <f t="shared" si="1"/>
        <v>Fri</v>
      </c>
      <c r="B68" s="69">
        <v>43497.0</v>
      </c>
      <c r="F68" s="4" t="s">
        <v>651</v>
      </c>
      <c r="J68" s="4" t="s">
        <v>651</v>
      </c>
    </row>
    <row r="69">
      <c r="A69" s="67" t="str">
        <f t="shared" si="1"/>
        <v>Sat</v>
      </c>
      <c r="B69" s="69">
        <v>43498.0</v>
      </c>
      <c r="F69" s="4" t="s">
        <v>651</v>
      </c>
      <c r="J69" s="4" t="s">
        <v>651</v>
      </c>
    </row>
    <row r="70">
      <c r="A70" s="67" t="str">
        <f t="shared" si="1"/>
        <v>Sun</v>
      </c>
      <c r="B70" s="69">
        <v>43499.0</v>
      </c>
      <c r="F70" s="4" t="s">
        <v>651</v>
      </c>
      <c r="J70" s="4" t="s">
        <v>651</v>
      </c>
    </row>
    <row r="71">
      <c r="A71" s="67" t="str">
        <f t="shared" si="1"/>
        <v>Mon</v>
      </c>
      <c r="B71" s="69">
        <v>43500.0</v>
      </c>
      <c r="F71" s="4" t="s">
        <v>651</v>
      </c>
      <c r="J71" s="4" t="s">
        <v>651</v>
      </c>
    </row>
    <row r="72">
      <c r="A72" s="67" t="str">
        <f t="shared" si="1"/>
        <v>Tue</v>
      </c>
      <c r="B72" s="69">
        <v>43501.0</v>
      </c>
      <c r="F72" s="4" t="s">
        <v>651</v>
      </c>
      <c r="J72" s="4" t="s">
        <v>651</v>
      </c>
    </row>
    <row r="73">
      <c r="A73" s="67" t="str">
        <f t="shared" si="1"/>
        <v>Wed</v>
      </c>
      <c r="B73" s="69">
        <v>43502.0</v>
      </c>
      <c r="F73" s="4" t="s">
        <v>651</v>
      </c>
      <c r="J73" s="4" t="s">
        <v>651</v>
      </c>
    </row>
    <row r="74">
      <c r="A74" s="67" t="str">
        <f t="shared" si="1"/>
        <v>Thu</v>
      </c>
      <c r="B74" s="69">
        <v>43503.0</v>
      </c>
      <c r="F74" s="4" t="s">
        <v>651</v>
      </c>
      <c r="J74" s="4" t="s">
        <v>651</v>
      </c>
    </row>
    <row r="75">
      <c r="A75" s="67" t="str">
        <f t="shared" si="1"/>
        <v>Fri</v>
      </c>
      <c r="B75" s="69">
        <v>43504.0</v>
      </c>
      <c r="F75" s="4" t="s">
        <v>651</v>
      </c>
      <c r="J75" s="4" t="s">
        <v>651</v>
      </c>
    </row>
    <row r="76">
      <c r="A76" s="67" t="str">
        <f t="shared" si="1"/>
        <v>Sat</v>
      </c>
      <c r="B76" s="69">
        <v>43505.0</v>
      </c>
      <c r="F76" s="4" t="s">
        <v>651</v>
      </c>
      <c r="J76" s="4" t="s">
        <v>651</v>
      </c>
    </row>
    <row r="77">
      <c r="A77" s="67" t="str">
        <f t="shared" si="1"/>
        <v>Sun</v>
      </c>
      <c r="B77" s="69">
        <v>43506.0</v>
      </c>
      <c r="F77" s="4" t="s">
        <v>651</v>
      </c>
      <c r="J77" s="4" t="s">
        <v>651</v>
      </c>
    </row>
    <row r="78">
      <c r="A78" s="67" t="str">
        <f t="shared" si="1"/>
        <v>Mon</v>
      </c>
      <c r="B78" s="69">
        <v>43507.0</v>
      </c>
      <c r="F78" s="4" t="s">
        <v>651</v>
      </c>
      <c r="J78" s="4" t="s">
        <v>651</v>
      </c>
    </row>
    <row r="79">
      <c r="A79" s="67" t="str">
        <f t="shared" si="1"/>
        <v>Tue</v>
      </c>
      <c r="B79" s="69">
        <v>43508.0</v>
      </c>
      <c r="F79" s="4" t="s">
        <v>651</v>
      </c>
      <c r="J79" s="4" t="s">
        <v>651</v>
      </c>
    </row>
    <row r="80">
      <c r="A80" s="67" t="str">
        <f t="shared" si="1"/>
        <v>Wed</v>
      </c>
      <c r="B80" s="69">
        <v>43509.0</v>
      </c>
      <c r="F80" s="4" t="s">
        <v>651</v>
      </c>
      <c r="J80" s="4" t="s">
        <v>651</v>
      </c>
    </row>
    <row r="81">
      <c r="A81" s="67" t="str">
        <f t="shared" si="1"/>
        <v>Thu</v>
      </c>
      <c r="B81" s="69">
        <v>43510.0</v>
      </c>
      <c r="F81" s="4" t="s">
        <v>651</v>
      </c>
      <c r="J81" s="4" t="s">
        <v>651</v>
      </c>
    </row>
    <row r="82">
      <c r="A82" s="67" t="str">
        <f t="shared" si="1"/>
        <v>Fri</v>
      </c>
      <c r="B82" s="69">
        <v>43511.0</v>
      </c>
      <c r="F82" s="4" t="s">
        <v>651</v>
      </c>
      <c r="J82" s="4" t="s">
        <v>651</v>
      </c>
    </row>
    <row r="83">
      <c r="A83" s="67" t="str">
        <f t="shared" si="1"/>
        <v>Sat</v>
      </c>
      <c r="B83" s="69">
        <v>43512.0</v>
      </c>
      <c r="F83" s="4" t="s">
        <v>651</v>
      </c>
      <c r="J83" s="4" t="s">
        <v>651</v>
      </c>
    </row>
    <row r="84">
      <c r="A84" s="67" t="str">
        <f t="shared" si="1"/>
        <v>Sun</v>
      </c>
      <c r="B84" s="69">
        <v>43513.0</v>
      </c>
      <c r="F84" s="4" t="s">
        <v>651</v>
      </c>
      <c r="J84" s="4" t="s">
        <v>651</v>
      </c>
    </row>
    <row r="85">
      <c r="A85" s="67" t="str">
        <f t="shared" si="1"/>
        <v>Mon</v>
      </c>
      <c r="B85" s="69">
        <v>43514.0</v>
      </c>
      <c r="F85" s="4" t="s">
        <v>651</v>
      </c>
      <c r="J85" s="4" t="s">
        <v>651</v>
      </c>
    </row>
    <row r="86">
      <c r="A86" s="67" t="str">
        <f t="shared" si="1"/>
        <v>Tue</v>
      </c>
      <c r="B86" s="69">
        <v>43515.0</v>
      </c>
      <c r="F86" s="4" t="s">
        <v>651</v>
      </c>
      <c r="J86" s="4" t="s">
        <v>651</v>
      </c>
    </row>
    <row r="87">
      <c r="A87" s="67" t="str">
        <f t="shared" si="1"/>
        <v>Wed</v>
      </c>
      <c r="B87" s="69">
        <v>43516.0</v>
      </c>
      <c r="F87" s="4" t="s">
        <v>651</v>
      </c>
      <c r="J87" s="4" t="s">
        <v>651</v>
      </c>
    </row>
    <row r="88">
      <c r="A88" s="67" t="str">
        <f t="shared" si="1"/>
        <v>Thu</v>
      </c>
      <c r="B88" s="69">
        <v>43517.0</v>
      </c>
      <c r="F88" s="4" t="s">
        <v>651</v>
      </c>
      <c r="J88" s="4" t="s">
        <v>651</v>
      </c>
    </row>
    <row r="89">
      <c r="A89" s="67" t="str">
        <f t="shared" si="1"/>
        <v>Fri</v>
      </c>
      <c r="B89" s="69">
        <v>43518.0</v>
      </c>
      <c r="F89" s="4" t="s">
        <v>651</v>
      </c>
      <c r="J89" s="4" t="s">
        <v>651</v>
      </c>
    </row>
    <row r="90">
      <c r="A90" s="67" t="str">
        <f t="shared" si="1"/>
        <v>Sat</v>
      </c>
      <c r="B90" s="69">
        <v>43519.0</v>
      </c>
      <c r="F90" s="4" t="s">
        <v>651</v>
      </c>
      <c r="J90" s="4" t="s">
        <v>651</v>
      </c>
    </row>
    <row r="91">
      <c r="A91" s="67" t="str">
        <f t="shared" si="1"/>
        <v>Sun</v>
      </c>
      <c r="B91" s="69">
        <v>43520.0</v>
      </c>
      <c r="F91" s="4" t="s">
        <v>651</v>
      </c>
      <c r="J91" s="4" t="s">
        <v>651</v>
      </c>
    </row>
    <row r="92">
      <c r="A92" s="67" t="str">
        <f t="shared" si="1"/>
        <v>Mon</v>
      </c>
      <c r="B92" s="69">
        <v>43521.0</v>
      </c>
      <c r="F92" s="4" t="s">
        <v>651</v>
      </c>
      <c r="J92" s="4" t="s">
        <v>651</v>
      </c>
    </row>
    <row r="93">
      <c r="A93" s="67" t="str">
        <f t="shared" si="1"/>
        <v>Tue</v>
      </c>
      <c r="B93" s="69">
        <v>43522.0</v>
      </c>
      <c r="F93" s="4" t="s">
        <v>651</v>
      </c>
      <c r="J93" s="4" t="s">
        <v>651</v>
      </c>
    </row>
    <row r="94">
      <c r="A94" s="67" t="str">
        <f t="shared" si="1"/>
        <v>Wed</v>
      </c>
      <c r="B94" s="69">
        <v>43523.0</v>
      </c>
      <c r="F94" s="4" t="s">
        <v>651</v>
      </c>
      <c r="J94" s="4" t="s">
        <v>651</v>
      </c>
    </row>
    <row r="95">
      <c r="A95" s="67" t="str">
        <f t="shared" si="1"/>
        <v>Thu</v>
      </c>
      <c r="B95" s="69">
        <v>43524.0</v>
      </c>
      <c r="F95" s="4" t="s">
        <v>651</v>
      </c>
      <c r="J95" s="4" t="s">
        <v>651</v>
      </c>
    </row>
    <row r="96">
      <c r="A96" s="67" t="str">
        <f t="shared" si="1"/>
        <v>Fri</v>
      </c>
      <c r="B96" s="69">
        <v>43525.0</v>
      </c>
      <c r="F96" s="4" t="s">
        <v>651</v>
      </c>
      <c r="J96" s="4" t="s">
        <v>651</v>
      </c>
    </row>
    <row r="97">
      <c r="A97" s="67" t="str">
        <f t="shared" si="1"/>
        <v>Sat</v>
      </c>
      <c r="B97" s="69">
        <v>43526.0</v>
      </c>
      <c r="F97" s="4" t="s">
        <v>651</v>
      </c>
      <c r="J97" s="4" t="s">
        <v>651</v>
      </c>
    </row>
    <row r="98">
      <c r="A98" s="67" t="str">
        <f t="shared" si="1"/>
        <v>Sun</v>
      </c>
      <c r="B98" s="69">
        <v>43527.0</v>
      </c>
      <c r="F98" s="4" t="s">
        <v>651</v>
      </c>
      <c r="J98" s="4" t="s">
        <v>651</v>
      </c>
    </row>
    <row r="99">
      <c r="A99" s="67" t="str">
        <f t="shared" si="1"/>
        <v>Mon</v>
      </c>
      <c r="B99" s="69">
        <v>43528.0</v>
      </c>
      <c r="F99" s="4" t="s">
        <v>651</v>
      </c>
      <c r="J99" s="4" t="s">
        <v>651</v>
      </c>
    </row>
    <row r="100">
      <c r="A100" s="67" t="str">
        <f t="shared" si="1"/>
        <v>Tue</v>
      </c>
      <c r="B100" s="69">
        <v>43529.0</v>
      </c>
      <c r="F100" s="4" t="s">
        <v>651</v>
      </c>
      <c r="J100" s="4" t="s">
        <v>651</v>
      </c>
    </row>
    <row r="101">
      <c r="A101" s="67" t="str">
        <f t="shared" si="1"/>
        <v>Wed</v>
      </c>
      <c r="B101" s="69">
        <v>43530.0</v>
      </c>
      <c r="F101" s="4" t="s">
        <v>651</v>
      </c>
      <c r="J101" s="4" t="s">
        <v>651</v>
      </c>
    </row>
    <row r="102">
      <c r="A102" s="67" t="str">
        <f t="shared" si="1"/>
        <v>Thu</v>
      </c>
      <c r="B102" s="69">
        <v>43531.0</v>
      </c>
      <c r="F102" s="4" t="s">
        <v>651</v>
      </c>
      <c r="J102" s="4" t="s">
        <v>651</v>
      </c>
    </row>
    <row r="103">
      <c r="A103" s="67" t="str">
        <f t="shared" si="1"/>
        <v>Fri</v>
      </c>
      <c r="B103" s="69">
        <v>43532.0</v>
      </c>
      <c r="F103" s="4" t="s">
        <v>651</v>
      </c>
      <c r="J103" s="4" t="s">
        <v>651</v>
      </c>
    </row>
    <row r="104">
      <c r="A104" s="67" t="str">
        <f t="shared" si="1"/>
        <v>Sat</v>
      </c>
      <c r="B104" s="69">
        <v>43533.0</v>
      </c>
      <c r="F104" s="4" t="s">
        <v>651</v>
      </c>
      <c r="J104" s="4" t="s">
        <v>651</v>
      </c>
    </row>
    <row r="105">
      <c r="A105" s="67" t="str">
        <f t="shared" si="1"/>
        <v>Sun</v>
      </c>
      <c r="B105" s="69">
        <v>43534.0</v>
      </c>
      <c r="F105" s="4" t="s">
        <v>651</v>
      </c>
      <c r="J105" s="4" t="s">
        <v>651</v>
      </c>
    </row>
    <row r="106">
      <c r="A106" s="67" t="str">
        <f t="shared" si="1"/>
        <v>Mon</v>
      </c>
      <c r="B106" s="69">
        <v>43535.0</v>
      </c>
      <c r="F106" s="4" t="s">
        <v>651</v>
      </c>
      <c r="J106" s="4" t="s">
        <v>651</v>
      </c>
    </row>
    <row r="107">
      <c r="A107" s="67" t="str">
        <f t="shared" si="1"/>
        <v>Tue</v>
      </c>
      <c r="B107" s="69">
        <v>43536.0</v>
      </c>
      <c r="F107" s="4" t="s">
        <v>651</v>
      </c>
      <c r="J107" s="4" t="s">
        <v>651</v>
      </c>
    </row>
    <row r="108">
      <c r="A108" s="67" t="str">
        <f t="shared" si="1"/>
        <v>Wed</v>
      </c>
      <c r="B108" s="69">
        <v>43537.0</v>
      </c>
      <c r="F108" s="4" t="s">
        <v>651</v>
      </c>
      <c r="J108" s="4" t="s">
        <v>651</v>
      </c>
    </row>
    <row r="109">
      <c r="A109" s="67" t="str">
        <f t="shared" si="1"/>
        <v>Thu</v>
      </c>
      <c r="B109" s="69">
        <v>43538.0</v>
      </c>
      <c r="F109" s="4" t="s">
        <v>651</v>
      </c>
      <c r="J109" s="4" t="s">
        <v>651</v>
      </c>
    </row>
    <row r="110">
      <c r="A110" s="67" t="str">
        <f t="shared" si="1"/>
        <v>Fri</v>
      </c>
      <c r="B110" s="69">
        <v>43539.0</v>
      </c>
      <c r="F110" s="4" t="s">
        <v>651</v>
      </c>
      <c r="J110" s="4" t="s">
        <v>651</v>
      </c>
    </row>
    <row r="111">
      <c r="A111" s="67" t="str">
        <f t="shared" si="1"/>
        <v>Sat</v>
      </c>
      <c r="B111" s="69">
        <v>43540.0</v>
      </c>
      <c r="F111" s="4" t="s">
        <v>651</v>
      </c>
      <c r="J111" s="4" t="s">
        <v>651</v>
      </c>
    </row>
    <row r="112">
      <c r="A112" s="67" t="str">
        <f t="shared" si="1"/>
        <v>Sun</v>
      </c>
      <c r="B112" s="69">
        <v>43541.0</v>
      </c>
      <c r="F112" s="4" t="s">
        <v>651</v>
      </c>
      <c r="J112" s="4" t="s">
        <v>651</v>
      </c>
    </row>
    <row r="113">
      <c r="A113" s="67" t="str">
        <f t="shared" si="1"/>
        <v>Mon</v>
      </c>
      <c r="B113" s="69">
        <v>43542.0</v>
      </c>
      <c r="F113" s="4" t="s">
        <v>651</v>
      </c>
      <c r="J113" s="4" t="s">
        <v>651</v>
      </c>
    </row>
    <row r="114">
      <c r="A114" s="67" t="str">
        <f t="shared" si="1"/>
        <v>Tue</v>
      </c>
      <c r="B114" s="69">
        <v>43543.0</v>
      </c>
      <c r="F114" s="4" t="s">
        <v>651</v>
      </c>
      <c r="J114" s="4" t="s">
        <v>651</v>
      </c>
    </row>
    <row r="115">
      <c r="A115" s="67" t="str">
        <f t="shared" si="1"/>
        <v>Wed</v>
      </c>
      <c r="B115" s="69">
        <v>43544.0</v>
      </c>
      <c r="F115" s="4" t="s">
        <v>651</v>
      </c>
      <c r="J115" s="4" t="s">
        <v>651</v>
      </c>
    </row>
    <row r="116">
      <c r="A116" s="67" t="str">
        <f t="shared" si="1"/>
        <v>Thu</v>
      </c>
      <c r="B116" s="69">
        <v>43545.0</v>
      </c>
      <c r="F116" s="4" t="s">
        <v>651</v>
      </c>
      <c r="J116" s="4" t="s">
        <v>651</v>
      </c>
    </row>
    <row r="117">
      <c r="A117" s="67" t="str">
        <f t="shared" si="1"/>
        <v>Fri</v>
      </c>
      <c r="B117" s="69">
        <v>43546.0</v>
      </c>
      <c r="F117" s="4" t="s">
        <v>651</v>
      </c>
      <c r="J117" s="4" t="s">
        <v>651</v>
      </c>
    </row>
    <row r="118">
      <c r="A118" s="67" t="str">
        <f t="shared" si="1"/>
        <v>Sat</v>
      </c>
      <c r="B118" s="69">
        <v>43547.0</v>
      </c>
      <c r="F118" s="4" t="s">
        <v>651</v>
      </c>
      <c r="J118" s="4" t="s">
        <v>651</v>
      </c>
    </row>
    <row r="119">
      <c r="A119" s="67" t="str">
        <f t="shared" si="1"/>
        <v>Sun</v>
      </c>
      <c r="B119" s="69">
        <v>43548.0</v>
      </c>
      <c r="F119" s="4" t="s">
        <v>651</v>
      </c>
      <c r="J119" s="4" t="s">
        <v>651</v>
      </c>
    </row>
    <row r="120">
      <c r="A120" s="67" t="str">
        <f t="shared" si="1"/>
        <v>Mon</v>
      </c>
      <c r="B120" s="69">
        <v>43549.0</v>
      </c>
      <c r="F120" s="4" t="s">
        <v>651</v>
      </c>
      <c r="J120" s="4" t="s">
        <v>651</v>
      </c>
    </row>
    <row r="121">
      <c r="A121" s="67" t="str">
        <f t="shared" si="1"/>
        <v>Tue</v>
      </c>
      <c r="B121" s="69">
        <v>43550.0</v>
      </c>
      <c r="F121" s="4" t="s">
        <v>651</v>
      </c>
      <c r="J121" s="4" t="s">
        <v>651</v>
      </c>
    </row>
    <row r="122">
      <c r="A122" s="67" t="str">
        <f t="shared" si="1"/>
        <v>Wed</v>
      </c>
      <c r="B122" s="69">
        <v>43551.0</v>
      </c>
      <c r="F122" s="4" t="s">
        <v>651</v>
      </c>
      <c r="J122" s="4" t="s">
        <v>651</v>
      </c>
    </row>
    <row r="123">
      <c r="A123" s="67" t="str">
        <f t="shared" si="1"/>
        <v>Thu</v>
      </c>
      <c r="B123" s="69">
        <v>43552.0</v>
      </c>
      <c r="F123" s="4" t="s">
        <v>651</v>
      </c>
      <c r="J123" s="4" t="s">
        <v>651</v>
      </c>
    </row>
    <row r="124">
      <c r="A124" s="67" t="str">
        <f t="shared" si="1"/>
        <v>Fri</v>
      </c>
      <c r="B124" s="69">
        <v>43553.0</v>
      </c>
      <c r="F124" s="4" t="s">
        <v>651</v>
      </c>
      <c r="J124" s="4" t="s">
        <v>651</v>
      </c>
    </row>
    <row r="125">
      <c r="A125" s="67" t="str">
        <f t="shared" si="1"/>
        <v>Sat</v>
      </c>
      <c r="B125" s="69">
        <v>43554.0</v>
      </c>
      <c r="F125" s="4" t="s">
        <v>651</v>
      </c>
      <c r="J125" s="4" t="s">
        <v>651</v>
      </c>
    </row>
    <row r="126">
      <c r="A126" s="67" t="str">
        <f t="shared" si="1"/>
        <v>Sun</v>
      </c>
      <c r="B126" s="69">
        <v>43555.0</v>
      </c>
      <c r="F126" s="4" t="s">
        <v>651</v>
      </c>
      <c r="J126" s="4" t="s">
        <v>651</v>
      </c>
    </row>
    <row r="127">
      <c r="A127" s="67" t="str">
        <f t="shared" si="1"/>
        <v>Mon</v>
      </c>
      <c r="B127" s="69">
        <v>43556.0</v>
      </c>
      <c r="F127" s="4" t="s">
        <v>651</v>
      </c>
      <c r="J127" s="4" t="s">
        <v>651</v>
      </c>
    </row>
    <row r="128">
      <c r="A128" s="67" t="str">
        <f t="shared" si="1"/>
        <v>Tue</v>
      </c>
      <c r="B128" s="69">
        <v>43557.0</v>
      </c>
      <c r="F128" s="4" t="s">
        <v>651</v>
      </c>
      <c r="J128" s="4" t="s">
        <v>651</v>
      </c>
    </row>
    <row r="129">
      <c r="A129" s="67" t="str">
        <f t="shared" si="1"/>
        <v>Wed</v>
      </c>
      <c r="B129" s="69">
        <v>43558.0</v>
      </c>
      <c r="F129" s="4" t="s">
        <v>651</v>
      </c>
      <c r="J129" s="4" t="s">
        <v>651</v>
      </c>
    </row>
    <row r="130">
      <c r="A130" s="67" t="str">
        <f t="shared" si="1"/>
        <v>Thu</v>
      </c>
      <c r="B130" s="69">
        <v>43559.0</v>
      </c>
      <c r="F130" s="4" t="s">
        <v>651</v>
      </c>
      <c r="J130" s="4" t="s">
        <v>651</v>
      </c>
    </row>
    <row r="131">
      <c r="A131" s="67" t="str">
        <f t="shared" si="1"/>
        <v>Fri</v>
      </c>
      <c r="B131" s="69">
        <v>43560.0</v>
      </c>
      <c r="F131" s="4" t="s">
        <v>651</v>
      </c>
      <c r="J131" s="4" t="s">
        <v>651</v>
      </c>
    </row>
    <row r="132">
      <c r="A132" s="67" t="str">
        <f t="shared" si="1"/>
        <v>Sat</v>
      </c>
      <c r="B132" s="69">
        <v>43561.0</v>
      </c>
      <c r="F132" s="4" t="s">
        <v>651</v>
      </c>
      <c r="J132" s="4" t="s">
        <v>651</v>
      </c>
    </row>
    <row r="133">
      <c r="A133" s="67" t="str">
        <f t="shared" si="1"/>
        <v>Sun</v>
      </c>
      <c r="B133" s="69">
        <v>43562.0</v>
      </c>
      <c r="F133" s="4" t="s">
        <v>651</v>
      </c>
      <c r="J133" s="4" t="s">
        <v>651</v>
      </c>
    </row>
    <row r="134">
      <c r="A134" s="67" t="str">
        <f t="shared" si="1"/>
        <v>Mon</v>
      </c>
      <c r="B134" s="69">
        <v>43563.0</v>
      </c>
      <c r="F134" s="4" t="s">
        <v>651</v>
      </c>
      <c r="J134" s="4" t="s">
        <v>651</v>
      </c>
    </row>
    <row r="135">
      <c r="A135" s="67" t="str">
        <f t="shared" si="1"/>
        <v>Tue</v>
      </c>
      <c r="B135" s="69">
        <v>43564.0</v>
      </c>
      <c r="F135" s="4" t="s">
        <v>651</v>
      </c>
      <c r="J135" s="4" t="s">
        <v>651</v>
      </c>
    </row>
    <row r="136">
      <c r="A136" s="67" t="str">
        <f t="shared" si="1"/>
        <v>Wed</v>
      </c>
      <c r="B136" s="69">
        <v>43565.0</v>
      </c>
      <c r="F136" s="4" t="s">
        <v>651</v>
      </c>
      <c r="J136" s="4" t="s">
        <v>651</v>
      </c>
    </row>
    <row r="137">
      <c r="A137" s="67" t="str">
        <f t="shared" si="1"/>
        <v>Thu</v>
      </c>
      <c r="B137" s="69">
        <v>43566.0</v>
      </c>
      <c r="F137" s="4" t="s">
        <v>651</v>
      </c>
      <c r="J137" s="4" t="s">
        <v>651</v>
      </c>
    </row>
    <row r="138">
      <c r="A138" s="67" t="str">
        <f t="shared" si="1"/>
        <v>Fri</v>
      </c>
      <c r="B138" s="69">
        <v>43567.0</v>
      </c>
      <c r="F138" s="4" t="s">
        <v>651</v>
      </c>
      <c r="J138" s="4" t="s">
        <v>651</v>
      </c>
    </row>
    <row r="139">
      <c r="A139" s="67" t="str">
        <f t="shared" si="1"/>
        <v>Sat</v>
      </c>
      <c r="B139" s="69">
        <v>43568.0</v>
      </c>
      <c r="F139" s="4" t="s">
        <v>651</v>
      </c>
      <c r="J139" s="4" t="s">
        <v>651</v>
      </c>
    </row>
    <row r="140">
      <c r="A140" s="67" t="str">
        <f t="shared" si="1"/>
        <v>Sun</v>
      </c>
      <c r="B140" s="69">
        <v>43569.0</v>
      </c>
      <c r="F140" s="4" t="s">
        <v>651</v>
      </c>
      <c r="J140" s="4" t="s">
        <v>651</v>
      </c>
    </row>
    <row r="141">
      <c r="A141" s="67" t="str">
        <f t="shared" si="1"/>
        <v>Mon</v>
      </c>
      <c r="B141" s="69">
        <v>43570.0</v>
      </c>
      <c r="F141" s="4" t="s">
        <v>651</v>
      </c>
      <c r="J141" s="4" t="s">
        <v>651</v>
      </c>
    </row>
    <row r="142">
      <c r="A142" s="67" t="str">
        <f t="shared" si="1"/>
        <v>Tue</v>
      </c>
      <c r="B142" s="69">
        <v>43571.0</v>
      </c>
      <c r="F142" s="4" t="s">
        <v>651</v>
      </c>
      <c r="J142" s="4" t="s">
        <v>651</v>
      </c>
    </row>
    <row r="143">
      <c r="A143" s="67" t="str">
        <f t="shared" si="1"/>
        <v>Wed</v>
      </c>
      <c r="B143" s="69">
        <v>43572.0</v>
      </c>
      <c r="F143" s="4" t="s">
        <v>651</v>
      </c>
      <c r="J143" s="4" t="s">
        <v>651</v>
      </c>
    </row>
    <row r="144">
      <c r="A144" s="67" t="str">
        <f t="shared" si="1"/>
        <v>Thu</v>
      </c>
      <c r="B144" s="69">
        <v>43573.0</v>
      </c>
      <c r="F144" s="4" t="s">
        <v>651</v>
      </c>
      <c r="J144" s="4" t="s">
        <v>651</v>
      </c>
    </row>
    <row r="145">
      <c r="A145" s="67" t="str">
        <f t="shared" si="1"/>
        <v>Fri</v>
      </c>
      <c r="B145" s="69">
        <v>43574.0</v>
      </c>
      <c r="F145" s="4" t="s">
        <v>651</v>
      </c>
      <c r="J145" s="4" t="s">
        <v>651</v>
      </c>
    </row>
    <row r="146">
      <c r="A146" s="67" t="str">
        <f t="shared" si="1"/>
        <v>Sat</v>
      </c>
      <c r="B146" s="69">
        <v>43575.0</v>
      </c>
      <c r="F146" s="4" t="s">
        <v>651</v>
      </c>
      <c r="J146" s="4" t="s">
        <v>651</v>
      </c>
    </row>
    <row r="147">
      <c r="A147" s="67" t="str">
        <f t="shared" si="1"/>
        <v>Sun</v>
      </c>
      <c r="B147" s="69">
        <v>43576.0</v>
      </c>
      <c r="F147" s="4" t="s">
        <v>651</v>
      </c>
      <c r="J147" s="4" t="s">
        <v>651</v>
      </c>
    </row>
    <row r="148">
      <c r="A148" s="67" t="str">
        <f t="shared" si="1"/>
        <v>Mon</v>
      </c>
      <c r="B148" s="69">
        <v>43577.0</v>
      </c>
      <c r="F148" s="4" t="s">
        <v>651</v>
      </c>
      <c r="J148" s="4" t="s">
        <v>651</v>
      </c>
    </row>
    <row r="149">
      <c r="A149" s="67" t="str">
        <f t="shared" si="1"/>
        <v>Tue</v>
      </c>
      <c r="B149" s="69">
        <v>43578.0</v>
      </c>
      <c r="F149" s="4" t="s">
        <v>651</v>
      </c>
      <c r="J149" s="4" t="s">
        <v>651</v>
      </c>
    </row>
    <row r="150">
      <c r="A150" s="67" t="str">
        <f t="shared" si="1"/>
        <v>Wed</v>
      </c>
      <c r="B150" s="69">
        <v>43579.0</v>
      </c>
      <c r="F150" s="4" t="s">
        <v>651</v>
      </c>
      <c r="J150" s="4" t="s">
        <v>651</v>
      </c>
    </row>
    <row r="151">
      <c r="A151" s="67" t="str">
        <f t="shared" si="1"/>
        <v>Thu</v>
      </c>
      <c r="B151" s="69">
        <v>43580.0</v>
      </c>
      <c r="F151" s="4" t="s">
        <v>651</v>
      </c>
      <c r="J151" s="4" t="s">
        <v>651</v>
      </c>
    </row>
    <row r="152">
      <c r="A152" s="67" t="str">
        <f t="shared" si="1"/>
        <v>Fri</v>
      </c>
      <c r="B152" s="69">
        <v>43581.0</v>
      </c>
      <c r="F152" s="4" t="s">
        <v>651</v>
      </c>
      <c r="J152" s="4" t="s">
        <v>651</v>
      </c>
    </row>
    <row r="153">
      <c r="A153" s="67" t="str">
        <f t="shared" si="1"/>
        <v>Sat</v>
      </c>
      <c r="B153" s="69">
        <v>43582.0</v>
      </c>
      <c r="F153" s="4" t="s">
        <v>651</v>
      </c>
      <c r="J153" s="4" t="s">
        <v>651</v>
      </c>
    </row>
    <row r="154">
      <c r="A154" s="67" t="str">
        <f t="shared" si="1"/>
        <v>Sun</v>
      </c>
      <c r="B154" s="69">
        <v>43583.0</v>
      </c>
      <c r="F154" s="4" t="s">
        <v>651</v>
      </c>
      <c r="J154" s="4" t="s">
        <v>651</v>
      </c>
    </row>
    <row r="155">
      <c r="A155" s="67" t="str">
        <f t="shared" si="1"/>
        <v>Mon</v>
      </c>
      <c r="B155" s="69">
        <v>43584.0</v>
      </c>
      <c r="F155" s="4" t="s">
        <v>651</v>
      </c>
      <c r="J155" s="4" t="s">
        <v>651</v>
      </c>
    </row>
    <row r="156">
      <c r="A156" s="67" t="str">
        <f t="shared" si="1"/>
        <v>Tue</v>
      </c>
      <c r="B156" s="69">
        <v>43585.0</v>
      </c>
      <c r="F156" s="4" t="s">
        <v>651</v>
      </c>
      <c r="J156" s="4" t="s">
        <v>651</v>
      </c>
    </row>
    <row r="157">
      <c r="A157" s="67" t="str">
        <f t="shared" si="1"/>
        <v>Wed</v>
      </c>
      <c r="B157" s="69">
        <v>43586.0</v>
      </c>
      <c r="F157" s="4" t="s">
        <v>651</v>
      </c>
      <c r="J157" s="4" t="s">
        <v>651</v>
      </c>
    </row>
    <row r="158">
      <c r="A158" s="67" t="str">
        <f t="shared" si="1"/>
        <v>Thu</v>
      </c>
      <c r="B158" s="69">
        <v>43587.0</v>
      </c>
      <c r="F158" s="4" t="s">
        <v>651</v>
      </c>
      <c r="J158" s="4" t="s">
        <v>651</v>
      </c>
    </row>
    <row r="159">
      <c r="A159" s="67" t="str">
        <f t="shared" si="1"/>
        <v>Fri</v>
      </c>
      <c r="B159" s="69">
        <v>43588.0</v>
      </c>
      <c r="F159" s="4" t="s">
        <v>651</v>
      </c>
      <c r="J159" s="4" t="s">
        <v>651</v>
      </c>
    </row>
    <row r="160">
      <c r="A160" s="67" t="str">
        <f t="shared" si="1"/>
        <v>Sat</v>
      </c>
      <c r="B160" s="69">
        <v>43589.0</v>
      </c>
      <c r="F160" s="4" t="s">
        <v>651</v>
      </c>
      <c r="J160" s="4" t="s">
        <v>651</v>
      </c>
    </row>
    <row r="161">
      <c r="A161" s="67" t="str">
        <f t="shared" si="1"/>
        <v>Sun</v>
      </c>
      <c r="B161" s="69">
        <v>43590.0</v>
      </c>
      <c r="F161" s="4" t="s">
        <v>651</v>
      </c>
      <c r="J161" s="4" t="s">
        <v>651</v>
      </c>
    </row>
    <row r="162">
      <c r="A162" s="67" t="str">
        <f t="shared" si="1"/>
        <v>Mon</v>
      </c>
      <c r="B162" s="69">
        <v>43591.0</v>
      </c>
      <c r="F162" s="4" t="s">
        <v>651</v>
      </c>
      <c r="J162" s="4" t="s">
        <v>651</v>
      </c>
    </row>
    <row r="163">
      <c r="A163" s="67" t="str">
        <f t="shared" si="1"/>
        <v>Tue</v>
      </c>
      <c r="B163" s="69">
        <v>43592.0</v>
      </c>
      <c r="F163" s="4" t="s">
        <v>651</v>
      </c>
      <c r="J163" s="4" t="s">
        <v>651</v>
      </c>
    </row>
    <row r="164">
      <c r="A164" s="67" t="str">
        <f t="shared" si="1"/>
        <v>Wed</v>
      </c>
      <c r="B164" s="69">
        <v>43593.0</v>
      </c>
      <c r="F164" s="4" t="s">
        <v>651</v>
      </c>
      <c r="J164" s="4" t="s">
        <v>651</v>
      </c>
    </row>
    <row r="165">
      <c r="A165" s="67" t="str">
        <f t="shared" si="1"/>
        <v>Thu</v>
      </c>
      <c r="B165" s="69">
        <v>43594.0</v>
      </c>
      <c r="F165" s="4" t="s">
        <v>651</v>
      </c>
      <c r="J165" s="4" t="s">
        <v>651</v>
      </c>
    </row>
    <row r="166">
      <c r="A166" s="67" t="str">
        <f t="shared" si="1"/>
        <v>Fri</v>
      </c>
      <c r="B166" s="69">
        <v>43595.0</v>
      </c>
      <c r="F166" s="4" t="s">
        <v>651</v>
      </c>
      <c r="J166" s="4" t="s">
        <v>651</v>
      </c>
    </row>
    <row r="167">
      <c r="A167" s="67" t="str">
        <f t="shared" si="1"/>
        <v>Sat</v>
      </c>
      <c r="B167" s="69">
        <v>43596.0</v>
      </c>
      <c r="F167" s="4" t="s">
        <v>651</v>
      </c>
      <c r="J167" s="4" t="s">
        <v>651</v>
      </c>
    </row>
    <row r="168">
      <c r="A168" s="67" t="str">
        <f t="shared" si="1"/>
        <v>Sun</v>
      </c>
      <c r="B168" s="69">
        <v>43597.0</v>
      </c>
      <c r="F168" s="4" t="s">
        <v>651</v>
      </c>
      <c r="J168" s="4" t="s">
        <v>651</v>
      </c>
    </row>
    <row r="169">
      <c r="A169" s="67" t="str">
        <f t="shared" si="1"/>
        <v>Mon</v>
      </c>
      <c r="B169" s="69">
        <v>43598.0</v>
      </c>
      <c r="F169" s="4" t="s">
        <v>651</v>
      </c>
      <c r="J169" s="4" t="s">
        <v>651</v>
      </c>
    </row>
    <row r="170">
      <c r="A170" s="67" t="str">
        <f t="shared" si="1"/>
        <v>Tue</v>
      </c>
      <c r="B170" s="69">
        <v>43599.0</v>
      </c>
      <c r="F170" s="4" t="s">
        <v>651</v>
      </c>
      <c r="J170" s="4" t="s">
        <v>651</v>
      </c>
    </row>
    <row r="171">
      <c r="A171" s="67" t="str">
        <f t="shared" si="1"/>
        <v>Wed</v>
      </c>
      <c r="B171" s="69">
        <v>43600.0</v>
      </c>
      <c r="F171" s="4" t="s">
        <v>651</v>
      </c>
      <c r="J171" s="4" t="s">
        <v>651</v>
      </c>
    </row>
    <row r="172">
      <c r="A172" s="67" t="str">
        <f t="shared" si="1"/>
        <v>Thu</v>
      </c>
      <c r="B172" s="69">
        <v>43601.0</v>
      </c>
      <c r="F172" s="4" t="s">
        <v>651</v>
      </c>
      <c r="J172" s="4" t="s">
        <v>651</v>
      </c>
    </row>
    <row r="173">
      <c r="A173" s="67" t="str">
        <f t="shared" si="1"/>
        <v>Fri</v>
      </c>
      <c r="B173" s="69">
        <v>43602.0</v>
      </c>
      <c r="F173" s="4" t="s">
        <v>651</v>
      </c>
      <c r="J173" s="4" t="s">
        <v>651</v>
      </c>
    </row>
    <row r="174">
      <c r="A174" s="67" t="str">
        <f t="shared" si="1"/>
        <v>Sat</v>
      </c>
      <c r="B174" s="69">
        <v>43603.0</v>
      </c>
      <c r="F174" s="4" t="s">
        <v>651</v>
      </c>
      <c r="J174" s="4" t="s">
        <v>651</v>
      </c>
    </row>
    <row r="175">
      <c r="A175" s="67" t="str">
        <f t="shared" si="1"/>
        <v>Sun</v>
      </c>
      <c r="B175" s="69">
        <v>43604.0</v>
      </c>
      <c r="F175" s="4" t="s">
        <v>651</v>
      </c>
      <c r="J175" s="4" t="s">
        <v>651</v>
      </c>
    </row>
    <row r="176">
      <c r="A176" s="67" t="str">
        <f t="shared" si="1"/>
        <v>Mon</v>
      </c>
      <c r="B176" s="69">
        <v>43605.0</v>
      </c>
      <c r="F176" s="4" t="s">
        <v>651</v>
      </c>
      <c r="J176" s="4" t="s">
        <v>651</v>
      </c>
    </row>
    <row r="177">
      <c r="A177" s="67" t="str">
        <f t="shared" si="1"/>
        <v>Tue</v>
      </c>
      <c r="B177" s="69">
        <v>43606.0</v>
      </c>
      <c r="F177" s="4" t="s">
        <v>651</v>
      </c>
      <c r="J177" s="4" t="s">
        <v>651</v>
      </c>
    </row>
    <row r="178">
      <c r="A178" s="67" t="str">
        <f t="shared" si="1"/>
        <v>Wed</v>
      </c>
      <c r="B178" s="69">
        <v>43607.0</v>
      </c>
      <c r="F178" s="4" t="s">
        <v>651</v>
      </c>
      <c r="J178" s="4" t="s">
        <v>651</v>
      </c>
    </row>
    <row r="179">
      <c r="A179" s="67" t="str">
        <f t="shared" si="1"/>
        <v>Thu</v>
      </c>
      <c r="B179" s="69">
        <v>43608.0</v>
      </c>
      <c r="F179" s="4" t="s">
        <v>651</v>
      </c>
      <c r="J179" s="4" t="s">
        <v>651</v>
      </c>
    </row>
    <row r="180">
      <c r="A180" s="67" t="str">
        <f t="shared" si="1"/>
        <v>Fri</v>
      </c>
      <c r="B180" s="69">
        <v>43609.0</v>
      </c>
      <c r="F180" s="4" t="s">
        <v>651</v>
      </c>
      <c r="J180" s="4" t="s">
        <v>651</v>
      </c>
    </row>
    <row r="181">
      <c r="A181" s="67" t="str">
        <f t="shared" si="1"/>
        <v>Sat</v>
      </c>
      <c r="B181" s="69">
        <v>43610.0</v>
      </c>
      <c r="F181" s="4" t="s">
        <v>651</v>
      </c>
      <c r="J181" s="4" t="s">
        <v>651</v>
      </c>
    </row>
    <row r="182">
      <c r="A182" s="67" t="str">
        <f t="shared" si="1"/>
        <v>Sun</v>
      </c>
      <c r="B182" s="69">
        <v>43611.0</v>
      </c>
      <c r="F182" s="4" t="s">
        <v>651</v>
      </c>
      <c r="J182" s="4" t="s">
        <v>651</v>
      </c>
    </row>
    <row r="183">
      <c r="A183" s="67" t="str">
        <f t="shared" si="1"/>
        <v>Mon</v>
      </c>
      <c r="B183" s="69">
        <v>43612.0</v>
      </c>
      <c r="F183" s="4" t="s">
        <v>651</v>
      </c>
      <c r="J183" s="4" t="s">
        <v>651</v>
      </c>
    </row>
    <row r="184">
      <c r="A184" s="67" t="str">
        <f t="shared" si="1"/>
        <v>Tue</v>
      </c>
      <c r="B184" s="69">
        <v>43613.0</v>
      </c>
      <c r="F184" s="4" t="s">
        <v>651</v>
      </c>
      <c r="J184" s="4" t="s">
        <v>651</v>
      </c>
    </row>
    <row r="185">
      <c r="A185" s="67" t="str">
        <f t="shared" si="1"/>
        <v>Wed</v>
      </c>
      <c r="B185" s="69">
        <v>43614.0</v>
      </c>
      <c r="F185" s="4" t="s">
        <v>651</v>
      </c>
      <c r="J185" s="4" t="s">
        <v>651</v>
      </c>
    </row>
    <row r="186">
      <c r="A186" s="67" t="str">
        <f t="shared" si="1"/>
        <v>Thu</v>
      </c>
      <c r="B186" s="69">
        <v>43615.0</v>
      </c>
      <c r="F186" s="4" t="s">
        <v>651</v>
      </c>
      <c r="J186" s="4" t="s">
        <v>651</v>
      </c>
    </row>
    <row r="187">
      <c r="A187" s="67" t="str">
        <f t="shared" si="1"/>
        <v>Fri</v>
      </c>
      <c r="B187" s="69">
        <v>43616.0</v>
      </c>
      <c r="F187" s="4" t="s">
        <v>651</v>
      </c>
      <c r="J187" s="4" t="s">
        <v>651</v>
      </c>
    </row>
    <row r="188">
      <c r="A188" s="67" t="str">
        <f t="shared" si="1"/>
        <v>Sat</v>
      </c>
      <c r="B188" s="69">
        <v>43617.0</v>
      </c>
      <c r="F188" s="4" t="s">
        <v>651</v>
      </c>
      <c r="J188" s="4" t="s">
        <v>651</v>
      </c>
    </row>
    <row r="189">
      <c r="A189" s="67" t="str">
        <f t="shared" si="1"/>
        <v>Sun</v>
      </c>
      <c r="B189" s="69">
        <v>43618.0</v>
      </c>
      <c r="F189" s="4" t="s">
        <v>651</v>
      </c>
      <c r="J189" s="4" t="s">
        <v>651</v>
      </c>
    </row>
    <row r="190">
      <c r="A190" s="67" t="str">
        <f t="shared" si="1"/>
        <v>Mon</v>
      </c>
      <c r="B190" s="69">
        <v>43619.0</v>
      </c>
      <c r="F190" s="4" t="s">
        <v>651</v>
      </c>
      <c r="J190" s="4" t="s">
        <v>651</v>
      </c>
    </row>
    <row r="191">
      <c r="A191" s="67" t="str">
        <f t="shared" si="1"/>
        <v>Tue</v>
      </c>
      <c r="B191" s="69">
        <v>43620.0</v>
      </c>
      <c r="F191" s="4" t="s">
        <v>651</v>
      </c>
      <c r="J191" s="4" t="s">
        <v>651</v>
      </c>
    </row>
    <row r="192">
      <c r="A192" s="67" t="str">
        <f t="shared" si="1"/>
        <v>Wed</v>
      </c>
      <c r="B192" s="69">
        <v>43621.0</v>
      </c>
      <c r="F192" s="4" t="s">
        <v>651</v>
      </c>
      <c r="J192" s="4" t="s">
        <v>651</v>
      </c>
    </row>
    <row r="193">
      <c r="A193" s="67" t="str">
        <f t="shared" si="1"/>
        <v>Thu</v>
      </c>
      <c r="B193" s="69">
        <v>43622.0</v>
      </c>
      <c r="F193" s="4" t="s">
        <v>651</v>
      </c>
      <c r="J193" s="4" t="s">
        <v>651</v>
      </c>
    </row>
    <row r="194">
      <c r="A194" s="67" t="str">
        <f t="shared" si="1"/>
        <v>Fri</v>
      </c>
      <c r="B194" s="69">
        <v>43623.0</v>
      </c>
      <c r="F194" s="4" t="s">
        <v>651</v>
      </c>
      <c r="J194" s="4" t="s">
        <v>651</v>
      </c>
    </row>
    <row r="195">
      <c r="A195" s="67" t="str">
        <f t="shared" si="1"/>
        <v>Sat</v>
      </c>
      <c r="B195" s="69">
        <v>43624.0</v>
      </c>
      <c r="F195" s="4" t="s">
        <v>651</v>
      </c>
      <c r="J195" s="4" t="s">
        <v>651</v>
      </c>
    </row>
    <row r="196">
      <c r="A196" s="67" t="str">
        <f t="shared" si="1"/>
        <v>Sun</v>
      </c>
      <c r="B196" s="69">
        <v>43625.0</v>
      </c>
      <c r="F196" s="4" t="s">
        <v>651</v>
      </c>
      <c r="J196" s="4" t="s">
        <v>651</v>
      </c>
    </row>
    <row r="197">
      <c r="A197" s="67" t="str">
        <f t="shared" si="1"/>
        <v>Mon</v>
      </c>
      <c r="B197" s="69">
        <v>43626.0</v>
      </c>
      <c r="F197" s="4" t="s">
        <v>651</v>
      </c>
      <c r="J197" s="4" t="s">
        <v>651</v>
      </c>
    </row>
    <row r="198">
      <c r="A198" s="67" t="str">
        <f t="shared" si="1"/>
        <v>Tue</v>
      </c>
      <c r="B198" s="69">
        <v>43627.0</v>
      </c>
      <c r="F198" s="4" t="s">
        <v>651</v>
      </c>
      <c r="J198" s="4" t="s">
        <v>651</v>
      </c>
    </row>
    <row r="199">
      <c r="A199" s="67" t="str">
        <f t="shared" si="1"/>
        <v>Wed</v>
      </c>
      <c r="B199" s="69">
        <v>43628.0</v>
      </c>
      <c r="F199" s="4" t="s">
        <v>651</v>
      </c>
      <c r="J199" s="4" t="s">
        <v>651</v>
      </c>
    </row>
    <row r="200">
      <c r="A200" s="67" t="str">
        <f t="shared" si="1"/>
        <v>Thu</v>
      </c>
      <c r="B200" s="69">
        <v>43629.0</v>
      </c>
      <c r="F200" s="4" t="s">
        <v>651</v>
      </c>
      <c r="J200" s="4" t="s">
        <v>651</v>
      </c>
    </row>
    <row r="201">
      <c r="A201" s="67" t="str">
        <f t="shared" si="1"/>
        <v>Fri</v>
      </c>
      <c r="B201" s="69">
        <v>43630.0</v>
      </c>
      <c r="F201" s="4" t="s">
        <v>651</v>
      </c>
      <c r="J201" s="4" t="s">
        <v>651</v>
      </c>
    </row>
    <row r="202">
      <c r="A202" s="67" t="str">
        <f t="shared" si="1"/>
        <v>Sat</v>
      </c>
      <c r="B202" s="69">
        <v>43631.0</v>
      </c>
      <c r="F202" s="4" t="s">
        <v>651</v>
      </c>
      <c r="J202" s="4" t="s">
        <v>651</v>
      </c>
    </row>
    <row r="203">
      <c r="A203" s="67" t="str">
        <f t="shared" si="1"/>
        <v>Sun</v>
      </c>
      <c r="B203" s="69">
        <v>43632.0</v>
      </c>
      <c r="F203" s="4" t="s">
        <v>651</v>
      </c>
      <c r="J203" s="4" t="s">
        <v>651</v>
      </c>
    </row>
    <row r="204">
      <c r="A204" s="67" t="str">
        <f t="shared" si="1"/>
        <v>Mon</v>
      </c>
      <c r="B204" s="69">
        <v>43633.0</v>
      </c>
      <c r="F204" s="4" t="s">
        <v>651</v>
      </c>
      <c r="J204" s="4" t="s">
        <v>651</v>
      </c>
    </row>
    <row r="205">
      <c r="A205" s="67" t="str">
        <f t="shared" si="1"/>
        <v>Tue</v>
      </c>
      <c r="B205" s="69">
        <v>43634.0</v>
      </c>
      <c r="F205" s="4" t="s">
        <v>651</v>
      </c>
      <c r="J205" s="4" t="s">
        <v>651</v>
      </c>
    </row>
    <row r="206">
      <c r="A206" s="67" t="str">
        <f t="shared" si="1"/>
        <v>Wed</v>
      </c>
      <c r="B206" s="69">
        <v>43635.0</v>
      </c>
      <c r="F206" s="4" t="s">
        <v>651</v>
      </c>
      <c r="J206" s="4" t="s">
        <v>651</v>
      </c>
    </row>
    <row r="207">
      <c r="A207" s="67" t="str">
        <f t="shared" si="1"/>
        <v>Thu</v>
      </c>
      <c r="B207" s="69">
        <v>43636.0</v>
      </c>
      <c r="F207" s="4" t="s">
        <v>651</v>
      </c>
      <c r="J207" s="4" t="s">
        <v>651</v>
      </c>
    </row>
    <row r="208">
      <c r="A208" s="67" t="str">
        <f t="shared" si="1"/>
        <v>Fri</v>
      </c>
      <c r="B208" s="69">
        <v>43637.0</v>
      </c>
      <c r="F208" s="4" t="s">
        <v>651</v>
      </c>
      <c r="J208" s="4" t="s">
        <v>651</v>
      </c>
    </row>
    <row r="209">
      <c r="A209" s="67" t="str">
        <f t="shared" si="1"/>
        <v>Sat</v>
      </c>
      <c r="B209" s="69">
        <v>43638.0</v>
      </c>
      <c r="F209" s="4" t="s">
        <v>651</v>
      </c>
      <c r="J209" s="4" t="s">
        <v>651</v>
      </c>
    </row>
    <row r="210">
      <c r="A210" s="67" t="str">
        <f t="shared" si="1"/>
        <v>Sun</v>
      </c>
      <c r="B210" s="69">
        <v>43639.0</v>
      </c>
      <c r="F210" s="4" t="s">
        <v>651</v>
      </c>
      <c r="J210" s="4" t="s">
        <v>651</v>
      </c>
    </row>
    <row r="211">
      <c r="A211" s="67" t="str">
        <f t="shared" si="1"/>
        <v>Mon</v>
      </c>
      <c r="B211" s="69">
        <v>43640.0</v>
      </c>
      <c r="F211" s="4" t="s">
        <v>651</v>
      </c>
      <c r="J211" s="4" t="s">
        <v>651</v>
      </c>
    </row>
    <row r="212">
      <c r="A212" s="67" t="str">
        <f t="shared" si="1"/>
        <v>Tue</v>
      </c>
      <c r="B212" s="69">
        <v>43641.0</v>
      </c>
      <c r="F212" s="4" t="s">
        <v>651</v>
      </c>
      <c r="J212" s="4" t="s">
        <v>651</v>
      </c>
    </row>
    <row r="213">
      <c r="A213" s="67" t="str">
        <f t="shared" si="1"/>
        <v>Wed</v>
      </c>
      <c r="B213" s="69">
        <v>43642.0</v>
      </c>
      <c r="F213" s="4" t="s">
        <v>651</v>
      </c>
      <c r="J213" s="4" t="s">
        <v>651</v>
      </c>
    </row>
    <row r="214">
      <c r="A214" s="67" t="str">
        <f t="shared" si="1"/>
        <v>Thu</v>
      </c>
      <c r="B214" s="69">
        <v>43643.0</v>
      </c>
      <c r="F214" s="4" t="s">
        <v>651</v>
      </c>
      <c r="J214" s="4" t="s">
        <v>651</v>
      </c>
    </row>
    <row r="215">
      <c r="A215" s="67" t="str">
        <f t="shared" si="1"/>
        <v>Fri</v>
      </c>
      <c r="B215" s="69">
        <v>43644.0</v>
      </c>
      <c r="F215" s="4" t="s">
        <v>651</v>
      </c>
      <c r="J215" s="4" t="s">
        <v>651</v>
      </c>
    </row>
    <row r="216">
      <c r="A216" s="67" t="str">
        <f t="shared" si="1"/>
        <v>Sat</v>
      </c>
      <c r="B216" s="69">
        <v>43645.0</v>
      </c>
      <c r="F216" s="4" t="s">
        <v>651</v>
      </c>
      <c r="J216" s="4" t="s">
        <v>651</v>
      </c>
    </row>
    <row r="217">
      <c r="A217" s="67" t="str">
        <f t="shared" si="1"/>
        <v>Sun</v>
      </c>
      <c r="B217" s="69">
        <v>43646.0</v>
      </c>
      <c r="F217" s="4" t="s">
        <v>651</v>
      </c>
      <c r="J217" s="4" t="s">
        <v>651</v>
      </c>
    </row>
    <row r="218">
      <c r="A218" s="67" t="str">
        <f t="shared" si="1"/>
        <v>Mon</v>
      </c>
      <c r="B218" s="69">
        <v>43647.0</v>
      </c>
      <c r="F218" s="4" t="s">
        <v>651</v>
      </c>
      <c r="J218" s="4" t="s">
        <v>651</v>
      </c>
    </row>
    <row r="219">
      <c r="A219" s="67" t="str">
        <f t="shared" si="1"/>
        <v>Tue</v>
      </c>
      <c r="B219" s="69">
        <v>43648.0</v>
      </c>
      <c r="F219" s="4" t="s">
        <v>651</v>
      </c>
      <c r="J219" s="4" t="s">
        <v>651</v>
      </c>
    </row>
    <row r="220">
      <c r="A220" s="67" t="str">
        <f t="shared" si="1"/>
        <v>Wed</v>
      </c>
      <c r="B220" s="69">
        <v>43649.0</v>
      </c>
      <c r="F220" s="4" t="s">
        <v>651</v>
      </c>
      <c r="J220" s="4" t="s">
        <v>651</v>
      </c>
    </row>
    <row r="221">
      <c r="A221" s="67" t="str">
        <f t="shared" si="1"/>
        <v>Thu</v>
      </c>
      <c r="B221" s="69">
        <v>43650.0</v>
      </c>
      <c r="F221" s="4" t="s">
        <v>651</v>
      </c>
      <c r="J221" s="4" t="s">
        <v>651</v>
      </c>
    </row>
    <row r="222">
      <c r="A222" s="67" t="str">
        <f t="shared" si="1"/>
        <v>Fri</v>
      </c>
      <c r="B222" s="69">
        <v>43651.0</v>
      </c>
      <c r="F222" s="4" t="s">
        <v>651</v>
      </c>
      <c r="J222" s="4" t="s">
        <v>651</v>
      </c>
    </row>
    <row r="223">
      <c r="A223" s="67" t="str">
        <f t="shared" si="1"/>
        <v>Sat</v>
      </c>
      <c r="B223" s="69">
        <v>43652.0</v>
      </c>
      <c r="F223" s="4" t="s">
        <v>651</v>
      </c>
      <c r="J223" s="4" t="s">
        <v>651</v>
      </c>
    </row>
    <row r="224">
      <c r="A224" s="67" t="str">
        <f t="shared" si="1"/>
        <v>Sun</v>
      </c>
      <c r="B224" s="69">
        <v>43653.0</v>
      </c>
      <c r="F224" s="4" t="s">
        <v>651</v>
      </c>
      <c r="J224" s="4" t="s">
        <v>651</v>
      </c>
    </row>
    <row r="225">
      <c r="A225" s="67" t="str">
        <f t="shared" si="1"/>
        <v>Mon</v>
      </c>
      <c r="B225" s="69">
        <v>43654.0</v>
      </c>
      <c r="F225" s="4" t="s">
        <v>651</v>
      </c>
      <c r="J225" s="4" t="s">
        <v>651</v>
      </c>
    </row>
    <row r="226">
      <c r="A226" s="67" t="str">
        <f t="shared" si="1"/>
        <v>Tue</v>
      </c>
      <c r="B226" s="69">
        <v>43655.0</v>
      </c>
      <c r="F226" s="4" t="s">
        <v>651</v>
      </c>
      <c r="J226" s="4" t="s">
        <v>651</v>
      </c>
    </row>
    <row r="227">
      <c r="A227" s="67" t="str">
        <f t="shared" si="1"/>
        <v>Wed</v>
      </c>
      <c r="B227" s="69">
        <v>43656.0</v>
      </c>
      <c r="F227" s="4" t="s">
        <v>651</v>
      </c>
      <c r="J227" s="4" t="s">
        <v>651</v>
      </c>
    </row>
    <row r="228">
      <c r="A228" s="67" t="str">
        <f t="shared" si="1"/>
        <v>Thu</v>
      </c>
      <c r="B228" s="69">
        <v>43657.0</v>
      </c>
      <c r="F228" s="4" t="s">
        <v>651</v>
      </c>
      <c r="J228" s="4" t="s">
        <v>651</v>
      </c>
    </row>
    <row r="229">
      <c r="A229" s="67" t="str">
        <f t="shared" si="1"/>
        <v>Fri</v>
      </c>
      <c r="B229" s="69">
        <v>43658.0</v>
      </c>
      <c r="F229" s="4" t="s">
        <v>651</v>
      </c>
      <c r="J229" s="4" t="s">
        <v>651</v>
      </c>
    </row>
    <row r="230">
      <c r="A230" s="67" t="str">
        <f t="shared" si="1"/>
        <v>Sat</v>
      </c>
      <c r="B230" s="69">
        <v>43659.0</v>
      </c>
      <c r="F230" s="4" t="s">
        <v>651</v>
      </c>
      <c r="J230" s="4" t="s">
        <v>651</v>
      </c>
    </row>
    <row r="231">
      <c r="A231" s="67" t="str">
        <f t="shared" si="1"/>
        <v>Sun</v>
      </c>
      <c r="B231" s="69">
        <v>43660.0</v>
      </c>
      <c r="F231" s="4" t="s">
        <v>651</v>
      </c>
      <c r="J231" s="4" t="s">
        <v>651</v>
      </c>
    </row>
    <row r="232">
      <c r="A232" s="67" t="str">
        <f t="shared" si="1"/>
        <v>Mon</v>
      </c>
      <c r="B232" s="69">
        <v>43661.0</v>
      </c>
      <c r="F232" s="4" t="s">
        <v>651</v>
      </c>
      <c r="J232" s="4" t="s">
        <v>651</v>
      </c>
    </row>
    <row r="233">
      <c r="A233" s="67" t="str">
        <f t="shared" si="1"/>
        <v>Tue</v>
      </c>
      <c r="B233" s="69">
        <v>43662.0</v>
      </c>
      <c r="F233" s="4" t="s">
        <v>651</v>
      </c>
      <c r="J233" s="4" t="s">
        <v>651</v>
      </c>
    </row>
    <row r="234">
      <c r="A234" s="67" t="str">
        <f t="shared" si="1"/>
        <v>Wed</v>
      </c>
      <c r="B234" s="69">
        <v>43663.0</v>
      </c>
      <c r="F234" s="4" t="s">
        <v>651</v>
      </c>
      <c r="J234" s="4" t="s">
        <v>651</v>
      </c>
    </row>
    <row r="235">
      <c r="A235" s="67" t="str">
        <f t="shared" si="1"/>
        <v>Thu</v>
      </c>
      <c r="B235" s="69">
        <v>43664.0</v>
      </c>
      <c r="F235" s="4" t="s">
        <v>651</v>
      </c>
      <c r="J235" s="4" t="s">
        <v>651</v>
      </c>
    </row>
    <row r="236">
      <c r="A236" s="67" t="str">
        <f t="shared" si="1"/>
        <v>Fri</v>
      </c>
      <c r="B236" s="69">
        <v>43665.0</v>
      </c>
      <c r="F236" s="4" t="s">
        <v>651</v>
      </c>
      <c r="J236" s="4" t="s">
        <v>651</v>
      </c>
    </row>
    <row r="237">
      <c r="A237" s="67" t="str">
        <f t="shared" si="1"/>
        <v>Sat</v>
      </c>
      <c r="B237" s="69">
        <v>43666.0</v>
      </c>
      <c r="F237" s="4" t="s">
        <v>651</v>
      </c>
      <c r="J237" s="4" t="s">
        <v>651</v>
      </c>
    </row>
    <row r="238">
      <c r="A238" s="67" t="str">
        <f t="shared" si="1"/>
        <v>Sun</v>
      </c>
      <c r="B238" s="69">
        <v>43667.0</v>
      </c>
      <c r="F238" s="4" t="s">
        <v>651</v>
      </c>
      <c r="J238" s="4" t="s">
        <v>651</v>
      </c>
    </row>
    <row r="239">
      <c r="A239" s="67" t="str">
        <f t="shared" si="1"/>
        <v>Mon</v>
      </c>
      <c r="B239" s="69">
        <v>43668.0</v>
      </c>
      <c r="F239" s="4" t="s">
        <v>651</v>
      </c>
      <c r="J239" s="4" t="s">
        <v>651</v>
      </c>
    </row>
    <row r="240">
      <c r="A240" s="67" t="str">
        <f t="shared" si="1"/>
        <v>Tue</v>
      </c>
      <c r="B240" s="69">
        <v>43669.0</v>
      </c>
      <c r="F240" s="4" t="s">
        <v>651</v>
      </c>
      <c r="J240" s="4" t="s">
        <v>651</v>
      </c>
    </row>
    <row r="241">
      <c r="A241" s="67" t="str">
        <f t="shared" si="1"/>
        <v>Wed</v>
      </c>
      <c r="B241" s="69">
        <v>43670.0</v>
      </c>
      <c r="F241" s="4" t="s">
        <v>651</v>
      </c>
      <c r="J241" s="4" t="s">
        <v>651</v>
      </c>
    </row>
    <row r="242">
      <c r="A242" s="67" t="str">
        <f t="shared" si="1"/>
        <v>Thu</v>
      </c>
      <c r="B242" s="69">
        <v>43671.0</v>
      </c>
      <c r="F242" s="4" t="s">
        <v>651</v>
      </c>
      <c r="J242" s="4" t="s">
        <v>651</v>
      </c>
    </row>
    <row r="243">
      <c r="A243" s="67" t="str">
        <f t="shared" si="1"/>
        <v>Fri</v>
      </c>
      <c r="B243" s="69">
        <v>43672.0</v>
      </c>
      <c r="F243" s="4" t="s">
        <v>651</v>
      </c>
      <c r="J243" s="4" t="s">
        <v>651</v>
      </c>
    </row>
    <row r="244">
      <c r="A244" s="67" t="str">
        <f t="shared" si="1"/>
        <v>Sat</v>
      </c>
      <c r="B244" s="69">
        <v>43673.0</v>
      </c>
      <c r="F244" s="4" t="s">
        <v>651</v>
      </c>
      <c r="J244" s="4" t="s">
        <v>651</v>
      </c>
    </row>
    <row r="245">
      <c r="A245" s="67" t="str">
        <f t="shared" si="1"/>
        <v>Sun</v>
      </c>
      <c r="B245" s="69">
        <v>43674.0</v>
      </c>
      <c r="F245" s="4" t="s">
        <v>651</v>
      </c>
      <c r="J245" s="4" t="s">
        <v>651</v>
      </c>
    </row>
    <row r="246">
      <c r="A246" s="67" t="str">
        <f t="shared" si="1"/>
        <v>Mon</v>
      </c>
      <c r="B246" s="69">
        <v>43675.0</v>
      </c>
      <c r="F246" s="4" t="s">
        <v>651</v>
      </c>
      <c r="J246" s="4" t="s">
        <v>651</v>
      </c>
    </row>
    <row r="247">
      <c r="A247" s="67" t="str">
        <f t="shared" si="1"/>
        <v>Tue</v>
      </c>
      <c r="B247" s="69">
        <v>43676.0</v>
      </c>
      <c r="F247" s="4" t="s">
        <v>651</v>
      </c>
      <c r="J247" s="4" t="s">
        <v>651</v>
      </c>
    </row>
    <row r="248">
      <c r="A248" s="67" t="str">
        <f t="shared" si="1"/>
        <v>Wed</v>
      </c>
      <c r="B248" s="69">
        <v>43677.0</v>
      </c>
      <c r="F248" s="4" t="s">
        <v>651</v>
      </c>
      <c r="J248" s="4" t="s">
        <v>651</v>
      </c>
    </row>
    <row r="249">
      <c r="A249" s="67" t="str">
        <f t="shared" si="1"/>
        <v>Thu</v>
      </c>
      <c r="B249" s="69">
        <v>43678.0</v>
      </c>
      <c r="F249" s="4" t="s">
        <v>651</v>
      </c>
      <c r="J249" s="4" t="s">
        <v>651</v>
      </c>
    </row>
    <row r="250">
      <c r="A250" s="67" t="str">
        <f t="shared" si="1"/>
        <v>Fri</v>
      </c>
      <c r="B250" s="69">
        <v>43679.0</v>
      </c>
      <c r="F250" s="4" t="s">
        <v>651</v>
      </c>
      <c r="J250" s="4" t="s">
        <v>651</v>
      </c>
    </row>
    <row r="251">
      <c r="A251" s="67" t="str">
        <f t="shared" si="1"/>
        <v>Sat</v>
      </c>
      <c r="B251" s="69">
        <v>43680.0</v>
      </c>
      <c r="F251" s="4" t="s">
        <v>651</v>
      </c>
      <c r="J251" s="4" t="s">
        <v>651</v>
      </c>
    </row>
    <row r="252">
      <c r="A252" s="67" t="str">
        <f t="shared" si="1"/>
        <v>Sun</v>
      </c>
      <c r="B252" s="69">
        <v>43681.0</v>
      </c>
      <c r="F252" s="4" t="s">
        <v>651</v>
      </c>
      <c r="J252" s="4" t="s">
        <v>651</v>
      </c>
    </row>
    <row r="253">
      <c r="A253" s="67" t="str">
        <f t="shared" si="1"/>
        <v>Mon</v>
      </c>
      <c r="B253" s="69">
        <v>43682.0</v>
      </c>
      <c r="F253" s="4" t="s">
        <v>651</v>
      </c>
      <c r="J253" s="4" t="s">
        <v>651</v>
      </c>
    </row>
    <row r="254">
      <c r="A254" s="67" t="str">
        <f t="shared" si="1"/>
        <v>Tue</v>
      </c>
      <c r="B254" s="69">
        <v>43683.0</v>
      </c>
      <c r="F254" s="4" t="s">
        <v>651</v>
      </c>
      <c r="J254" s="4" t="s">
        <v>651</v>
      </c>
    </row>
    <row r="255">
      <c r="A255" s="67" t="str">
        <f t="shared" si="1"/>
        <v>Wed</v>
      </c>
      <c r="B255" s="69">
        <v>43684.0</v>
      </c>
      <c r="F255" s="4" t="s">
        <v>651</v>
      </c>
      <c r="J255" s="4" t="s">
        <v>651</v>
      </c>
    </row>
    <row r="256">
      <c r="A256" s="67" t="str">
        <f t="shared" si="1"/>
        <v>Thu</v>
      </c>
      <c r="B256" s="69">
        <v>43685.0</v>
      </c>
      <c r="F256" s="4" t="s">
        <v>651</v>
      </c>
      <c r="J256" s="4" t="s">
        <v>651</v>
      </c>
    </row>
    <row r="257">
      <c r="A257" s="67" t="str">
        <f t="shared" si="1"/>
        <v>Fri</v>
      </c>
      <c r="B257" s="69">
        <v>43686.0</v>
      </c>
      <c r="F257" s="4" t="s">
        <v>651</v>
      </c>
      <c r="J257" s="4" t="s">
        <v>651</v>
      </c>
    </row>
    <row r="258">
      <c r="A258" s="67" t="str">
        <f t="shared" si="1"/>
        <v>Sat</v>
      </c>
      <c r="B258" s="69">
        <v>43687.0</v>
      </c>
      <c r="F258" s="4" t="s">
        <v>651</v>
      </c>
      <c r="J258" s="4" t="s">
        <v>651</v>
      </c>
    </row>
    <row r="259">
      <c r="A259" s="67" t="str">
        <f t="shared" si="1"/>
        <v>Sun</v>
      </c>
      <c r="B259" s="69">
        <v>43688.0</v>
      </c>
      <c r="F259" s="4" t="s">
        <v>651</v>
      </c>
      <c r="J259" s="4" t="s">
        <v>651</v>
      </c>
    </row>
    <row r="260">
      <c r="A260" s="67" t="str">
        <f t="shared" si="1"/>
        <v>Mon</v>
      </c>
      <c r="B260" s="69">
        <v>43689.0</v>
      </c>
      <c r="F260" s="4" t="s">
        <v>651</v>
      </c>
      <c r="J260" s="4" t="s">
        <v>651</v>
      </c>
    </row>
    <row r="261">
      <c r="A261" s="67" t="str">
        <f t="shared" si="1"/>
        <v>Tue</v>
      </c>
      <c r="B261" s="69">
        <v>43690.0</v>
      </c>
      <c r="F261" s="4" t="s">
        <v>651</v>
      </c>
      <c r="J261" s="4" t="s">
        <v>651</v>
      </c>
    </row>
    <row r="262">
      <c r="A262" s="67" t="str">
        <f t="shared" si="1"/>
        <v>Wed</v>
      </c>
      <c r="B262" s="69">
        <v>43691.0</v>
      </c>
      <c r="F262" s="4" t="s">
        <v>651</v>
      </c>
      <c r="J262" s="4" t="s">
        <v>651</v>
      </c>
    </row>
    <row r="263">
      <c r="A263" s="67" t="str">
        <f t="shared" si="1"/>
        <v>Thu</v>
      </c>
      <c r="B263" s="69">
        <v>43692.0</v>
      </c>
      <c r="F263" s="4" t="s">
        <v>651</v>
      </c>
      <c r="J263" s="4" t="s">
        <v>651</v>
      </c>
    </row>
    <row r="264">
      <c r="A264" s="67" t="str">
        <f t="shared" si="1"/>
        <v>Fri</v>
      </c>
      <c r="B264" s="69">
        <v>43693.0</v>
      </c>
      <c r="F264" s="4" t="s">
        <v>651</v>
      </c>
      <c r="J264" s="4" t="s">
        <v>651</v>
      </c>
    </row>
    <row r="265">
      <c r="A265" s="67" t="str">
        <f t="shared" si="1"/>
        <v>Sat</v>
      </c>
      <c r="B265" s="69">
        <v>43694.0</v>
      </c>
      <c r="F265" s="4" t="s">
        <v>651</v>
      </c>
      <c r="J265" s="4" t="s">
        <v>651</v>
      </c>
    </row>
    <row r="266">
      <c r="A266" s="67" t="str">
        <f t="shared" si="1"/>
        <v>Sun</v>
      </c>
      <c r="B266" s="69">
        <v>43695.0</v>
      </c>
      <c r="F266" s="4" t="s">
        <v>651</v>
      </c>
      <c r="J266" s="4" t="s">
        <v>651</v>
      </c>
    </row>
    <row r="267">
      <c r="A267" s="67" t="str">
        <f t="shared" si="1"/>
        <v>Mon</v>
      </c>
      <c r="B267" s="69">
        <v>43696.0</v>
      </c>
      <c r="F267" s="4" t="s">
        <v>651</v>
      </c>
      <c r="J267" s="4" t="s">
        <v>651</v>
      </c>
    </row>
    <row r="268">
      <c r="A268" s="67" t="str">
        <f t="shared" si="1"/>
        <v>Tue</v>
      </c>
      <c r="B268" s="69">
        <v>43697.0</v>
      </c>
      <c r="F268" s="4" t="s">
        <v>651</v>
      </c>
      <c r="J268" s="4" t="s">
        <v>651</v>
      </c>
    </row>
    <row r="269">
      <c r="A269" s="67" t="str">
        <f t="shared" si="1"/>
        <v>Wed</v>
      </c>
      <c r="B269" s="69">
        <v>43698.0</v>
      </c>
      <c r="F269" s="4" t="s">
        <v>651</v>
      </c>
      <c r="J269" s="4" t="s">
        <v>651</v>
      </c>
    </row>
    <row r="270">
      <c r="A270" s="67" t="str">
        <f t="shared" si="1"/>
        <v>Thu</v>
      </c>
      <c r="B270" s="69">
        <v>43699.0</v>
      </c>
      <c r="F270" s="4" t="s">
        <v>651</v>
      </c>
      <c r="J270" s="4" t="s">
        <v>651</v>
      </c>
    </row>
    <row r="271">
      <c r="A271" s="67" t="str">
        <f t="shared" si="1"/>
        <v>Fri</v>
      </c>
      <c r="B271" s="69">
        <v>43700.0</v>
      </c>
      <c r="F271" s="4" t="s">
        <v>651</v>
      </c>
      <c r="J271" s="4" t="s">
        <v>651</v>
      </c>
    </row>
    <row r="272">
      <c r="A272" s="67" t="str">
        <f t="shared" si="1"/>
        <v>Sat</v>
      </c>
      <c r="B272" s="69">
        <v>43701.0</v>
      </c>
      <c r="F272" s="4" t="s">
        <v>651</v>
      </c>
      <c r="J272" s="4" t="s">
        <v>651</v>
      </c>
    </row>
    <row r="273">
      <c r="A273" s="67" t="str">
        <f t="shared" si="1"/>
        <v>Sun</v>
      </c>
      <c r="B273" s="69">
        <v>43702.0</v>
      </c>
      <c r="F273" s="4" t="s">
        <v>651</v>
      </c>
      <c r="J273" s="4" t="s">
        <v>651</v>
      </c>
    </row>
    <row r="274">
      <c r="A274" s="67" t="str">
        <f t="shared" si="1"/>
        <v>Mon</v>
      </c>
      <c r="B274" s="69">
        <v>43703.0</v>
      </c>
      <c r="F274" s="4" t="s">
        <v>651</v>
      </c>
      <c r="J274" s="4" t="s">
        <v>651</v>
      </c>
    </row>
    <row r="275">
      <c r="A275" s="67" t="str">
        <f t="shared" si="1"/>
        <v>Tue</v>
      </c>
      <c r="B275" s="69">
        <v>43704.0</v>
      </c>
      <c r="F275" s="4" t="s">
        <v>651</v>
      </c>
      <c r="J275" s="4" t="s">
        <v>651</v>
      </c>
    </row>
    <row r="276">
      <c r="A276" s="67" t="str">
        <f t="shared" si="1"/>
        <v>Wed</v>
      </c>
      <c r="B276" s="69">
        <v>43705.0</v>
      </c>
      <c r="F276" s="4" t="s">
        <v>651</v>
      </c>
      <c r="J276" s="4" t="s">
        <v>651</v>
      </c>
    </row>
    <row r="277">
      <c r="A277" s="67" t="str">
        <f t="shared" si="1"/>
        <v>Thu</v>
      </c>
      <c r="B277" s="69">
        <v>43706.0</v>
      </c>
      <c r="F277" s="4" t="s">
        <v>651</v>
      </c>
      <c r="J277" s="4" t="s">
        <v>651</v>
      </c>
    </row>
    <row r="278">
      <c r="A278" s="67" t="str">
        <f t="shared" si="1"/>
        <v>Fri</v>
      </c>
      <c r="B278" s="69">
        <v>43707.0</v>
      </c>
      <c r="F278" s="4" t="s">
        <v>651</v>
      </c>
      <c r="J278" s="4" t="s">
        <v>651</v>
      </c>
    </row>
    <row r="279">
      <c r="A279" s="67" t="str">
        <f t="shared" si="1"/>
        <v>Sat</v>
      </c>
      <c r="B279" s="69">
        <v>43708.0</v>
      </c>
      <c r="F279" s="4" t="s">
        <v>651</v>
      </c>
      <c r="J279" s="4" t="s">
        <v>651</v>
      </c>
    </row>
    <row r="280">
      <c r="A280" s="67" t="str">
        <f t="shared" si="1"/>
        <v>Sun</v>
      </c>
      <c r="B280" s="69">
        <v>43709.0</v>
      </c>
      <c r="F280" s="4" t="s">
        <v>651</v>
      </c>
      <c r="J280" s="4" t="s">
        <v>651</v>
      </c>
    </row>
    <row r="281">
      <c r="A281" s="67" t="str">
        <f t="shared" si="1"/>
        <v>Mon</v>
      </c>
      <c r="B281" s="69">
        <v>43710.0</v>
      </c>
      <c r="F281" s="4" t="s">
        <v>651</v>
      </c>
      <c r="J281" s="4" t="s">
        <v>651</v>
      </c>
    </row>
    <row r="282">
      <c r="A282" s="67" t="str">
        <f t="shared" si="1"/>
        <v>Tue</v>
      </c>
      <c r="B282" s="69">
        <v>43711.0</v>
      </c>
      <c r="F282" s="4" t="s">
        <v>651</v>
      </c>
      <c r="J282" s="4" t="s">
        <v>651</v>
      </c>
    </row>
    <row r="283">
      <c r="A283" s="67" t="str">
        <f t="shared" si="1"/>
        <v>Wed</v>
      </c>
      <c r="B283" s="69">
        <v>43712.0</v>
      </c>
      <c r="F283" s="4" t="s">
        <v>651</v>
      </c>
      <c r="J283" s="4" t="s">
        <v>651</v>
      </c>
    </row>
    <row r="284">
      <c r="A284" s="67" t="str">
        <f t="shared" si="1"/>
        <v>Thu</v>
      </c>
      <c r="B284" s="69">
        <v>43713.0</v>
      </c>
      <c r="F284" s="4" t="s">
        <v>651</v>
      </c>
      <c r="J284" s="4" t="s">
        <v>651</v>
      </c>
    </row>
    <row r="285">
      <c r="A285" s="67" t="str">
        <f t="shared" si="1"/>
        <v>Fri</v>
      </c>
      <c r="B285" s="69">
        <v>43714.0</v>
      </c>
      <c r="F285" s="4" t="s">
        <v>651</v>
      </c>
      <c r="J285" s="4" t="s">
        <v>651</v>
      </c>
    </row>
    <row r="286">
      <c r="A286" s="67" t="str">
        <f t="shared" si="1"/>
        <v>Sat</v>
      </c>
      <c r="B286" s="69">
        <v>43715.0</v>
      </c>
      <c r="F286" s="4" t="s">
        <v>651</v>
      </c>
      <c r="J286" s="4" t="s">
        <v>651</v>
      </c>
    </row>
    <row r="287">
      <c r="A287" s="67" t="str">
        <f t="shared" si="1"/>
        <v>Sun</v>
      </c>
      <c r="B287" s="69">
        <v>43716.0</v>
      </c>
      <c r="F287" s="4" t="s">
        <v>651</v>
      </c>
      <c r="J287" s="4" t="s">
        <v>651</v>
      </c>
    </row>
    <row r="288">
      <c r="A288" s="67" t="str">
        <f t="shared" si="1"/>
        <v>Mon</v>
      </c>
      <c r="B288" s="69">
        <v>43717.0</v>
      </c>
      <c r="F288" s="4" t="s">
        <v>651</v>
      </c>
      <c r="J288" s="4" t="s">
        <v>651</v>
      </c>
    </row>
    <row r="289">
      <c r="A289" s="67" t="str">
        <f t="shared" si="1"/>
        <v>Tue</v>
      </c>
      <c r="B289" s="69">
        <v>43718.0</v>
      </c>
      <c r="F289" s="4" t="s">
        <v>651</v>
      </c>
      <c r="J289" s="4" t="s">
        <v>651</v>
      </c>
    </row>
    <row r="290">
      <c r="A290" s="67" t="str">
        <f t="shared" si="1"/>
        <v>Wed</v>
      </c>
      <c r="B290" s="69">
        <v>43719.0</v>
      </c>
      <c r="F290" s="4" t="s">
        <v>651</v>
      </c>
      <c r="J290" s="4" t="s">
        <v>651</v>
      </c>
    </row>
    <row r="291">
      <c r="A291" s="67" t="str">
        <f t="shared" si="1"/>
        <v>Thu</v>
      </c>
      <c r="B291" s="69">
        <v>43720.0</v>
      </c>
      <c r="F291" s="4" t="s">
        <v>651</v>
      </c>
      <c r="J291" s="4" t="s">
        <v>651</v>
      </c>
    </row>
    <row r="292">
      <c r="A292" s="67" t="str">
        <f t="shared" si="1"/>
        <v>Fri</v>
      </c>
      <c r="B292" s="69">
        <v>43721.0</v>
      </c>
      <c r="F292" s="4" t="s">
        <v>651</v>
      </c>
      <c r="J292" s="4" t="s">
        <v>651</v>
      </c>
    </row>
    <row r="293">
      <c r="A293" s="67" t="str">
        <f t="shared" si="1"/>
        <v>Sat</v>
      </c>
      <c r="B293" s="69">
        <v>43722.0</v>
      </c>
      <c r="F293" s="4" t="s">
        <v>651</v>
      </c>
      <c r="J293" s="4" t="s">
        <v>651</v>
      </c>
    </row>
    <row r="294">
      <c r="A294" s="67" t="str">
        <f t="shared" si="1"/>
        <v>Sun</v>
      </c>
      <c r="B294" s="69">
        <v>43723.0</v>
      </c>
      <c r="F294" s="4" t="s">
        <v>651</v>
      </c>
      <c r="J294" s="4" t="s">
        <v>651</v>
      </c>
    </row>
    <row r="295">
      <c r="A295" s="67" t="str">
        <f t="shared" si="1"/>
        <v>Mon</v>
      </c>
      <c r="B295" s="69">
        <v>43724.0</v>
      </c>
      <c r="F295" s="4" t="s">
        <v>651</v>
      </c>
      <c r="J295" s="4" t="s">
        <v>651</v>
      </c>
    </row>
    <row r="296">
      <c r="A296" s="67" t="str">
        <f t="shared" si="1"/>
        <v>Tue</v>
      </c>
      <c r="B296" s="69">
        <v>43725.0</v>
      </c>
      <c r="F296" s="4" t="s">
        <v>651</v>
      </c>
      <c r="J296" s="4" t="s">
        <v>651</v>
      </c>
    </row>
    <row r="297">
      <c r="A297" s="67" t="str">
        <f t="shared" si="1"/>
        <v>Wed</v>
      </c>
      <c r="B297" s="69">
        <v>43726.0</v>
      </c>
      <c r="F297" s="4" t="s">
        <v>651</v>
      </c>
      <c r="J297" s="4" t="s">
        <v>651</v>
      </c>
    </row>
    <row r="298">
      <c r="A298" s="67" t="str">
        <f t="shared" si="1"/>
        <v>Thu</v>
      </c>
      <c r="B298" s="69">
        <v>43727.0</v>
      </c>
      <c r="F298" s="4" t="s">
        <v>651</v>
      </c>
      <c r="J298" s="4" t="s">
        <v>651</v>
      </c>
    </row>
    <row r="299">
      <c r="A299" s="67" t="str">
        <f t="shared" si="1"/>
        <v>Fri</v>
      </c>
      <c r="B299" s="69">
        <v>43728.0</v>
      </c>
      <c r="F299" s="4" t="s">
        <v>651</v>
      </c>
      <c r="J299" s="4" t="s">
        <v>651</v>
      </c>
    </row>
    <row r="300">
      <c r="A300" s="67" t="str">
        <f t="shared" si="1"/>
        <v>Sat</v>
      </c>
      <c r="B300" s="69">
        <v>43729.0</v>
      </c>
      <c r="F300" s="4" t="s">
        <v>651</v>
      </c>
      <c r="J300" s="4" t="s">
        <v>651</v>
      </c>
    </row>
    <row r="301">
      <c r="A301" s="67" t="str">
        <f t="shared" si="1"/>
        <v>Sun</v>
      </c>
      <c r="B301" s="69">
        <v>43730.0</v>
      </c>
      <c r="F301" s="4" t="s">
        <v>651</v>
      </c>
      <c r="J301" s="4" t="s">
        <v>651</v>
      </c>
    </row>
    <row r="302">
      <c r="A302" s="67" t="str">
        <f t="shared" si="1"/>
        <v>Mon</v>
      </c>
      <c r="B302" s="69">
        <v>43731.0</v>
      </c>
      <c r="F302" s="4" t="s">
        <v>651</v>
      </c>
      <c r="J302" s="4" t="s">
        <v>651</v>
      </c>
    </row>
    <row r="303">
      <c r="A303" s="67" t="str">
        <f t="shared" si="1"/>
        <v>Tue</v>
      </c>
      <c r="B303" s="69">
        <v>43732.0</v>
      </c>
      <c r="F303" s="4" t="s">
        <v>651</v>
      </c>
      <c r="J303" s="4" t="s">
        <v>651</v>
      </c>
    </row>
    <row r="304">
      <c r="A304" s="67" t="str">
        <f t="shared" si="1"/>
        <v>Wed</v>
      </c>
      <c r="B304" s="69">
        <v>43733.0</v>
      </c>
      <c r="F304" s="4" t="s">
        <v>651</v>
      </c>
      <c r="J304" s="4" t="s">
        <v>651</v>
      </c>
    </row>
    <row r="305">
      <c r="A305" s="67" t="str">
        <f t="shared" si="1"/>
        <v>Thu</v>
      </c>
      <c r="B305" s="69">
        <v>43734.0</v>
      </c>
      <c r="F305" s="4" t="s">
        <v>651</v>
      </c>
      <c r="J305" s="4" t="s">
        <v>651</v>
      </c>
    </row>
    <row r="306">
      <c r="A306" s="67" t="str">
        <f t="shared" si="1"/>
        <v>Fri</v>
      </c>
      <c r="B306" s="69">
        <v>43735.0</v>
      </c>
      <c r="F306" s="4" t="s">
        <v>651</v>
      </c>
      <c r="J306" s="4" t="s">
        <v>651</v>
      </c>
    </row>
    <row r="307">
      <c r="A307" s="67" t="str">
        <f t="shared" si="1"/>
        <v>Sat</v>
      </c>
      <c r="B307" s="69">
        <v>43736.0</v>
      </c>
      <c r="F307" s="4" t="s">
        <v>651</v>
      </c>
      <c r="J307" s="4" t="s">
        <v>651</v>
      </c>
    </row>
    <row r="308">
      <c r="A308" s="67" t="str">
        <f t="shared" si="1"/>
        <v>Sun</v>
      </c>
      <c r="B308" s="69">
        <v>43737.0</v>
      </c>
      <c r="F308" s="4" t="s">
        <v>651</v>
      </c>
      <c r="J308" s="4" t="s">
        <v>651</v>
      </c>
    </row>
    <row r="309">
      <c r="A309" s="67" t="str">
        <f t="shared" si="1"/>
        <v>Mon</v>
      </c>
      <c r="B309" s="69">
        <v>43738.0</v>
      </c>
      <c r="F309" s="4" t="s">
        <v>651</v>
      </c>
      <c r="J309" s="4" t="s">
        <v>651</v>
      </c>
    </row>
    <row r="310">
      <c r="A310" s="67" t="str">
        <f t="shared" si="1"/>
        <v>Tue</v>
      </c>
      <c r="B310" s="69">
        <v>43739.0</v>
      </c>
      <c r="F310" s="4" t="s">
        <v>651</v>
      </c>
      <c r="J310" s="4" t="s">
        <v>651</v>
      </c>
    </row>
    <row r="311">
      <c r="A311" s="67" t="str">
        <f t="shared" si="1"/>
        <v>Wed</v>
      </c>
      <c r="B311" s="69">
        <v>43740.0</v>
      </c>
      <c r="F311" s="4" t="s">
        <v>651</v>
      </c>
      <c r="J311" s="4" t="s">
        <v>651</v>
      </c>
    </row>
    <row r="312">
      <c r="A312" s="67" t="str">
        <f t="shared" si="1"/>
        <v>Thu</v>
      </c>
      <c r="B312" s="69">
        <v>43741.0</v>
      </c>
      <c r="F312" s="4" t="s">
        <v>651</v>
      </c>
      <c r="J312" s="4" t="s">
        <v>651</v>
      </c>
    </row>
    <row r="313">
      <c r="A313" s="67" t="str">
        <f t="shared" si="1"/>
        <v>Fri</v>
      </c>
      <c r="B313" s="69">
        <v>43742.0</v>
      </c>
      <c r="F313" s="4" t="s">
        <v>651</v>
      </c>
      <c r="J313" s="4" t="s">
        <v>651</v>
      </c>
    </row>
    <row r="314">
      <c r="A314" s="67" t="str">
        <f t="shared" si="1"/>
        <v>Sat</v>
      </c>
      <c r="B314" s="69">
        <v>43743.0</v>
      </c>
      <c r="F314" s="4" t="s">
        <v>651</v>
      </c>
      <c r="J314" s="4" t="s">
        <v>651</v>
      </c>
    </row>
    <row r="315">
      <c r="A315" s="67" t="str">
        <f t="shared" si="1"/>
        <v>Sun</v>
      </c>
      <c r="B315" s="69">
        <v>43744.0</v>
      </c>
      <c r="F315" s="4" t="s">
        <v>651</v>
      </c>
      <c r="J315" s="4" t="s">
        <v>651</v>
      </c>
    </row>
    <row r="316">
      <c r="A316" s="67" t="str">
        <f t="shared" si="1"/>
        <v>Mon</v>
      </c>
      <c r="B316" s="69">
        <v>43745.0</v>
      </c>
      <c r="F316" s="4" t="s">
        <v>651</v>
      </c>
      <c r="J316" s="4" t="s">
        <v>651</v>
      </c>
    </row>
    <row r="317">
      <c r="A317" s="67" t="str">
        <f t="shared" si="1"/>
        <v>Tue</v>
      </c>
      <c r="B317" s="69">
        <v>43746.0</v>
      </c>
      <c r="F317" s="4" t="s">
        <v>651</v>
      </c>
      <c r="J317" s="4" t="s">
        <v>651</v>
      </c>
    </row>
    <row r="318">
      <c r="A318" s="67" t="str">
        <f t="shared" si="1"/>
        <v>Wed</v>
      </c>
      <c r="B318" s="69">
        <v>43747.0</v>
      </c>
      <c r="F318" s="4" t="s">
        <v>651</v>
      </c>
      <c r="J318" s="4" t="s">
        <v>651</v>
      </c>
    </row>
    <row r="319">
      <c r="A319" s="67" t="str">
        <f t="shared" si="1"/>
        <v>Thu</v>
      </c>
      <c r="B319" s="69">
        <v>43748.0</v>
      </c>
      <c r="F319" s="4" t="s">
        <v>651</v>
      </c>
      <c r="J319" s="4" t="s">
        <v>651</v>
      </c>
    </row>
    <row r="320">
      <c r="A320" s="67" t="str">
        <f t="shared" si="1"/>
        <v>Fri</v>
      </c>
      <c r="B320" s="69">
        <v>43749.0</v>
      </c>
      <c r="F320" s="4" t="s">
        <v>651</v>
      </c>
      <c r="J320" s="4" t="s">
        <v>651</v>
      </c>
    </row>
    <row r="321">
      <c r="A321" s="67" t="str">
        <f t="shared" si="1"/>
        <v>Sat</v>
      </c>
      <c r="B321" s="69">
        <v>43750.0</v>
      </c>
      <c r="F321" s="4" t="s">
        <v>651</v>
      </c>
      <c r="J321" s="4" t="s">
        <v>651</v>
      </c>
    </row>
    <row r="322">
      <c r="A322" s="67" t="str">
        <f t="shared" si="1"/>
        <v>Sun</v>
      </c>
      <c r="B322" s="69">
        <v>43751.0</v>
      </c>
      <c r="F322" s="4" t="s">
        <v>651</v>
      </c>
      <c r="J322" s="4" t="s">
        <v>651</v>
      </c>
    </row>
    <row r="323">
      <c r="A323" s="67" t="str">
        <f t="shared" si="1"/>
        <v>Mon</v>
      </c>
      <c r="B323" s="69">
        <v>43752.0</v>
      </c>
      <c r="F323" s="4" t="s">
        <v>651</v>
      </c>
      <c r="J323" s="4" t="s">
        <v>651</v>
      </c>
    </row>
    <row r="324">
      <c r="A324" s="67" t="str">
        <f t="shared" si="1"/>
        <v>Tue</v>
      </c>
      <c r="B324" s="69">
        <v>43753.0</v>
      </c>
      <c r="F324" s="4" t="s">
        <v>651</v>
      </c>
      <c r="J324" s="4" t="s">
        <v>651</v>
      </c>
    </row>
    <row r="325">
      <c r="A325" s="67" t="str">
        <f t="shared" si="1"/>
        <v>Wed</v>
      </c>
      <c r="B325" s="69">
        <v>43754.0</v>
      </c>
      <c r="F325" s="4" t="s">
        <v>651</v>
      </c>
      <c r="J325" s="4" t="s">
        <v>651</v>
      </c>
    </row>
    <row r="326">
      <c r="A326" s="67" t="str">
        <f t="shared" si="1"/>
        <v>Thu</v>
      </c>
      <c r="B326" s="69">
        <v>43755.0</v>
      </c>
      <c r="F326" s="4" t="s">
        <v>651</v>
      </c>
      <c r="J326" s="4" t="s">
        <v>651</v>
      </c>
    </row>
    <row r="327">
      <c r="A327" s="67" t="str">
        <f t="shared" si="1"/>
        <v>Fri</v>
      </c>
      <c r="B327" s="69">
        <v>43756.0</v>
      </c>
      <c r="F327" s="4" t="s">
        <v>651</v>
      </c>
      <c r="J327" s="4" t="s">
        <v>651</v>
      </c>
    </row>
    <row r="328">
      <c r="A328" s="67" t="str">
        <f t="shared" si="1"/>
        <v>Sat</v>
      </c>
      <c r="B328" s="69">
        <v>43757.0</v>
      </c>
      <c r="F328" s="4" t="s">
        <v>651</v>
      </c>
      <c r="J328" s="4" t="s">
        <v>651</v>
      </c>
    </row>
    <row r="329">
      <c r="A329" s="67" t="str">
        <f t="shared" si="1"/>
        <v>Sun</v>
      </c>
      <c r="B329" s="69">
        <v>43758.0</v>
      </c>
      <c r="F329" s="4" t="s">
        <v>651</v>
      </c>
      <c r="J329" s="4" t="s">
        <v>651</v>
      </c>
    </row>
    <row r="330">
      <c r="A330" s="67" t="str">
        <f t="shared" si="1"/>
        <v>Mon</v>
      </c>
      <c r="B330" s="69">
        <v>43759.0</v>
      </c>
      <c r="F330" s="4" t="s">
        <v>651</v>
      </c>
      <c r="J330" s="4" t="s">
        <v>651</v>
      </c>
    </row>
    <row r="331">
      <c r="A331" s="67" t="str">
        <f t="shared" si="1"/>
        <v>Tue</v>
      </c>
      <c r="B331" s="69">
        <v>43760.0</v>
      </c>
      <c r="F331" s="4" t="s">
        <v>651</v>
      </c>
      <c r="J331" s="4" t="s">
        <v>651</v>
      </c>
    </row>
    <row r="332">
      <c r="A332" s="67" t="str">
        <f t="shared" si="1"/>
        <v>Wed</v>
      </c>
      <c r="B332" s="69">
        <v>43761.0</v>
      </c>
      <c r="F332" s="4" t="s">
        <v>651</v>
      </c>
      <c r="J332" s="4" t="s">
        <v>651</v>
      </c>
    </row>
    <row r="333">
      <c r="A333" s="67" t="str">
        <f t="shared" si="1"/>
        <v>Thu</v>
      </c>
      <c r="B333" s="69">
        <v>43762.0</v>
      </c>
      <c r="F333" s="4" t="s">
        <v>651</v>
      </c>
      <c r="J333" s="4" t="s">
        <v>651</v>
      </c>
    </row>
    <row r="334">
      <c r="A334" s="67" t="str">
        <f t="shared" si="1"/>
        <v>Fri</v>
      </c>
      <c r="B334" s="69">
        <v>43763.0</v>
      </c>
      <c r="F334" s="4" t="s">
        <v>651</v>
      </c>
      <c r="J334" s="4" t="s">
        <v>651</v>
      </c>
    </row>
    <row r="335">
      <c r="A335" s="67" t="str">
        <f t="shared" si="1"/>
        <v>Sat</v>
      </c>
      <c r="B335" s="69">
        <v>43764.0</v>
      </c>
      <c r="F335" s="4" t="s">
        <v>651</v>
      </c>
      <c r="J335" s="4" t="s">
        <v>651</v>
      </c>
    </row>
    <row r="336">
      <c r="A336" s="67" t="str">
        <f t="shared" si="1"/>
        <v>Sun</v>
      </c>
      <c r="B336" s="69">
        <v>43765.0</v>
      </c>
      <c r="F336" s="4" t="s">
        <v>651</v>
      </c>
      <c r="J336" s="4" t="s">
        <v>651</v>
      </c>
    </row>
    <row r="337">
      <c r="A337" s="67" t="str">
        <f t="shared" si="1"/>
        <v>Mon</v>
      </c>
      <c r="B337" s="69">
        <v>43766.0</v>
      </c>
      <c r="F337" s="4" t="s">
        <v>651</v>
      </c>
      <c r="J337" s="4" t="s">
        <v>651</v>
      </c>
    </row>
    <row r="338">
      <c r="A338" s="67" t="str">
        <f t="shared" si="1"/>
        <v>Tue</v>
      </c>
      <c r="B338" s="69">
        <v>43767.0</v>
      </c>
      <c r="F338" s="4" t="s">
        <v>651</v>
      </c>
      <c r="J338" s="4" t="s">
        <v>651</v>
      </c>
    </row>
    <row r="339">
      <c r="A339" s="67" t="str">
        <f t="shared" si="1"/>
        <v>Wed</v>
      </c>
      <c r="B339" s="69">
        <v>43768.0</v>
      </c>
      <c r="F339" s="4" t="s">
        <v>651</v>
      </c>
      <c r="J339" s="4" t="s">
        <v>651</v>
      </c>
    </row>
    <row r="340">
      <c r="A340" s="67" t="str">
        <f t="shared" si="1"/>
        <v>Thu</v>
      </c>
      <c r="B340" s="69">
        <v>43769.0</v>
      </c>
      <c r="F340" s="4" t="s">
        <v>651</v>
      </c>
      <c r="J340" s="4" t="s">
        <v>651</v>
      </c>
    </row>
    <row r="341">
      <c r="A341" s="67" t="str">
        <f t="shared" si="1"/>
        <v>Fri</v>
      </c>
      <c r="B341" s="69">
        <v>43770.0</v>
      </c>
      <c r="F341" s="4" t="s">
        <v>651</v>
      </c>
      <c r="J341" s="4" t="s">
        <v>651</v>
      </c>
    </row>
    <row r="342">
      <c r="A342" s="67" t="str">
        <f t="shared" si="1"/>
        <v>Sat</v>
      </c>
      <c r="B342" s="69">
        <v>43771.0</v>
      </c>
      <c r="F342" s="4" t="s">
        <v>651</v>
      </c>
      <c r="J342" s="4" t="s">
        <v>651</v>
      </c>
    </row>
    <row r="343">
      <c r="A343" s="67" t="str">
        <f t="shared" si="1"/>
        <v>Sun</v>
      </c>
      <c r="B343" s="69">
        <v>43772.0</v>
      </c>
      <c r="F343" s="4" t="s">
        <v>651</v>
      </c>
      <c r="J343" s="4" t="s">
        <v>651</v>
      </c>
    </row>
    <row r="344">
      <c r="A344" s="67" t="str">
        <f t="shared" si="1"/>
        <v>Mon</v>
      </c>
      <c r="B344" s="69">
        <v>43773.0</v>
      </c>
      <c r="F344" s="4" t="s">
        <v>651</v>
      </c>
      <c r="J344" s="4" t="s">
        <v>651</v>
      </c>
    </row>
    <row r="345">
      <c r="A345" s="67" t="str">
        <f t="shared" si="1"/>
        <v>Tue</v>
      </c>
      <c r="B345" s="69">
        <v>43774.0</v>
      </c>
      <c r="F345" s="4" t="s">
        <v>651</v>
      </c>
      <c r="J345" s="4" t="s">
        <v>651</v>
      </c>
    </row>
    <row r="346">
      <c r="A346" s="67" t="str">
        <f t="shared" si="1"/>
        <v>Wed</v>
      </c>
      <c r="B346" s="69">
        <v>43775.0</v>
      </c>
      <c r="F346" s="4" t="s">
        <v>651</v>
      </c>
      <c r="J346" s="4" t="s">
        <v>651</v>
      </c>
    </row>
    <row r="347">
      <c r="A347" s="67" t="str">
        <f t="shared" si="1"/>
        <v>Thu</v>
      </c>
      <c r="B347" s="69">
        <v>43776.0</v>
      </c>
      <c r="F347" s="4" t="s">
        <v>651</v>
      </c>
      <c r="J347" s="4" t="s">
        <v>651</v>
      </c>
    </row>
    <row r="348">
      <c r="A348" s="67" t="str">
        <f t="shared" si="1"/>
        <v>Fri</v>
      </c>
      <c r="B348" s="69">
        <v>43777.0</v>
      </c>
      <c r="F348" s="4" t="s">
        <v>651</v>
      </c>
      <c r="J348" s="4" t="s">
        <v>651</v>
      </c>
    </row>
    <row r="349">
      <c r="A349" s="67" t="str">
        <f t="shared" si="1"/>
        <v>Sat</v>
      </c>
      <c r="B349" s="69">
        <v>43778.0</v>
      </c>
      <c r="F349" s="4" t="s">
        <v>651</v>
      </c>
      <c r="J349" s="4" t="s">
        <v>651</v>
      </c>
    </row>
    <row r="350">
      <c r="A350" s="67" t="str">
        <f t="shared" si="1"/>
        <v>Sun</v>
      </c>
      <c r="B350" s="69">
        <v>43779.0</v>
      </c>
      <c r="F350" s="4" t="s">
        <v>651</v>
      </c>
      <c r="J350" s="4" t="s">
        <v>651</v>
      </c>
    </row>
    <row r="351">
      <c r="A351" s="67" t="str">
        <f t="shared" si="1"/>
        <v>Mon</v>
      </c>
      <c r="B351" s="69">
        <v>43780.0</v>
      </c>
      <c r="F351" s="4" t="s">
        <v>651</v>
      </c>
      <c r="J351" s="4" t="s">
        <v>651</v>
      </c>
    </row>
    <row r="352">
      <c r="A352" s="67" t="str">
        <f t="shared" si="1"/>
        <v>Tue</v>
      </c>
      <c r="B352" s="69">
        <v>43781.0</v>
      </c>
      <c r="F352" s="4" t="s">
        <v>651</v>
      </c>
      <c r="J352" s="4" t="s">
        <v>651</v>
      </c>
    </row>
    <row r="353">
      <c r="A353" s="67" t="str">
        <f t="shared" si="1"/>
        <v>Wed</v>
      </c>
      <c r="B353" s="69">
        <v>43782.0</v>
      </c>
      <c r="F353" s="4" t="s">
        <v>651</v>
      </c>
      <c r="J353" s="4" t="s">
        <v>651</v>
      </c>
    </row>
    <row r="354">
      <c r="A354" s="67" t="str">
        <f t="shared" si="1"/>
        <v>Thu</v>
      </c>
      <c r="B354" s="69">
        <v>43783.0</v>
      </c>
      <c r="F354" s="4" t="s">
        <v>651</v>
      </c>
      <c r="J354" s="4" t="s">
        <v>651</v>
      </c>
    </row>
    <row r="355">
      <c r="A355" s="67" t="str">
        <f t="shared" si="1"/>
        <v>Fri</v>
      </c>
      <c r="B355" s="69">
        <v>43784.0</v>
      </c>
      <c r="F355" s="4" t="s">
        <v>651</v>
      </c>
      <c r="J355" s="4" t="s">
        <v>651</v>
      </c>
    </row>
    <row r="356">
      <c r="A356" s="67" t="str">
        <f t="shared" si="1"/>
        <v>Sat</v>
      </c>
      <c r="B356" s="69">
        <v>43785.0</v>
      </c>
      <c r="F356" s="4" t="s">
        <v>651</v>
      </c>
      <c r="J356" s="4" t="s">
        <v>651</v>
      </c>
    </row>
    <row r="357">
      <c r="A357" s="67" t="str">
        <f t="shared" si="1"/>
        <v>Sun</v>
      </c>
      <c r="B357" s="69">
        <v>43786.0</v>
      </c>
      <c r="F357" s="4" t="s">
        <v>651</v>
      </c>
      <c r="J357" s="4" t="s">
        <v>651</v>
      </c>
    </row>
    <row r="358">
      <c r="A358" s="67" t="str">
        <f t="shared" si="1"/>
        <v>Mon</v>
      </c>
      <c r="B358" s="69">
        <v>43787.0</v>
      </c>
      <c r="F358" s="4" t="s">
        <v>651</v>
      </c>
      <c r="J358" s="4" t="s">
        <v>651</v>
      </c>
    </row>
    <row r="359">
      <c r="A359" s="67" t="str">
        <f t="shared" si="1"/>
        <v>Tue</v>
      </c>
      <c r="B359" s="69">
        <v>43788.0</v>
      </c>
      <c r="F359" s="4" t="s">
        <v>651</v>
      </c>
      <c r="J359" s="4" t="s">
        <v>651</v>
      </c>
    </row>
    <row r="360">
      <c r="A360" s="67" t="str">
        <f t="shared" si="1"/>
        <v>Wed</v>
      </c>
      <c r="B360" s="69">
        <v>43789.0</v>
      </c>
      <c r="F360" s="4" t="s">
        <v>651</v>
      </c>
      <c r="J360" s="4" t="s">
        <v>651</v>
      </c>
    </row>
    <row r="361">
      <c r="A361" s="67" t="str">
        <f t="shared" si="1"/>
        <v>Thu</v>
      </c>
      <c r="B361" s="69">
        <v>43790.0</v>
      </c>
      <c r="F361" s="4" t="s">
        <v>651</v>
      </c>
      <c r="J361" s="4" t="s">
        <v>651</v>
      </c>
    </row>
    <row r="362">
      <c r="A362" s="67" t="str">
        <f t="shared" si="1"/>
        <v>Fri</v>
      </c>
      <c r="B362" s="69">
        <v>43791.0</v>
      </c>
      <c r="F362" s="4" t="s">
        <v>651</v>
      </c>
      <c r="J362" s="4" t="s">
        <v>651</v>
      </c>
    </row>
    <row r="363">
      <c r="A363" s="67" t="str">
        <f t="shared" si="1"/>
        <v>Sat</v>
      </c>
      <c r="B363" s="69">
        <v>43792.0</v>
      </c>
      <c r="F363" s="4" t="s">
        <v>651</v>
      </c>
      <c r="J363" s="4" t="s">
        <v>651</v>
      </c>
    </row>
    <row r="364">
      <c r="A364" s="67" t="str">
        <f t="shared" si="1"/>
        <v>Sun</v>
      </c>
      <c r="B364" s="69">
        <v>43793.0</v>
      </c>
      <c r="F364" s="4" t="s">
        <v>651</v>
      </c>
      <c r="J364" s="4" t="s">
        <v>651</v>
      </c>
    </row>
    <row r="365">
      <c r="A365" s="67" t="str">
        <f t="shared" si="1"/>
        <v>Mon</v>
      </c>
      <c r="B365" s="69">
        <v>43794.0</v>
      </c>
      <c r="F365" s="4" t="s">
        <v>651</v>
      </c>
      <c r="J365" s="4" t="s">
        <v>651</v>
      </c>
    </row>
    <row r="366">
      <c r="A366" s="67" t="str">
        <f t="shared" si="1"/>
        <v>Tue</v>
      </c>
      <c r="B366" s="69">
        <v>43795.0</v>
      </c>
      <c r="F366" s="4" t="s">
        <v>651</v>
      </c>
      <c r="J366" s="4" t="s">
        <v>651</v>
      </c>
    </row>
    <row r="367">
      <c r="A367" s="67" t="str">
        <f t="shared" si="1"/>
        <v>Wed</v>
      </c>
      <c r="B367" s="69">
        <v>43796.0</v>
      </c>
      <c r="F367" s="4" t="s">
        <v>651</v>
      </c>
      <c r="J367" s="4" t="s">
        <v>651</v>
      </c>
    </row>
    <row r="368">
      <c r="A368" s="67" t="str">
        <f t="shared" si="1"/>
        <v>Thu</v>
      </c>
      <c r="B368" s="69">
        <v>43797.0</v>
      </c>
      <c r="F368" s="4" t="s">
        <v>651</v>
      </c>
      <c r="J368" s="4" t="s">
        <v>651</v>
      </c>
    </row>
    <row r="369">
      <c r="A369" s="67" t="str">
        <f t="shared" si="1"/>
        <v>Fri</v>
      </c>
      <c r="B369" s="69">
        <v>43798.0</v>
      </c>
      <c r="F369" s="4" t="s">
        <v>651</v>
      </c>
      <c r="J369" s="4" t="s">
        <v>651</v>
      </c>
    </row>
    <row r="370">
      <c r="A370" s="67" t="str">
        <f t="shared" si="1"/>
        <v>Sat</v>
      </c>
      <c r="B370" s="69">
        <v>43799.0</v>
      </c>
      <c r="F370" s="4" t="s">
        <v>651</v>
      </c>
      <c r="J370" s="4" t="s">
        <v>651</v>
      </c>
    </row>
    <row r="371">
      <c r="A371" s="67" t="str">
        <f t="shared" si="1"/>
        <v>Sun</v>
      </c>
      <c r="B371" s="69">
        <v>43800.0</v>
      </c>
      <c r="F371" s="4" t="s">
        <v>651</v>
      </c>
      <c r="J371" s="4" t="s">
        <v>651</v>
      </c>
    </row>
    <row r="372">
      <c r="A372" s="67" t="str">
        <f t="shared" si="1"/>
        <v>Mon</v>
      </c>
      <c r="B372" s="69">
        <v>43801.0</v>
      </c>
      <c r="F372" s="4" t="s">
        <v>651</v>
      </c>
      <c r="J372" s="4" t="s">
        <v>651</v>
      </c>
    </row>
    <row r="373">
      <c r="A373" s="67" t="str">
        <f t="shared" si="1"/>
        <v>Tue</v>
      </c>
      <c r="B373" s="69">
        <v>43802.0</v>
      </c>
      <c r="F373" s="4" t="s">
        <v>651</v>
      </c>
      <c r="J373" s="4" t="s">
        <v>651</v>
      </c>
    </row>
    <row r="374">
      <c r="A374" s="67" t="str">
        <f t="shared" si="1"/>
        <v>Wed</v>
      </c>
      <c r="B374" s="69">
        <v>43803.0</v>
      </c>
      <c r="F374" s="4" t="s">
        <v>651</v>
      </c>
      <c r="J374" s="4" t="s">
        <v>651</v>
      </c>
    </row>
    <row r="375">
      <c r="A375" s="67" t="str">
        <f t="shared" si="1"/>
        <v>Thu</v>
      </c>
      <c r="B375" s="69">
        <v>43804.0</v>
      </c>
      <c r="F375" s="4" t="s">
        <v>651</v>
      </c>
      <c r="J375" s="4" t="s">
        <v>651</v>
      </c>
    </row>
    <row r="376">
      <c r="A376" s="67" t="str">
        <f t="shared" si="1"/>
        <v>Fri</v>
      </c>
      <c r="B376" s="69">
        <v>43805.0</v>
      </c>
      <c r="F376" s="4" t="s">
        <v>651</v>
      </c>
      <c r="J376" s="4" t="s">
        <v>651</v>
      </c>
    </row>
    <row r="377">
      <c r="A377" s="67" t="str">
        <f t="shared" si="1"/>
        <v>Sat</v>
      </c>
      <c r="B377" s="69">
        <v>43806.0</v>
      </c>
      <c r="F377" s="4" t="s">
        <v>651</v>
      </c>
      <c r="J377" s="4" t="s">
        <v>651</v>
      </c>
    </row>
    <row r="378">
      <c r="A378" s="67" t="str">
        <f t="shared" si="1"/>
        <v>Sun</v>
      </c>
      <c r="B378" s="69">
        <v>43807.0</v>
      </c>
      <c r="F378" s="4" t="s">
        <v>651</v>
      </c>
      <c r="J378" s="4" t="s">
        <v>651</v>
      </c>
    </row>
    <row r="379">
      <c r="A379" s="67" t="str">
        <f t="shared" si="1"/>
        <v>Mon</v>
      </c>
      <c r="B379" s="69">
        <v>43808.0</v>
      </c>
      <c r="F379" s="4" t="s">
        <v>651</v>
      </c>
      <c r="J379" s="4" t="s">
        <v>651</v>
      </c>
    </row>
    <row r="380">
      <c r="A380" s="67" t="str">
        <f t="shared" si="1"/>
        <v>Tue</v>
      </c>
      <c r="B380" s="69">
        <v>43809.0</v>
      </c>
      <c r="F380" s="4" t="s">
        <v>651</v>
      </c>
      <c r="J380" s="4" t="s">
        <v>651</v>
      </c>
    </row>
    <row r="381">
      <c r="A381" s="67" t="str">
        <f t="shared" si="1"/>
        <v>Wed</v>
      </c>
      <c r="B381" s="69">
        <v>43810.0</v>
      </c>
      <c r="F381" s="4" t="s">
        <v>651</v>
      </c>
      <c r="J381" s="4" t="s">
        <v>651</v>
      </c>
    </row>
    <row r="382">
      <c r="A382" s="67" t="str">
        <f t="shared" si="1"/>
        <v>Thu</v>
      </c>
      <c r="B382" s="69">
        <v>43811.0</v>
      </c>
      <c r="F382" s="4" t="s">
        <v>651</v>
      </c>
      <c r="J382" s="4" t="s">
        <v>651</v>
      </c>
    </row>
    <row r="383">
      <c r="A383" s="67" t="str">
        <f t="shared" si="1"/>
        <v>Fri</v>
      </c>
      <c r="B383" s="69">
        <v>43812.0</v>
      </c>
      <c r="F383" s="4" t="s">
        <v>651</v>
      </c>
      <c r="J383" s="4" t="s">
        <v>651</v>
      </c>
    </row>
    <row r="384">
      <c r="A384" s="67" t="str">
        <f t="shared" si="1"/>
        <v>Sat</v>
      </c>
      <c r="B384" s="69">
        <v>43813.0</v>
      </c>
      <c r="F384" s="4" t="s">
        <v>651</v>
      </c>
      <c r="J384" s="4" t="s">
        <v>651</v>
      </c>
    </row>
    <row r="385">
      <c r="A385" s="67" t="str">
        <f t="shared" si="1"/>
        <v>Sun</v>
      </c>
      <c r="B385" s="69">
        <v>43814.0</v>
      </c>
      <c r="F385" s="4" t="s">
        <v>651</v>
      </c>
      <c r="J385" s="4" t="s">
        <v>651</v>
      </c>
    </row>
    <row r="386">
      <c r="A386" s="67" t="str">
        <f t="shared" si="1"/>
        <v>Mon</v>
      </c>
      <c r="B386" s="69">
        <v>43815.0</v>
      </c>
      <c r="F386" s="4" t="s">
        <v>651</v>
      </c>
      <c r="J386" s="4" t="s">
        <v>651</v>
      </c>
    </row>
    <row r="387">
      <c r="A387" s="67" t="str">
        <f t="shared" si="1"/>
        <v>Tue</v>
      </c>
      <c r="B387" s="69">
        <v>43816.0</v>
      </c>
      <c r="F387" s="4" t="s">
        <v>651</v>
      </c>
      <c r="J387" s="4" t="s">
        <v>651</v>
      </c>
    </row>
    <row r="388">
      <c r="A388" s="67" t="str">
        <f t="shared" si="1"/>
        <v>Wed</v>
      </c>
      <c r="B388" s="69">
        <v>43817.0</v>
      </c>
      <c r="F388" s="4" t="s">
        <v>651</v>
      </c>
      <c r="J388" s="4" t="s">
        <v>651</v>
      </c>
    </row>
    <row r="389">
      <c r="A389" s="67" t="str">
        <f t="shared" si="1"/>
        <v>Thu</v>
      </c>
      <c r="B389" s="69">
        <v>43818.0</v>
      </c>
      <c r="F389" s="4" t="s">
        <v>651</v>
      </c>
      <c r="J389" s="4" t="s">
        <v>651</v>
      </c>
    </row>
    <row r="390">
      <c r="A390" s="67" t="str">
        <f t="shared" si="1"/>
        <v>Fri</v>
      </c>
      <c r="B390" s="69">
        <v>43819.0</v>
      </c>
      <c r="F390" s="4" t="s">
        <v>651</v>
      </c>
      <c r="J390" s="4" t="s">
        <v>651</v>
      </c>
    </row>
    <row r="391">
      <c r="A391" s="67" t="str">
        <f t="shared" si="1"/>
        <v>Sat</v>
      </c>
      <c r="B391" s="69">
        <v>43820.0</v>
      </c>
      <c r="F391" s="4" t="s">
        <v>651</v>
      </c>
      <c r="J391" s="4" t="s">
        <v>651</v>
      </c>
    </row>
    <row r="392">
      <c r="A392" s="67" t="str">
        <f t="shared" si="1"/>
        <v>Sun</v>
      </c>
      <c r="B392" s="69">
        <v>43821.0</v>
      </c>
      <c r="F392" s="4" t="s">
        <v>651</v>
      </c>
      <c r="J392" s="4" t="s">
        <v>651</v>
      </c>
    </row>
    <row r="393">
      <c r="A393" s="67" t="str">
        <f t="shared" si="1"/>
        <v>Mon</v>
      </c>
      <c r="B393" s="69">
        <v>43822.0</v>
      </c>
      <c r="F393" s="4" t="s">
        <v>651</v>
      </c>
      <c r="J393" s="4" t="s">
        <v>651</v>
      </c>
    </row>
    <row r="394">
      <c r="A394" s="67" t="str">
        <f t="shared" si="1"/>
        <v>Tue</v>
      </c>
      <c r="B394" s="69">
        <v>43823.0</v>
      </c>
      <c r="F394" s="4" t="s">
        <v>651</v>
      </c>
      <c r="J394" s="4" t="s">
        <v>651</v>
      </c>
    </row>
    <row r="395">
      <c r="A395" s="67" t="str">
        <f t="shared" si="1"/>
        <v>Wed</v>
      </c>
      <c r="B395" s="69">
        <v>43824.0</v>
      </c>
      <c r="F395" s="4" t="s">
        <v>651</v>
      </c>
      <c r="J395" s="4" t="s">
        <v>651</v>
      </c>
    </row>
    <row r="396">
      <c r="A396" s="67" t="str">
        <f t="shared" si="1"/>
        <v>Thu</v>
      </c>
      <c r="B396" s="69">
        <v>43825.0</v>
      </c>
      <c r="F396" s="4" t="s">
        <v>651</v>
      </c>
      <c r="J396" s="4" t="s">
        <v>651</v>
      </c>
    </row>
    <row r="397">
      <c r="A397" s="67" t="str">
        <f t="shared" si="1"/>
        <v>Fri</v>
      </c>
      <c r="B397" s="69">
        <v>43826.0</v>
      </c>
      <c r="F397" s="4" t="s">
        <v>651</v>
      </c>
      <c r="J397" s="4" t="s">
        <v>651</v>
      </c>
    </row>
    <row r="398">
      <c r="A398" s="67" t="str">
        <f t="shared" si="1"/>
        <v>Sat</v>
      </c>
      <c r="B398" s="69">
        <v>43827.0</v>
      </c>
      <c r="F398" s="4" t="s">
        <v>651</v>
      </c>
      <c r="J398" s="4" t="s">
        <v>651</v>
      </c>
    </row>
    <row r="399">
      <c r="A399" s="67" t="str">
        <f t="shared" si="1"/>
        <v>Sun</v>
      </c>
      <c r="B399" s="69">
        <v>43828.0</v>
      </c>
      <c r="F399" s="4" t="s">
        <v>651</v>
      </c>
      <c r="J399" s="4" t="s">
        <v>651</v>
      </c>
    </row>
    <row r="400">
      <c r="A400" s="67" t="str">
        <f t="shared" si="1"/>
        <v>Mon</v>
      </c>
      <c r="B400" s="69">
        <v>43829.0</v>
      </c>
      <c r="F400" s="4" t="s">
        <v>651</v>
      </c>
      <c r="J400" s="4" t="s">
        <v>651</v>
      </c>
    </row>
    <row r="401">
      <c r="A401" s="67" t="str">
        <f t="shared" si="1"/>
        <v>Tue</v>
      </c>
      <c r="B401" s="69">
        <v>43830.0</v>
      </c>
      <c r="F401" s="4" t="s">
        <v>651</v>
      </c>
    </row>
  </sheetData>
  <mergeCells count="5">
    <mergeCell ref="E1:F1"/>
    <mergeCell ref="E2:F2"/>
    <mergeCell ref="E3:F3"/>
    <mergeCell ref="A1:C3"/>
    <mergeCell ref="G1:R3"/>
  </mergeCells>
  <conditionalFormatting sqref="K4:L401">
    <cfRule type="cellIs" dxfId="0" priority="1" operator="equal">
      <formula>"Enviar email para hotel"</formula>
    </cfRule>
  </conditionalFormatting>
  <dataValidations>
    <dataValidation type="list" allowBlank="1" sqref="K6:L401">
      <formula1>"Enviar email para hotel,Enviado para o hotel,Código de reserva enviado para hóspede,Fechado"</formula1>
    </dataValidation>
  </dataValidations>
  <hyperlinks>
    <hyperlink display="Sumario" location="Sumario!A1" ref="A4"/>
  </hyperlinks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13.57"/>
    <col customWidth="1" min="4" max="4" width="17.0"/>
  </cols>
  <sheetData>
    <row r="1">
      <c r="A1" s="1"/>
      <c r="B1" s="2"/>
      <c r="C1" s="3"/>
      <c r="D1" s="11" t="s">
        <v>198</v>
      </c>
      <c r="E1" s="153" t="s">
        <v>199</v>
      </c>
      <c r="F1" s="3"/>
      <c r="G1" s="154" t="s">
        <v>985</v>
      </c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155"/>
    </row>
    <row r="2">
      <c r="A2" s="13"/>
      <c r="C2" s="15"/>
      <c r="D2" s="9" t="s">
        <v>201</v>
      </c>
      <c r="E2" s="156">
        <v>2307.0</v>
      </c>
      <c r="F2" s="15"/>
      <c r="R2" s="15"/>
      <c r="S2" s="155"/>
    </row>
    <row r="3">
      <c r="A3" s="17"/>
      <c r="B3" s="19"/>
      <c r="C3" s="21"/>
      <c r="D3" s="26" t="s">
        <v>202</v>
      </c>
      <c r="E3" s="157" t="s">
        <v>395</v>
      </c>
      <c r="F3" s="21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21"/>
      <c r="S3" s="155"/>
    </row>
    <row r="4">
      <c r="A4" s="158" t="s">
        <v>203</v>
      </c>
      <c r="B4" s="4"/>
      <c r="C4" s="4"/>
      <c r="D4" s="34"/>
      <c r="E4" s="4"/>
      <c r="F4" s="4"/>
      <c r="G4" s="4"/>
      <c r="H4" s="4"/>
      <c r="I4" s="4"/>
      <c r="J4" s="4"/>
      <c r="K4" s="4"/>
      <c r="L4" s="4"/>
      <c r="O4" s="30"/>
      <c r="P4" s="30"/>
      <c r="Q4" s="30"/>
      <c r="R4" s="30"/>
      <c r="S4" s="30"/>
      <c r="T4" s="30"/>
      <c r="U4" s="30"/>
      <c r="V4" s="30"/>
      <c r="W4" s="30"/>
    </row>
    <row r="5">
      <c r="A5" s="42" t="s">
        <v>204</v>
      </c>
      <c r="B5" s="45" t="s">
        <v>33</v>
      </c>
      <c r="C5" s="45" t="s">
        <v>205</v>
      </c>
      <c r="D5" s="207" t="s">
        <v>206</v>
      </c>
      <c r="E5" s="45" t="s">
        <v>207</v>
      </c>
      <c r="F5" s="45" t="s">
        <v>208</v>
      </c>
      <c r="G5" s="45" t="s">
        <v>209</v>
      </c>
      <c r="H5" s="45" t="s">
        <v>210</v>
      </c>
      <c r="I5" s="45" t="s">
        <v>211</v>
      </c>
      <c r="J5" s="45" t="s">
        <v>212</v>
      </c>
      <c r="K5" s="45" t="s">
        <v>213</v>
      </c>
      <c r="L5" s="45" t="s">
        <v>214</v>
      </c>
      <c r="M5" s="45" t="s">
        <v>215</v>
      </c>
      <c r="N5" s="45" t="s">
        <v>216</v>
      </c>
      <c r="O5" s="45" t="s">
        <v>217</v>
      </c>
      <c r="P5" s="45" t="s">
        <v>218</v>
      </c>
      <c r="Q5" s="45" t="s">
        <v>219</v>
      </c>
      <c r="R5" s="160" t="s">
        <v>220</v>
      </c>
      <c r="S5" s="160" t="s">
        <v>221</v>
      </c>
    </row>
    <row r="6" hidden="1">
      <c r="A6" s="67" t="str">
        <f t="shared" ref="A6:A917" si="1">CHOOSE(weekday(B6),"Sun","Mon","Tue","Wed","Thu","Fri","Sat")</f>
        <v>Wed</v>
      </c>
      <c r="B6" s="69">
        <v>43159.0</v>
      </c>
      <c r="D6" s="208"/>
      <c r="M6" s="166"/>
      <c r="N6" s="166"/>
      <c r="O6" s="166"/>
      <c r="P6" s="166"/>
      <c r="Q6" s="166"/>
      <c r="R6" s="166"/>
      <c r="S6" s="166"/>
    </row>
    <row r="7" hidden="1">
      <c r="A7" s="67" t="str">
        <f t="shared" si="1"/>
        <v>Thu</v>
      </c>
      <c r="B7" s="69">
        <v>43160.0</v>
      </c>
      <c r="D7" s="208"/>
    </row>
    <row r="8" hidden="1">
      <c r="A8" s="67" t="str">
        <f t="shared" si="1"/>
        <v>Fri</v>
      </c>
      <c r="B8" s="69">
        <v>43161.0</v>
      </c>
      <c r="D8" s="208"/>
      <c r="M8" s="166"/>
      <c r="N8" s="166"/>
      <c r="O8" s="166"/>
      <c r="P8" s="166"/>
      <c r="Q8" s="166"/>
      <c r="R8" s="166"/>
      <c r="S8" s="166"/>
    </row>
    <row r="9" hidden="1">
      <c r="A9" s="67" t="str">
        <f t="shared" si="1"/>
        <v>Sat</v>
      </c>
      <c r="B9" s="69">
        <v>43162.0</v>
      </c>
      <c r="D9" s="208"/>
    </row>
    <row r="10" hidden="1">
      <c r="A10" s="67" t="str">
        <f t="shared" si="1"/>
        <v>Sun</v>
      </c>
      <c r="B10" s="69">
        <v>43163.0</v>
      </c>
      <c r="D10" s="208"/>
    </row>
    <row r="11" hidden="1">
      <c r="A11" s="67" t="str">
        <f t="shared" si="1"/>
        <v>Mon</v>
      </c>
      <c r="B11" s="69">
        <v>43164.0</v>
      </c>
      <c r="D11" s="208"/>
    </row>
    <row r="12" hidden="1">
      <c r="A12" s="67" t="str">
        <f t="shared" si="1"/>
        <v>Tue</v>
      </c>
      <c r="B12" s="69">
        <v>43165.0</v>
      </c>
      <c r="D12" s="208"/>
    </row>
    <row r="13" hidden="1">
      <c r="A13" s="67" t="str">
        <f t="shared" si="1"/>
        <v>Wed</v>
      </c>
      <c r="B13" s="69">
        <v>43166.0</v>
      </c>
      <c r="D13" s="208"/>
    </row>
    <row r="14" hidden="1">
      <c r="A14" s="67" t="str">
        <f t="shared" si="1"/>
        <v>Thu</v>
      </c>
      <c r="B14" s="69">
        <v>43167.0</v>
      </c>
      <c r="D14" s="176">
        <v>430.0</v>
      </c>
      <c r="E14" s="4" t="s">
        <v>337</v>
      </c>
      <c r="F14" s="4" t="s">
        <v>697</v>
      </c>
      <c r="G14" s="4" t="s">
        <v>697</v>
      </c>
      <c r="I14" s="4" t="s">
        <v>395</v>
      </c>
      <c r="K14" s="4"/>
      <c r="L14" s="4" t="s">
        <v>293</v>
      </c>
    </row>
    <row r="15" hidden="1">
      <c r="A15" s="67" t="str">
        <f t="shared" si="1"/>
        <v>Fri</v>
      </c>
      <c r="B15" s="69">
        <v>43168.0</v>
      </c>
      <c r="D15" s="176">
        <v>430.0</v>
      </c>
      <c r="E15" s="4" t="s">
        <v>337</v>
      </c>
      <c r="F15" s="4" t="s">
        <v>697</v>
      </c>
      <c r="I15" s="4" t="s">
        <v>395</v>
      </c>
      <c r="K15" s="4"/>
      <c r="L15" s="4" t="s">
        <v>293</v>
      </c>
    </row>
    <row r="16" hidden="1">
      <c r="A16" s="67" t="str">
        <f t="shared" si="1"/>
        <v>Sat</v>
      </c>
      <c r="B16" s="69">
        <v>43169.0</v>
      </c>
      <c r="D16" s="176">
        <v>430.0</v>
      </c>
      <c r="E16" s="4" t="s">
        <v>337</v>
      </c>
      <c r="F16" s="4" t="s">
        <v>697</v>
      </c>
      <c r="I16" s="4" t="s">
        <v>395</v>
      </c>
      <c r="K16" s="4"/>
      <c r="L16" s="4" t="s">
        <v>293</v>
      </c>
    </row>
    <row r="17" hidden="1">
      <c r="A17" s="67" t="str">
        <f t="shared" si="1"/>
        <v>Sun</v>
      </c>
      <c r="B17" s="69">
        <v>43170.0</v>
      </c>
      <c r="D17" s="208"/>
      <c r="H17" s="4" t="s">
        <v>697</v>
      </c>
      <c r="R17" s="4"/>
      <c r="S17" s="4"/>
    </row>
    <row r="18" hidden="1">
      <c r="A18" s="67" t="str">
        <f t="shared" si="1"/>
        <v>Mon</v>
      </c>
      <c r="B18" s="69">
        <v>43171.0</v>
      </c>
      <c r="D18" s="208"/>
    </row>
    <row r="19" hidden="1">
      <c r="A19" s="67" t="str">
        <f t="shared" si="1"/>
        <v>Tue</v>
      </c>
      <c r="B19" s="69">
        <v>43172.0</v>
      </c>
      <c r="D19" s="208"/>
    </row>
    <row r="20" hidden="1">
      <c r="A20" s="67" t="str">
        <f t="shared" si="1"/>
        <v>Wed</v>
      </c>
      <c r="B20" s="69">
        <v>43173.0</v>
      </c>
      <c r="D20" s="208"/>
    </row>
    <row r="21" hidden="1">
      <c r="A21" s="67" t="str">
        <f t="shared" si="1"/>
        <v>Thu</v>
      </c>
      <c r="B21" s="69">
        <v>43174.0</v>
      </c>
      <c r="D21" s="176">
        <v>436.5</v>
      </c>
      <c r="E21" s="4" t="s">
        <v>222</v>
      </c>
      <c r="F21" s="4" t="s">
        <v>986</v>
      </c>
      <c r="G21" s="4" t="s">
        <v>986</v>
      </c>
      <c r="I21" s="4" t="s">
        <v>395</v>
      </c>
      <c r="K21" s="4"/>
      <c r="L21" s="4" t="s">
        <v>293</v>
      </c>
      <c r="M21" s="166"/>
      <c r="N21" s="166"/>
      <c r="O21" s="166"/>
      <c r="P21" s="166"/>
      <c r="Q21" s="166"/>
      <c r="R21" s="166"/>
      <c r="S21" s="166"/>
    </row>
    <row r="22" hidden="1">
      <c r="A22" s="67" t="str">
        <f t="shared" si="1"/>
        <v>Fri</v>
      </c>
      <c r="B22" s="69">
        <v>43175.0</v>
      </c>
      <c r="D22" s="176">
        <v>436.5</v>
      </c>
      <c r="E22" s="4" t="s">
        <v>222</v>
      </c>
      <c r="F22" s="4" t="s">
        <v>986</v>
      </c>
      <c r="I22" s="4" t="s">
        <v>395</v>
      </c>
      <c r="K22" s="4"/>
      <c r="L22" s="4" t="s">
        <v>293</v>
      </c>
    </row>
    <row r="23" hidden="1">
      <c r="A23" s="67" t="str">
        <f t="shared" si="1"/>
        <v>Sat</v>
      </c>
      <c r="B23" s="69">
        <v>43176.0</v>
      </c>
      <c r="D23" s="176">
        <v>436.5</v>
      </c>
      <c r="E23" s="4" t="s">
        <v>222</v>
      </c>
      <c r="F23" s="4" t="s">
        <v>986</v>
      </c>
      <c r="I23" s="4" t="s">
        <v>395</v>
      </c>
      <c r="K23" s="4"/>
      <c r="L23" s="4" t="s">
        <v>293</v>
      </c>
    </row>
    <row r="24" hidden="1">
      <c r="A24" s="67" t="str">
        <f t="shared" si="1"/>
        <v>Sun</v>
      </c>
      <c r="B24" s="69">
        <v>43177.0</v>
      </c>
      <c r="D24" s="208"/>
      <c r="H24" s="4" t="s">
        <v>986</v>
      </c>
    </row>
    <row r="25" hidden="1">
      <c r="A25" s="67" t="str">
        <f t="shared" si="1"/>
        <v>Mon</v>
      </c>
      <c r="B25" s="69">
        <v>43178.0</v>
      </c>
      <c r="D25" s="208"/>
    </row>
    <row r="26" hidden="1">
      <c r="A26" s="67" t="str">
        <f t="shared" si="1"/>
        <v>Tue</v>
      </c>
      <c r="B26" s="69">
        <v>43179.0</v>
      </c>
      <c r="D26" s="208"/>
    </row>
    <row r="27" hidden="1">
      <c r="A27" s="67" t="str">
        <f t="shared" si="1"/>
        <v>Wed</v>
      </c>
      <c r="B27" s="69">
        <v>43180.0</v>
      </c>
      <c r="D27" s="208"/>
    </row>
    <row r="28" hidden="1">
      <c r="A28" s="67" t="str">
        <f t="shared" si="1"/>
        <v>Thu</v>
      </c>
      <c r="B28" s="69">
        <v>43181.0</v>
      </c>
      <c r="D28" s="208"/>
    </row>
    <row r="29" hidden="1">
      <c r="A29" s="67" t="str">
        <f t="shared" si="1"/>
        <v>Fri</v>
      </c>
      <c r="B29" s="69">
        <v>43182.0</v>
      </c>
      <c r="D29" s="176">
        <v>320.09999999999997</v>
      </c>
      <c r="E29" s="4" t="s">
        <v>222</v>
      </c>
      <c r="F29" s="4" t="s">
        <v>987</v>
      </c>
      <c r="G29" s="4" t="s">
        <v>987</v>
      </c>
      <c r="I29" s="4" t="s">
        <v>395</v>
      </c>
      <c r="K29" s="4"/>
      <c r="L29" s="4" t="s">
        <v>293</v>
      </c>
    </row>
    <row r="30" hidden="1">
      <c r="A30" s="67" t="str">
        <f t="shared" si="1"/>
        <v>Sat</v>
      </c>
      <c r="B30" s="69">
        <v>43183.0</v>
      </c>
      <c r="D30" s="176">
        <v>320.09999999999997</v>
      </c>
      <c r="E30" s="4" t="s">
        <v>222</v>
      </c>
      <c r="F30" s="4" t="s">
        <v>987</v>
      </c>
      <c r="I30" s="4" t="s">
        <v>395</v>
      </c>
      <c r="K30" s="4"/>
      <c r="L30" s="4" t="s">
        <v>293</v>
      </c>
    </row>
    <row r="31" hidden="1">
      <c r="A31" s="67" t="str">
        <f t="shared" si="1"/>
        <v>Sun</v>
      </c>
      <c r="B31" s="69">
        <v>43184.0</v>
      </c>
      <c r="D31" s="176">
        <v>320.09999999999997</v>
      </c>
      <c r="E31" s="4" t="s">
        <v>222</v>
      </c>
      <c r="F31" s="4" t="s">
        <v>987</v>
      </c>
      <c r="I31" s="4" t="s">
        <v>395</v>
      </c>
      <c r="K31" s="4"/>
      <c r="L31" s="4" t="s">
        <v>293</v>
      </c>
    </row>
    <row r="32" hidden="1">
      <c r="A32" s="67" t="str">
        <f t="shared" si="1"/>
        <v>Mon</v>
      </c>
      <c r="B32" s="69">
        <v>43185.0</v>
      </c>
      <c r="D32" s="176">
        <v>320.09999999999997</v>
      </c>
      <c r="E32" s="4" t="s">
        <v>222</v>
      </c>
      <c r="F32" s="4" t="s">
        <v>987</v>
      </c>
      <c r="I32" s="4" t="s">
        <v>395</v>
      </c>
      <c r="K32" s="4"/>
      <c r="L32" s="4" t="s">
        <v>293</v>
      </c>
    </row>
    <row r="33" hidden="1">
      <c r="A33" s="67" t="str">
        <f t="shared" si="1"/>
        <v>Tue</v>
      </c>
      <c r="B33" s="69">
        <v>43186.0</v>
      </c>
      <c r="D33" s="176">
        <v>320.09999999999997</v>
      </c>
      <c r="E33" s="4" t="s">
        <v>222</v>
      </c>
      <c r="F33" s="4" t="s">
        <v>987</v>
      </c>
      <c r="I33" s="4" t="s">
        <v>395</v>
      </c>
      <c r="K33" s="4"/>
      <c r="L33" s="4" t="s">
        <v>293</v>
      </c>
    </row>
    <row r="34" hidden="1">
      <c r="A34" s="67" t="str">
        <f t="shared" si="1"/>
        <v>Wed</v>
      </c>
      <c r="B34" s="69">
        <v>43187.0</v>
      </c>
      <c r="D34" s="176">
        <v>320.09999999999997</v>
      </c>
      <c r="E34" s="4" t="s">
        <v>222</v>
      </c>
      <c r="F34" s="4" t="s">
        <v>987</v>
      </c>
      <c r="I34" s="4" t="s">
        <v>395</v>
      </c>
      <c r="K34" s="4"/>
      <c r="L34" s="4" t="s">
        <v>293</v>
      </c>
    </row>
    <row r="35" hidden="1">
      <c r="A35" s="67" t="str">
        <f t="shared" si="1"/>
        <v>Thu</v>
      </c>
      <c r="B35" s="69">
        <v>43188.0</v>
      </c>
      <c r="C35" s="4" t="s">
        <v>638</v>
      </c>
      <c r="D35" s="176">
        <v>320.09999999999997</v>
      </c>
      <c r="E35" s="4" t="s">
        <v>222</v>
      </c>
      <c r="F35" s="4" t="s">
        <v>987</v>
      </c>
      <c r="I35" s="4" t="s">
        <v>395</v>
      </c>
      <c r="K35" s="4"/>
      <c r="L35" s="4" t="s">
        <v>293</v>
      </c>
    </row>
    <row r="36" hidden="1">
      <c r="A36" s="67" t="str">
        <f t="shared" si="1"/>
        <v>Fri</v>
      </c>
      <c r="B36" s="69">
        <v>43189.0</v>
      </c>
      <c r="C36" s="4" t="s">
        <v>638</v>
      </c>
      <c r="D36" s="176">
        <v>436.5</v>
      </c>
      <c r="E36" s="4" t="s">
        <v>222</v>
      </c>
      <c r="F36" s="4" t="s">
        <v>988</v>
      </c>
      <c r="G36" s="4" t="s">
        <v>988</v>
      </c>
      <c r="H36" s="4" t="s">
        <v>987</v>
      </c>
      <c r="I36" s="4" t="s">
        <v>395</v>
      </c>
      <c r="K36" s="4"/>
      <c r="L36" s="4" t="s">
        <v>293</v>
      </c>
    </row>
    <row r="37" hidden="1">
      <c r="A37" s="67" t="str">
        <f t="shared" si="1"/>
        <v>Sat</v>
      </c>
      <c r="B37" s="69">
        <v>43190.0</v>
      </c>
      <c r="C37" s="4" t="s">
        <v>638</v>
      </c>
      <c r="D37" s="176">
        <v>436.5</v>
      </c>
      <c r="E37" s="4" t="s">
        <v>222</v>
      </c>
      <c r="F37" s="4" t="s">
        <v>988</v>
      </c>
      <c r="I37" s="4" t="s">
        <v>395</v>
      </c>
      <c r="K37" s="4"/>
      <c r="L37" s="4" t="s">
        <v>293</v>
      </c>
    </row>
    <row r="38" hidden="1">
      <c r="A38" s="67" t="str">
        <f t="shared" si="1"/>
        <v>Sun</v>
      </c>
      <c r="B38" s="69">
        <v>43191.0</v>
      </c>
      <c r="D38" s="208"/>
      <c r="H38" s="4" t="s">
        <v>988</v>
      </c>
      <c r="I38" s="4" t="s">
        <v>395</v>
      </c>
      <c r="K38" s="4"/>
      <c r="L38" s="4" t="s">
        <v>293</v>
      </c>
    </row>
    <row r="39" hidden="1">
      <c r="A39" s="67" t="str">
        <f t="shared" si="1"/>
        <v>Mon</v>
      </c>
      <c r="B39" s="69">
        <v>43192.0</v>
      </c>
      <c r="D39" s="208"/>
    </row>
    <row r="40" hidden="1">
      <c r="A40" s="67" t="str">
        <f t="shared" si="1"/>
        <v>Tue</v>
      </c>
      <c r="B40" s="69">
        <v>43193.0</v>
      </c>
      <c r="D40" s="208"/>
    </row>
    <row r="41" hidden="1">
      <c r="A41" s="67" t="str">
        <f t="shared" si="1"/>
        <v>Wed</v>
      </c>
      <c r="B41" s="69">
        <v>43194.0</v>
      </c>
      <c r="D41" s="208"/>
    </row>
    <row r="42" hidden="1">
      <c r="A42" s="67" t="str">
        <f t="shared" si="1"/>
        <v>Thu</v>
      </c>
      <c r="B42" s="69">
        <v>43195.0</v>
      </c>
      <c r="D42" s="208"/>
    </row>
    <row r="43" hidden="1">
      <c r="A43" s="67" t="str">
        <f t="shared" si="1"/>
        <v>Fri</v>
      </c>
      <c r="B43" s="69">
        <v>43196.0</v>
      </c>
      <c r="D43" s="208"/>
    </row>
    <row r="44" hidden="1">
      <c r="A44" s="67" t="str">
        <f t="shared" si="1"/>
        <v>Sat</v>
      </c>
      <c r="B44" s="69">
        <v>43197.0</v>
      </c>
      <c r="D44" s="208"/>
    </row>
    <row r="45" hidden="1">
      <c r="A45" s="67" t="str">
        <f t="shared" si="1"/>
        <v>Sun</v>
      </c>
      <c r="B45" s="69">
        <v>43198.0</v>
      </c>
      <c r="D45" s="208"/>
    </row>
    <row r="46" hidden="1">
      <c r="A46" s="67" t="str">
        <f t="shared" si="1"/>
        <v>Mon</v>
      </c>
      <c r="B46" s="69">
        <v>43199.0</v>
      </c>
      <c r="D46" s="208"/>
    </row>
    <row r="47" hidden="1">
      <c r="A47" s="67" t="str">
        <f t="shared" si="1"/>
        <v>Tue</v>
      </c>
      <c r="B47" s="69">
        <v>43200.0</v>
      </c>
      <c r="D47" s="208"/>
    </row>
    <row r="48" hidden="1">
      <c r="A48" s="67" t="str">
        <f t="shared" si="1"/>
        <v>Wed</v>
      </c>
      <c r="B48" s="69">
        <v>43201.0</v>
      </c>
      <c r="D48" s="208"/>
    </row>
    <row r="49" hidden="1">
      <c r="A49" s="67" t="str">
        <f t="shared" si="1"/>
        <v>Thu</v>
      </c>
      <c r="B49" s="69">
        <v>43202.0</v>
      </c>
      <c r="D49" s="208"/>
    </row>
    <row r="50" hidden="1">
      <c r="A50" s="67" t="str">
        <f t="shared" si="1"/>
        <v>Fri</v>
      </c>
      <c r="B50" s="69">
        <v>43203.0</v>
      </c>
      <c r="D50" s="208"/>
    </row>
    <row r="51" hidden="1">
      <c r="A51" s="67" t="str">
        <f t="shared" si="1"/>
        <v>Sat</v>
      </c>
      <c r="B51" s="69">
        <v>43204.0</v>
      </c>
      <c r="D51" s="208"/>
    </row>
    <row r="52" hidden="1">
      <c r="A52" s="67" t="str">
        <f t="shared" si="1"/>
        <v>Sun</v>
      </c>
      <c r="B52" s="69">
        <v>43205.0</v>
      </c>
      <c r="D52" s="208"/>
    </row>
    <row r="53" hidden="1">
      <c r="A53" s="67" t="str">
        <f t="shared" si="1"/>
        <v>Mon</v>
      </c>
      <c r="B53" s="69">
        <v>43206.0</v>
      </c>
      <c r="D53" s="208"/>
    </row>
    <row r="54" hidden="1">
      <c r="A54" s="67" t="str">
        <f t="shared" si="1"/>
        <v>Tue</v>
      </c>
      <c r="B54" s="69">
        <v>43207.0</v>
      </c>
      <c r="D54" s="208"/>
    </row>
    <row r="55" hidden="1">
      <c r="A55" s="67" t="str">
        <f t="shared" si="1"/>
        <v>Wed</v>
      </c>
      <c r="B55" s="69">
        <v>43208.0</v>
      </c>
      <c r="D55" s="208"/>
    </row>
    <row r="56" hidden="1">
      <c r="A56" s="67" t="str">
        <f t="shared" si="1"/>
        <v>Thu</v>
      </c>
      <c r="B56" s="69">
        <v>43209.0</v>
      </c>
      <c r="D56" s="208"/>
    </row>
    <row r="57" hidden="1">
      <c r="A57" s="67" t="str">
        <f t="shared" si="1"/>
        <v>Fri</v>
      </c>
      <c r="B57" s="69">
        <v>43210.0</v>
      </c>
      <c r="D57" s="208"/>
    </row>
    <row r="58" hidden="1">
      <c r="A58" s="67" t="str">
        <f t="shared" si="1"/>
        <v>Sat</v>
      </c>
      <c r="B58" s="69">
        <v>43211.0</v>
      </c>
      <c r="D58" s="208"/>
    </row>
    <row r="59" hidden="1">
      <c r="A59" s="67" t="str">
        <f t="shared" si="1"/>
        <v>Sun</v>
      </c>
      <c r="B59" s="69">
        <v>43212.0</v>
      </c>
      <c r="D59" s="208"/>
    </row>
    <row r="60" hidden="1">
      <c r="A60" s="67" t="str">
        <f t="shared" si="1"/>
        <v>Mon</v>
      </c>
      <c r="B60" s="69">
        <v>43213.0</v>
      </c>
      <c r="D60" s="208"/>
    </row>
    <row r="61" hidden="1">
      <c r="A61" s="67" t="str">
        <f t="shared" si="1"/>
        <v>Tue</v>
      </c>
      <c r="B61" s="69">
        <v>43214.0</v>
      </c>
      <c r="D61" s="208"/>
    </row>
    <row r="62" hidden="1">
      <c r="A62" s="67" t="str">
        <f t="shared" si="1"/>
        <v>Wed</v>
      </c>
      <c r="B62" s="69">
        <v>43215.0</v>
      </c>
      <c r="D62" s="208"/>
    </row>
    <row r="63" hidden="1">
      <c r="A63" s="67" t="str">
        <f t="shared" si="1"/>
        <v>Thu</v>
      </c>
      <c r="B63" s="69">
        <v>43216.0</v>
      </c>
      <c r="D63" s="208"/>
    </row>
    <row r="64" hidden="1">
      <c r="A64" s="67" t="str">
        <f t="shared" si="1"/>
        <v>Fri</v>
      </c>
      <c r="B64" s="69">
        <v>43217.0</v>
      </c>
      <c r="C64" s="4" t="s">
        <v>638</v>
      </c>
      <c r="D64" s="176">
        <v>339.5</v>
      </c>
      <c r="E64" s="4" t="s">
        <v>222</v>
      </c>
      <c r="F64" s="4" t="s">
        <v>995</v>
      </c>
      <c r="G64" s="4" t="s">
        <v>995</v>
      </c>
      <c r="I64" s="4" t="s">
        <v>395</v>
      </c>
      <c r="K64" s="4"/>
      <c r="L64" s="4" t="s">
        <v>293</v>
      </c>
    </row>
    <row r="65" hidden="1">
      <c r="A65" s="67" t="str">
        <f t="shared" si="1"/>
        <v>Sat</v>
      </c>
      <c r="B65" s="69">
        <v>43218.0</v>
      </c>
      <c r="C65" s="4" t="s">
        <v>638</v>
      </c>
      <c r="D65" s="176">
        <v>339.5</v>
      </c>
      <c r="E65" s="4" t="s">
        <v>222</v>
      </c>
      <c r="F65" s="4" t="s">
        <v>995</v>
      </c>
      <c r="I65" s="4" t="s">
        <v>395</v>
      </c>
      <c r="K65" s="4"/>
      <c r="L65" s="4" t="s">
        <v>293</v>
      </c>
    </row>
    <row r="66" hidden="1">
      <c r="A66" s="67" t="str">
        <f t="shared" si="1"/>
        <v>Sun</v>
      </c>
      <c r="B66" s="69">
        <v>43219.0</v>
      </c>
      <c r="C66" s="4" t="s">
        <v>638</v>
      </c>
      <c r="D66" s="176">
        <v>339.5</v>
      </c>
      <c r="E66" s="4" t="s">
        <v>222</v>
      </c>
      <c r="F66" s="4" t="s">
        <v>995</v>
      </c>
      <c r="I66" s="4" t="s">
        <v>395</v>
      </c>
      <c r="K66" s="4"/>
      <c r="L66" s="4" t="s">
        <v>293</v>
      </c>
    </row>
    <row r="67" hidden="1">
      <c r="A67" s="67" t="str">
        <f t="shared" si="1"/>
        <v>Mon</v>
      </c>
      <c r="B67" s="69">
        <v>43220.0</v>
      </c>
      <c r="C67" s="4" t="s">
        <v>638</v>
      </c>
      <c r="D67" s="208"/>
      <c r="H67" s="4" t="s">
        <v>995</v>
      </c>
    </row>
    <row r="68" hidden="1">
      <c r="A68" s="67" t="str">
        <f t="shared" si="1"/>
        <v>Tue</v>
      </c>
      <c r="B68" s="69">
        <v>43221.0</v>
      </c>
      <c r="C68" s="4" t="s">
        <v>638</v>
      </c>
      <c r="D68" s="208"/>
    </row>
    <row r="69" hidden="1">
      <c r="A69" s="67" t="str">
        <f t="shared" si="1"/>
        <v>Wed</v>
      </c>
      <c r="B69" s="69">
        <v>43222.0</v>
      </c>
      <c r="D69" s="208"/>
    </row>
    <row r="70" hidden="1">
      <c r="A70" s="67" t="str">
        <f t="shared" si="1"/>
        <v>Thu</v>
      </c>
      <c r="B70" s="69">
        <v>43223.0</v>
      </c>
      <c r="D70" s="176">
        <v>350.0</v>
      </c>
      <c r="E70" s="4" t="s">
        <v>337</v>
      </c>
      <c r="F70" s="4" t="s">
        <v>996</v>
      </c>
      <c r="G70" s="4" t="s">
        <v>996</v>
      </c>
      <c r="I70" s="4" t="s">
        <v>395</v>
      </c>
      <c r="K70" s="4"/>
      <c r="L70" s="4" t="s">
        <v>293</v>
      </c>
    </row>
    <row r="71" hidden="1">
      <c r="A71" s="67" t="str">
        <f t="shared" si="1"/>
        <v>Fri</v>
      </c>
      <c r="B71" s="69">
        <v>43224.0</v>
      </c>
      <c r="D71" s="176">
        <v>350.0</v>
      </c>
      <c r="E71" s="4" t="s">
        <v>337</v>
      </c>
      <c r="F71" s="4" t="s">
        <v>996</v>
      </c>
      <c r="I71" s="4" t="s">
        <v>395</v>
      </c>
      <c r="K71" s="4"/>
      <c r="L71" s="4" t="s">
        <v>293</v>
      </c>
    </row>
    <row r="72" hidden="1">
      <c r="A72" s="67" t="str">
        <f t="shared" si="1"/>
        <v>Sat</v>
      </c>
      <c r="B72" s="69">
        <v>43225.0</v>
      </c>
      <c r="D72" s="176">
        <v>350.0</v>
      </c>
      <c r="E72" s="4" t="s">
        <v>337</v>
      </c>
      <c r="F72" s="4" t="s">
        <v>996</v>
      </c>
      <c r="I72" s="4" t="s">
        <v>395</v>
      </c>
      <c r="K72" s="4"/>
      <c r="L72" s="4" t="s">
        <v>293</v>
      </c>
    </row>
    <row r="73" hidden="1">
      <c r="A73" s="67" t="str">
        <f t="shared" si="1"/>
        <v>Sun</v>
      </c>
      <c r="B73" s="69">
        <v>43226.0</v>
      </c>
      <c r="D73" s="208"/>
      <c r="H73" s="4" t="s">
        <v>996</v>
      </c>
    </row>
    <row r="74" hidden="1">
      <c r="A74" s="67" t="str">
        <f t="shared" si="1"/>
        <v>Mon</v>
      </c>
      <c r="B74" s="69">
        <v>43227.0</v>
      </c>
      <c r="D74" s="208"/>
    </row>
    <row r="75" hidden="1">
      <c r="A75" s="67" t="str">
        <f t="shared" si="1"/>
        <v>Tue</v>
      </c>
      <c r="B75" s="69">
        <v>43228.0</v>
      </c>
      <c r="D75" s="208"/>
    </row>
    <row r="76" hidden="1">
      <c r="A76" s="67" t="str">
        <f t="shared" si="1"/>
        <v>Wed</v>
      </c>
      <c r="B76" s="69">
        <v>43229.0</v>
      </c>
      <c r="D76" s="208"/>
    </row>
    <row r="77" hidden="1">
      <c r="A77" s="67" t="str">
        <f t="shared" si="1"/>
        <v>Thu</v>
      </c>
      <c r="B77" s="69">
        <v>43230.0</v>
      </c>
      <c r="D77" s="208"/>
    </row>
    <row r="78" hidden="1">
      <c r="A78" s="67" t="str">
        <f t="shared" si="1"/>
        <v>Fri</v>
      </c>
      <c r="B78" s="69">
        <v>43231.0</v>
      </c>
      <c r="D78" s="208"/>
    </row>
    <row r="79" hidden="1">
      <c r="A79" s="67" t="str">
        <f t="shared" si="1"/>
        <v>Sat</v>
      </c>
      <c r="B79" s="69">
        <v>43232.0</v>
      </c>
      <c r="D79" s="208"/>
    </row>
    <row r="80" hidden="1">
      <c r="A80" s="67" t="str">
        <f t="shared" si="1"/>
        <v>Sun</v>
      </c>
      <c r="B80" s="69">
        <v>43233.0</v>
      </c>
      <c r="D80" s="208"/>
    </row>
    <row r="81" hidden="1">
      <c r="A81" s="67" t="str">
        <f t="shared" si="1"/>
        <v>Mon</v>
      </c>
      <c r="B81" s="69">
        <v>43234.0</v>
      </c>
      <c r="D81" s="208"/>
    </row>
    <row r="82" hidden="1">
      <c r="A82" s="67" t="str">
        <f t="shared" si="1"/>
        <v>Tue</v>
      </c>
      <c r="B82" s="69">
        <v>43235.0</v>
      </c>
      <c r="D82" s="208"/>
    </row>
    <row r="83" hidden="1">
      <c r="A83" s="67" t="str">
        <f t="shared" si="1"/>
        <v>Wed</v>
      </c>
      <c r="B83" s="69">
        <v>43236.0</v>
      </c>
      <c r="D83" s="208"/>
    </row>
    <row r="84" hidden="1">
      <c r="A84" s="67" t="str">
        <f t="shared" si="1"/>
        <v>Thu</v>
      </c>
      <c r="B84" s="69">
        <v>43237.0</v>
      </c>
      <c r="D84" s="208"/>
    </row>
    <row r="85" hidden="1">
      <c r="A85" s="67" t="str">
        <f t="shared" si="1"/>
        <v>Fri</v>
      </c>
      <c r="B85" s="69">
        <v>43238.0</v>
      </c>
      <c r="D85" s="208"/>
    </row>
    <row r="86" hidden="1">
      <c r="A86" s="67" t="str">
        <f t="shared" si="1"/>
        <v>Sat</v>
      </c>
      <c r="B86" s="69">
        <v>43239.0</v>
      </c>
      <c r="D86" s="208"/>
    </row>
    <row r="87" hidden="1">
      <c r="A87" s="67" t="str">
        <f t="shared" si="1"/>
        <v>Sun</v>
      </c>
      <c r="B87" s="69">
        <v>43240.0</v>
      </c>
      <c r="D87" s="208"/>
    </row>
    <row r="88" hidden="1">
      <c r="A88" s="67" t="str">
        <f t="shared" si="1"/>
        <v>Mon</v>
      </c>
      <c r="B88" s="69">
        <v>43241.0</v>
      </c>
      <c r="D88" s="208"/>
    </row>
    <row r="89" hidden="1">
      <c r="A89" s="67" t="str">
        <f t="shared" si="1"/>
        <v>Tue</v>
      </c>
      <c r="B89" s="69">
        <v>43242.0</v>
      </c>
      <c r="D89" s="208"/>
    </row>
    <row r="90" hidden="1">
      <c r="A90" s="67" t="str">
        <f t="shared" si="1"/>
        <v>Wed</v>
      </c>
      <c r="B90" s="69">
        <v>43243.0</v>
      </c>
      <c r="C90" s="4" t="s">
        <v>758</v>
      </c>
      <c r="D90" s="208"/>
    </row>
    <row r="91" hidden="1">
      <c r="A91" s="67" t="str">
        <f t="shared" si="1"/>
        <v>Thu</v>
      </c>
      <c r="B91" s="69">
        <v>43244.0</v>
      </c>
      <c r="C91" s="4" t="s">
        <v>758</v>
      </c>
      <c r="D91" s="176">
        <v>776.0</v>
      </c>
      <c r="E91" s="4" t="s">
        <v>222</v>
      </c>
      <c r="F91" s="4" t="s">
        <v>997</v>
      </c>
      <c r="G91" s="4" t="s">
        <v>997</v>
      </c>
      <c r="I91" s="4" t="s">
        <v>395</v>
      </c>
      <c r="K91" s="4"/>
      <c r="L91" s="4" t="s">
        <v>293</v>
      </c>
    </row>
    <row r="92" hidden="1">
      <c r="A92" s="67" t="str">
        <f t="shared" si="1"/>
        <v>Fri</v>
      </c>
      <c r="B92" s="69">
        <v>43245.0</v>
      </c>
      <c r="C92" s="4" t="s">
        <v>758</v>
      </c>
      <c r="D92" s="176">
        <v>776.0</v>
      </c>
      <c r="E92" s="4" t="s">
        <v>222</v>
      </c>
      <c r="F92" s="4" t="s">
        <v>997</v>
      </c>
      <c r="I92" s="4" t="s">
        <v>395</v>
      </c>
      <c r="K92" s="4"/>
      <c r="L92" s="4" t="s">
        <v>293</v>
      </c>
    </row>
    <row r="93" hidden="1">
      <c r="A93" s="67" t="str">
        <f t="shared" si="1"/>
        <v>Sat</v>
      </c>
      <c r="B93" s="69">
        <v>43246.0</v>
      </c>
      <c r="C93" s="4" t="s">
        <v>758</v>
      </c>
      <c r="D93" s="176">
        <v>776.0</v>
      </c>
      <c r="E93" s="4" t="s">
        <v>222</v>
      </c>
      <c r="F93" s="4" t="s">
        <v>997</v>
      </c>
      <c r="I93" s="4" t="s">
        <v>395</v>
      </c>
      <c r="K93" s="4"/>
      <c r="L93" s="4" t="s">
        <v>293</v>
      </c>
    </row>
    <row r="94" hidden="1">
      <c r="A94" s="67" t="str">
        <f t="shared" si="1"/>
        <v>Sun</v>
      </c>
      <c r="B94" s="69">
        <v>43247.0</v>
      </c>
      <c r="C94" s="4" t="s">
        <v>758</v>
      </c>
      <c r="D94" s="176">
        <v>776.0</v>
      </c>
      <c r="E94" s="4" t="s">
        <v>222</v>
      </c>
      <c r="F94" s="4" t="s">
        <v>997</v>
      </c>
      <c r="I94" s="4" t="s">
        <v>395</v>
      </c>
      <c r="K94" s="4"/>
      <c r="L94" s="4" t="s">
        <v>293</v>
      </c>
    </row>
    <row r="95" hidden="1">
      <c r="A95" s="67" t="str">
        <f t="shared" si="1"/>
        <v>Mon</v>
      </c>
      <c r="B95" s="69">
        <v>43248.0</v>
      </c>
      <c r="D95" s="176">
        <v>300.0</v>
      </c>
      <c r="E95" s="4" t="s">
        <v>337</v>
      </c>
      <c r="F95" s="4" t="s">
        <v>997</v>
      </c>
      <c r="G95" s="4"/>
      <c r="I95" s="4" t="s">
        <v>395</v>
      </c>
    </row>
    <row r="96" hidden="1">
      <c r="A96" s="67" t="str">
        <f t="shared" si="1"/>
        <v>Tue</v>
      </c>
      <c r="B96" s="69">
        <v>43249.0</v>
      </c>
      <c r="D96" s="208"/>
      <c r="H96" s="4" t="s">
        <v>997</v>
      </c>
    </row>
    <row r="97" hidden="1">
      <c r="A97" s="67" t="str">
        <f t="shared" si="1"/>
        <v>Wed</v>
      </c>
      <c r="B97" s="69">
        <v>43250.0</v>
      </c>
      <c r="C97" s="4" t="s">
        <v>638</v>
      </c>
      <c r="D97" s="208"/>
    </row>
    <row r="98" hidden="1">
      <c r="A98" s="67" t="str">
        <f t="shared" si="1"/>
        <v>Thu</v>
      </c>
      <c r="B98" s="69">
        <v>43251.0</v>
      </c>
      <c r="C98" s="4" t="s">
        <v>638</v>
      </c>
      <c r="D98" s="208"/>
    </row>
    <row r="99" hidden="1">
      <c r="A99" s="67" t="str">
        <f t="shared" si="1"/>
        <v>Fri</v>
      </c>
      <c r="B99" s="69">
        <v>43252.0</v>
      </c>
      <c r="C99" s="4" t="s">
        <v>638</v>
      </c>
      <c r="D99" s="176">
        <v>0.0</v>
      </c>
      <c r="F99" s="4" t="s">
        <v>998</v>
      </c>
      <c r="G99" s="4" t="s">
        <v>998</v>
      </c>
      <c r="I99" s="4" t="s">
        <v>395</v>
      </c>
      <c r="K99" s="4"/>
      <c r="L99" s="4" t="s">
        <v>293</v>
      </c>
    </row>
    <row r="100" hidden="1">
      <c r="A100" s="67" t="str">
        <f t="shared" si="1"/>
        <v>Sat</v>
      </c>
      <c r="B100" s="69">
        <v>43253.0</v>
      </c>
      <c r="C100" s="4" t="s">
        <v>638</v>
      </c>
      <c r="D100" s="208"/>
      <c r="H100" s="4" t="s">
        <v>998</v>
      </c>
    </row>
    <row r="101" hidden="1">
      <c r="A101" s="67" t="str">
        <f t="shared" si="1"/>
        <v>Sun</v>
      </c>
      <c r="B101" s="69">
        <v>43254.0</v>
      </c>
      <c r="D101" s="208"/>
    </row>
    <row r="102" hidden="1">
      <c r="A102" s="67" t="str">
        <f t="shared" si="1"/>
        <v>Mon</v>
      </c>
      <c r="B102" s="69">
        <v>43255.0</v>
      </c>
      <c r="D102" s="208"/>
    </row>
    <row r="103" hidden="1">
      <c r="A103" s="67" t="str">
        <f t="shared" si="1"/>
        <v>Tue</v>
      </c>
      <c r="B103" s="69">
        <v>43256.0</v>
      </c>
      <c r="D103" s="208"/>
    </row>
    <row r="104" hidden="1">
      <c r="A104" s="67" t="str">
        <f t="shared" si="1"/>
        <v>Wed</v>
      </c>
      <c r="B104" s="69">
        <v>43257.0</v>
      </c>
      <c r="D104" s="208"/>
    </row>
    <row r="105" hidden="1">
      <c r="A105" s="67" t="str">
        <f t="shared" si="1"/>
        <v>Thu</v>
      </c>
      <c r="B105" s="69">
        <v>43258.0</v>
      </c>
      <c r="C105" s="4" t="s">
        <v>626</v>
      </c>
      <c r="D105" s="175">
        <v>316.6666666666667</v>
      </c>
      <c r="E105" s="4" t="s">
        <v>337</v>
      </c>
      <c r="F105" s="4" t="s">
        <v>999</v>
      </c>
      <c r="G105" s="4" t="s">
        <v>999</v>
      </c>
      <c r="I105" s="4" t="s">
        <v>395</v>
      </c>
      <c r="K105" s="4"/>
      <c r="L105" s="4" t="s">
        <v>293</v>
      </c>
    </row>
    <row r="106" hidden="1">
      <c r="A106" s="67" t="str">
        <f t="shared" si="1"/>
        <v>Fri</v>
      </c>
      <c r="B106" s="69">
        <v>43259.0</v>
      </c>
      <c r="C106" s="4" t="s">
        <v>626</v>
      </c>
      <c r="D106" s="175">
        <v>316.6666666666667</v>
      </c>
      <c r="E106" s="4" t="s">
        <v>337</v>
      </c>
      <c r="F106" s="4" t="s">
        <v>999</v>
      </c>
      <c r="G106" s="4" t="s">
        <v>999</v>
      </c>
      <c r="I106" s="4" t="s">
        <v>395</v>
      </c>
      <c r="K106" s="4"/>
      <c r="L106" s="4" t="s">
        <v>293</v>
      </c>
    </row>
    <row r="107" hidden="1">
      <c r="A107" s="67" t="str">
        <f t="shared" si="1"/>
        <v>Sat</v>
      </c>
      <c r="B107" s="69">
        <v>43260.0</v>
      </c>
      <c r="C107" s="4" t="s">
        <v>626</v>
      </c>
      <c r="D107" s="175">
        <v>316.6666666666667</v>
      </c>
      <c r="E107" s="4" t="s">
        <v>337</v>
      </c>
      <c r="F107" s="4" t="s">
        <v>999</v>
      </c>
      <c r="I107" s="4" t="s">
        <v>395</v>
      </c>
      <c r="K107" s="4"/>
      <c r="L107" s="4" t="s">
        <v>293</v>
      </c>
    </row>
    <row r="108" hidden="1">
      <c r="A108" s="67" t="str">
        <f t="shared" si="1"/>
        <v>Sun</v>
      </c>
      <c r="B108" s="69">
        <v>43261.0</v>
      </c>
      <c r="D108" s="208"/>
      <c r="H108" s="4" t="s">
        <v>999</v>
      </c>
    </row>
    <row r="109" hidden="1">
      <c r="A109" s="67" t="str">
        <f t="shared" si="1"/>
        <v>Mon</v>
      </c>
      <c r="B109" s="69">
        <v>43262.0</v>
      </c>
      <c r="D109" s="208"/>
    </row>
    <row r="110" hidden="1">
      <c r="A110" s="67" t="str">
        <f t="shared" si="1"/>
        <v>Tue</v>
      </c>
      <c r="B110" s="69">
        <v>43263.0</v>
      </c>
      <c r="D110" s="208"/>
    </row>
    <row r="111" hidden="1">
      <c r="A111" s="67" t="str">
        <f t="shared" si="1"/>
        <v>Wed</v>
      </c>
      <c r="B111" s="69">
        <v>43264.0</v>
      </c>
      <c r="D111" s="208"/>
    </row>
    <row r="112" hidden="1">
      <c r="A112" s="67" t="str">
        <f t="shared" si="1"/>
        <v>Thu</v>
      </c>
      <c r="B112" s="69">
        <v>43265.0</v>
      </c>
      <c r="D112" s="208"/>
    </row>
    <row r="113" hidden="1">
      <c r="A113" s="67" t="str">
        <f t="shared" si="1"/>
        <v>Fri</v>
      </c>
      <c r="B113" s="69">
        <v>43266.0</v>
      </c>
      <c r="D113" s="208"/>
    </row>
    <row r="114" hidden="1">
      <c r="A114" s="67" t="str">
        <f t="shared" si="1"/>
        <v>Sat</v>
      </c>
      <c r="B114" s="69">
        <v>43267.0</v>
      </c>
      <c r="D114" s="208"/>
    </row>
    <row r="115" hidden="1">
      <c r="A115" s="67" t="str">
        <f t="shared" si="1"/>
        <v>Sun</v>
      </c>
      <c r="B115" s="69">
        <v>43268.0</v>
      </c>
      <c r="D115" s="208"/>
    </row>
    <row r="116" hidden="1">
      <c r="A116" s="67" t="str">
        <f t="shared" si="1"/>
        <v>Mon</v>
      </c>
      <c r="B116" s="69">
        <v>43269.0</v>
      </c>
      <c r="D116" s="208"/>
    </row>
    <row r="117" hidden="1">
      <c r="A117" s="67" t="str">
        <f t="shared" si="1"/>
        <v>Tue</v>
      </c>
      <c r="B117" s="69">
        <v>43270.0</v>
      </c>
      <c r="D117" s="208"/>
    </row>
    <row r="118" hidden="1">
      <c r="A118" s="67" t="str">
        <f t="shared" si="1"/>
        <v>Wed</v>
      </c>
      <c r="B118" s="69">
        <v>43271.0</v>
      </c>
      <c r="D118" s="208"/>
    </row>
    <row r="119" hidden="1">
      <c r="A119" s="67" t="str">
        <f t="shared" si="1"/>
        <v>Thu</v>
      </c>
      <c r="B119" s="69">
        <v>43272.0</v>
      </c>
      <c r="D119" s="208"/>
    </row>
    <row r="120" hidden="1">
      <c r="A120" s="67" t="str">
        <f t="shared" si="1"/>
        <v>Fri</v>
      </c>
      <c r="B120" s="69">
        <v>43273.0</v>
      </c>
      <c r="D120" s="208"/>
    </row>
    <row r="121" hidden="1">
      <c r="A121" s="67" t="str">
        <f t="shared" si="1"/>
        <v>Sat</v>
      </c>
      <c r="B121" s="69">
        <v>43274.0</v>
      </c>
      <c r="D121" s="208"/>
    </row>
    <row r="122" hidden="1">
      <c r="A122" s="67" t="str">
        <f t="shared" si="1"/>
        <v>Sun</v>
      </c>
      <c r="B122" s="69">
        <v>43275.0</v>
      </c>
      <c r="D122" s="208"/>
    </row>
    <row r="123" hidden="1">
      <c r="A123" s="67" t="str">
        <f t="shared" si="1"/>
        <v>Mon</v>
      </c>
      <c r="B123" s="69">
        <v>43276.0</v>
      </c>
      <c r="D123" s="208"/>
    </row>
    <row r="124" hidden="1">
      <c r="A124" s="67" t="str">
        <f t="shared" si="1"/>
        <v>Tue</v>
      </c>
      <c r="B124" s="69">
        <v>43277.0</v>
      </c>
      <c r="D124" s="208"/>
    </row>
    <row r="125" hidden="1">
      <c r="A125" s="67" t="str">
        <f t="shared" si="1"/>
        <v>Wed</v>
      </c>
      <c r="B125" s="69">
        <v>43278.0</v>
      </c>
      <c r="D125" s="208"/>
    </row>
    <row r="126" hidden="1">
      <c r="A126" s="67" t="str">
        <f t="shared" si="1"/>
        <v>Thu</v>
      </c>
      <c r="B126" s="69">
        <v>43279.0</v>
      </c>
      <c r="D126" s="208"/>
    </row>
    <row r="127" hidden="1">
      <c r="A127" s="67" t="str">
        <f t="shared" si="1"/>
        <v>Fri</v>
      </c>
      <c r="B127" s="69">
        <v>43280.0</v>
      </c>
      <c r="D127" s="208"/>
    </row>
    <row r="128" hidden="1">
      <c r="A128" s="67" t="str">
        <f t="shared" si="1"/>
        <v>Sat</v>
      </c>
      <c r="B128" s="69">
        <v>43281.0</v>
      </c>
      <c r="D128" s="208"/>
    </row>
    <row r="129" hidden="1">
      <c r="A129" s="67" t="str">
        <f t="shared" si="1"/>
        <v>Sun</v>
      </c>
      <c r="B129" s="69">
        <v>43282.0</v>
      </c>
      <c r="D129" s="208"/>
    </row>
    <row r="130" hidden="1">
      <c r="A130" s="67" t="str">
        <f t="shared" si="1"/>
        <v>Mon</v>
      </c>
      <c r="B130" s="69">
        <v>43283.0</v>
      </c>
      <c r="D130" s="208"/>
    </row>
    <row r="131" hidden="1">
      <c r="A131" s="67" t="str">
        <f t="shared" si="1"/>
        <v>Tue</v>
      </c>
      <c r="B131" s="69">
        <v>43284.0</v>
      </c>
      <c r="D131" s="208"/>
    </row>
    <row r="132" hidden="1">
      <c r="A132" s="67" t="str">
        <f t="shared" si="1"/>
        <v>Wed</v>
      </c>
      <c r="B132" s="69">
        <v>43285.0</v>
      </c>
      <c r="D132" s="208"/>
    </row>
    <row r="133" hidden="1">
      <c r="A133" s="67" t="str">
        <f t="shared" si="1"/>
        <v>Thu</v>
      </c>
      <c r="B133" s="69">
        <v>43286.0</v>
      </c>
      <c r="D133" s="208"/>
    </row>
    <row r="134" hidden="1">
      <c r="A134" s="67" t="str">
        <f t="shared" si="1"/>
        <v>Fri</v>
      </c>
      <c r="B134" s="69">
        <v>43287.0</v>
      </c>
      <c r="D134" s="208"/>
    </row>
    <row r="135" hidden="1">
      <c r="A135" s="67" t="str">
        <f t="shared" si="1"/>
        <v>Sat</v>
      </c>
      <c r="B135" s="69">
        <v>43288.0</v>
      </c>
      <c r="D135" s="208"/>
    </row>
    <row r="136" hidden="1">
      <c r="A136" s="67" t="str">
        <f t="shared" si="1"/>
        <v>Sun</v>
      </c>
      <c r="B136" s="69">
        <v>43289.0</v>
      </c>
      <c r="D136" s="208"/>
    </row>
    <row r="137" hidden="1">
      <c r="A137" s="67" t="str">
        <f t="shared" si="1"/>
        <v>Mon</v>
      </c>
      <c r="B137" s="69">
        <v>43290.0</v>
      </c>
      <c r="D137" s="208"/>
    </row>
    <row r="138" hidden="1">
      <c r="A138" s="67" t="str">
        <f t="shared" si="1"/>
        <v>Tue</v>
      </c>
      <c r="B138" s="69">
        <v>43291.0</v>
      </c>
      <c r="D138" s="208"/>
    </row>
    <row r="139" hidden="1">
      <c r="A139" s="67" t="str">
        <f t="shared" si="1"/>
        <v>Wed</v>
      </c>
      <c r="B139" s="69">
        <v>43292.0</v>
      </c>
      <c r="D139" s="208"/>
    </row>
    <row r="140" hidden="1">
      <c r="A140" s="67" t="str">
        <f t="shared" si="1"/>
        <v>Thu</v>
      </c>
      <c r="B140" s="69">
        <v>43293.0</v>
      </c>
      <c r="D140" s="208"/>
    </row>
    <row r="141" hidden="1">
      <c r="A141" s="67" t="str">
        <f t="shared" si="1"/>
        <v>Fri</v>
      </c>
      <c r="B141" s="69">
        <v>43294.0</v>
      </c>
      <c r="D141" s="208"/>
    </row>
    <row r="142" hidden="1">
      <c r="A142" s="67" t="str">
        <f t="shared" si="1"/>
        <v>Sat</v>
      </c>
      <c r="B142" s="69">
        <v>43295.0</v>
      </c>
      <c r="D142" s="208"/>
    </row>
    <row r="143" hidden="1">
      <c r="A143" s="67" t="str">
        <f t="shared" si="1"/>
        <v>Sun</v>
      </c>
      <c r="B143" s="69">
        <v>43296.0</v>
      </c>
      <c r="D143" s="208"/>
    </row>
    <row r="144" hidden="1">
      <c r="A144" s="67" t="str">
        <f t="shared" si="1"/>
        <v>Mon</v>
      </c>
      <c r="B144" s="69">
        <v>43297.0</v>
      </c>
      <c r="D144" s="208"/>
    </row>
    <row r="145" hidden="1">
      <c r="A145" s="67" t="str">
        <f t="shared" si="1"/>
        <v>Tue</v>
      </c>
      <c r="B145" s="69">
        <v>43298.0</v>
      </c>
      <c r="D145" s="208"/>
    </row>
    <row r="146" hidden="1">
      <c r="A146" s="67" t="str">
        <f t="shared" si="1"/>
        <v>Wed</v>
      </c>
      <c r="B146" s="69">
        <v>43299.0</v>
      </c>
      <c r="D146" s="208"/>
    </row>
    <row r="147" hidden="1">
      <c r="A147" s="67" t="str">
        <f t="shared" si="1"/>
        <v>Thu</v>
      </c>
      <c r="B147" s="69">
        <v>43300.0</v>
      </c>
      <c r="D147" s="176">
        <v>218.25</v>
      </c>
      <c r="E147" s="4" t="s">
        <v>222</v>
      </c>
      <c r="F147" s="4" t="s">
        <v>1000</v>
      </c>
      <c r="G147" s="4" t="s">
        <v>1000</v>
      </c>
      <c r="I147" s="4" t="s">
        <v>395</v>
      </c>
      <c r="K147" s="4"/>
      <c r="L147" s="4" t="s">
        <v>293</v>
      </c>
    </row>
    <row r="148" hidden="1">
      <c r="A148" s="67" t="str">
        <f t="shared" si="1"/>
        <v>Fri</v>
      </c>
      <c r="B148" s="69">
        <v>43301.0</v>
      </c>
      <c r="D148" s="176">
        <v>218.25</v>
      </c>
      <c r="E148" s="4" t="s">
        <v>222</v>
      </c>
      <c r="F148" s="4" t="s">
        <v>1000</v>
      </c>
      <c r="I148" s="4" t="s">
        <v>395</v>
      </c>
      <c r="K148" s="4"/>
      <c r="L148" s="4" t="s">
        <v>293</v>
      </c>
    </row>
    <row r="149" hidden="1">
      <c r="A149" s="67" t="str">
        <f t="shared" si="1"/>
        <v>Sat</v>
      </c>
      <c r="B149" s="69">
        <v>43302.0</v>
      </c>
      <c r="D149" s="176">
        <v>218.25</v>
      </c>
      <c r="E149" s="4" t="s">
        <v>222</v>
      </c>
      <c r="F149" s="4" t="s">
        <v>1000</v>
      </c>
      <c r="I149" s="4" t="s">
        <v>395</v>
      </c>
      <c r="K149" s="4"/>
      <c r="L149" s="4" t="s">
        <v>293</v>
      </c>
    </row>
    <row r="150" hidden="1">
      <c r="A150" s="67" t="str">
        <f t="shared" si="1"/>
        <v>Sun</v>
      </c>
      <c r="B150" s="69">
        <v>43303.0</v>
      </c>
      <c r="D150" s="176">
        <v>218.25</v>
      </c>
      <c r="E150" s="4" t="s">
        <v>222</v>
      </c>
      <c r="F150" s="4" t="s">
        <v>1000</v>
      </c>
      <c r="I150" s="4" t="s">
        <v>395</v>
      </c>
      <c r="K150" s="4"/>
      <c r="L150" s="4" t="s">
        <v>293</v>
      </c>
    </row>
    <row r="151" hidden="1">
      <c r="A151" s="67" t="str">
        <f t="shared" si="1"/>
        <v>Mon</v>
      </c>
      <c r="B151" s="69">
        <v>43304.0</v>
      </c>
      <c r="D151" s="176">
        <v>218.25</v>
      </c>
      <c r="E151" s="4" t="s">
        <v>222</v>
      </c>
      <c r="F151" s="4" t="s">
        <v>1000</v>
      </c>
      <c r="I151" s="4" t="s">
        <v>395</v>
      </c>
      <c r="K151" s="4"/>
      <c r="L151" s="4" t="s">
        <v>293</v>
      </c>
    </row>
    <row r="152" hidden="1">
      <c r="A152" s="67" t="str">
        <f t="shared" si="1"/>
        <v>Tue</v>
      </c>
      <c r="B152" s="69">
        <v>43305.0</v>
      </c>
      <c r="D152" s="176">
        <v>218.25</v>
      </c>
      <c r="E152" s="4" t="s">
        <v>222</v>
      </c>
      <c r="F152" s="4" t="s">
        <v>1000</v>
      </c>
      <c r="I152" s="4" t="s">
        <v>395</v>
      </c>
      <c r="K152" s="4"/>
      <c r="L152" s="4" t="s">
        <v>293</v>
      </c>
    </row>
    <row r="153" hidden="1">
      <c r="A153" s="67" t="str">
        <f t="shared" si="1"/>
        <v>Wed</v>
      </c>
      <c r="B153" s="69">
        <v>43306.0</v>
      </c>
      <c r="D153" s="176">
        <v>218.25</v>
      </c>
      <c r="E153" s="4" t="s">
        <v>222</v>
      </c>
      <c r="F153" s="4" t="s">
        <v>1000</v>
      </c>
      <c r="I153" s="4" t="s">
        <v>395</v>
      </c>
      <c r="K153" s="4"/>
      <c r="L153" s="4" t="s">
        <v>293</v>
      </c>
    </row>
    <row r="154" hidden="1">
      <c r="A154" s="67" t="str">
        <f t="shared" si="1"/>
        <v>Thu</v>
      </c>
      <c r="B154" s="69">
        <v>43307.0</v>
      </c>
      <c r="D154" s="176">
        <v>300.0</v>
      </c>
      <c r="E154" s="4" t="s">
        <v>222</v>
      </c>
      <c r="F154" s="4" t="s">
        <v>774</v>
      </c>
      <c r="G154" s="4" t="s">
        <v>774</v>
      </c>
      <c r="H154" s="4" t="s">
        <v>1000</v>
      </c>
      <c r="I154" s="4" t="s">
        <v>395</v>
      </c>
      <c r="K154" s="4"/>
      <c r="L154" s="4" t="s">
        <v>293</v>
      </c>
    </row>
    <row r="155" hidden="1">
      <c r="A155" s="67" t="str">
        <f t="shared" si="1"/>
        <v>Fri</v>
      </c>
      <c r="B155" s="69">
        <v>43308.0</v>
      </c>
      <c r="D155" s="176">
        <v>300.0</v>
      </c>
      <c r="E155" s="4" t="s">
        <v>337</v>
      </c>
      <c r="F155" s="4" t="s">
        <v>752</v>
      </c>
      <c r="G155" s="4" t="s">
        <v>752</v>
      </c>
      <c r="H155" s="4" t="s">
        <v>774</v>
      </c>
      <c r="I155" s="4" t="s">
        <v>395</v>
      </c>
      <c r="K155" s="4"/>
      <c r="L155" s="4" t="s">
        <v>293</v>
      </c>
    </row>
    <row r="156" hidden="1">
      <c r="A156" s="67" t="str">
        <f t="shared" si="1"/>
        <v>Sat</v>
      </c>
      <c r="B156" s="69">
        <v>43309.0</v>
      </c>
      <c r="D156" s="176">
        <v>300.0</v>
      </c>
      <c r="E156" s="4" t="s">
        <v>337</v>
      </c>
      <c r="F156" s="4" t="s">
        <v>752</v>
      </c>
      <c r="I156" s="4" t="s">
        <v>395</v>
      </c>
      <c r="K156" s="4"/>
      <c r="L156" s="4" t="s">
        <v>293</v>
      </c>
    </row>
    <row r="157" hidden="1">
      <c r="A157" s="67" t="str">
        <f t="shared" si="1"/>
        <v>Sun</v>
      </c>
      <c r="B157" s="69">
        <v>43310.0</v>
      </c>
      <c r="D157" s="176">
        <v>300.0</v>
      </c>
      <c r="E157" s="4" t="s">
        <v>337</v>
      </c>
      <c r="F157" s="4" t="s">
        <v>752</v>
      </c>
      <c r="I157" s="4" t="s">
        <v>395</v>
      </c>
      <c r="K157" s="4"/>
      <c r="L157" s="4" t="s">
        <v>293</v>
      </c>
    </row>
    <row r="158" hidden="1">
      <c r="A158" s="67" t="str">
        <f t="shared" si="1"/>
        <v>Mon</v>
      </c>
      <c r="B158" s="69">
        <v>43311.0</v>
      </c>
      <c r="D158" s="208"/>
      <c r="H158" s="4" t="s">
        <v>752</v>
      </c>
    </row>
    <row r="159" hidden="1">
      <c r="A159" s="67" t="str">
        <f t="shared" si="1"/>
        <v>Tue</v>
      </c>
      <c r="B159" s="69">
        <v>43312.0</v>
      </c>
      <c r="D159" s="208"/>
    </row>
    <row r="160" hidden="1">
      <c r="A160" s="67" t="str">
        <f t="shared" si="1"/>
        <v>Wed</v>
      </c>
      <c r="B160" s="69">
        <v>43313.0</v>
      </c>
      <c r="D160" s="208"/>
    </row>
    <row r="161" hidden="1">
      <c r="A161" s="67" t="str">
        <f t="shared" si="1"/>
        <v>Thu</v>
      </c>
      <c r="B161" s="69">
        <v>43314.0</v>
      </c>
      <c r="D161" s="208"/>
    </row>
    <row r="162" hidden="1">
      <c r="A162" s="67" t="str">
        <f t="shared" si="1"/>
        <v>Fri</v>
      </c>
      <c r="B162" s="69">
        <v>43315.0</v>
      </c>
      <c r="D162" s="208"/>
    </row>
    <row r="163" hidden="1">
      <c r="A163" s="67" t="str">
        <f t="shared" si="1"/>
        <v>Sat</v>
      </c>
      <c r="B163" s="69">
        <v>43316.0</v>
      </c>
      <c r="D163" s="208"/>
    </row>
    <row r="164" hidden="1">
      <c r="A164" s="67" t="str">
        <f t="shared" si="1"/>
        <v>Sun</v>
      </c>
      <c r="B164" s="69">
        <v>43317.0</v>
      </c>
      <c r="D164" s="208"/>
    </row>
    <row r="165" hidden="1">
      <c r="A165" s="67" t="str">
        <f t="shared" si="1"/>
        <v>Mon</v>
      </c>
      <c r="B165" s="69">
        <v>43318.0</v>
      </c>
      <c r="D165" s="208"/>
    </row>
    <row r="166" hidden="1">
      <c r="A166" s="67" t="str">
        <f t="shared" si="1"/>
        <v>Tue</v>
      </c>
      <c r="B166" s="69">
        <v>43319.0</v>
      </c>
      <c r="D166" s="208"/>
    </row>
    <row r="167" hidden="1">
      <c r="A167" s="67" t="str">
        <f t="shared" si="1"/>
        <v>Wed</v>
      </c>
      <c r="B167" s="69">
        <v>43320.0</v>
      </c>
      <c r="D167" s="208"/>
    </row>
    <row r="168" hidden="1">
      <c r="A168" s="67" t="str">
        <f t="shared" si="1"/>
        <v>Thu</v>
      </c>
      <c r="B168" s="69">
        <v>43321.0</v>
      </c>
      <c r="D168" s="208"/>
    </row>
    <row r="169" hidden="1">
      <c r="A169" s="67" t="str">
        <f t="shared" si="1"/>
        <v>Fri</v>
      </c>
      <c r="B169" s="69">
        <v>43322.0</v>
      </c>
      <c r="D169" s="208"/>
    </row>
    <row r="170" hidden="1">
      <c r="A170" s="67" t="str">
        <f t="shared" si="1"/>
        <v>Sat</v>
      </c>
      <c r="B170" s="69">
        <v>43323.0</v>
      </c>
      <c r="D170" s="208"/>
    </row>
    <row r="171" hidden="1">
      <c r="A171" s="67" t="str">
        <f t="shared" si="1"/>
        <v>Sun</v>
      </c>
      <c r="B171" s="69">
        <v>43324.0</v>
      </c>
      <c r="D171" s="208"/>
    </row>
    <row r="172" hidden="1">
      <c r="A172" s="67" t="str">
        <f t="shared" si="1"/>
        <v>Mon</v>
      </c>
      <c r="B172" s="69">
        <v>43325.0</v>
      </c>
      <c r="D172" s="208"/>
    </row>
    <row r="173" hidden="1">
      <c r="A173" s="67" t="str">
        <f t="shared" si="1"/>
        <v>Tue</v>
      </c>
      <c r="B173" s="69">
        <v>43326.0</v>
      </c>
      <c r="D173" s="208"/>
    </row>
    <row r="174" hidden="1">
      <c r="A174" s="67" t="str">
        <f t="shared" si="1"/>
        <v>Wed</v>
      </c>
      <c r="B174" s="69">
        <v>43327.0</v>
      </c>
      <c r="D174" s="208"/>
    </row>
    <row r="175" hidden="1">
      <c r="A175" s="67" t="str">
        <f t="shared" si="1"/>
        <v>Thu</v>
      </c>
      <c r="B175" s="69">
        <v>43328.0</v>
      </c>
      <c r="D175" s="208"/>
    </row>
    <row r="176" hidden="1">
      <c r="A176" s="67" t="str">
        <f t="shared" si="1"/>
        <v>Fri</v>
      </c>
      <c r="B176" s="69">
        <v>43329.0</v>
      </c>
      <c r="D176" s="208"/>
    </row>
    <row r="177" hidden="1">
      <c r="A177" s="67" t="str">
        <f t="shared" si="1"/>
        <v>Sat</v>
      </c>
      <c r="B177" s="69">
        <v>43330.0</v>
      </c>
      <c r="D177" s="208"/>
    </row>
    <row r="178" hidden="1">
      <c r="A178" s="67" t="str">
        <f t="shared" si="1"/>
        <v>Sun</v>
      </c>
      <c r="B178" s="69">
        <v>43331.0</v>
      </c>
      <c r="D178" s="208"/>
    </row>
    <row r="179" hidden="1">
      <c r="A179" s="67" t="str">
        <f t="shared" si="1"/>
        <v>Mon</v>
      </c>
      <c r="B179" s="69">
        <v>43332.0</v>
      </c>
      <c r="D179" s="208"/>
    </row>
    <row r="180" hidden="1">
      <c r="A180" s="67" t="str">
        <f t="shared" si="1"/>
        <v>Tue</v>
      </c>
      <c r="B180" s="69">
        <v>43333.0</v>
      </c>
      <c r="D180" s="208"/>
    </row>
    <row r="181" hidden="1">
      <c r="A181" s="67" t="str">
        <f t="shared" si="1"/>
        <v>Wed</v>
      </c>
      <c r="B181" s="69">
        <v>43334.0</v>
      </c>
      <c r="D181" s="208"/>
    </row>
    <row r="182" hidden="1">
      <c r="A182" s="67" t="str">
        <f t="shared" si="1"/>
        <v>Thu</v>
      </c>
      <c r="B182" s="69">
        <v>43335.0</v>
      </c>
      <c r="D182" s="208"/>
    </row>
    <row r="183" hidden="1">
      <c r="A183" s="67" t="str">
        <f t="shared" si="1"/>
        <v>Fri</v>
      </c>
      <c r="B183" s="69">
        <v>43336.0</v>
      </c>
      <c r="D183" s="208"/>
    </row>
    <row r="184" hidden="1">
      <c r="A184" s="67" t="str">
        <f t="shared" si="1"/>
        <v>Sat</v>
      </c>
      <c r="B184" s="69">
        <v>43337.0</v>
      </c>
      <c r="D184" s="208"/>
    </row>
    <row r="185" hidden="1">
      <c r="A185" s="67" t="str">
        <f t="shared" si="1"/>
        <v>Sun</v>
      </c>
      <c r="B185" s="69">
        <v>43338.0</v>
      </c>
      <c r="D185" s="208"/>
    </row>
    <row r="186" hidden="1">
      <c r="A186" s="67" t="str">
        <f t="shared" si="1"/>
        <v>Mon</v>
      </c>
      <c r="B186" s="69">
        <v>43339.0</v>
      </c>
      <c r="D186" s="208"/>
    </row>
    <row r="187" hidden="1">
      <c r="A187" s="67" t="str">
        <f t="shared" si="1"/>
        <v>Tue</v>
      </c>
      <c r="B187" s="69">
        <v>43340.0</v>
      </c>
      <c r="D187" s="208"/>
    </row>
    <row r="188" hidden="1">
      <c r="A188" s="67" t="str">
        <f t="shared" si="1"/>
        <v>Wed</v>
      </c>
      <c r="B188" s="69">
        <v>43341.0</v>
      </c>
      <c r="D188" s="208"/>
    </row>
    <row r="189" hidden="1">
      <c r="A189" s="67" t="str">
        <f t="shared" si="1"/>
        <v>Thu</v>
      </c>
      <c r="B189" s="69">
        <v>43342.0</v>
      </c>
      <c r="D189" s="208"/>
    </row>
    <row r="190" hidden="1">
      <c r="A190" s="67" t="str">
        <f t="shared" si="1"/>
        <v>Fri</v>
      </c>
      <c r="B190" s="69">
        <v>43343.0</v>
      </c>
      <c r="D190" s="208"/>
    </row>
    <row r="191" hidden="1">
      <c r="A191" s="67" t="str">
        <f t="shared" si="1"/>
        <v>Sat</v>
      </c>
      <c r="B191" s="69">
        <v>43344.0</v>
      </c>
      <c r="D191" s="208"/>
    </row>
    <row r="192" hidden="1">
      <c r="A192" s="67" t="str">
        <f t="shared" si="1"/>
        <v>Sun</v>
      </c>
      <c r="B192" s="69">
        <v>43345.0</v>
      </c>
      <c r="D192" s="208"/>
    </row>
    <row r="193" hidden="1">
      <c r="A193" s="67" t="str">
        <f t="shared" si="1"/>
        <v>Mon</v>
      </c>
      <c r="B193" s="69">
        <v>43346.0</v>
      </c>
      <c r="D193" s="208"/>
    </row>
    <row r="194" hidden="1">
      <c r="A194" s="67" t="str">
        <f t="shared" si="1"/>
        <v>Tue</v>
      </c>
      <c r="B194" s="69">
        <v>43347.0</v>
      </c>
      <c r="D194" s="208"/>
    </row>
    <row r="195" hidden="1">
      <c r="A195" s="67" t="str">
        <f t="shared" si="1"/>
        <v>Wed</v>
      </c>
      <c r="B195" s="69">
        <v>43348.0</v>
      </c>
      <c r="D195" s="208"/>
    </row>
    <row r="196" hidden="1">
      <c r="A196" s="67" t="str">
        <f t="shared" si="1"/>
        <v>Thu</v>
      </c>
      <c r="B196" s="69">
        <v>43349.0</v>
      </c>
      <c r="C196" s="4" t="s">
        <v>638</v>
      </c>
      <c r="D196" s="208"/>
    </row>
    <row r="197" hidden="1">
      <c r="A197" s="67" t="str">
        <f t="shared" si="1"/>
        <v>Fri</v>
      </c>
      <c r="B197" s="69">
        <v>43350.0</v>
      </c>
      <c r="C197" s="4" t="s">
        <v>638</v>
      </c>
      <c r="D197" s="208"/>
    </row>
    <row r="198" hidden="1">
      <c r="A198" s="67" t="str">
        <f t="shared" si="1"/>
        <v>Sat</v>
      </c>
      <c r="B198" s="69">
        <v>43351.0</v>
      </c>
      <c r="C198" s="4" t="s">
        <v>638</v>
      </c>
      <c r="D198" s="208"/>
    </row>
    <row r="199" hidden="1">
      <c r="A199" s="67" t="str">
        <f t="shared" si="1"/>
        <v>Sun</v>
      </c>
      <c r="B199" s="69">
        <v>43352.0</v>
      </c>
      <c r="D199" s="208"/>
    </row>
    <row r="200" hidden="1">
      <c r="A200" s="67" t="str">
        <f t="shared" si="1"/>
        <v>Mon</v>
      </c>
      <c r="B200" s="69">
        <v>43353.0</v>
      </c>
      <c r="D200" s="208"/>
    </row>
    <row r="201" hidden="1">
      <c r="A201" s="67" t="str">
        <f t="shared" si="1"/>
        <v>Tue</v>
      </c>
      <c r="B201" s="69">
        <v>43354.0</v>
      </c>
      <c r="D201" s="208"/>
    </row>
    <row r="202" hidden="1">
      <c r="A202" s="67" t="str">
        <f t="shared" si="1"/>
        <v>Wed</v>
      </c>
      <c r="B202" s="69">
        <v>43355.0</v>
      </c>
      <c r="D202" s="208"/>
    </row>
    <row r="203" hidden="1">
      <c r="A203" s="67" t="str">
        <f t="shared" si="1"/>
        <v>Thu</v>
      </c>
      <c r="B203" s="69">
        <v>43356.0</v>
      </c>
      <c r="D203" s="208"/>
    </row>
    <row r="204" hidden="1">
      <c r="A204" s="67" t="str">
        <f t="shared" si="1"/>
        <v>Fri</v>
      </c>
      <c r="B204" s="69">
        <v>43357.0</v>
      </c>
      <c r="D204" s="208"/>
    </row>
    <row r="205" hidden="1">
      <c r="A205" s="67" t="str">
        <f t="shared" si="1"/>
        <v>Sat</v>
      </c>
      <c r="B205" s="69">
        <v>43358.0</v>
      </c>
      <c r="D205" s="208"/>
    </row>
    <row r="206" hidden="1">
      <c r="A206" s="67" t="str">
        <f t="shared" si="1"/>
        <v>Sun</v>
      </c>
      <c r="B206" s="69">
        <v>43359.0</v>
      </c>
      <c r="D206" s="208"/>
    </row>
    <row r="207" hidden="1">
      <c r="A207" s="67" t="str">
        <f t="shared" si="1"/>
        <v>Mon</v>
      </c>
      <c r="B207" s="69">
        <v>43360.0</v>
      </c>
      <c r="D207" s="208"/>
    </row>
    <row r="208" hidden="1">
      <c r="A208" s="67" t="str">
        <f t="shared" si="1"/>
        <v>Tue</v>
      </c>
      <c r="B208" s="69">
        <v>43361.0</v>
      </c>
      <c r="D208" s="208"/>
    </row>
    <row r="209" hidden="1">
      <c r="A209" s="67" t="str">
        <f t="shared" si="1"/>
        <v>Wed</v>
      </c>
      <c r="B209" s="69">
        <v>43362.0</v>
      </c>
      <c r="D209" s="208"/>
    </row>
    <row r="210" hidden="1">
      <c r="A210" s="67" t="str">
        <f t="shared" si="1"/>
        <v>Thu</v>
      </c>
      <c r="B210" s="69">
        <v>43363.0</v>
      </c>
      <c r="D210" s="176">
        <v>245.82</v>
      </c>
      <c r="E210" s="4" t="s">
        <v>222</v>
      </c>
      <c r="F210" s="4" t="s">
        <v>1007</v>
      </c>
      <c r="G210" s="4" t="s">
        <v>1007</v>
      </c>
      <c r="I210" s="4" t="s">
        <v>395</v>
      </c>
      <c r="K210" s="4"/>
      <c r="L210" s="4" t="s">
        <v>293</v>
      </c>
    </row>
    <row r="211" hidden="1">
      <c r="A211" s="67" t="str">
        <f t="shared" si="1"/>
        <v>Fri</v>
      </c>
      <c r="B211" s="69">
        <v>43364.0</v>
      </c>
      <c r="D211" s="176">
        <v>245.82</v>
      </c>
      <c r="E211" s="4" t="s">
        <v>222</v>
      </c>
      <c r="F211" s="4" t="s">
        <v>1007</v>
      </c>
      <c r="I211" s="4" t="s">
        <v>395</v>
      </c>
      <c r="K211" s="4"/>
      <c r="L211" s="4" t="s">
        <v>293</v>
      </c>
    </row>
    <row r="212" hidden="1">
      <c r="A212" s="67" t="str">
        <f t="shared" si="1"/>
        <v>Sat</v>
      </c>
      <c r="B212" s="69">
        <v>43365.0</v>
      </c>
      <c r="D212" s="176">
        <v>245.82</v>
      </c>
      <c r="E212" s="4" t="s">
        <v>222</v>
      </c>
      <c r="F212" s="4" t="s">
        <v>1007</v>
      </c>
      <c r="I212" s="4" t="s">
        <v>395</v>
      </c>
      <c r="K212" s="4"/>
      <c r="L212" s="4" t="s">
        <v>293</v>
      </c>
    </row>
    <row r="213" hidden="1">
      <c r="A213" s="67" t="str">
        <f t="shared" si="1"/>
        <v>Sun</v>
      </c>
      <c r="B213" s="69">
        <v>43366.0</v>
      </c>
      <c r="D213" s="176">
        <v>245.82</v>
      </c>
      <c r="E213" s="4" t="s">
        <v>222</v>
      </c>
      <c r="F213" s="4" t="s">
        <v>1007</v>
      </c>
      <c r="I213" s="4" t="s">
        <v>395</v>
      </c>
      <c r="K213" s="4"/>
      <c r="L213" s="4" t="s">
        <v>293</v>
      </c>
    </row>
    <row r="214" hidden="1">
      <c r="A214" s="67" t="str">
        <f t="shared" si="1"/>
        <v>Mon</v>
      </c>
      <c r="B214" s="69">
        <v>43367.0</v>
      </c>
      <c r="D214" s="208"/>
      <c r="H214" s="4" t="s">
        <v>1007</v>
      </c>
    </row>
    <row r="215" hidden="1">
      <c r="A215" s="67" t="str">
        <f t="shared" si="1"/>
        <v>Tue</v>
      </c>
      <c r="B215" s="69">
        <v>43368.0</v>
      </c>
      <c r="D215" s="176">
        <v>194.0</v>
      </c>
      <c r="E215" s="4" t="s">
        <v>222</v>
      </c>
      <c r="F215" s="4" t="s">
        <v>1009</v>
      </c>
      <c r="G215" s="4" t="s">
        <v>1009</v>
      </c>
      <c r="I215" s="4" t="s">
        <v>395</v>
      </c>
      <c r="K215" s="4"/>
      <c r="L215" s="4" t="s">
        <v>293</v>
      </c>
    </row>
    <row r="216" hidden="1">
      <c r="A216" s="67" t="str">
        <f t="shared" si="1"/>
        <v>Wed</v>
      </c>
      <c r="B216" s="69">
        <v>43369.0</v>
      </c>
      <c r="D216" s="176">
        <v>194.0</v>
      </c>
      <c r="E216" s="4" t="s">
        <v>222</v>
      </c>
      <c r="F216" s="4" t="s">
        <v>1009</v>
      </c>
      <c r="I216" s="4" t="s">
        <v>395</v>
      </c>
      <c r="K216" s="4"/>
      <c r="L216" s="4" t="s">
        <v>293</v>
      </c>
    </row>
    <row r="217" hidden="1">
      <c r="A217" s="67" t="str">
        <f t="shared" si="1"/>
        <v>Thu</v>
      </c>
      <c r="B217" s="69">
        <v>43370.0</v>
      </c>
      <c r="D217" s="208"/>
      <c r="H217" s="4" t="s">
        <v>1009</v>
      </c>
    </row>
    <row r="218" hidden="1">
      <c r="A218" s="67" t="str">
        <f t="shared" si="1"/>
        <v>Fri</v>
      </c>
      <c r="B218" s="69">
        <v>43371.0</v>
      </c>
      <c r="D218" s="208"/>
    </row>
    <row r="219" hidden="1">
      <c r="A219" s="67" t="str">
        <f t="shared" si="1"/>
        <v>Sat</v>
      </c>
      <c r="B219" s="69">
        <v>43372.0</v>
      </c>
      <c r="D219" s="176">
        <v>250.0</v>
      </c>
      <c r="E219" s="4" t="s">
        <v>337</v>
      </c>
      <c r="F219" s="4" t="s">
        <v>1011</v>
      </c>
      <c r="I219" s="4" t="s">
        <v>395</v>
      </c>
      <c r="J219" s="4" t="s">
        <v>791</v>
      </c>
      <c r="K219" s="4"/>
      <c r="L219" s="4" t="s">
        <v>293</v>
      </c>
    </row>
    <row r="220" hidden="1">
      <c r="A220" s="67" t="str">
        <f t="shared" si="1"/>
        <v>Sun</v>
      </c>
      <c r="B220" s="69">
        <v>43373.0</v>
      </c>
      <c r="D220" s="176">
        <v>223.1</v>
      </c>
      <c r="E220" s="4" t="s">
        <v>222</v>
      </c>
      <c r="F220" s="4" t="s">
        <v>1012</v>
      </c>
      <c r="G220" s="4" t="s">
        <v>1012</v>
      </c>
      <c r="H220" s="4" t="s">
        <v>1011</v>
      </c>
      <c r="K220" s="4"/>
      <c r="L220" s="4" t="s">
        <v>293</v>
      </c>
    </row>
    <row r="221" hidden="1">
      <c r="A221" s="67" t="str">
        <f t="shared" si="1"/>
        <v>Mon</v>
      </c>
      <c r="B221" s="69">
        <v>43374.0</v>
      </c>
      <c r="D221" s="176">
        <v>223.1</v>
      </c>
      <c r="E221" s="4" t="s">
        <v>222</v>
      </c>
      <c r="F221" s="4" t="s">
        <v>1012</v>
      </c>
      <c r="K221" s="4"/>
      <c r="L221" s="4" t="s">
        <v>293</v>
      </c>
    </row>
    <row r="222" hidden="1">
      <c r="A222" s="67" t="str">
        <f t="shared" si="1"/>
        <v>Tue</v>
      </c>
      <c r="B222" s="69">
        <v>43375.0</v>
      </c>
      <c r="D222" s="176">
        <v>223.1</v>
      </c>
      <c r="E222" s="4" t="s">
        <v>222</v>
      </c>
      <c r="F222" s="4" t="s">
        <v>1012</v>
      </c>
      <c r="K222" s="4"/>
      <c r="L222" s="4" t="s">
        <v>293</v>
      </c>
    </row>
    <row r="223" hidden="1">
      <c r="A223" s="67" t="str">
        <f t="shared" si="1"/>
        <v>Wed</v>
      </c>
      <c r="B223" s="69">
        <v>43376.0</v>
      </c>
      <c r="D223" s="208"/>
      <c r="I223" s="4" t="s">
        <v>1012</v>
      </c>
    </row>
    <row r="224" hidden="1">
      <c r="A224" s="67" t="str">
        <f t="shared" si="1"/>
        <v>Thu</v>
      </c>
      <c r="B224" s="69">
        <v>43377.0</v>
      </c>
      <c r="C224" s="4" t="s">
        <v>185</v>
      </c>
      <c r="D224" s="208"/>
    </row>
    <row r="225" hidden="1">
      <c r="A225" s="67" t="str">
        <f t="shared" si="1"/>
        <v>Fri</v>
      </c>
      <c r="B225" s="69">
        <v>43378.0</v>
      </c>
      <c r="C225" s="4" t="s">
        <v>185</v>
      </c>
      <c r="D225" s="208"/>
    </row>
    <row r="226" hidden="1">
      <c r="A226" s="67" t="str">
        <f t="shared" si="1"/>
        <v>Sat</v>
      </c>
      <c r="B226" s="69">
        <v>43379.0</v>
      </c>
      <c r="C226" s="4" t="s">
        <v>185</v>
      </c>
      <c r="D226" s="208"/>
    </row>
    <row r="227" hidden="1">
      <c r="A227" s="67" t="str">
        <f t="shared" si="1"/>
        <v>Sun</v>
      </c>
      <c r="B227" s="69">
        <v>43380.0</v>
      </c>
      <c r="C227" s="4" t="s">
        <v>185</v>
      </c>
      <c r="D227" s="208"/>
    </row>
    <row r="228" hidden="1">
      <c r="A228" s="67" t="str">
        <f t="shared" si="1"/>
        <v>Mon</v>
      </c>
      <c r="B228" s="69">
        <v>43381.0</v>
      </c>
      <c r="C228" s="4" t="s">
        <v>185</v>
      </c>
      <c r="D228" s="176">
        <v>203.7</v>
      </c>
      <c r="E228" s="4" t="s">
        <v>222</v>
      </c>
      <c r="F228" s="4" t="s">
        <v>1018</v>
      </c>
      <c r="G228" s="4" t="s">
        <v>1018</v>
      </c>
      <c r="I228" s="4" t="s">
        <v>395</v>
      </c>
      <c r="J228" s="4" t="s">
        <v>1019</v>
      </c>
      <c r="K228" s="4"/>
      <c r="L228" s="4" t="s">
        <v>293</v>
      </c>
    </row>
    <row r="229" hidden="1">
      <c r="A229" s="67" t="str">
        <f t="shared" si="1"/>
        <v>Tue</v>
      </c>
      <c r="B229" s="69">
        <v>43382.0</v>
      </c>
      <c r="C229" s="4" t="s">
        <v>185</v>
      </c>
      <c r="D229" s="176">
        <v>203.7</v>
      </c>
      <c r="E229" s="4" t="s">
        <v>222</v>
      </c>
      <c r="F229" s="4" t="s">
        <v>1018</v>
      </c>
      <c r="I229" s="4" t="s">
        <v>395</v>
      </c>
      <c r="J229" s="4" t="s">
        <v>1020</v>
      </c>
      <c r="K229" s="4"/>
      <c r="L229" s="4" t="s">
        <v>293</v>
      </c>
    </row>
    <row r="230" hidden="1">
      <c r="A230" s="67" t="str">
        <f t="shared" si="1"/>
        <v>Wed</v>
      </c>
      <c r="B230" s="69">
        <v>43383.0</v>
      </c>
      <c r="C230" s="4" t="s">
        <v>185</v>
      </c>
      <c r="D230" s="208"/>
      <c r="H230" s="4" t="s">
        <v>1018</v>
      </c>
    </row>
    <row r="231" hidden="1">
      <c r="A231" s="67" t="str">
        <f t="shared" si="1"/>
        <v>Thu</v>
      </c>
      <c r="B231" s="69">
        <v>43384.0</v>
      </c>
      <c r="C231" s="4" t="s">
        <v>185</v>
      </c>
      <c r="D231" s="176">
        <v>374.41999999999996</v>
      </c>
      <c r="E231" s="4" t="s">
        <v>222</v>
      </c>
      <c r="F231" s="4" t="s">
        <v>1022</v>
      </c>
      <c r="G231" s="4" t="s">
        <v>1022</v>
      </c>
      <c r="I231" s="4" t="s">
        <v>395</v>
      </c>
      <c r="K231" s="4"/>
      <c r="L231" s="4" t="s">
        <v>293</v>
      </c>
    </row>
    <row r="232" hidden="1">
      <c r="A232" s="67" t="str">
        <f t="shared" si="1"/>
        <v>Fri</v>
      </c>
      <c r="B232" s="69">
        <v>43385.0</v>
      </c>
      <c r="C232" s="4" t="s">
        <v>185</v>
      </c>
      <c r="D232" s="176">
        <v>374.41999999999996</v>
      </c>
      <c r="E232" s="4" t="s">
        <v>222</v>
      </c>
      <c r="F232" s="4" t="s">
        <v>1022</v>
      </c>
      <c r="I232" s="4" t="s">
        <v>395</v>
      </c>
      <c r="K232" s="4"/>
      <c r="L232" s="4" t="s">
        <v>293</v>
      </c>
    </row>
    <row r="233" hidden="1">
      <c r="A233" s="67" t="str">
        <f t="shared" si="1"/>
        <v>Sat</v>
      </c>
      <c r="B233" s="69">
        <v>43386.0</v>
      </c>
      <c r="C233" s="4" t="s">
        <v>185</v>
      </c>
      <c r="D233" s="176">
        <v>374.41999999999996</v>
      </c>
      <c r="E233" s="4" t="s">
        <v>222</v>
      </c>
      <c r="F233" s="4" t="s">
        <v>1022</v>
      </c>
      <c r="I233" s="4" t="s">
        <v>395</v>
      </c>
      <c r="K233" s="4"/>
      <c r="L233" s="4" t="s">
        <v>293</v>
      </c>
    </row>
    <row r="234" hidden="1">
      <c r="A234" s="67" t="str">
        <f t="shared" si="1"/>
        <v>Sun</v>
      </c>
      <c r="B234" s="69">
        <v>43387.0</v>
      </c>
      <c r="C234" s="4" t="s">
        <v>185</v>
      </c>
      <c r="D234" s="176">
        <v>374.41999999999996</v>
      </c>
      <c r="E234" s="4" t="s">
        <v>222</v>
      </c>
      <c r="F234" s="4" t="s">
        <v>1022</v>
      </c>
      <c r="I234" s="4" t="s">
        <v>395</v>
      </c>
      <c r="K234" s="4"/>
      <c r="L234" s="4" t="s">
        <v>293</v>
      </c>
    </row>
    <row r="235" hidden="1">
      <c r="A235" s="67" t="str">
        <f t="shared" si="1"/>
        <v>Mon</v>
      </c>
      <c r="B235" s="69">
        <v>43388.0</v>
      </c>
      <c r="D235" s="176">
        <v>374.41999999999996</v>
      </c>
      <c r="E235" s="4" t="s">
        <v>222</v>
      </c>
      <c r="F235" s="4" t="s">
        <v>1022</v>
      </c>
      <c r="I235" s="4" t="s">
        <v>395</v>
      </c>
      <c r="K235" s="4"/>
      <c r="L235" s="4" t="s">
        <v>293</v>
      </c>
    </row>
    <row r="236" hidden="1">
      <c r="A236" s="67" t="str">
        <f t="shared" si="1"/>
        <v>Tue</v>
      </c>
      <c r="B236" s="69">
        <v>43389.0</v>
      </c>
      <c r="D236" s="208"/>
      <c r="H236" s="4" t="s">
        <v>1022</v>
      </c>
    </row>
    <row r="237" hidden="1">
      <c r="A237" s="67" t="str">
        <f t="shared" si="1"/>
        <v>Wed</v>
      </c>
      <c r="B237" s="69">
        <v>43390.0</v>
      </c>
      <c r="D237" s="208"/>
    </row>
    <row r="238" hidden="1">
      <c r="A238" s="67" t="str">
        <f t="shared" si="1"/>
        <v>Thu</v>
      </c>
      <c r="B238" s="69">
        <v>43391.0</v>
      </c>
      <c r="D238" s="214"/>
      <c r="F238" s="4" t="s">
        <v>1024</v>
      </c>
      <c r="G238" s="4" t="s">
        <v>1024</v>
      </c>
      <c r="I238" s="4" t="s">
        <v>395</v>
      </c>
      <c r="J238" s="4" t="s">
        <v>1025</v>
      </c>
      <c r="K238" s="4"/>
      <c r="L238" s="4" t="s">
        <v>293</v>
      </c>
    </row>
    <row r="239" hidden="1">
      <c r="A239" s="67" t="str">
        <f t="shared" si="1"/>
        <v>Fri</v>
      </c>
      <c r="B239" s="69">
        <v>43392.0</v>
      </c>
      <c r="D239" s="214"/>
      <c r="F239" s="4" t="s">
        <v>1024</v>
      </c>
      <c r="I239" s="4" t="s">
        <v>395</v>
      </c>
      <c r="J239" s="4" t="s">
        <v>1025</v>
      </c>
      <c r="K239" s="4"/>
      <c r="L239" s="4" t="s">
        <v>293</v>
      </c>
    </row>
    <row r="240" hidden="1">
      <c r="A240" s="67" t="str">
        <f t="shared" si="1"/>
        <v>Sat</v>
      </c>
      <c r="B240" s="69">
        <v>43393.0</v>
      </c>
      <c r="D240" s="214"/>
      <c r="F240" s="4" t="s">
        <v>395</v>
      </c>
      <c r="G240" s="4" t="s">
        <v>395</v>
      </c>
      <c r="H240" s="4" t="s">
        <v>1024</v>
      </c>
      <c r="K240" s="4"/>
      <c r="L240" s="4" t="s">
        <v>293</v>
      </c>
    </row>
    <row r="241" hidden="1">
      <c r="A241" s="67" t="str">
        <f t="shared" si="1"/>
        <v>Sun</v>
      </c>
      <c r="B241" s="69">
        <v>43394.0</v>
      </c>
      <c r="D241" s="214"/>
      <c r="F241" s="4" t="s">
        <v>395</v>
      </c>
      <c r="K241" s="4"/>
      <c r="L241" s="4" t="s">
        <v>293</v>
      </c>
    </row>
    <row r="242" hidden="1">
      <c r="A242" s="67" t="str">
        <f t="shared" si="1"/>
        <v>Mon</v>
      </c>
      <c r="B242" s="69">
        <v>43395.0</v>
      </c>
      <c r="D242" s="214"/>
      <c r="F242" s="4" t="s">
        <v>395</v>
      </c>
      <c r="K242" s="4"/>
      <c r="L242" s="4" t="s">
        <v>293</v>
      </c>
    </row>
    <row r="243" hidden="1">
      <c r="A243" s="67" t="str">
        <f t="shared" si="1"/>
        <v>Tue</v>
      </c>
      <c r="B243" s="69">
        <v>43396.0</v>
      </c>
      <c r="D243" s="208"/>
      <c r="H243" s="4" t="s">
        <v>395</v>
      </c>
    </row>
    <row r="244" hidden="1">
      <c r="A244" s="67" t="str">
        <f t="shared" si="1"/>
        <v>Wed</v>
      </c>
      <c r="B244" s="69">
        <v>43397.0</v>
      </c>
      <c r="D244" s="208"/>
    </row>
    <row r="245" hidden="1">
      <c r="A245" s="67" t="str">
        <f t="shared" si="1"/>
        <v>Thu</v>
      </c>
      <c r="B245" s="69">
        <v>43398.0</v>
      </c>
      <c r="D245" s="208"/>
    </row>
    <row r="246" hidden="1">
      <c r="A246" s="67" t="str">
        <f t="shared" si="1"/>
        <v>Fri</v>
      </c>
      <c r="B246" s="69">
        <v>43399.0</v>
      </c>
      <c r="D246" s="208"/>
    </row>
    <row r="247" hidden="1">
      <c r="A247" s="67" t="str">
        <f t="shared" si="1"/>
        <v>Sat</v>
      </c>
      <c r="B247" s="69">
        <v>43400.0</v>
      </c>
      <c r="D247" s="175">
        <v>323.3333333333333</v>
      </c>
      <c r="E247" s="4" t="s">
        <v>222</v>
      </c>
      <c r="F247" s="4" t="s">
        <v>1030</v>
      </c>
      <c r="G247" s="4" t="s">
        <v>1030</v>
      </c>
      <c r="I247" s="4" t="s">
        <v>395</v>
      </c>
      <c r="K247" s="4"/>
      <c r="L247" s="4" t="s">
        <v>293</v>
      </c>
    </row>
    <row r="248" hidden="1">
      <c r="A248" s="67" t="str">
        <f t="shared" si="1"/>
        <v>Sun</v>
      </c>
      <c r="B248" s="69">
        <v>43401.0</v>
      </c>
      <c r="D248" s="175">
        <v>323.3333333333333</v>
      </c>
      <c r="E248" s="4" t="s">
        <v>222</v>
      </c>
      <c r="F248" s="4" t="s">
        <v>1030</v>
      </c>
      <c r="I248" s="4" t="s">
        <v>395</v>
      </c>
      <c r="K248" s="4"/>
      <c r="L248" s="4" t="s">
        <v>293</v>
      </c>
    </row>
    <row r="249" hidden="1">
      <c r="A249" s="67" t="str">
        <f t="shared" si="1"/>
        <v>Mon</v>
      </c>
      <c r="B249" s="69">
        <v>43402.0</v>
      </c>
      <c r="D249" s="175">
        <v>323.3333333333333</v>
      </c>
      <c r="E249" s="4" t="s">
        <v>222</v>
      </c>
      <c r="F249" s="4" t="s">
        <v>1030</v>
      </c>
      <c r="I249" s="4" t="s">
        <v>395</v>
      </c>
      <c r="K249" s="4"/>
      <c r="L249" s="4" t="s">
        <v>293</v>
      </c>
    </row>
    <row r="250" hidden="1">
      <c r="A250" s="67" t="str">
        <f t="shared" si="1"/>
        <v>Tue</v>
      </c>
      <c r="B250" s="69">
        <v>43403.0</v>
      </c>
      <c r="D250" s="208"/>
      <c r="H250" s="4" t="s">
        <v>1030</v>
      </c>
    </row>
    <row r="251" hidden="1">
      <c r="A251" s="67" t="str">
        <f t="shared" si="1"/>
        <v>Wed</v>
      </c>
      <c r="B251" s="69">
        <v>43404.0</v>
      </c>
      <c r="D251" s="208"/>
    </row>
    <row r="252" hidden="1">
      <c r="A252" s="67" t="str">
        <f t="shared" si="1"/>
        <v>Thu</v>
      </c>
      <c r="B252" s="69">
        <v>43405.0</v>
      </c>
      <c r="C252" s="4" t="s">
        <v>638</v>
      </c>
      <c r="D252" s="208"/>
    </row>
    <row r="253" hidden="1">
      <c r="A253" s="67" t="str">
        <f t="shared" si="1"/>
        <v>Fri</v>
      </c>
      <c r="B253" s="69">
        <v>43406.0</v>
      </c>
      <c r="C253" s="4" t="s">
        <v>638</v>
      </c>
      <c r="D253" s="214"/>
      <c r="F253" s="4" t="s">
        <v>395</v>
      </c>
      <c r="G253" s="4" t="s">
        <v>395</v>
      </c>
      <c r="K253" s="4"/>
      <c r="L253" s="4" t="s">
        <v>293</v>
      </c>
    </row>
    <row r="254" hidden="1">
      <c r="A254" s="67" t="str">
        <f t="shared" si="1"/>
        <v>Sat</v>
      </c>
      <c r="B254" s="69">
        <v>43407.0</v>
      </c>
      <c r="C254" s="4" t="s">
        <v>638</v>
      </c>
      <c r="D254" s="214"/>
      <c r="F254" s="4" t="s">
        <v>395</v>
      </c>
      <c r="K254" s="4"/>
      <c r="L254" s="4" t="s">
        <v>293</v>
      </c>
    </row>
    <row r="255" hidden="1">
      <c r="A255" s="67" t="str">
        <f t="shared" si="1"/>
        <v>Sun</v>
      </c>
      <c r="B255" s="69">
        <v>43408.0</v>
      </c>
      <c r="D255" s="214"/>
      <c r="F255" s="4" t="s">
        <v>395</v>
      </c>
      <c r="K255" s="4"/>
      <c r="L255" s="4" t="s">
        <v>293</v>
      </c>
    </row>
    <row r="256" hidden="1">
      <c r="A256" s="67" t="str">
        <f t="shared" si="1"/>
        <v>Mon</v>
      </c>
      <c r="B256" s="69">
        <v>43409.0</v>
      </c>
      <c r="D256" s="214"/>
      <c r="F256" s="4" t="s">
        <v>395</v>
      </c>
      <c r="K256" s="4"/>
      <c r="L256" s="4" t="s">
        <v>293</v>
      </c>
    </row>
    <row r="257" hidden="1">
      <c r="A257" s="67" t="str">
        <f t="shared" si="1"/>
        <v>Tue</v>
      </c>
      <c r="B257" s="69">
        <v>43410.0</v>
      </c>
      <c r="D257" s="214"/>
      <c r="F257" s="4" t="s">
        <v>395</v>
      </c>
      <c r="K257" s="4"/>
      <c r="L257" s="4" t="s">
        <v>293</v>
      </c>
    </row>
    <row r="258" hidden="1">
      <c r="A258" s="67" t="str">
        <f t="shared" si="1"/>
        <v>Wed</v>
      </c>
      <c r="B258" s="69">
        <v>43411.0</v>
      </c>
      <c r="D258" s="214"/>
      <c r="F258" s="4" t="s">
        <v>395</v>
      </c>
      <c r="K258" s="4"/>
      <c r="L258" s="4" t="s">
        <v>293</v>
      </c>
    </row>
    <row r="259" hidden="1">
      <c r="A259" s="67" t="str">
        <f t="shared" si="1"/>
        <v>Thu</v>
      </c>
      <c r="B259" s="69">
        <v>43412.0</v>
      </c>
      <c r="D259" s="214"/>
      <c r="F259" s="4" t="s">
        <v>395</v>
      </c>
      <c r="K259" s="4"/>
      <c r="L259" s="4" t="s">
        <v>293</v>
      </c>
    </row>
    <row r="260" hidden="1">
      <c r="A260" s="67" t="str">
        <f t="shared" si="1"/>
        <v>Fri</v>
      </c>
      <c r="B260" s="69">
        <v>43413.0</v>
      </c>
      <c r="D260" s="214"/>
      <c r="F260" s="4" t="s">
        <v>395</v>
      </c>
      <c r="K260" s="4"/>
      <c r="L260" s="4" t="s">
        <v>293</v>
      </c>
    </row>
    <row r="261" hidden="1">
      <c r="A261" s="67" t="str">
        <f t="shared" si="1"/>
        <v>Sat</v>
      </c>
      <c r="B261" s="69">
        <v>43414.0</v>
      </c>
      <c r="D261" s="214"/>
      <c r="F261" s="4" t="s">
        <v>395</v>
      </c>
      <c r="K261" s="4"/>
      <c r="L261" s="4" t="s">
        <v>293</v>
      </c>
    </row>
    <row r="262" hidden="1">
      <c r="A262" s="67" t="str">
        <f t="shared" si="1"/>
        <v>Sun</v>
      </c>
      <c r="B262" s="69">
        <v>43415.0</v>
      </c>
      <c r="D262" s="214"/>
      <c r="F262" s="4" t="s">
        <v>395</v>
      </c>
      <c r="K262" s="4"/>
      <c r="L262" s="4" t="s">
        <v>293</v>
      </c>
    </row>
    <row r="263" hidden="1">
      <c r="A263" s="67" t="str">
        <f t="shared" si="1"/>
        <v>Mon</v>
      </c>
      <c r="B263" s="69">
        <v>43416.0</v>
      </c>
      <c r="D263" s="214"/>
      <c r="F263" s="4" t="s">
        <v>395</v>
      </c>
      <c r="K263" s="4"/>
      <c r="L263" s="4" t="s">
        <v>293</v>
      </c>
    </row>
    <row r="264" hidden="1">
      <c r="A264" s="67" t="str">
        <f t="shared" si="1"/>
        <v>Tue</v>
      </c>
      <c r="B264" s="69">
        <v>43417.0</v>
      </c>
      <c r="D264" s="214"/>
      <c r="H264" s="4" t="s">
        <v>395</v>
      </c>
      <c r="K264" s="4"/>
      <c r="L264" s="4" t="s">
        <v>293</v>
      </c>
    </row>
    <row r="265" hidden="1">
      <c r="A265" s="67" t="str">
        <f t="shared" si="1"/>
        <v>Wed</v>
      </c>
      <c r="B265" s="69">
        <v>43418.0</v>
      </c>
      <c r="C265" s="4" t="s">
        <v>638</v>
      </c>
      <c r="D265" s="176">
        <v>500.0</v>
      </c>
      <c r="E265" s="4" t="s">
        <v>337</v>
      </c>
      <c r="F265" s="4" t="s">
        <v>1035</v>
      </c>
      <c r="G265" s="4" t="s">
        <v>1035</v>
      </c>
      <c r="I265" s="4" t="s">
        <v>395</v>
      </c>
      <c r="J265" s="4" t="s">
        <v>1036</v>
      </c>
      <c r="K265" s="4"/>
      <c r="L265" s="4" t="s">
        <v>293</v>
      </c>
    </row>
    <row r="266" hidden="1">
      <c r="A266" s="67" t="str">
        <f t="shared" si="1"/>
        <v>Thu</v>
      </c>
      <c r="B266" s="69">
        <v>43419.0</v>
      </c>
      <c r="C266" s="4" t="s">
        <v>638</v>
      </c>
      <c r="D266" s="176">
        <v>500.0</v>
      </c>
      <c r="E266" s="4" t="s">
        <v>337</v>
      </c>
      <c r="F266" s="4" t="s">
        <v>1035</v>
      </c>
      <c r="I266" s="4" t="s">
        <v>395</v>
      </c>
      <c r="J266" s="4" t="s">
        <v>1036</v>
      </c>
      <c r="K266" s="4"/>
      <c r="L266" s="4" t="s">
        <v>293</v>
      </c>
    </row>
    <row r="267" hidden="1">
      <c r="A267" s="67" t="str">
        <f t="shared" si="1"/>
        <v>Fri</v>
      </c>
      <c r="B267" s="69">
        <v>43420.0</v>
      </c>
      <c r="C267" s="4" t="s">
        <v>638</v>
      </c>
      <c r="D267" s="176">
        <v>500.0</v>
      </c>
      <c r="E267" s="4" t="s">
        <v>337</v>
      </c>
      <c r="F267" s="4" t="s">
        <v>1035</v>
      </c>
      <c r="I267" s="4" t="s">
        <v>395</v>
      </c>
      <c r="J267" s="4" t="s">
        <v>1036</v>
      </c>
      <c r="K267" s="4"/>
      <c r="L267" s="4" t="s">
        <v>293</v>
      </c>
    </row>
    <row r="268" hidden="1">
      <c r="A268" s="67" t="str">
        <f t="shared" si="1"/>
        <v>Sat</v>
      </c>
      <c r="B268" s="69">
        <v>43421.0</v>
      </c>
      <c r="C268" s="4" t="s">
        <v>638</v>
      </c>
      <c r="D268" s="176">
        <v>500.0</v>
      </c>
      <c r="E268" s="4" t="s">
        <v>337</v>
      </c>
      <c r="F268" s="4" t="s">
        <v>1035</v>
      </c>
      <c r="I268" s="4" t="s">
        <v>395</v>
      </c>
      <c r="J268" s="4" t="s">
        <v>1036</v>
      </c>
      <c r="K268" s="4"/>
      <c r="L268" s="4" t="s">
        <v>293</v>
      </c>
    </row>
    <row r="269" hidden="1">
      <c r="A269" s="67" t="str">
        <f t="shared" si="1"/>
        <v>Sun</v>
      </c>
      <c r="B269" s="69">
        <v>43422.0</v>
      </c>
      <c r="D269" s="208"/>
      <c r="H269" s="4" t="s">
        <v>1035</v>
      </c>
      <c r="K269" s="4"/>
      <c r="L269" s="4" t="s">
        <v>293</v>
      </c>
    </row>
    <row r="270" hidden="1">
      <c r="A270" s="67" t="str">
        <f t="shared" si="1"/>
        <v>Mon</v>
      </c>
      <c r="B270" s="69">
        <v>43423.0</v>
      </c>
      <c r="D270" s="175">
        <v>269.82166666666666</v>
      </c>
      <c r="E270" s="4" t="s">
        <v>222</v>
      </c>
      <c r="F270" s="4" t="s">
        <v>819</v>
      </c>
      <c r="G270" s="4" t="s">
        <v>819</v>
      </c>
      <c r="I270" s="4" t="s">
        <v>395</v>
      </c>
      <c r="K270" s="4"/>
      <c r="L270" s="4" t="s">
        <v>293</v>
      </c>
    </row>
    <row r="271" hidden="1">
      <c r="A271" s="67" t="str">
        <f t="shared" si="1"/>
        <v>Tue</v>
      </c>
      <c r="B271" s="69">
        <v>43424.0</v>
      </c>
      <c r="D271" s="175">
        <v>269.82166666666666</v>
      </c>
      <c r="E271" s="4" t="s">
        <v>222</v>
      </c>
      <c r="F271" s="4" t="s">
        <v>819</v>
      </c>
      <c r="I271" s="4" t="s">
        <v>395</v>
      </c>
    </row>
    <row r="272" hidden="1">
      <c r="A272" s="67" t="str">
        <f t="shared" si="1"/>
        <v>Wed</v>
      </c>
      <c r="B272" s="69">
        <v>43425.0</v>
      </c>
      <c r="D272" s="175">
        <v>269.82166666666666</v>
      </c>
      <c r="E272" s="4" t="s">
        <v>222</v>
      </c>
      <c r="F272" s="4" t="s">
        <v>819</v>
      </c>
      <c r="I272" s="4" t="s">
        <v>395</v>
      </c>
    </row>
    <row r="273" hidden="1">
      <c r="A273" s="67" t="str">
        <f t="shared" si="1"/>
        <v>Thu</v>
      </c>
      <c r="B273" s="69">
        <v>43426.0</v>
      </c>
      <c r="D273" s="175">
        <v>269.82166666666666</v>
      </c>
      <c r="E273" s="4" t="s">
        <v>222</v>
      </c>
      <c r="F273" s="4" t="s">
        <v>819</v>
      </c>
      <c r="I273" s="4" t="s">
        <v>395</v>
      </c>
    </row>
    <row r="274" hidden="1">
      <c r="A274" s="67" t="str">
        <f t="shared" si="1"/>
        <v>Fri</v>
      </c>
      <c r="B274" s="69">
        <v>43427.0</v>
      </c>
      <c r="D274" s="175">
        <v>269.82166666666666</v>
      </c>
      <c r="E274" s="4" t="s">
        <v>222</v>
      </c>
      <c r="F274" s="4" t="s">
        <v>819</v>
      </c>
      <c r="I274" s="4" t="s">
        <v>395</v>
      </c>
    </row>
    <row r="275" hidden="1">
      <c r="A275" s="67" t="str">
        <f t="shared" si="1"/>
        <v>Sat</v>
      </c>
      <c r="B275" s="69">
        <v>43428.0</v>
      </c>
      <c r="D275" s="175">
        <v>269.82166666666666</v>
      </c>
      <c r="E275" s="4" t="s">
        <v>222</v>
      </c>
      <c r="F275" s="4" t="s">
        <v>819</v>
      </c>
      <c r="I275" s="4" t="s">
        <v>395</v>
      </c>
    </row>
    <row r="276" hidden="1">
      <c r="A276" s="67" t="str">
        <f t="shared" si="1"/>
        <v>Sun</v>
      </c>
      <c r="B276" s="69">
        <v>43429.0</v>
      </c>
      <c r="D276" s="176">
        <v>325.92</v>
      </c>
      <c r="E276" s="4" t="s">
        <v>222</v>
      </c>
      <c r="F276" s="4" t="s">
        <v>1040</v>
      </c>
      <c r="G276" s="4" t="s">
        <v>1040</v>
      </c>
      <c r="H276" s="4" t="s">
        <v>819</v>
      </c>
      <c r="I276" s="4" t="s">
        <v>395</v>
      </c>
      <c r="K276" s="4"/>
      <c r="L276" s="4" t="s">
        <v>293</v>
      </c>
    </row>
    <row r="277" hidden="1">
      <c r="A277" s="67" t="str">
        <f t="shared" si="1"/>
        <v>Mon</v>
      </c>
      <c r="B277" s="69">
        <v>43430.0</v>
      </c>
      <c r="D277" s="176">
        <v>325.92</v>
      </c>
      <c r="E277" s="4" t="s">
        <v>222</v>
      </c>
      <c r="F277" s="4" t="s">
        <v>1040</v>
      </c>
      <c r="I277" s="4" t="s">
        <v>395</v>
      </c>
    </row>
    <row r="278" hidden="1">
      <c r="A278" s="67" t="str">
        <f t="shared" si="1"/>
        <v>Tue</v>
      </c>
      <c r="B278" s="69">
        <v>43431.0</v>
      </c>
      <c r="D278" s="176">
        <v>325.92</v>
      </c>
      <c r="E278" s="4" t="s">
        <v>222</v>
      </c>
      <c r="F278" s="4" t="s">
        <v>1040</v>
      </c>
      <c r="I278" s="4" t="s">
        <v>395</v>
      </c>
    </row>
    <row r="279" hidden="1">
      <c r="A279" s="67" t="str">
        <f t="shared" si="1"/>
        <v>Wed</v>
      </c>
      <c r="B279" s="69">
        <v>43432.0</v>
      </c>
      <c r="D279" s="176">
        <v>325.92</v>
      </c>
      <c r="E279" s="4" t="s">
        <v>222</v>
      </c>
      <c r="F279" s="4" t="s">
        <v>1040</v>
      </c>
      <c r="I279" s="4" t="s">
        <v>395</v>
      </c>
    </row>
    <row r="280" hidden="1">
      <c r="A280" s="67" t="str">
        <f t="shared" si="1"/>
        <v>Thu</v>
      </c>
      <c r="B280" s="69">
        <v>43433.0</v>
      </c>
      <c r="D280" s="176">
        <v>325.92</v>
      </c>
      <c r="E280" s="4" t="s">
        <v>222</v>
      </c>
      <c r="F280" s="4" t="s">
        <v>1040</v>
      </c>
      <c r="I280" s="4" t="s">
        <v>395</v>
      </c>
    </row>
    <row r="281" hidden="1">
      <c r="A281" s="67" t="str">
        <f t="shared" si="1"/>
        <v>Fri</v>
      </c>
      <c r="B281" s="69">
        <v>43434.0</v>
      </c>
      <c r="D281" s="176">
        <v>325.92</v>
      </c>
      <c r="E281" s="4" t="s">
        <v>222</v>
      </c>
      <c r="F281" s="4" t="s">
        <v>1040</v>
      </c>
      <c r="I281" s="4" t="s">
        <v>395</v>
      </c>
    </row>
    <row r="282" hidden="1">
      <c r="A282" s="67" t="str">
        <f t="shared" si="1"/>
        <v>Sat</v>
      </c>
      <c r="B282" s="69">
        <v>43435.0</v>
      </c>
      <c r="D282" s="176">
        <v>325.92</v>
      </c>
      <c r="E282" s="4" t="s">
        <v>222</v>
      </c>
      <c r="F282" s="4" t="s">
        <v>1040</v>
      </c>
      <c r="I282" s="4" t="s">
        <v>395</v>
      </c>
    </row>
    <row r="283" hidden="1">
      <c r="A283" s="67" t="str">
        <f t="shared" si="1"/>
        <v>Sun</v>
      </c>
      <c r="B283" s="69">
        <v>43436.0</v>
      </c>
      <c r="D283" s="176">
        <v>325.92</v>
      </c>
      <c r="E283" s="4" t="s">
        <v>222</v>
      </c>
      <c r="F283" s="4" t="s">
        <v>1040</v>
      </c>
      <c r="I283" s="4" t="s">
        <v>395</v>
      </c>
    </row>
    <row r="284" hidden="1">
      <c r="A284" s="67" t="str">
        <f t="shared" si="1"/>
        <v>Mon</v>
      </c>
      <c r="B284" s="69">
        <v>43437.0</v>
      </c>
      <c r="D284" s="176">
        <v>325.92</v>
      </c>
      <c r="E284" s="4" t="s">
        <v>222</v>
      </c>
      <c r="F284" s="4" t="s">
        <v>1040</v>
      </c>
      <c r="I284" s="4" t="s">
        <v>395</v>
      </c>
    </row>
    <row r="285" hidden="1">
      <c r="A285" s="67" t="str">
        <f t="shared" si="1"/>
        <v>Tue</v>
      </c>
      <c r="B285" s="69">
        <v>43438.0</v>
      </c>
      <c r="D285" s="176">
        <v>325.92</v>
      </c>
      <c r="E285" s="4" t="s">
        <v>222</v>
      </c>
      <c r="F285" s="4" t="s">
        <v>1040</v>
      </c>
      <c r="I285" s="4" t="s">
        <v>395</v>
      </c>
    </row>
    <row r="286" hidden="1">
      <c r="A286" s="67" t="str">
        <f t="shared" si="1"/>
        <v>Wed</v>
      </c>
      <c r="B286" s="69">
        <v>43439.0</v>
      </c>
      <c r="D286" s="176">
        <v>325.92</v>
      </c>
      <c r="E286" s="4" t="s">
        <v>222</v>
      </c>
      <c r="F286" s="4" t="s">
        <v>1040</v>
      </c>
      <c r="I286" s="4" t="s">
        <v>395</v>
      </c>
    </row>
    <row r="287" hidden="1">
      <c r="A287" s="67" t="str">
        <f t="shared" si="1"/>
        <v>Thu</v>
      </c>
      <c r="B287" s="69">
        <v>43440.0</v>
      </c>
      <c r="D287" s="215"/>
      <c r="H287" s="4" t="s">
        <v>1040</v>
      </c>
    </row>
    <row r="288" hidden="1">
      <c r="A288" s="67" t="str">
        <f t="shared" si="1"/>
        <v>Fri</v>
      </c>
      <c r="B288" s="69">
        <v>43441.0</v>
      </c>
      <c r="D288" s="189">
        <v>339.5</v>
      </c>
      <c r="E288" s="4" t="s">
        <v>222</v>
      </c>
      <c r="F288" s="4" t="s">
        <v>1045</v>
      </c>
      <c r="G288" s="4" t="s">
        <v>1045</v>
      </c>
      <c r="I288" s="4" t="s">
        <v>395</v>
      </c>
      <c r="K288" s="4"/>
      <c r="L288" s="4" t="s">
        <v>293</v>
      </c>
    </row>
    <row r="289" hidden="1">
      <c r="A289" s="67" t="str">
        <f t="shared" si="1"/>
        <v>Sat</v>
      </c>
      <c r="B289" s="69">
        <v>43442.0</v>
      </c>
      <c r="D289" s="189">
        <v>339.5</v>
      </c>
      <c r="E289" s="4" t="s">
        <v>222</v>
      </c>
      <c r="F289" s="4" t="s">
        <v>1045</v>
      </c>
      <c r="I289" s="4" t="s">
        <v>395</v>
      </c>
    </row>
    <row r="290" hidden="1">
      <c r="A290" s="67" t="str">
        <f t="shared" si="1"/>
        <v>Sun</v>
      </c>
      <c r="B290" s="69">
        <v>43443.0</v>
      </c>
      <c r="D290" s="215"/>
      <c r="E290" s="4" t="s">
        <v>1047</v>
      </c>
      <c r="F290" s="4" t="s">
        <v>1048</v>
      </c>
      <c r="G290" s="4" t="s">
        <v>1048</v>
      </c>
      <c r="H290" s="4" t="s">
        <v>1045</v>
      </c>
      <c r="K290" s="4"/>
      <c r="L290" s="4" t="s">
        <v>293</v>
      </c>
    </row>
    <row r="291" hidden="1">
      <c r="A291" s="67" t="str">
        <f t="shared" si="1"/>
        <v>Mon</v>
      </c>
      <c r="B291" s="69">
        <v>43444.0</v>
      </c>
      <c r="D291" s="215"/>
      <c r="E291" s="4" t="s">
        <v>1047</v>
      </c>
      <c r="F291" s="4" t="s">
        <v>1048</v>
      </c>
    </row>
    <row r="292" hidden="1">
      <c r="A292" s="67" t="str">
        <f t="shared" si="1"/>
        <v>Tue</v>
      </c>
      <c r="B292" s="69">
        <v>43445.0</v>
      </c>
      <c r="D292" s="215"/>
      <c r="E292" s="4" t="s">
        <v>1047</v>
      </c>
      <c r="F292" s="4" t="s">
        <v>1048</v>
      </c>
    </row>
    <row r="293" hidden="1">
      <c r="A293" s="67" t="str">
        <f t="shared" si="1"/>
        <v>Wed</v>
      </c>
      <c r="B293" s="69">
        <v>43446.0</v>
      </c>
      <c r="D293" s="215"/>
      <c r="E293" s="4" t="s">
        <v>1047</v>
      </c>
      <c r="F293" s="4" t="s">
        <v>1048</v>
      </c>
    </row>
    <row r="294" hidden="1">
      <c r="A294" s="67" t="str">
        <f t="shared" si="1"/>
        <v>Thu</v>
      </c>
      <c r="B294" s="69">
        <v>43447.0</v>
      </c>
      <c r="D294" s="215"/>
      <c r="E294" s="4" t="s">
        <v>1047</v>
      </c>
      <c r="F294" s="4" t="s">
        <v>1048</v>
      </c>
    </row>
    <row r="295" hidden="1">
      <c r="A295" s="67" t="str">
        <f t="shared" si="1"/>
        <v>Fri</v>
      </c>
      <c r="B295" s="69">
        <v>43448.0</v>
      </c>
      <c r="D295" s="215"/>
      <c r="E295" s="4" t="s">
        <v>1047</v>
      </c>
      <c r="F295" s="4" t="s">
        <v>1048</v>
      </c>
    </row>
    <row r="296" hidden="1">
      <c r="A296" s="67" t="str">
        <f t="shared" si="1"/>
        <v>Sat</v>
      </c>
      <c r="B296" s="69">
        <v>43449.0</v>
      </c>
      <c r="D296" s="189">
        <v>533.5</v>
      </c>
      <c r="E296" s="4" t="s">
        <v>222</v>
      </c>
      <c r="F296" s="4" t="s">
        <v>1051</v>
      </c>
      <c r="G296" s="4" t="s">
        <v>1051</v>
      </c>
      <c r="H296" s="4" t="s">
        <v>1048</v>
      </c>
      <c r="I296" s="4" t="s">
        <v>395</v>
      </c>
      <c r="K296" s="4"/>
      <c r="L296" s="4" t="s">
        <v>293</v>
      </c>
    </row>
    <row r="297" hidden="1">
      <c r="A297" s="67" t="str">
        <f t="shared" si="1"/>
        <v>Sun</v>
      </c>
      <c r="B297" s="69">
        <v>43450.0</v>
      </c>
      <c r="D297" s="189">
        <v>533.5</v>
      </c>
      <c r="E297" s="4" t="s">
        <v>222</v>
      </c>
      <c r="F297" s="4" t="s">
        <v>1051</v>
      </c>
      <c r="I297" s="4" t="s">
        <v>395</v>
      </c>
    </row>
    <row r="298" hidden="1">
      <c r="A298" s="67" t="str">
        <f t="shared" si="1"/>
        <v>Mon</v>
      </c>
      <c r="B298" s="69">
        <v>43451.0</v>
      </c>
      <c r="D298" s="215"/>
      <c r="E298" s="4" t="s">
        <v>1047</v>
      </c>
      <c r="F298" s="4" t="s">
        <v>1048</v>
      </c>
      <c r="G298" s="4" t="s">
        <v>1048</v>
      </c>
      <c r="H298" s="4" t="s">
        <v>1051</v>
      </c>
      <c r="K298" s="4"/>
      <c r="L298" s="4" t="s">
        <v>293</v>
      </c>
    </row>
    <row r="299" hidden="1">
      <c r="A299" s="67" t="str">
        <f t="shared" si="1"/>
        <v>Tue</v>
      </c>
      <c r="B299" s="69">
        <v>43452.0</v>
      </c>
      <c r="D299" s="215"/>
      <c r="E299" s="4" t="s">
        <v>1047</v>
      </c>
      <c r="F299" s="4" t="s">
        <v>1048</v>
      </c>
    </row>
    <row r="300" hidden="1">
      <c r="A300" s="67" t="str">
        <f t="shared" si="1"/>
        <v>Wed</v>
      </c>
      <c r="B300" s="69">
        <v>43453.0</v>
      </c>
      <c r="D300" s="215"/>
      <c r="E300" s="4" t="s">
        <v>1047</v>
      </c>
      <c r="F300" s="4" t="s">
        <v>1048</v>
      </c>
    </row>
    <row r="301" hidden="1">
      <c r="A301" s="67" t="str">
        <f t="shared" si="1"/>
        <v>Thu</v>
      </c>
      <c r="B301" s="69">
        <v>43454.0</v>
      </c>
      <c r="D301" s="215"/>
      <c r="E301" s="4" t="s">
        <v>1047</v>
      </c>
      <c r="F301" s="4" t="s">
        <v>1048</v>
      </c>
    </row>
    <row r="302" hidden="1">
      <c r="A302" s="67" t="str">
        <f t="shared" si="1"/>
        <v>Fri</v>
      </c>
      <c r="B302" s="69">
        <v>43455.0</v>
      </c>
      <c r="D302" s="215"/>
      <c r="E302" s="4" t="s">
        <v>1047</v>
      </c>
      <c r="F302" s="4" t="s">
        <v>1048</v>
      </c>
    </row>
    <row r="303" hidden="1">
      <c r="A303" s="67" t="str">
        <f t="shared" si="1"/>
        <v>Sat</v>
      </c>
      <c r="B303" s="69">
        <v>43456.0</v>
      </c>
      <c r="D303" s="215"/>
      <c r="E303" s="4" t="s">
        <v>1047</v>
      </c>
      <c r="F303" s="4" t="s">
        <v>1048</v>
      </c>
    </row>
    <row r="304" hidden="1">
      <c r="A304" s="67" t="str">
        <f t="shared" si="1"/>
        <v>Sun</v>
      </c>
      <c r="B304" s="69">
        <v>43457.0</v>
      </c>
      <c r="C304" s="4" t="s">
        <v>638</v>
      </c>
      <c r="D304" s="175">
        <v>565.8333333333334</v>
      </c>
      <c r="E304" s="4" t="s">
        <v>222</v>
      </c>
      <c r="F304" s="4" t="s">
        <v>1052</v>
      </c>
      <c r="G304" s="4" t="s">
        <v>1052</v>
      </c>
      <c r="H304" s="4" t="s">
        <v>1048</v>
      </c>
      <c r="I304" s="4" t="s">
        <v>395</v>
      </c>
      <c r="K304" s="4"/>
      <c r="L304" s="4" t="s">
        <v>293</v>
      </c>
    </row>
    <row r="305" hidden="1">
      <c r="A305" s="67" t="str">
        <f t="shared" si="1"/>
        <v>Mon</v>
      </c>
      <c r="B305" s="69">
        <v>43458.0</v>
      </c>
      <c r="C305" s="4" t="s">
        <v>638</v>
      </c>
      <c r="D305" s="175">
        <v>565.8333333333334</v>
      </c>
      <c r="E305" s="4" t="s">
        <v>222</v>
      </c>
      <c r="F305" s="4" t="s">
        <v>1052</v>
      </c>
      <c r="I305" s="4" t="s">
        <v>395</v>
      </c>
    </row>
    <row r="306" hidden="1">
      <c r="A306" s="67" t="str">
        <f t="shared" si="1"/>
        <v>Tue</v>
      </c>
      <c r="B306" s="69">
        <v>43459.0</v>
      </c>
      <c r="C306" s="4" t="s">
        <v>638</v>
      </c>
      <c r="D306" s="175">
        <v>565.8333333333334</v>
      </c>
      <c r="E306" s="4" t="s">
        <v>222</v>
      </c>
      <c r="F306" s="4" t="s">
        <v>1052</v>
      </c>
      <c r="I306" s="4" t="s">
        <v>395</v>
      </c>
    </row>
    <row r="307" hidden="1">
      <c r="A307" s="67" t="str">
        <f t="shared" si="1"/>
        <v>Wed</v>
      </c>
      <c r="B307" s="69">
        <v>43460.0</v>
      </c>
      <c r="D307" s="175">
        <v>1378.0928571428572</v>
      </c>
      <c r="E307" s="4" t="s">
        <v>222</v>
      </c>
      <c r="F307" s="4" t="s">
        <v>1054</v>
      </c>
      <c r="G307" s="4" t="s">
        <v>1054</v>
      </c>
      <c r="H307" s="4" t="s">
        <v>1052</v>
      </c>
      <c r="I307" s="4" t="s">
        <v>395</v>
      </c>
      <c r="K307" s="4"/>
      <c r="L307" s="4" t="s">
        <v>293</v>
      </c>
    </row>
    <row r="308" hidden="1">
      <c r="A308" s="67" t="str">
        <f t="shared" si="1"/>
        <v>Thu</v>
      </c>
      <c r="B308" s="69">
        <v>43461.0</v>
      </c>
      <c r="D308" s="175">
        <v>1378.0928571428572</v>
      </c>
      <c r="E308" s="4" t="s">
        <v>222</v>
      </c>
      <c r="F308" s="4" t="s">
        <v>1054</v>
      </c>
      <c r="I308" s="4" t="s">
        <v>395</v>
      </c>
    </row>
    <row r="309" hidden="1">
      <c r="A309" s="67" t="str">
        <f t="shared" si="1"/>
        <v>Fri</v>
      </c>
      <c r="B309" s="69">
        <v>43462.0</v>
      </c>
      <c r="C309" s="4" t="s">
        <v>638</v>
      </c>
      <c r="D309" s="175">
        <v>1378.0928571428572</v>
      </c>
      <c r="E309" s="4" t="s">
        <v>222</v>
      </c>
      <c r="F309" s="4" t="s">
        <v>1054</v>
      </c>
      <c r="I309" s="4" t="s">
        <v>395</v>
      </c>
    </row>
    <row r="310" hidden="1">
      <c r="A310" s="67" t="str">
        <f t="shared" si="1"/>
        <v>Sat</v>
      </c>
      <c r="B310" s="69">
        <v>43463.0</v>
      </c>
      <c r="C310" s="4" t="s">
        <v>638</v>
      </c>
      <c r="D310" s="175">
        <v>1378.0928571428572</v>
      </c>
      <c r="E310" s="4" t="s">
        <v>222</v>
      </c>
      <c r="F310" s="4" t="s">
        <v>1054</v>
      </c>
      <c r="I310" s="4" t="s">
        <v>395</v>
      </c>
    </row>
    <row r="311" hidden="1">
      <c r="A311" s="67" t="str">
        <f t="shared" si="1"/>
        <v>Sun</v>
      </c>
      <c r="B311" s="69">
        <v>43464.0</v>
      </c>
      <c r="C311" s="4" t="s">
        <v>638</v>
      </c>
      <c r="D311" s="175">
        <v>1378.0928571428572</v>
      </c>
      <c r="E311" s="4" t="s">
        <v>222</v>
      </c>
      <c r="F311" s="4" t="s">
        <v>1054</v>
      </c>
      <c r="I311" s="4" t="s">
        <v>395</v>
      </c>
    </row>
    <row r="312" hidden="1">
      <c r="A312" s="67" t="str">
        <f t="shared" si="1"/>
        <v>Mon</v>
      </c>
      <c r="B312" s="69">
        <v>43465.0</v>
      </c>
      <c r="C312" s="4" t="s">
        <v>638</v>
      </c>
      <c r="D312" s="175">
        <v>1378.0928571428572</v>
      </c>
      <c r="E312" s="4" t="s">
        <v>222</v>
      </c>
      <c r="F312" s="4" t="s">
        <v>1054</v>
      </c>
      <c r="I312" s="4" t="s">
        <v>395</v>
      </c>
    </row>
    <row r="313" hidden="1">
      <c r="A313" s="67" t="str">
        <f t="shared" si="1"/>
        <v>Tue</v>
      </c>
      <c r="B313" s="69">
        <v>43466.0</v>
      </c>
      <c r="C313" s="4" t="s">
        <v>638</v>
      </c>
      <c r="D313" s="175">
        <v>1378.0928571428572</v>
      </c>
      <c r="E313" s="4" t="s">
        <v>222</v>
      </c>
      <c r="F313" s="4" t="s">
        <v>1054</v>
      </c>
      <c r="I313" s="4" t="s">
        <v>395</v>
      </c>
    </row>
    <row r="314" hidden="1">
      <c r="A314" s="67" t="str">
        <f t="shared" si="1"/>
        <v>Wed</v>
      </c>
      <c r="B314" s="69">
        <v>43467.0</v>
      </c>
      <c r="D314" s="216">
        <v>1000.0</v>
      </c>
      <c r="E314" s="4" t="s">
        <v>337</v>
      </c>
      <c r="F314" s="4" t="s">
        <v>1060</v>
      </c>
      <c r="G314" s="4" t="s">
        <v>1060</v>
      </c>
      <c r="H314" s="4" t="s">
        <v>1054</v>
      </c>
      <c r="I314" s="4" t="s">
        <v>395</v>
      </c>
      <c r="K314" s="4" t="s">
        <v>231</v>
      </c>
      <c r="L314" s="4" t="s">
        <v>293</v>
      </c>
      <c r="M314" s="4" t="s">
        <v>226</v>
      </c>
      <c r="N314" s="4" t="s">
        <v>232</v>
      </c>
      <c r="O314" s="4" t="s">
        <v>264</v>
      </c>
      <c r="Q314" s="4" t="s">
        <v>1061</v>
      </c>
      <c r="R314" s="167" t="s">
        <v>1062</v>
      </c>
      <c r="S314" s="4"/>
    </row>
    <row r="315" hidden="1">
      <c r="A315" s="67" t="str">
        <f t="shared" si="1"/>
        <v>Thu</v>
      </c>
      <c r="B315" s="69">
        <v>43468.0</v>
      </c>
      <c r="D315" s="216">
        <v>1000.0</v>
      </c>
      <c r="E315" s="4" t="s">
        <v>337</v>
      </c>
      <c r="F315" s="4" t="s">
        <v>1060</v>
      </c>
      <c r="I315" s="4" t="s">
        <v>395</v>
      </c>
    </row>
    <row r="316" hidden="1">
      <c r="A316" s="67" t="str">
        <f t="shared" si="1"/>
        <v>Fri</v>
      </c>
      <c r="B316" s="69">
        <v>43469.0</v>
      </c>
      <c r="D316" s="208">
        <f t="shared" ref="D316:D318" si="2">2619/3</f>
        <v>873</v>
      </c>
      <c r="E316" s="4" t="s">
        <v>222</v>
      </c>
      <c r="F316" s="4" t="s">
        <v>1063</v>
      </c>
      <c r="G316" s="4" t="s">
        <v>1063</v>
      </c>
      <c r="H316" s="4" t="s">
        <v>1060</v>
      </c>
      <c r="I316" s="4" t="s">
        <v>395</v>
      </c>
      <c r="K316" s="4"/>
      <c r="L316" s="4" t="s">
        <v>293</v>
      </c>
      <c r="M316" s="4" t="s">
        <v>1065</v>
      </c>
      <c r="N316" s="4" t="s">
        <v>1067</v>
      </c>
      <c r="O316" s="4" t="s">
        <v>1069</v>
      </c>
      <c r="P316" s="4" t="s">
        <v>1071</v>
      </c>
      <c r="Q316" s="4" t="s">
        <v>1072</v>
      </c>
      <c r="R316" s="167" t="s">
        <v>1073</v>
      </c>
      <c r="S316" s="4"/>
    </row>
    <row r="317" hidden="1">
      <c r="A317" s="67" t="str">
        <f t="shared" si="1"/>
        <v>Sat</v>
      </c>
      <c r="B317" s="69">
        <v>43470.0</v>
      </c>
      <c r="D317" s="208">
        <f t="shared" si="2"/>
        <v>873</v>
      </c>
      <c r="E317" s="4" t="s">
        <v>222</v>
      </c>
      <c r="F317" s="4" t="s">
        <v>1063</v>
      </c>
      <c r="I317" s="4" t="s">
        <v>395</v>
      </c>
    </row>
    <row r="318" hidden="1">
      <c r="A318" s="67" t="str">
        <f t="shared" si="1"/>
        <v>Sun</v>
      </c>
      <c r="B318" s="69">
        <v>43471.0</v>
      </c>
      <c r="D318" s="208">
        <f t="shared" si="2"/>
        <v>873</v>
      </c>
      <c r="E318" s="4" t="s">
        <v>222</v>
      </c>
      <c r="F318" s="4" t="s">
        <v>1063</v>
      </c>
      <c r="I318" s="4" t="s">
        <v>395</v>
      </c>
    </row>
    <row r="319" hidden="1">
      <c r="A319" s="67" t="str">
        <f t="shared" si="1"/>
        <v>Mon</v>
      </c>
      <c r="B319" s="69">
        <v>43472.0</v>
      </c>
      <c r="D319" s="176">
        <v>906.95</v>
      </c>
      <c r="E319" s="4" t="s">
        <v>222</v>
      </c>
      <c r="F319" s="4" t="s">
        <v>1079</v>
      </c>
      <c r="G319" s="4" t="s">
        <v>1079</v>
      </c>
      <c r="H319" s="4" t="s">
        <v>1063</v>
      </c>
      <c r="I319" s="4" t="s">
        <v>395</v>
      </c>
      <c r="K319" s="4"/>
      <c r="L319" s="4" t="s">
        <v>293</v>
      </c>
    </row>
    <row r="320" hidden="1">
      <c r="A320" s="67" t="str">
        <f t="shared" si="1"/>
        <v>Tue</v>
      </c>
      <c r="B320" s="69">
        <v>43473.0</v>
      </c>
      <c r="D320" s="176">
        <v>906.95</v>
      </c>
      <c r="E320" s="4" t="s">
        <v>222</v>
      </c>
      <c r="F320" s="4" t="s">
        <v>1079</v>
      </c>
      <c r="I320" s="4" t="s">
        <v>395</v>
      </c>
    </row>
    <row r="321" hidden="1">
      <c r="A321" s="67" t="str">
        <f t="shared" si="1"/>
        <v>Wed</v>
      </c>
      <c r="B321" s="69">
        <v>43474.0</v>
      </c>
      <c r="D321" s="176">
        <v>906.95</v>
      </c>
      <c r="E321" s="4" t="s">
        <v>222</v>
      </c>
      <c r="F321" s="4" t="s">
        <v>1079</v>
      </c>
      <c r="I321" s="4" t="s">
        <v>395</v>
      </c>
    </row>
    <row r="322" hidden="1">
      <c r="A322" s="67" t="str">
        <f t="shared" si="1"/>
        <v>Thu</v>
      </c>
      <c r="B322" s="69">
        <v>43475.0</v>
      </c>
      <c r="D322" s="176">
        <v>906.95</v>
      </c>
      <c r="E322" s="4" t="s">
        <v>222</v>
      </c>
      <c r="F322" s="4" t="s">
        <v>1079</v>
      </c>
      <c r="I322" s="4" t="s">
        <v>395</v>
      </c>
    </row>
    <row r="323" hidden="1">
      <c r="A323" s="67" t="str">
        <f t="shared" si="1"/>
        <v>Fri</v>
      </c>
      <c r="B323" s="69">
        <v>43476.0</v>
      </c>
      <c r="D323" s="176">
        <v>906.95</v>
      </c>
      <c r="E323" s="4" t="s">
        <v>222</v>
      </c>
      <c r="F323" s="4" t="s">
        <v>1079</v>
      </c>
      <c r="I323" s="4" t="s">
        <v>395</v>
      </c>
    </row>
    <row r="324" hidden="1">
      <c r="A324" s="67" t="str">
        <f t="shared" si="1"/>
        <v>Sat</v>
      </c>
      <c r="B324" s="69">
        <v>43477.0</v>
      </c>
      <c r="D324" s="176">
        <v>906.95</v>
      </c>
      <c r="E324" s="4" t="s">
        <v>222</v>
      </c>
      <c r="F324" s="4" t="s">
        <v>1079</v>
      </c>
      <c r="I324" s="4" t="s">
        <v>395</v>
      </c>
    </row>
    <row r="325" hidden="1">
      <c r="A325" s="67" t="str">
        <f t="shared" si="1"/>
        <v>Sun</v>
      </c>
      <c r="B325" s="69">
        <v>43478.0</v>
      </c>
      <c r="D325" s="176">
        <v>906.95</v>
      </c>
      <c r="E325" s="4" t="s">
        <v>222</v>
      </c>
      <c r="F325" s="4" t="s">
        <v>1079</v>
      </c>
      <c r="I325" s="4" t="s">
        <v>395</v>
      </c>
    </row>
    <row r="326" hidden="1">
      <c r="A326" s="67" t="str">
        <f t="shared" si="1"/>
        <v>Mon</v>
      </c>
      <c r="B326" s="69">
        <v>43479.0</v>
      </c>
      <c r="D326" s="176">
        <v>906.95</v>
      </c>
      <c r="E326" s="4" t="s">
        <v>222</v>
      </c>
      <c r="F326" s="4" t="s">
        <v>1079</v>
      </c>
      <c r="I326" s="4" t="s">
        <v>395</v>
      </c>
    </row>
    <row r="327" hidden="1">
      <c r="A327" s="67" t="str">
        <f t="shared" si="1"/>
        <v>Tue</v>
      </c>
      <c r="B327" s="69">
        <v>43480.0</v>
      </c>
      <c r="D327" s="216">
        <v>863.3</v>
      </c>
      <c r="E327" s="4" t="s">
        <v>222</v>
      </c>
      <c r="F327" s="4" t="s">
        <v>1087</v>
      </c>
      <c r="G327" s="4" t="s">
        <v>1087</v>
      </c>
      <c r="H327" s="4" t="s">
        <v>1079</v>
      </c>
      <c r="I327" s="4" t="s">
        <v>359</v>
      </c>
      <c r="K327" s="4"/>
      <c r="L327" s="4" t="s">
        <v>225</v>
      </c>
      <c r="M327" s="4" t="s">
        <v>1088</v>
      </c>
    </row>
    <row r="328" hidden="1">
      <c r="A328" s="67" t="str">
        <f t="shared" si="1"/>
        <v>Wed</v>
      </c>
      <c r="B328" s="69">
        <v>43481.0</v>
      </c>
      <c r="D328" s="216">
        <v>863.3</v>
      </c>
      <c r="E328" s="4" t="s">
        <v>222</v>
      </c>
      <c r="F328" s="4" t="s">
        <v>1087</v>
      </c>
      <c r="I328" s="4" t="s">
        <v>359</v>
      </c>
    </row>
    <row r="329" hidden="1">
      <c r="A329" s="67" t="str">
        <f t="shared" si="1"/>
        <v>Thu</v>
      </c>
      <c r="B329" s="69">
        <v>43482.0</v>
      </c>
      <c r="D329" s="216">
        <v>863.3</v>
      </c>
      <c r="E329" s="4" t="s">
        <v>222</v>
      </c>
      <c r="F329" s="4" t="s">
        <v>1087</v>
      </c>
      <c r="I329" s="4" t="s">
        <v>359</v>
      </c>
    </row>
    <row r="330" hidden="1">
      <c r="A330" s="67" t="str">
        <f t="shared" si="1"/>
        <v>Fri</v>
      </c>
      <c r="B330" s="69">
        <v>43483.0</v>
      </c>
      <c r="D330" s="216">
        <v>863.3</v>
      </c>
      <c r="E330" s="4" t="s">
        <v>222</v>
      </c>
      <c r="F330" s="4" t="s">
        <v>1087</v>
      </c>
      <c r="I330" s="4" t="s">
        <v>359</v>
      </c>
    </row>
    <row r="331" hidden="1">
      <c r="A331" s="67" t="str">
        <f t="shared" si="1"/>
        <v>Sat</v>
      </c>
      <c r="B331" s="69">
        <v>43484.0</v>
      </c>
      <c r="D331" s="216">
        <v>863.3</v>
      </c>
      <c r="E331" s="4" t="s">
        <v>222</v>
      </c>
      <c r="F331" s="4" t="s">
        <v>1087</v>
      </c>
      <c r="I331" s="4" t="s">
        <v>359</v>
      </c>
    </row>
    <row r="332" hidden="1">
      <c r="A332" s="67" t="str">
        <f t="shared" si="1"/>
        <v>Sun</v>
      </c>
      <c r="B332" s="69">
        <v>43485.0</v>
      </c>
      <c r="D332" s="216">
        <v>727.5</v>
      </c>
      <c r="E332" s="4" t="s">
        <v>222</v>
      </c>
      <c r="F332" s="4" t="s">
        <v>1089</v>
      </c>
      <c r="G332" s="4" t="s">
        <v>1089</v>
      </c>
      <c r="H332" s="4" t="s">
        <v>1087</v>
      </c>
      <c r="I332" s="4" t="s">
        <v>359</v>
      </c>
      <c r="K332" s="4"/>
      <c r="L332" s="4" t="s">
        <v>225</v>
      </c>
      <c r="M332" s="4" t="s">
        <v>1090</v>
      </c>
      <c r="N332" s="4" t="s">
        <v>1091</v>
      </c>
      <c r="O332" s="4" t="s">
        <v>1092</v>
      </c>
      <c r="Q332" s="4" t="s">
        <v>1093</v>
      </c>
      <c r="R332" s="4">
        <v>1.6997078636E10</v>
      </c>
      <c r="S332" s="4"/>
    </row>
    <row r="333" hidden="1">
      <c r="A333" s="67" t="str">
        <f t="shared" si="1"/>
        <v>Mon</v>
      </c>
      <c r="B333" s="69">
        <v>43486.0</v>
      </c>
      <c r="D333" s="216">
        <v>727.5</v>
      </c>
      <c r="E333" s="4" t="s">
        <v>222</v>
      </c>
      <c r="F333" s="4" t="s">
        <v>1089</v>
      </c>
      <c r="I333" s="4" t="s">
        <v>359</v>
      </c>
    </row>
    <row r="334" hidden="1">
      <c r="A334" s="67" t="str">
        <f t="shared" si="1"/>
        <v>Tue</v>
      </c>
      <c r="B334" s="69">
        <v>43487.0</v>
      </c>
      <c r="D334" s="216">
        <v>727.5</v>
      </c>
      <c r="E334" s="4" t="s">
        <v>222</v>
      </c>
      <c r="F334" s="4" t="s">
        <v>1089</v>
      </c>
      <c r="I334" s="4" t="s">
        <v>359</v>
      </c>
    </row>
    <row r="335" hidden="1">
      <c r="A335" s="67" t="str">
        <f t="shared" si="1"/>
        <v>Wed</v>
      </c>
      <c r="B335" s="69">
        <v>43488.0</v>
      </c>
      <c r="D335" s="216">
        <v>727.5</v>
      </c>
      <c r="E335" s="4" t="s">
        <v>222</v>
      </c>
      <c r="F335" s="4" t="s">
        <v>1089</v>
      </c>
      <c r="I335" s="4" t="s">
        <v>359</v>
      </c>
    </row>
    <row r="336" hidden="1">
      <c r="A336" s="67" t="str">
        <f t="shared" si="1"/>
        <v>Thu</v>
      </c>
      <c r="B336" s="69">
        <v>43489.0</v>
      </c>
      <c r="D336" s="216">
        <v>0.0</v>
      </c>
      <c r="E336" s="4" t="s">
        <v>337</v>
      </c>
      <c r="F336" s="4" t="s">
        <v>1094</v>
      </c>
      <c r="H336" s="4" t="s">
        <v>1089</v>
      </c>
      <c r="I336" s="4" t="s">
        <v>395</v>
      </c>
      <c r="J336" s="4" t="s">
        <v>1047</v>
      </c>
      <c r="K336" s="4"/>
      <c r="L336" s="4" t="s">
        <v>225</v>
      </c>
      <c r="M336" s="4" t="s">
        <v>226</v>
      </c>
      <c r="N336" s="4" t="s">
        <v>232</v>
      </c>
      <c r="O336" s="4" t="s">
        <v>264</v>
      </c>
      <c r="P336" s="4"/>
      <c r="Q336" s="4" t="s">
        <v>1095</v>
      </c>
      <c r="R336" s="167" t="s">
        <v>1096</v>
      </c>
      <c r="S336" s="4"/>
    </row>
    <row r="337" hidden="1">
      <c r="A337" s="67" t="str">
        <f t="shared" si="1"/>
        <v>Fri</v>
      </c>
      <c r="B337" s="69">
        <v>43490.0</v>
      </c>
      <c r="D337" s="216">
        <v>0.0</v>
      </c>
      <c r="E337" s="4" t="s">
        <v>337</v>
      </c>
      <c r="F337" s="4" t="s">
        <v>1094</v>
      </c>
      <c r="I337" s="4" t="s">
        <v>395</v>
      </c>
      <c r="J337" s="4" t="s">
        <v>1047</v>
      </c>
      <c r="R337" s="4"/>
      <c r="S337" s="4"/>
    </row>
    <row r="338" hidden="1">
      <c r="A338" s="67" t="str">
        <f t="shared" si="1"/>
        <v>Sat</v>
      </c>
      <c r="B338" s="69">
        <v>43491.0</v>
      </c>
      <c r="D338" s="216">
        <v>0.0</v>
      </c>
      <c r="E338" s="4" t="s">
        <v>337</v>
      </c>
      <c r="F338" s="4" t="s">
        <v>1094</v>
      </c>
      <c r="I338" s="4" t="s">
        <v>395</v>
      </c>
      <c r="J338" s="4" t="s">
        <v>1047</v>
      </c>
    </row>
    <row r="339" hidden="1">
      <c r="A339" s="67" t="str">
        <f t="shared" si="1"/>
        <v>Sun</v>
      </c>
      <c r="B339" s="69">
        <v>43492.0</v>
      </c>
      <c r="D339" s="216">
        <v>0.0</v>
      </c>
      <c r="E339" s="4" t="s">
        <v>337</v>
      </c>
      <c r="F339" s="4" t="s">
        <v>1094</v>
      </c>
      <c r="I339" s="4" t="s">
        <v>395</v>
      </c>
      <c r="J339" s="4" t="s">
        <v>1047</v>
      </c>
    </row>
    <row r="340" hidden="1">
      <c r="A340" s="67" t="str">
        <f t="shared" si="1"/>
        <v>Mon</v>
      </c>
      <c r="B340" s="69">
        <v>43493.0</v>
      </c>
      <c r="D340" s="216">
        <v>0.0</v>
      </c>
      <c r="E340" s="4" t="s">
        <v>337</v>
      </c>
      <c r="F340" s="4" t="s">
        <v>1094</v>
      </c>
      <c r="I340" s="4" t="s">
        <v>395</v>
      </c>
      <c r="J340" s="4" t="s">
        <v>1047</v>
      </c>
    </row>
    <row r="341" hidden="1">
      <c r="A341" s="67" t="str">
        <f t="shared" si="1"/>
        <v>Tue</v>
      </c>
      <c r="B341" s="69">
        <v>43494.0</v>
      </c>
      <c r="D341" s="216">
        <v>0.0</v>
      </c>
      <c r="E341" s="4" t="s">
        <v>337</v>
      </c>
      <c r="F341" s="4" t="s">
        <v>1094</v>
      </c>
      <c r="I341" s="4" t="s">
        <v>395</v>
      </c>
      <c r="J341" s="4" t="s">
        <v>1047</v>
      </c>
    </row>
    <row r="342" hidden="1">
      <c r="A342" s="67" t="str">
        <f t="shared" si="1"/>
        <v>Wed</v>
      </c>
      <c r="B342" s="69">
        <v>43495.0</v>
      </c>
      <c r="D342" s="216">
        <v>0.0</v>
      </c>
      <c r="E342" s="4" t="s">
        <v>337</v>
      </c>
      <c r="F342" s="4" t="s">
        <v>1094</v>
      </c>
      <c r="I342" s="4" t="s">
        <v>395</v>
      </c>
      <c r="J342" s="4" t="s">
        <v>1047</v>
      </c>
    </row>
    <row r="343" hidden="1">
      <c r="A343" s="67" t="str">
        <f t="shared" si="1"/>
        <v>Thu</v>
      </c>
      <c r="B343" s="69">
        <v>43496.0</v>
      </c>
      <c r="D343" s="216">
        <v>0.0</v>
      </c>
      <c r="E343" s="4" t="s">
        <v>337</v>
      </c>
      <c r="F343" s="4" t="s">
        <v>1094</v>
      </c>
      <c r="I343" s="4" t="s">
        <v>395</v>
      </c>
      <c r="J343" s="4" t="s">
        <v>1047</v>
      </c>
    </row>
    <row r="344" hidden="1">
      <c r="A344" s="67" t="str">
        <f t="shared" si="1"/>
        <v>Fri</v>
      </c>
      <c r="B344" s="69">
        <v>43497.0</v>
      </c>
      <c r="D344" s="216">
        <v>0.0</v>
      </c>
      <c r="E344" s="4" t="s">
        <v>337</v>
      </c>
      <c r="F344" s="4" t="s">
        <v>1094</v>
      </c>
      <c r="I344" s="4" t="s">
        <v>395</v>
      </c>
      <c r="J344" s="4" t="s">
        <v>1047</v>
      </c>
    </row>
    <row r="345" hidden="1">
      <c r="A345" s="67" t="str">
        <f t="shared" si="1"/>
        <v>Sat</v>
      </c>
      <c r="B345" s="69">
        <v>43498.0</v>
      </c>
      <c r="D345" s="216">
        <v>0.0</v>
      </c>
      <c r="E345" s="4" t="s">
        <v>337</v>
      </c>
      <c r="F345" s="4" t="s">
        <v>1094</v>
      </c>
      <c r="I345" s="4" t="s">
        <v>395</v>
      </c>
      <c r="J345" s="4" t="s">
        <v>1047</v>
      </c>
    </row>
    <row r="346" hidden="1">
      <c r="A346" s="67" t="str">
        <f t="shared" si="1"/>
        <v>Sun</v>
      </c>
      <c r="B346" s="69">
        <v>43499.0</v>
      </c>
      <c r="D346" s="216">
        <v>0.0</v>
      </c>
      <c r="E346" s="4" t="s">
        <v>337</v>
      </c>
      <c r="F346" s="4" t="s">
        <v>1094</v>
      </c>
      <c r="I346" s="4" t="s">
        <v>395</v>
      </c>
      <c r="J346" s="4" t="s">
        <v>1047</v>
      </c>
    </row>
    <row r="347" hidden="1">
      <c r="A347" s="67" t="str">
        <f t="shared" si="1"/>
        <v>Mon</v>
      </c>
      <c r="B347" s="69">
        <v>43500.0</v>
      </c>
      <c r="D347" s="216">
        <v>0.0</v>
      </c>
      <c r="E347" s="4" t="s">
        <v>337</v>
      </c>
      <c r="F347" s="4" t="s">
        <v>1094</v>
      </c>
      <c r="I347" s="4" t="s">
        <v>395</v>
      </c>
      <c r="J347" s="4" t="s">
        <v>1047</v>
      </c>
    </row>
    <row r="348" hidden="1">
      <c r="A348" s="67" t="str">
        <f t="shared" si="1"/>
        <v>Tue</v>
      </c>
      <c r="B348" s="69">
        <v>43501.0</v>
      </c>
      <c r="D348" s="216">
        <v>0.0</v>
      </c>
      <c r="E348" s="4" t="s">
        <v>337</v>
      </c>
      <c r="F348" s="4" t="s">
        <v>1094</v>
      </c>
      <c r="I348" s="4" t="s">
        <v>395</v>
      </c>
      <c r="J348" s="4" t="s">
        <v>1047</v>
      </c>
    </row>
    <row r="349" hidden="1">
      <c r="A349" s="67" t="str">
        <f t="shared" si="1"/>
        <v>Wed</v>
      </c>
      <c r="B349" s="69">
        <v>43502.0</v>
      </c>
      <c r="D349" s="216">
        <v>0.0</v>
      </c>
      <c r="E349" s="4" t="s">
        <v>337</v>
      </c>
      <c r="F349" s="4" t="s">
        <v>1094</v>
      </c>
      <c r="I349" s="4" t="s">
        <v>395</v>
      </c>
      <c r="J349" s="4" t="s">
        <v>1047</v>
      </c>
    </row>
    <row r="350" hidden="1">
      <c r="A350" s="67" t="str">
        <f t="shared" si="1"/>
        <v>Thu</v>
      </c>
      <c r="B350" s="69">
        <v>43503.0</v>
      </c>
      <c r="D350" s="216">
        <v>0.0</v>
      </c>
      <c r="E350" s="4" t="s">
        <v>337</v>
      </c>
      <c r="F350" s="4" t="s">
        <v>1094</v>
      </c>
      <c r="I350" s="4" t="s">
        <v>395</v>
      </c>
      <c r="J350" s="4" t="s">
        <v>1047</v>
      </c>
    </row>
    <row r="351" hidden="1">
      <c r="A351" s="67" t="str">
        <f t="shared" si="1"/>
        <v>Fri</v>
      </c>
      <c r="B351" s="69">
        <v>43504.0</v>
      </c>
      <c r="D351" s="216">
        <v>0.0</v>
      </c>
      <c r="E351" s="4" t="s">
        <v>337</v>
      </c>
      <c r="F351" s="4" t="s">
        <v>1094</v>
      </c>
      <c r="I351" s="4" t="s">
        <v>395</v>
      </c>
      <c r="J351" s="4" t="s">
        <v>1047</v>
      </c>
    </row>
    <row r="352" hidden="1">
      <c r="A352" s="67" t="str">
        <f t="shared" si="1"/>
        <v>Sat</v>
      </c>
      <c r="B352" s="69">
        <v>43505.0</v>
      </c>
      <c r="D352" s="216">
        <v>0.0</v>
      </c>
      <c r="E352" s="4" t="s">
        <v>337</v>
      </c>
      <c r="F352" s="4" t="s">
        <v>1094</v>
      </c>
      <c r="I352" s="4" t="s">
        <v>395</v>
      </c>
      <c r="J352" s="4" t="s">
        <v>1047</v>
      </c>
    </row>
    <row r="353" hidden="1">
      <c r="A353" s="67" t="str">
        <f t="shared" si="1"/>
        <v>Sun</v>
      </c>
      <c r="B353" s="69">
        <v>43506.0</v>
      </c>
      <c r="D353" s="216">
        <v>0.0</v>
      </c>
      <c r="E353" s="4" t="s">
        <v>337</v>
      </c>
      <c r="F353" s="4" t="s">
        <v>1094</v>
      </c>
      <c r="I353" s="4" t="s">
        <v>395</v>
      </c>
      <c r="J353" s="4" t="s">
        <v>1047</v>
      </c>
    </row>
    <row r="354" hidden="1">
      <c r="A354" s="67" t="str">
        <f t="shared" si="1"/>
        <v>Mon</v>
      </c>
      <c r="B354" s="69">
        <v>43507.0</v>
      </c>
      <c r="D354" s="216">
        <v>0.0</v>
      </c>
      <c r="E354" s="4" t="s">
        <v>337</v>
      </c>
      <c r="F354" s="4" t="s">
        <v>1094</v>
      </c>
      <c r="I354" s="4" t="s">
        <v>395</v>
      </c>
      <c r="J354" s="4" t="s">
        <v>1047</v>
      </c>
    </row>
    <row r="355" hidden="1">
      <c r="A355" s="67" t="str">
        <f t="shared" si="1"/>
        <v>Tue</v>
      </c>
      <c r="B355" s="69">
        <v>43508.0</v>
      </c>
      <c r="D355" s="216">
        <v>0.0</v>
      </c>
      <c r="E355" s="4" t="s">
        <v>337</v>
      </c>
      <c r="F355" s="4" t="s">
        <v>1094</v>
      </c>
      <c r="I355" s="4" t="s">
        <v>395</v>
      </c>
      <c r="J355" s="4" t="s">
        <v>1047</v>
      </c>
    </row>
    <row r="356" hidden="1">
      <c r="A356" s="67" t="str">
        <f t="shared" si="1"/>
        <v>Wed</v>
      </c>
      <c r="B356" s="69">
        <v>43509.0</v>
      </c>
      <c r="D356" s="216">
        <v>0.0</v>
      </c>
      <c r="E356" s="4" t="s">
        <v>337</v>
      </c>
      <c r="F356" s="4" t="s">
        <v>1094</v>
      </c>
      <c r="I356" s="4" t="s">
        <v>395</v>
      </c>
      <c r="J356" s="4" t="s">
        <v>1047</v>
      </c>
    </row>
    <row r="357" hidden="1">
      <c r="A357" s="67" t="str">
        <f t="shared" si="1"/>
        <v>Thu</v>
      </c>
      <c r="B357" s="69">
        <v>43510.0</v>
      </c>
      <c r="D357" s="216">
        <v>0.0</v>
      </c>
      <c r="E357" s="4" t="s">
        <v>337</v>
      </c>
      <c r="F357" s="4" t="s">
        <v>1094</v>
      </c>
      <c r="I357" s="4" t="s">
        <v>395</v>
      </c>
      <c r="J357" s="4" t="s">
        <v>1047</v>
      </c>
    </row>
    <row r="358" hidden="1">
      <c r="A358" s="67" t="str">
        <f t="shared" si="1"/>
        <v>Fri</v>
      </c>
      <c r="B358" s="69">
        <v>43511.0</v>
      </c>
      <c r="D358" s="216">
        <v>0.0</v>
      </c>
      <c r="E358" s="4" t="s">
        <v>337</v>
      </c>
      <c r="F358" s="4" t="s">
        <v>1094</v>
      </c>
      <c r="I358" s="4" t="s">
        <v>395</v>
      </c>
      <c r="J358" s="4" t="s">
        <v>1047</v>
      </c>
    </row>
    <row r="359" hidden="1">
      <c r="A359" s="67" t="str">
        <f t="shared" si="1"/>
        <v>Sat</v>
      </c>
      <c r="B359" s="69">
        <v>43512.0</v>
      </c>
      <c r="D359" s="216">
        <v>0.0</v>
      </c>
      <c r="E359" s="4" t="s">
        <v>337</v>
      </c>
      <c r="F359" s="4" t="s">
        <v>1094</v>
      </c>
      <c r="I359" s="4" t="s">
        <v>395</v>
      </c>
      <c r="J359" s="4" t="s">
        <v>1047</v>
      </c>
    </row>
    <row r="360" hidden="1">
      <c r="A360" s="67" t="str">
        <f t="shared" si="1"/>
        <v>Sun</v>
      </c>
      <c r="B360" s="69">
        <v>43513.0</v>
      </c>
      <c r="D360" s="216">
        <v>0.0</v>
      </c>
      <c r="E360" s="4" t="s">
        <v>337</v>
      </c>
      <c r="F360" s="4" t="s">
        <v>1094</v>
      </c>
      <c r="I360" s="4" t="s">
        <v>395</v>
      </c>
      <c r="J360" s="4" t="s">
        <v>1047</v>
      </c>
    </row>
    <row r="361" hidden="1">
      <c r="A361" s="67" t="str">
        <f t="shared" si="1"/>
        <v>Mon</v>
      </c>
      <c r="B361" s="69">
        <v>43514.0</v>
      </c>
      <c r="D361" s="216">
        <v>0.0</v>
      </c>
      <c r="E361" s="4" t="s">
        <v>337</v>
      </c>
      <c r="F361" s="4" t="s">
        <v>1094</v>
      </c>
      <c r="I361" s="4" t="s">
        <v>395</v>
      </c>
      <c r="J361" s="4" t="s">
        <v>1047</v>
      </c>
    </row>
    <row r="362" hidden="1">
      <c r="A362" s="67" t="str">
        <f t="shared" si="1"/>
        <v>Tue</v>
      </c>
      <c r="B362" s="69">
        <v>43515.0</v>
      </c>
      <c r="D362" s="216">
        <v>0.0</v>
      </c>
      <c r="E362" s="4" t="s">
        <v>337</v>
      </c>
      <c r="F362" s="4" t="s">
        <v>1094</v>
      </c>
      <c r="I362" s="4" t="s">
        <v>395</v>
      </c>
      <c r="J362" s="4" t="s">
        <v>1047</v>
      </c>
    </row>
    <row r="363" hidden="1">
      <c r="A363" s="67" t="str">
        <f t="shared" si="1"/>
        <v>Wed</v>
      </c>
      <c r="B363" s="69">
        <v>43516.0</v>
      </c>
      <c r="D363" s="208"/>
      <c r="H363" s="4" t="s">
        <v>1094</v>
      </c>
      <c r="J363" s="4"/>
      <c r="L363" s="4" t="s">
        <v>225</v>
      </c>
      <c r="M363" s="4" t="s">
        <v>226</v>
      </c>
      <c r="N363" s="4" t="s">
        <v>232</v>
      </c>
      <c r="O363" s="4" t="s">
        <v>264</v>
      </c>
    </row>
    <row r="364" hidden="1">
      <c r="A364" s="67" t="str">
        <f t="shared" si="1"/>
        <v>Thu</v>
      </c>
      <c r="B364" s="69">
        <v>43517.0</v>
      </c>
      <c r="D364" s="208"/>
      <c r="F364" s="4"/>
      <c r="G364" s="4"/>
      <c r="J364" s="4"/>
      <c r="M364" s="4"/>
      <c r="N364" s="4"/>
      <c r="O364" s="4"/>
    </row>
    <row r="365" hidden="1">
      <c r="A365" s="67" t="str">
        <f t="shared" si="1"/>
        <v>Fri</v>
      </c>
      <c r="B365" s="69">
        <v>43518.0</v>
      </c>
      <c r="D365" s="208"/>
    </row>
    <row r="366" hidden="1">
      <c r="A366" s="67" t="str">
        <f t="shared" si="1"/>
        <v>Sat</v>
      </c>
      <c r="B366" s="69">
        <v>43519.0</v>
      </c>
      <c r="D366" s="217">
        <v>425.0</v>
      </c>
      <c r="E366" s="4" t="s">
        <v>337</v>
      </c>
      <c r="F366" s="4" t="s">
        <v>1118</v>
      </c>
      <c r="G366" s="4" t="s">
        <v>1118</v>
      </c>
      <c r="I366" s="4" t="s">
        <v>359</v>
      </c>
      <c r="J366" s="4" t="s">
        <v>1119</v>
      </c>
      <c r="K366" s="4" t="s">
        <v>339</v>
      </c>
      <c r="L366" s="4" t="s">
        <v>293</v>
      </c>
      <c r="M366" s="4" t="s">
        <v>226</v>
      </c>
      <c r="N366" s="4" t="s">
        <v>232</v>
      </c>
      <c r="O366" s="4" t="s">
        <v>264</v>
      </c>
    </row>
    <row r="367" hidden="1">
      <c r="A367" s="67" t="str">
        <f t="shared" si="1"/>
        <v>Sun</v>
      </c>
      <c r="B367" s="69">
        <v>43520.0</v>
      </c>
      <c r="D367" s="217">
        <v>425.0</v>
      </c>
      <c r="E367" s="4" t="s">
        <v>337</v>
      </c>
      <c r="F367" s="4" t="s">
        <v>1118</v>
      </c>
      <c r="H367" s="4"/>
      <c r="I367" s="4" t="s">
        <v>359</v>
      </c>
    </row>
    <row r="368" hidden="1">
      <c r="A368" s="67" t="str">
        <f t="shared" si="1"/>
        <v>Mon</v>
      </c>
      <c r="B368" s="69">
        <v>43521.0</v>
      </c>
      <c r="D368" s="217">
        <v>400.0</v>
      </c>
      <c r="E368" s="4" t="s">
        <v>337</v>
      </c>
      <c r="F368" s="4" t="s">
        <v>1118</v>
      </c>
      <c r="I368" s="4" t="s">
        <v>359</v>
      </c>
    </row>
    <row r="369" hidden="1">
      <c r="A369" s="67" t="str">
        <f t="shared" si="1"/>
        <v>Tue</v>
      </c>
      <c r="B369" s="69">
        <v>43522.0</v>
      </c>
      <c r="D369" s="208"/>
      <c r="F369" s="4"/>
      <c r="G369" s="4"/>
      <c r="H369" s="4" t="s">
        <v>1118</v>
      </c>
      <c r="M369" s="4"/>
      <c r="N369" s="4"/>
      <c r="O369" s="4"/>
    </row>
    <row r="370" hidden="1">
      <c r="A370" s="67" t="str">
        <f t="shared" si="1"/>
        <v>Wed</v>
      </c>
      <c r="B370" s="69">
        <v>43523.0</v>
      </c>
      <c r="D370" s="208"/>
      <c r="H370" s="4"/>
    </row>
    <row r="371" hidden="1">
      <c r="A371" s="67" t="str">
        <f t="shared" si="1"/>
        <v>Thu</v>
      </c>
      <c r="B371" s="69">
        <v>43524.0</v>
      </c>
      <c r="D371" s="208"/>
      <c r="F371" s="4"/>
      <c r="G371" s="4"/>
      <c r="N371" s="4"/>
      <c r="O371" s="4"/>
    </row>
    <row r="372" hidden="1">
      <c r="A372" s="67" t="str">
        <f t="shared" si="1"/>
        <v>Fri</v>
      </c>
      <c r="B372" s="69">
        <v>43525.0</v>
      </c>
      <c r="D372" s="216">
        <v>1200.0</v>
      </c>
      <c r="E372" s="4" t="s">
        <v>337</v>
      </c>
      <c r="F372" s="4" t="s">
        <v>1120</v>
      </c>
      <c r="G372" s="4" t="s">
        <v>1120</v>
      </c>
      <c r="H372" s="4"/>
      <c r="I372" s="4" t="s">
        <v>359</v>
      </c>
      <c r="K372" s="4" t="s">
        <v>231</v>
      </c>
      <c r="L372" s="4" t="s">
        <v>225</v>
      </c>
      <c r="M372" s="4" t="s">
        <v>1122</v>
      </c>
      <c r="N372" s="4" t="s">
        <v>1123</v>
      </c>
      <c r="O372" s="4" t="s">
        <v>1124</v>
      </c>
      <c r="R372" s="4" t="s">
        <v>1125</v>
      </c>
      <c r="S372" s="4"/>
    </row>
    <row r="373" hidden="1">
      <c r="A373" s="67" t="str">
        <f t="shared" si="1"/>
        <v>Sat</v>
      </c>
      <c r="B373" s="69">
        <v>43526.0</v>
      </c>
      <c r="D373" s="216">
        <v>1200.0</v>
      </c>
      <c r="E373" s="4" t="s">
        <v>337</v>
      </c>
      <c r="F373" s="4" t="s">
        <v>1120</v>
      </c>
      <c r="I373" s="4" t="s">
        <v>359</v>
      </c>
    </row>
    <row r="374" hidden="1">
      <c r="A374" s="67" t="str">
        <f t="shared" si="1"/>
        <v>Sun</v>
      </c>
      <c r="B374" s="69">
        <v>43527.0</v>
      </c>
      <c r="D374" s="216">
        <v>1200.0</v>
      </c>
      <c r="E374" s="4" t="s">
        <v>337</v>
      </c>
      <c r="F374" s="4" t="s">
        <v>1120</v>
      </c>
      <c r="I374" s="4" t="s">
        <v>359</v>
      </c>
    </row>
    <row r="375" hidden="1">
      <c r="A375" s="67" t="str">
        <f t="shared" si="1"/>
        <v>Mon</v>
      </c>
      <c r="B375" s="69">
        <v>43528.0</v>
      </c>
      <c r="D375" s="216">
        <v>1200.0</v>
      </c>
      <c r="E375" s="4" t="s">
        <v>337</v>
      </c>
      <c r="F375" s="4" t="s">
        <v>1120</v>
      </c>
      <c r="I375" s="4" t="s">
        <v>359</v>
      </c>
    </row>
    <row r="376" hidden="1">
      <c r="A376" s="67" t="str">
        <f t="shared" si="1"/>
        <v>Tue</v>
      </c>
      <c r="B376" s="69">
        <v>43529.0</v>
      </c>
      <c r="D376" s="216">
        <v>1200.0</v>
      </c>
      <c r="E376" s="4" t="s">
        <v>337</v>
      </c>
      <c r="F376" s="4" t="s">
        <v>1120</v>
      </c>
      <c r="I376" s="4" t="s">
        <v>359</v>
      </c>
    </row>
    <row r="377" hidden="1">
      <c r="A377" s="67" t="str">
        <f t="shared" si="1"/>
        <v>Wed</v>
      </c>
      <c r="B377" s="69">
        <v>43530.0</v>
      </c>
      <c r="D377" s="216">
        <v>339.5</v>
      </c>
      <c r="E377" s="4" t="s">
        <v>222</v>
      </c>
      <c r="F377" s="4" t="s">
        <v>474</v>
      </c>
      <c r="G377" s="4" t="s">
        <v>474</v>
      </c>
      <c r="H377" s="4" t="s">
        <v>1120</v>
      </c>
      <c r="I377" s="4" t="s">
        <v>359</v>
      </c>
      <c r="K377" s="4" t="s">
        <v>231</v>
      </c>
      <c r="L377" s="4" t="s">
        <v>225</v>
      </c>
      <c r="S377" s="161">
        <v>2.06557444E8</v>
      </c>
    </row>
    <row r="378" hidden="1">
      <c r="A378" s="67" t="str">
        <f t="shared" si="1"/>
        <v>Thu</v>
      </c>
      <c r="B378" s="69">
        <v>43531.0</v>
      </c>
      <c r="D378" s="216">
        <v>423.82</v>
      </c>
      <c r="E378" s="4" t="s">
        <v>222</v>
      </c>
      <c r="F378" s="4" t="s">
        <v>1131</v>
      </c>
      <c r="G378" s="4" t="s">
        <v>1131</v>
      </c>
      <c r="H378" s="4" t="s">
        <v>474</v>
      </c>
      <c r="I378" s="4" t="s">
        <v>359</v>
      </c>
      <c r="L378" s="4" t="s">
        <v>225</v>
      </c>
      <c r="M378" s="4" t="s">
        <v>1132</v>
      </c>
      <c r="Q378" s="4" t="s">
        <v>1133</v>
      </c>
      <c r="R378" s="4" t="s">
        <v>1134</v>
      </c>
      <c r="S378" s="4"/>
    </row>
    <row r="379" hidden="1">
      <c r="A379" s="67" t="str">
        <f t="shared" si="1"/>
        <v>Fri</v>
      </c>
      <c r="B379" s="69">
        <v>43532.0</v>
      </c>
      <c r="D379" s="216">
        <v>423.82</v>
      </c>
      <c r="E379" s="4" t="s">
        <v>222</v>
      </c>
      <c r="F379" s="4" t="s">
        <v>1131</v>
      </c>
      <c r="I379" s="4" t="s">
        <v>359</v>
      </c>
    </row>
    <row r="380" hidden="1">
      <c r="A380" s="67" t="str">
        <f t="shared" si="1"/>
        <v>Sat</v>
      </c>
      <c r="B380" s="69">
        <v>43533.0</v>
      </c>
      <c r="D380" s="216">
        <v>423.82</v>
      </c>
      <c r="E380" s="4" t="s">
        <v>222</v>
      </c>
      <c r="F380" s="4" t="s">
        <v>1131</v>
      </c>
      <c r="I380" s="4" t="s">
        <v>359</v>
      </c>
    </row>
    <row r="381" hidden="1">
      <c r="A381" s="67" t="str">
        <f t="shared" si="1"/>
        <v>Sun</v>
      </c>
      <c r="B381" s="69">
        <v>43534.0</v>
      </c>
      <c r="D381" s="216">
        <v>423.82</v>
      </c>
      <c r="E381" s="4" t="s">
        <v>222</v>
      </c>
      <c r="F381" s="4" t="s">
        <v>1131</v>
      </c>
      <c r="I381" s="4" t="s">
        <v>359</v>
      </c>
    </row>
    <row r="382" hidden="1">
      <c r="A382" s="67" t="str">
        <f t="shared" si="1"/>
        <v>Mon</v>
      </c>
      <c r="B382" s="69">
        <v>43535.0</v>
      </c>
      <c r="D382" s="216">
        <v>423.82</v>
      </c>
      <c r="E382" s="4" t="s">
        <v>222</v>
      </c>
      <c r="F382" s="4" t="s">
        <v>1131</v>
      </c>
      <c r="I382" s="4" t="s">
        <v>359</v>
      </c>
    </row>
    <row r="383" hidden="1">
      <c r="A383" s="67" t="str">
        <f t="shared" si="1"/>
        <v>Tue</v>
      </c>
      <c r="B383" s="69">
        <v>43536.0</v>
      </c>
      <c r="D383" s="216">
        <v>423.82</v>
      </c>
      <c r="E383" s="4" t="s">
        <v>222</v>
      </c>
      <c r="F383" s="4" t="s">
        <v>1131</v>
      </c>
      <c r="I383" s="4" t="s">
        <v>359</v>
      </c>
    </row>
    <row r="384" hidden="1">
      <c r="A384" s="67" t="str">
        <f t="shared" si="1"/>
        <v>Wed</v>
      </c>
      <c r="B384" s="69">
        <v>43537.0</v>
      </c>
      <c r="D384" s="216">
        <v>423.82</v>
      </c>
      <c r="E384" s="4" t="s">
        <v>222</v>
      </c>
      <c r="F384" s="4" t="s">
        <v>1131</v>
      </c>
      <c r="I384" s="4" t="s">
        <v>359</v>
      </c>
    </row>
    <row r="385" hidden="1">
      <c r="A385" s="67" t="str">
        <f t="shared" si="1"/>
        <v>Thu</v>
      </c>
      <c r="B385" s="69">
        <v>43538.0</v>
      </c>
      <c r="D385" s="216"/>
      <c r="H385" s="4" t="s">
        <v>1131</v>
      </c>
    </row>
    <row r="386" hidden="1">
      <c r="A386" s="67" t="str">
        <f t="shared" si="1"/>
        <v>Fri</v>
      </c>
      <c r="B386" s="69">
        <v>43539.0</v>
      </c>
      <c r="D386" s="216"/>
    </row>
    <row r="387" hidden="1">
      <c r="A387" s="67" t="str">
        <f t="shared" si="1"/>
        <v>Sat</v>
      </c>
      <c r="B387" s="69">
        <v>43540.0</v>
      </c>
      <c r="D387" s="217">
        <v>350.0</v>
      </c>
      <c r="E387" s="4" t="s">
        <v>337</v>
      </c>
      <c r="F387" s="4" t="s">
        <v>1140</v>
      </c>
      <c r="G387" s="4" t="s">
        <v>1140</v>
      </c>
      <c r="I387" s="4" t="s">
        <v>359</v>
      </c>
      <c r="K387" s="4" t="s">
        <v>231</v>
      </c>
      <c r="L387" s="4" t="s">
        <v>225</v>
      </c>
      <c r="M387" s="4" t="s">
        <v>1141</v>
      </c>
      <c r="N387" s="4" t="s">
        <v>1142</v>
      </c>
      <c r="O387" s="4" t="s">
        <v>1143</v>
      </c>
      <c r="Q387" s="4" t="s">
        <v>1144</v>
      </c>
      <c r="R387" s="4" t="s">
        <v>1145</v>
      </c>
      <c r="S387" s="4"/>
    </row>
    <row r="388" hidden="1">
      <c r="A388" s="67" t="str">
        <f t="shared" si="1"/>
        <v>Sun</v>
      </c>
      <c r="B388" s="69">
        <v>43541.0</v>
      </c>
      <c r="D388" s="217">
        <v>350.0</v>
      </c>
      <c r="E388" s="4" t="s">
        <v>337</v>
      </c>
      <c r="F388" s="4" t="s">
        <v>1140</v>
      </c>
      <c r="I388" s="4" t="s">
        <v>359</v>
      </c>
    </row>
    <row r="389" hidden="1">
      <c r="A389" s="67" t="str">
        <f t="shared" si="1"/>
        <v>Mon</v>
      </c>
      <c r="B389" s="69">
        <v>43542.0</v>
      </c>
      <c r="D389" s="217">
        <v>350.0</v>
      </c>
      <c r="E389" s="4" t="s">
        <v>337</v>
      </c>
      <c r="F389" s="4" t="s">
        <v>1140</v>
      </c>
      <c r="I389" s="4" t="s">
        <v>359</v>
      </c>
    </row>
    <row r="390" hidden="1">
      <c r="A390" s="67" t="str">
        <f t="shared" si="1"/>
        <v>Tue</v>
      </c>
      <c r="B390" s="69">
        <v>43543.0</v>
      </c>
      <c r="D390" s="217">
        <v>350.0</v>
      </c>
      <c r="E390" s="4" t="s">
        <v>337</v>
      </c>
      <c r="F390" s="4" t="s">
        <v>1140</v>
      </c>
      <c r="I390" s="4" t="s">
        <v>359</v>
      </c>
    </row>
    <row r="391" hidden="1">
      <c r="A391" s="67" t="str">
        <f t="shared" si="1"/>
        <v>Wed</v>
      </c>
      <c r="B391" s="69">
        <v>43544.0</v>
      </c>
      <c r="D391" s="217">
        <v>350.0</v>
      </c>
      <c r="E391" s="4" t="s">
        <v>337</v>
      </c>
      <c r="F391" s="4" t="s">
        <v>1140</v>
      </c>
      <c r="I391" s="4" t="s">
        <v>359</v>
      </c>
    </row>
    <row r="392" hidden="1">
      <c r="A392" s="67" t="str">
        <f t="shared" si="1"/>
        <v>Thu</v>
      </c>
      <c r="B392" s="69">
        <v>43545.0</v>
      </c>
      <c r="D392" s="217">
        <v>350.0</v>
      </c>
      <c r="E392" s="4" t="s">
        <v>337</v>
      </c>
      <c r="F392" s="4" t="s">
        <v>1140</v>
      </c>
      <c r="I392" s="4" t="s">
        <v>359</v>
      </c>
    </row>
    <row r="393" hidden="1">
      <c r="A393" s="67" t="str">
        <f t="shared" si="1"/>
        <v>Fri</v>
      </c>
      <c r="B393" s="69">
        <v>43546.0</v>
      </c>
      <c r="D393" s="216">
        <v>0.0</v>
      </c>
      <c r="E393" s="4" t="s">
        <v>337</v>
      </c>
      <c r="F393" s="4" t="s">
        <v>1094</v>
      </c>
      <c r="G393" s="4" t="s">
        <v>1094</v>
      </c>
      <c r="H393" s="4" t="s">
        <v>1140</v>
      </c>
      <c r="I393" s="4" t="s">
        <v>395</v>
      </c>
      <c r="J393" s="4" t="s">
        <v>1146</v>
      </c>
      <c r="K393" s="4"/>
      <c r="L393" s="4" t="s">
        <v>225</v>
      </c>
    </row>
    <row r="394" hidden="1">
      <c r="A394" s="67" t="str">
        <f t="shared" si="1"/>
        <v>Sat</v>
      </c>
      <c r="B394" s="69">
        <v>43547.0</v>
      </c>
      <c r="D394" s="216">
        <v>0.0</v>
      </c>
      <c r="E394" s="4" t="s">
        <v>337</v>
      </c>
      <c r="F394" s="4" t="s">
        <v>1094</v>
      </c>
      <c r="I394" s="4" t="s">
        <v>395</v>
      </c>
      <c r="J394" s="4" t="s">
        <v>1146</v>
      </c>
    </row>
    <row r="395" hidden="1">
      <c r="A395" s="67" t="str">
        <f t="shared" si="1"/>
        <v>Sun</v>
      </c>
      <c r="B395" s="69">
        <v>43548.0</v>
      </c>
      <c r="D395" s="216">
        <v>0.0</v>
      </c>
      <c r="E395" s="4" t="s">
        <v>337</v>
      </c>
      <c r="F395" s="4" t="s">
        <v>1094</v>
      </c>
      <c r="I395" s="4" t="s">
        <v>395</v>
      </c>
      <c r="J395" s="4" t="s">
        <v>1146</v>
      </c>
    </row>
    <row r="396" hidden="1">
      <c r="A396" s="67" t="str">
        <f t="shared" si="1"/>
        <v>Mon</v>
      </c>
      <c r="B396" s="69">
        <v>43549.0</v>
      </c>
      <c r="D396" s="216">
        <v>0.0</v>
      </c>
      <c r="E396" s="4" t="s">
        <v>337</v>
      </c>
      <c r="F396" s="4" t="s">
        <v>1094</v>
      </c>
      <c r="I396" s="4" t="s">
        <v>395</v>
      </c>
      <c r="J396" s="4" t="s">
        <v>1146</v>
      </c>
    </row>
    <row r="397" hidden="1">
      <c r="A397" s="67" t="str">
        <f t="shared" si="1"/>
        <v>Tue</v>
      </c>
      <c r="B397" s="69">
        <v>43550.0</v>
      </c>
      <c r="D397" s="216">
        <v>0.0</v>
      </c>
      <c r="E397" s="4" t="s">
        <v>337</v>
      </c>
      <c r="F397" s="4" t="s">
        <v>1094</v>
      </c>
      <c r="I397" s="4" t="s">
        <v>395</v>
      </c>
      <c r="J397" s="4" t="s">
        <v>1146</v>
      </c>
    </row>
    <row r="398" hidden="1">
      <c r="A398" s="67" t="str">
        <f t="shared" si="1"/>
        <v>Wed</v>
      </c>
      <c r="B398" s="69">
        <v>43551.0</v>
      </c>
      <c r="D398" s="216"/>
      <c r="F398" s="4"/>
      <c r="G398" s="4"/>
      <c r="H398" s="4" t="s">
        <v>1094</v>
      </c>
      <c r="J398" s="4"/>
      <c r="M398" s="4"/>
      <c r="N398" s="4"/>
      <c r="O398" s="4"/>
    </row>
    <row r="399" hidden="1">
      <c r="A399" s="67" t="str">
        <f t="shared" si="1"/>
        <v>Thu</v>
      </c>
      <c r="B399" s="69">
        <v>43552.0</v>
      </c>
      <c r="D399" s="216"/>
      <c r="F399" s="4"/>
      <c r="J399" s="4"/>
    </row>
    <row r="400">
      <c r="A400" s="67" t="str">
        <f t="shared" si="1"/>
        <v>Fri</v>
      </c>
      <c r="B400" s="69">
        <v>43553.0</v>
      </c>
      <c r="D400" s="216"/>
      <c r="J400" s="4"/>
    </row>
    <row r="401">
      <c r="A401" s="67" t="str">
        <f t="shared" si="1"/>
        <v>Sat</v>
      </c>
      <c r="B401" s="69">
        <v>43554.0</v>
      </c>
      <c r="D401" s="216">
        <v>339.5</v>
      </c>
      <c r="E401" s="4" t="s">
        <v>222</v>
      </c>
      <c r="F401" s="4" t="s">
        <v>1157</v>
      </c>
      <c r="G401" s="4" t="s">
        <v>1157</v>
      </c>
      <c r="H401" s="4" t="s">
        <v>1158</v>
      </c>
      <c r="I401" s="4" t="s">
        <v>224</v>
      </c>
      <c r="K401" s="4" t="s">
        <v>231</v>
      </c>
      <c r="L401" s="4" t="s">
        <v>225</v>
      </c>
      <c r="M401" s="4" t="s">
        <v>1159</v>
      </c>
      <c r="N401" s="4" t="s">
        <v>1160</v>
      </c>
      <c r="O401" s="4" t="s">
        <v>1161</v>
      </c>
      <c r="Q401" s="4" t="s">
        <v>1162</v>
      </c>
      <c r="R401" s="167" t="s">
        <v>1163</v>
      </c>
      <c r="S401" s="4">
        <v>9.3260121072E10</v>
      </c>
    </row>
    <row r="402">
      <c r="A402" s="67" t="str">
        <f t="shared" si="1"/>
        <v>Sun</v>
      </c>
      <c r="B402" s="69">
        <v>43555.0</v>
      </c>
      <c r="D402" s="216">
        <v>0.0</v>
      </c>
      <c r="E402" s="4" t="s">
        <v>337</v>
      </c>
      <c r="F402" s="4" t="s">
        <v>1094</v>
      </c>
      <c r="G402" s="4" t="s">
        <v>1094</v>
      </c>
      <c r="H402" s="4" t="s">
        <v>1157</v>
      </c>
      <c r="I402" s="4" t="s">
        <v>395</v>
      </c>
      <c r="J402" s="4" t="s">
        <v>1146</v>
      </c>
      <c r="L402" s="4" t="s">
        <v>225</v>
      </c>
    </row>
    <row r="403">
      <c r="A403" s="67" t="str">
        <f t="shared" si="1"/>
        <v>Mon</v>
      </c>
      <c r="B403" s="69">
        <v>43556.0</v>
      </c>
      <c r="D403" s="216">
        <v>0.0</v>
      </c>
      <c r="E403" s="4" t="s">
        <v>337</v>
      </c>
      <c r="F403" s="4" t="s">
        <v>1094</v>
      </c>
      <c r="I403" s="4" t="s">
        <v>395</v>
      </c>
      <c r="J403" s="4" t="s">
        <v>1146</v>
      </c>
    </row>
    <row r="404">
      <c r="A404" s="67" t="str">
        <f t="shared" si="1"/>
        <v>Tue</v>
      </c>
      <c r="B404" s="69">
        <v>43557.0</v>
      </c>
      <c r="D404" s="216">
        <v>0.0</v>
      </c>
      <c r="E404" s="4" t="s">
        <v>337</v>
      </c>
      <c r="F404" s="4" t="s">
        <v>1094</v>
      </c>
      <c r="I404" s="4" t="s">
        <v>395</v>
      </c>
      <c r="J404" s="4" t="s">
        <v>1146</v>
      </c>
    </row>
    <row r="405">
      <c r="A405" s="67" t="str">
        <f t="shared" si="1"/>
        <v>Wed</v>
      </c>
      <c r="B405" s="69">
        <v>43558.0</v>
      </c>
      <c r="D405" s="216">
        <v>0.0</v>
      </c>
      <c r="E405" s="4" t="s">
        <v>337</v>
      </c>
      <c r="F405" s="4" t="s">
        <v>1094</v>
      </c>
      <c r="I405" s="4" t="s">
        <v>395</v>
      </c>
      <c r="J405" s="4" t="s">
        <v>1146</v>
      </c>
    </row>
    <row r="406">
      <c r="A406" s="67" t="str">
        <f t="shared" si="1"/>
        <v>Thu</v>
      </c>
      <c r="B406" s="69">
        <v>43559.0</v>
      </c>
      <c r="D406" s="216">
        <v>0.0</v>
      </c>
      <c r="E406" s="4" t="s">
        <v>337</v>
      </c>
      <c r="F406" s="4" t="s">
        <v>1094</v>
      </c>
      <c r="I406" s="4" t="s">
        <v>395</v>
      </c>
      <c r="J406" s="4" t="s">
        <v>1146</v>
      </c>
    </row>
    <row r="407">
      <c r="A407" s="67" t="str">
        <f t="shared" si="1"/>
        <v>Fri</v>
      </c>
      <c r="B407" s="69">
        <v>43560.0</v>
      </c>
      <c r="D407" s="216">
        <v>0.0</v>
      </c>
      <c r="E407" s="4" t="s">
        <v>337</v>
      </c>
      <c r="F407" s="4" t="s">
        <v>1094</v>
      </c>
      <c r="I407" s="4" t="s">
        <v>395</v>
      </c>
      <c r="J407" s="4" t="s">
        <v>1146</v>
      </c>
    </row>
    <row r="408">
      <c r="A408" s="67" t="str">
        <f t="shared" si="1"/>
        <v>Sat</v>
      </c>
      <c r="B408" s="69">
        <v>43561.0</v>
      </c>
      <c r="D408" s="216">
        <v>0.0</v>
      </c>
      <c r="E408" s="4" t="s">
        <v>337</v>
      </c>
      <c r="F408" s="4" t="s">
        <v>1094</v>
      </c>
      <c r="I408" s="4" t="s">
        <v>395</v>
      </c>
      <c r="J408" s="4" t="s">
        <v>1146</v>
      </c>
    </row>
    <row r="409">
      <c r="A409" s="67" t="str">
        <f t="shared" si="1"/>
        <v>Sun</v>
      </c>
      <c r="B409" s="69">
        <v>43562.0</v>
      </c>
      <c r="D409" s="216">
        <v>0.0</v>
      </c>
      <c r="E409" s="4" t="s">
        <v>337</v>
      </c>
      <c r="F409" s="4" t="s">
        <v>1094</v>
      </c>
      <c r="I409" s="4" t="s">
        <v>395</v>
      </c>
      <c r="J409" s="4" t="s">
        <v>1146</v>
      </c>
    </row>
    <row r="410">
      <c r="A410" s="67" t="str">
        <f t="shared" si="1"/>
        <v>Mon</v>
      </c>
      <c r="B410" s="69">
        <v>43563.0</v>
      </c>
      <c r="D410" s="216">
        <v>0.0</v>
      </c>
      <c r="E410" s="4" t="s">
        <v>337</v>
      </c>
      <c r="F410" s="4" t="s">
        <v>1094</v>
      </c>
      <c r="I410" s="4" t="s">
        <v>395</v>
      </c>
      <c r="J410" s="4" t="s">
        <v>1146</v>
      </c>
    </row>
    <row r="411">
      <c r="A411" s="67" t="str">
        <f t="shared" si="1"/>
        <v>Tue</v>
      </c>
      <c r="B411" s="69">
        <v>43564.0</v>
      </c>
      <c r="D411" s="216">
        <v>0.0</v>
      </c>
      <c r="E411" s="4" t="s">
        <v>337</v>
      </c>
      <c r="F411" s="4" t="s">
        <v>1094</v>
      </c>
      <c r="I411" s="4" t="s">
        <v>395</v>
      </c>
      <c r="J411" s="4" t="s">
        <v>1146</v>
      </c>
    </row>
    <row r="412">
      <c r="A412" s="67" t="str">
        <f t="shared" si="1"/>
        <v>Wed</v>
      </c>
      <c r="B412" s="69">
        <v>43565.0</v>
      </c>
      <c r="D412" s="216"/>
      <c r="H412" s="4" t="s">
        <v>1094</v>
      </c>
      <c r="J412" s="4"/>
    </row>
    <row r="413">
      <c r="A413" s="67" t="str">
        <f t="shared" si="1"/>
        <v>Thu</v>
      </c>
      <c r="B413" s="69">
        <v>43566.0</v>
      </c>
      <c r="D413" s="208"/>
      <c r="J413" s="4"/>
    </row>
    <row r="414">
      <c r="A414" s="67" t="str">
        <f t="shared" si="1"/>
        <v>Fri</v>
      </c>
      <c r="B414" s="69">
        <v>43567.0</v>
      </c>
      <c r="D414" s="208"/>
      <c r="J414" s="4"/>
    </row>
    <row r="415">
      <c r="A415" s="67" t="str">
        <f t="shared" si="1"/>
        <v>Sat</v>
      </c>
      <c r="B415" s="69">
        <v>43568.0</v>
      </c>
      <c r="D415" s="216">
        <v>421.64</v>
      </c>
      <c r="E415" s="4" t="s">
        <v>169</v>
      </c>
      <c r="F415" s="4" t="s">
        <v>1168</v>
      </c>
      <c r="G415" s="4" t="s">
        <v>1168</v>
      </c>
      <c r="I415" s="4" t="s">
        <v>359</v>
      </c>
      <c r="K415" s="4" t="s">
        <v>231</v>
      </c>
      <c r="L415" s="4" t="s">
        <v>225</v>
      </c>
      <c r="M415" s="4" t="s">
        <v>310</v>
      </c>
      <c r="N415" s="4" t="s">
        <v>310</v>
      </c>
      <c r="O415" s="4" t="s">
        <v>310</v>
      </c>
    </row>
    <row r="416">
      <c r="A416" s="67" t="str">
        <f t="shared" si="1"/>
        <v>Sun</v>
      </c>
      <c r="B416" s="69">
        <v>43569.0</v>
      </c>
      <c r="D416" s="216">
        <v>421.64</v>
      </c>
      <c r="E416" s="4" t="s">
        <v>169</v>
      </c>
      <c r="F416" s="4" t="s">
        <v>1168</v>
      </c>
      <c r="I416" s="4" t="s">
        <v>359</v>
      </c>
    </row>
    <row r="417">
      <c r="A417" s="67" t="str">
        <f t="shared" si="1"/>
        <v>Mon</v>
      </c>
      <c r="B417" s="69">
        <v>43570.0</v>
      </c>
      <c r="D417" s="216">
        <v>421.64</v>
      </c>
      <c r="E417" s="4" t="s">
        <v>169</v>
      </c>
      <c r="F417" s="4" t="s">
        <v>1168</v>
      </c>
      <c r="I417" s="4" t="s">
        <v>359</v>
      </c>
    </row>
    <row r="418">
      <c r="A418" s="67" t="str">
        <f t="shared" si="1"/>
        <v>Tue</v>
      </c>
      <c r="B418" s="69">
        <v>43571.0</v>
      </c>
      <c r="D418" s="216">
        <v>421.64</v>
      </c>
      <c r="E418" s="4" t="s">
        <v>169</v>
      </c>
      <c r="F418" s="4" t="s">
        <v>1168</v>
      </c>
      <c r="I418" s="4" t="s">
        <v>359</v>
      </c>
    </row>
    <row r="419">
      <c r="A419" s="67" t="str">
        <f t="shared" si="1"/>
        <v>Wed</v>
      </c>
      <c r="B419" s="69">
        <v>43572.0</v>
      </c>
      <c r="D419" s="216">
        <v>421.64</v>
      </c>
      <c r="E419" s="4" t="s">
        <v>169</v>
      </c>
      <c r="F419" s="4" t="s">
        <v>1168</v>
      </c>
      <c r="I419" s="4" t="s">
        <v>359</v>
      </c>
    </row>
    <row r="420">
      <c r="A420" s="67" t="str">
        <f t="shared" si="1"/>
        <v>Thu</v>
      </c>
      <c r="B420" s="69">
        <v>43573.0</v>
      </c>
      <c r="D420" s="216">
        <v>421.64</v>
      </c>
      <c r="E420" s="4" t="s">
        <v>169</v>
      </c>
      <c r="F420" s="4" t="s">
        <v>1168</v>
      </c>
      <c r="I420" s="4" t="s">
        <v>359</v>
      </c>
    </row>
    <row r="421">
      <c r="A421" s="67" t="str">
        <f t="shared" si="1"/>
        <v>Fri</v>
      </c>
      <c r="B421" s="69">
        <v>43574.0</v>
      </c>
      <c r="D421" s="216">
        <v>421.64</v>
      </c>
      <c r="E421" s="4" t="s">
        <v>169</v>
      </c>
      <c r="F421" s="4" t="s">
        <v>1168</v>
      </c>
      <c r="I421" s="4" t="s">
        <v>359</v>
      </c>
    </row>
    <row r="422">
      <c r="A422" s="67" t="str">
        <f t="shared" si="1"/>
        <v>Sat</v>
      </c>
      <c r="B422" s="69">
        <v>43575.0</v>
      </c>
      <c r="D422" s="217">
        <v>339.5</v>
      </c>
      <c r="E422" s="4" t="s">
        <v>222</v>
      </c>
      <c r="F422" s="4" t="s">
        <v>1179</v>
      </c>
      <c r="G422" s="4" t="s">
        <v>1179</v>
      </c>
      <c r="H422" s="4" t="s">
        <v>1168</v>
      </c>
      <c r="I422" s="4" t="s">
        <v>359</v>
      </c>
      <c r="J422" s="4"/>
      <c r="L422" s="4" t="s">
        <v>225</v>
      </c>
      <c r="M422" s="4" t="s">
        <v>226</v>
      </c>
      <c r="N422" s="4" t="s">
        <v>232</v>
      </c>
      <c r="R422" s="4" t="s">
        <v>1180</v>
      </c>
    </row>
    <row r="423">
      <c r="A423" s="67" t="str">
        <f t="shared" si="1"/>
        <v>Sun</v>
      </c>
      <c r="B423" s="69">
        <v>43576.0</v>
      </c>
      <c r="D423" s="208"/>
      <c r="H423" s="4" t="s">
        <v>1179</v>
      </c>
      <c r="J423" s="4"/>
    </row>
    <row r="424">
      <c r="A424" s="67" t="str">
        <f t="shared" si="1"/>
        <v>Mon</v>
      </c>
      <c r="B424" s="69">
        <v>43577.0</v>
      </c>
      <c r="D424" s="208"/>
      <c r="J424" s="4"/>
    </row>
    <row r="425">
      <c r="A425" s="67" t="str">
        <f t="shared" si="1"/>
        <v>Tue</v>
      </c>
      <c r="B425" s="69">
        <v>43578.0</v>
      </c>
      <c r="D425" s="217">
        <v>174.6</v>
      </c>
      <c r="E425" s="4" t="s">
        <v>222</v>
      </c>
      <c r="F425" s="4" t="s">
        <v>1185</v>
      </c>
      <c r="G425" s="4" t="s">
        <v>1185</v>
      </c>
      <c r="J425" s="4"/>
      <c r="K425" s="4" t="s">
        <v>231</v>
      </c>
      <c r="L425" s="4" t="s">
        <v>229</v>
      </c>
      <c r="M425" s="4" t="s">
        <v>1186</v>
      </c>
      <c r="N425" s="4" t="s">
        <v>1187</v>
      </c>
      <c r="O425" s="4" t="s">
        <v>1188</v>
      </c>
      <c r="R425" s="4" t="s">
        <v>1189</v>
      </c>
    </row>
    <row r="426">
      <c r="A426" s="67" t="str">
        <f t="shared" si="1"/>
        <v>Wed</v>
      </c>
      <c r="B426" s="69">
        <v>43579.0</v>
      </c>
      <c r="D426" s="217">
        <v>174.6</v>
      </c>
      <c r="E426" s="4" t="s">
        <v>222</v>
      </c>
      <c r="F426" s="4" t="s">
        <v>1185</v>
      </c>
    </row>
    <row r="427">
      <c r="A427" s="67" t="str">
        <f t="shared" si="1"/>
        <v>Thu</v>
      </c>
      <c r="B427" s="69">
        <v>43580.0</v>
      </c>
      <c r="D427" s="217">
        <v>174.6</v>
      </c>
      <c r="E427" s="4" t="s">
        <v>222</v>
      </c>
      <c r="F427" s="4" t="s">
        <v>1185</v>
      </c>
    </row>
    <row r="428">
      <c r="A428" s="67" t="str">
        <f t="shared" si="1"/>
        <v>Fri</v>
      </c>
      <c r="B428" s="69">
        <v>43581.0</v>
      </c>
      <c r="D428" s="217">
        <v>97.0</v>
      </c>
      <c r="E428" s="4" t="s">
        <v>222</v>
      </c>
      <c r="F428" s="4" t="s">
        <v>1195</v>
      </c>
      <c r="G428" s="4" t="s">
        <v>1195</v>
      </c>
      <c r="H428" s="4" t="s">
        <v>1185</v>
      </c>
      <c r="I428" s="4" t="s">
        <v>224</v>
      </c>
      <c r="K428" s="4" t="s">
        <v>231</v>
      </c>
      <c r="L428" s="4" t="s">
        <v>225</v>
      </c>
      <c r="M428" s="4" t="s">
        <v>226</v>
      </c>
      <c r="N428" s="4" t="s">
        <v>232</v>
      </c>
      <c r="O428" s="4" t="s">
        <v>264</v>
      </c>
    </row>
    <row r="429">
      <c r="A429" s="67" t="str">
        <f t="shared" si="1"/>
        <v>Sat</v>
      </c>
      <c r="B429" s="69">
        <v>43582.0</v>
      </c>
      <c r="D429" s="216">
        <v>339.5</v>
      </c>
      <c r="E429" s="4" t="s">
        <v>222</v>
      </c>
      <c r="F429" s="4" t="s">
        <v>1196</v>
      </c>
      <c r="G429" s="4" t="s">
        <v>1196</v>
      </c>
      <c r="H429" s="4" t="s">
        <v>1195</v>
      </c>
      <c r="I429" s="4" t="s">
        <v>224</v>
      </c>
      <c r="K429" s="4" t="s">
        <v>231</v>
      </c>
      <c r="L429" s="4" t="s">
        <v>225</v>
      </c>
      <c r="M429" s="4" t="s">
        <v>226</v>
      </c>
      <c r="N429" s="4" t="s">
        <v>232</v>
      </c>
      <c r="O429" s="4" t="s">
        <v>264</v>
      </c>
      <c r="R429" s="4" t="s">
        <v>1198</v>
      </c>
    </row>
    <row r="430">
      <c r="A430" s="67" t="str">
        <f t="shared" si="1"/>
        <v>Sun</v>
      </c>
      <c r="B430" s="69">
        <v>43583.0</v>
      </c>
      <c r="D430" s="208"/>
      <c r="F430" s="4"/>
      <c r="G430" s="4"/>
      <c r="H430" s="4" t="s">
        <v>1196</v>
      </c>
      <c r="M430" s="4"/>
      <c r="N430" s="4"/>
      <c r="O430" s="4"/>
    </row>
    <row r="431">
      <c r="A431" s="67" t="str">
        <f t="shared" si="1"/>
        <v>Mon</v>
      </c>
      <c r="B431" s="69">
        <v>43584.0</v>
      </c>
      <c r="D431" s="208"/>
      <c r="F431" s="4"/>
    </row>
    <row r="432">
      <c r="A432" s="67" t="str">
        <f t="shared" si="1"/>
        <v>Tue</v>
      </c>
      <c r="B432" s="69">
        <v>43585.0</v>
      </c>
      <c r="D432" s="217">
        <v>0.0</v>
      </c>
      <c r="E432" s="4" t="s">
        <v>337</v>
      </c>
      <c r="F432" s="4" t="s">
        <v>1094</v>
      </c>
      <c r="G432" s="4" t="s">
        <v>1094</v>
      </c>
      <c r="I432" s="4" t="s">
        <v>359</v>
      </c>
      <c r="L432" s="4" t="s">
        <v>225</v>
      </c>
      <c r="M432" s="4" t="s">
        <v>226</v>
      </c>
      <c r="N432" s="4" t="s">
        <v>232</v>
      </c>
      <c r="O432" s="4" t="s">
        <v>264</v>
      </c>
    </row>
    <row r="433">
      <c r="A433" s="67" t="str">
        <f t="shared" si="1"/>
        <v>Wed</v>
      </c>
      <c r="B433" s="69">
        <v>43586.0</v>
      </c>
      <c r="D433" s="217">
        <v>0.0</v>
      </c>
      <c r="E433" s="4" t="s">
        <v>337</v>
      </c>
      <c r="F433" s="4" t="s">
        <v>1094</v>
      </c>
      <c r="I433" s="4" t="s">
        <v>359</v>
      </c>
    </row>
    <row r="434">
      <c r="A434" s="67" t="str">
        <f t="shared" si="1"/>
        <v>Thu</v>
      </c>
      <c r="B434" s="69">
        <v>43587.0</v>
      </c>
      <c r="D434" s="217">
        <v>0.0</v>
      </c>
      <c r="E434" s="4" t="s">
        <v>337</v>
      </c>
      <c r="F434" s="4" t="s">
        <v>1094</v>
      </c>
      <c r="H434" s="4"/>
      <c r="I434" s="4" t="s">
        <v>359</v>
      </c>
    </row>
    <row r="435">
      <c r="A435" s="67" t="str">
        <f t="shared" si="1"/>
        <v>Fri</v>
      </c>
      <c r="B435" s="69">
        <v>43588.0</v>
      </c>
      <c r="D435" s="217">
        <v>0.0</v>
      </c>
      <c r="E435" s="4" t="s">
        <v>337</v>
      </c>
      <c r="F435" s="4" t="s">
        <v>1094</v>
      </c>
      <c r="I435" s="4" t="s">
        <v>359</v>
      </c>
    </row>
    <row r="436">
      <c r="A436" s="67" t="str">
        <f t="shared" si="1"/>
        <v>Sat</v>
      </c>
      <c r="B436" s="69">
        <v>43589.0</v>
      </c>
      <c r="D436" s="217">
        <v>0.0</v>
      </c>
      <c r="E436" s="4" t="s">
        <v>337</v>
      </c>
      <c r="F436" s="4" t="s">
        <v>1094</v>
      </c>
      <c r="I436" s="4" t="s">
        <v>359</v>
      </c>
    </row>
    <row r="437">
      <c r="A437" s="67" t="str">
        <f t="shared" si="1"/>
        <v>Sun</v>
      </c>
      <c r="B437" s="69">
        <v>43590.0</v>
      </c>
      <c r="D437" s="217">
        <v>0.0</v>
      </c>
      <c r="E437" s="4" t="s">
        <v>337</v>
      </c>
      <c r="F437" s="4" t="s">
        <v>1094</v>
      </c>
      <c r="I437" s="4" t="s">
        <v>359</v>
      </c>
    </row>
    <row r="438">
      <c r="A438" s="67" t="str">
        <f t="shared" si="1"/>
        <v>Mon</v>
      </c>
      <c r="B438" s="69">
        <v>43591.0</v>
      </c>
      <c r="D438" s="217">
        <v>0.0</v>
      </c>
      <c r="E438" s="4" t="s">
        <v>337</v>
      </c>
      <c r="F438" s="4" t="s">
        <v>1094</v>
      </c>
      <c r="I438" s="4" t="s">
        <v>359</v>
      </c>
    </row>
    <row r="439">
      <c r="A439" s="67" t="str">
        <f t="shared" si="1"/>
        <v>Tue</v>
      </c>
      <c r="B439" s="69">
        <v>43592.0</v>
      </c>
      <c r="D439" s="217">
        <v>0.0</v>
      </c>
      <c r="E439" s="4" t="s">
        <v>337</v>
      </c>
      <c r="F439" s="4" t="s">
        <v>1094</v>
      </c>
      <c r="I439" s="4" t="s">
        <v>359</v>
      </c>
    </row>
    <row r="440">
      <c r="A440" s="67" t="str">
        <f t="shared" si="1"/>
        <v>Wed</v>
      </c>
      <c r="B440" s="69">
        <v>43593.0</v>
      </c>
      <c r="D440" s="217">
        <v>0.0</v>
      </c>
      <c r="E440" s="4" t="s">
        <v>337</v>
      </c>
      <c r="F440" s="4" t="s">
        <v>1094</v>
      </c>
      <c r="I440" s="4" t="s">
        <v>359</v>
      </c>
    </row>
    <row r="441">
      <c r="A441" s="67" t="str">
        <f t="shared" si="1"/>
        <v>Thu</v>
      </c>
      <c r="B441" s="69">
        <v>43594.0</v>
      </c>
      <c r="D441" s="217">
        <v>0.0</v>
      </c>
      <c r="E441" s="4" t="s">
        <v>337</v>
      </c>
      <c r="F441" s="4" t="s">
        <v>1094</v>
      </c>
      <c r="I441" s="4" t="s">
        <v>359</v>
      </c>
    </row>
    <row r="442">
      <c r="A442" s="67" t="str">
        <f t="shared" si="1"/>
        <v>Fri</v>
      </c>
      <c r="B442" s="69">
        <v>43595.0</v>
      </c>
      <c r="D442" s="217">
        <v>0.0</v>
      </c>
      <c r="E442" s="4" t="s">
        <v>337</v>
      </c>
      <c r="F442" s="4" t="s">
        <v>1094</v>
      </c>
      <c r="I442" s="4" t="s">
        <v>359</v>
      </c>
    </row>
    <row r="443">
      <c r="A443" s="67" t="str">
        <f t="shared" si="1"/>
        <v>Sat</v>
      </c>
      <c r="B443" s="69">
        <v>43596.0</v>
      </c>
      <c r="D443" s="217">
        <v>0.0</v>
      </c>
      <c r="E443" s="4" t="s">
        <v>337</v>
      </c>
      <c r="F443" s="4" t="s">
        <v>1094</v>
      </c>
      <c r="I443" s="4" t="s">
        <v>359</v>
      </c>
    </row>
    <row r="444">
      <c r="A444" s="67" t="str">
        <f t="shared" si="1"/>
        <v>Sun</v>
      </c>
      <c r="B444" s="69">
        <v>43597.0</v>
      </c>
      <c r="D444" s="217">
        <v>0.0</v>
      </c>
      <c r="E444" s="4" t="s">
        <v>337</v>
      </c>
      <c r="F444" s="4" t="s">
        <v>1094</v>
      </c>
      <c r="I444" s="4" t="s">
        <v>359</v>
      </c>
    </row>
    <row r="445">
      <c r="A445" s="67" t="str">
        <f t="shared" si="1"/>
        <v>Mon</v>
      </c>
      <c r="B445" s="69">
        <v>43598.0</v>
      </c>
      <c r="D445" s="217">
        <v>0.0</v>
      </c>
      <c r="E445" s="4" t="s">
        <v>337</v>
      </c>
      <c r="F445" s="4" t="s">
        <v>1094</v>
      </c>
      <c r="I445" s="4" t="s">
        <v>359</v>
      </c>
    </row>
    <row r="446">
      <c r="A446" s="67" t="str">
        <f t="shared" si="1"/>
        <v>Tue</v>
      </c>
      <c r="B446" s="69">
        <v>43599.0</v>
      </c>
      <c r="D446" s="217">
        <v>0.0</v>
      </c>
      <c r="E446" s="4" t="s">
        <v>337</v>
      </c>
      <c r="F446" s="4" t="s">
        <v>1094</v>
      </c>
      <c r="I446" s="4" t="s">
        <v>359</v>
      </c>
    </row>
    <row r="447">
      <c r="A447" s="67" t="str">
        <f t="shared" si="1"/>
        <v>Wed</v>
      </c>
      <c r="B447" s="69">
        <v>43600.0</v>
      </c>
      <c r="D447" s="217">
        <v>0.0</v>
      </c>
      <c r="E447" s="4" t="s">
        <v>337</v>
      </c>
      <c r="F447" s="4" t="s">
        <v>1094</v>
      </c>
      <c r="I447" s="4" t="s">
        <v>359</v>
      </c>
    </row>
    <row r="448">
      <c r="A448" s="67" t="str">
        <f t="shared" si="1"/>
        <v>Thu</v>
      </c>
      <c r="B448" s="69">
        <v>43601.0</v>
      </c>
      <c r="D448" s="217">
        <v>0.0</v>
      </c>
      <c r="E448" s="4" t="s">
        <v>337</v>
      </c>
      <c r="F448" s="4" t="s">
        <v>1094</v>
      </c>
      <c r="I448" s="4" t="s">
        <v>359</v>
      </c>
    </row>
    <row r="449">
      <c r="A449" s="67" t="str">
        <f t="shared" si="1"/>
        <v>Fri</v>
      </c>
      <c r="B449" s="69">
        <v>43602.0</v>
      </c>
      <c r="D449" s="217">
        <v>0.0</v>
      </c>
      <c r="E449" s="4" t="s">
        <v>337</v>
      </c>
      <c r="F449" s="4" t="s">
        <v>1094</v>
      </c>
      <c r="I449" s="4" t="s">
        <v>359</v>
      </c>
    </row>
    <row r="450">
      <c r="A450" s="67" t="str">
        <f t="shared" si="1"/>
        <v>Sat</v>
      </c>
      <c r="B450" s="69">
        <v>43603.0</v>
      </c>
      <c r="D450" s="217">
        <v>0.0</v>
      </c>
      <c r="E450" s="4" t="s">
        <v>337</v>
      </c>
      <c r="F450" s="4" t="s">
        <v>1094</v>
      </c>
      <c r="I450" s="4" t="s">
        <v>359</v>
      </c>
    </row>
    <row r="451">
      <c r="A451" s="67" t="str">
        <f t="shared" si="1"/>
        <v>Sun</v>
      </c>
      <c r="B451" s="69">
        <v>43604.0</v>
      </c>
      <c r="D451" s="217">
        <v>0.0</v>
      </c>
      <c r="E451" s="4" t="s">
        <v>337</v>
      </c>
      <c r="F451" s="4" t="s">
        <v>1094</v>
      </c>
      <c r="I451" s="4" t="s">
        <v>359</v>
      </c>
    </row>
    <row r="452">
      <c r="A452" s="67" t="str">
        <f t="shared" si="1"/>
        <v>Mon</v>
      </c>
      <c r="B452" s="69">
        <v>43605.0</v>
      </c>
      <c r="D452" s="217">
        <v>0.0</v>
      </c>
      <c r="E452" s="4" t="s">
        <v>337</v>
      </c>
      <c r="F452" s="4" t="s">
        <v>1094</v>
      </c>
      <c r="I452" s="4" t="s">
        <v>359</v>
      </c>
    </row>
    <row r="453">
      <c r="A453" s="67" t="str">
        <f t="shared" si="1"/>
        <v>Tue</v>
      </c>
      <c r="B453" s="69">
        <v>43606.0</v>
      </c>
      <c r="D453" s="217">
        <v>0.0</v>
      </c>
      <c r="E453" s="4" t="s">
        <v>337</v>
      </c>
      <c r="F453" s="4" t="s">
        <v>1094</v>
      </c>
      <c r="I453" s="4" t="s">
        <v>359</v>
      </c>
    </row>
    <row r="454">
      <c r="A454" s="67" t="str">
        <f t="shared" si="1"/>
        <v>Wed</v>
      </c>
      <c r="B454" s="69">
        <v>43607.0</v>
      </c>
      <c r="D454" s="217">
        <v>0.0</v>
      </c>
      <c r="E454" s="4" t="s">
        <v>337</v>
      </c>
      <c r="F454" s="4" t="s">
        <v>1094</v>
      </c>
      <c r="I454" s="4" t="s">
        <v>359</v>
      </c>
    </row>
    <row r="455">
      <c r="A455" s="67" t="str">
        <f t="shared" si="1"/>
        <v>Thu</v>
      </c>
      <c r="B455" s="69">
        <v>43608.0</v>
      </c>
      <c r="D455" s="208"/>
      <c r="F455" s="4"/>
      <c r="G455" s="4"/>
      <c r="H455" s="4" t="s">
        <v>1094</v>
      </c>
      <c r="N455" s="4"/>
      <c r="O455" s="4"/>
    </row>
    <row r="456">
      <c r="A456" s="67" t="str">
        <f t="shared" si="1"/>
        <v>Fri</v>
      </c>
      <c r="B456" s="69">
        <v>43609.0</v>
      </c>
      <c r="D456" s="208"/>
      <c r="F456" s="4"/>
    </row>
    <row r="457">
      <c r="A457" s="67" t="str">
        <f t="shared" si="1"/>
        <v>Sat</v>
      </c>
      <c r="B457" s="69">
        <v>43610.0</v>
      </c>
      <c r="D457" s="217">
        <v>983.1</v>
      </c>
      <c r="E457" s="4" t="s">
        <v>169</v>
      </c>
      <c r="F457" s="4" t="s">
        <v>1213</v>
      </c>
      <c r="G457" s="4" t="s">
        <v>1213</v>
      </c>
      <c r="H457" s="4"/>
      <c r="I457" s="4" t="s">
        <v>224</v>
      </c>
      <c r="K457" s="4" t="s">
        <v>231</v>
      </c>
      <c r="L457" s="4" t="s">
        <v>225</v>
      </c>
      <c r="M457" s="4" t="s">
        <v>226</v>
      </c>
      <c r="N457" s="4" t="s">
        <v>232</v>
      </c>
      <c r="O457" s="4" t="s">
        <v>264</v>
      </c>
      <c r="R457" s="4" t="s">
        <v>1214</v>
      </c>
    </row>
    <row r="458">
      <c r="A458" s="67" t="str">
        <f t="shared" si="1"/>
        <v>Sun</v>
      </c>
      <c r="B458" s="69">
        <v>43611.0</v>
      </c>
      <c r="D458" s="217">
        <v>983.1</v>
      </c>
      <c r="E458" s="178" t="s">
        <v>169</v>
      </c>
      <c r="F458" s="4" t="s">
        <v>1213</v>
      </c>
      <c r="I458" s="4" t="s">
        <v>224</v>
      </c>
    </row>
    <row r="459">
      <c r="A459" s="67" t="str">
        <f t="shared" si="1"/>
        <v>Mon</v>
      </c>
      <c r="B459" s="69">
        <v>43612.0</v>
      </c>
      <c r="D459" s="217">
        <v>0.0</v>
      </c>
      <c r="E459" s="4" t="s">
        <v>337</v>
      </c>
      <c r="F459" s="4" t="s">
        <v>1094</v>
      </c>
      <c r="H459" s="4" t="s">
        <v>1213</v>
      </c>
      <c r="I459" s="4" t="s">
        <v>224</v>
      </c>
      <c r="L459" s="4" t="s">
        <v>225</v>
      </c>
    </row>
    <row r="460">
      <c r="A460" s="67" t="str">
        <f t="shared" si="1"/>
        <v>Tue</v>
      </c>
      <c r="B460" s="69">
        <v>43613.0</v>
      </c>
      <c r="D460" s="217">
        <v>0.0</v>
      </c>
      <c r="E460" s="4" t="s">
        <v>337</v>
      </c>
      <c r="F460" s="4" t="s">
        <v>1094</v>
      </c>
      <c r="I460" s="4" t="s">
        <v>224</v>
      </c>
    </row>
    <row r="461">
      <c r="A461" s="67" t="str">
        <f t="shared" si="1"/>
        <v>Wed</v>
      </c>
      <c r="B461" s="69">
        <v>43614.0</v>
      </c>
      <c r="D461" s="217">
        <v>0.0</v>
      </c>
      <c r="E461" s="4" t="s">
        <v>337</v>
      </c>
      <c r="F461" s="4" t="s">
        <v>1094</v>
      </c>
      <c r="I461" s="4" t="s">
        <v>224</v>
      </c>
    </row>
    <row r="462">
      <c r="A462" s="67" t="str">
        <f t="shared" si="1"/>
        <v>Thu</v>
      </c>
      <c r="B462" s="69">
        <v>43615.0</v>
      </c>
      <c r="D462" s="208"/>
      <c r="F462" s="4"/>
      <c r="G462" s="4"/>
      <c r="H462" s="4" t="s">
        <v>1094</v>
      </c>
      <c r="J462" s="4" t="s">
        <v>295</v>
      </c>
      <c r="L462" s="4" t="s">
        <v>229</v>
      </c>
      <c r="M462" s="4"/>
      <c r="N462" s="4"/>
      <c r="O462" s="4"/>
    </row>
    <row r="463">
      <c r="A463" s="67" t="str">
        <f t="shared" si="1"/>
        <v>Fri</v>
      </c>
      <c r="B463" s="69">
        <v>43616.0</v>
      </c>
      <c r="D463" s="208"/>
      <c r="F463" s="4"/>
      <c r="G463" s="4"/>
      <c r="H463" s="4"/>
      <c r="J463" s="4" t="s">
        <v>295</v>
      </c>
      <c r="L463" s="4" t="s">
        <v>229</v>
      </c>
      <c r="M463" s="4"/>
      <c r="N463" s="4"/>
      <c r="O463" s="4"/>
    </row>
    <row r="464">
      <c r="A464" s="67" t="str">
        <f t="shared" si="1"/>
        <v>Sat</v>
      </c>
      <c r="B464" s="69">
        <v>43617.0</v>
      </c>
      <c r="D464" s="216">
        <v>244.925</v>
      </c>
      <c r="E464" s="4" t="s">
        <v>222</v>
      </c>
      <c r="F464" s="4" t="s">
        <v>1215</v>
      </c>
      <c r="G464" s="4" t="s">
        <v>1215</v>
      </c>
      <c r="H464" s="4"/>
      <c r="I464" s="4" t="s">
        <v>224</v>
      </c>
      <c r="K464" s="4" t="s">
        <v>231</v>
      </c>
      <c r="L464" s="4" t="s">
        <v>229</v>
      </c>
      <c r="M464" s="4" t="s">
        <v>1216</v>
      </c>
      <c r="N464" s="4" t="s">
        <v>1217</v>
      </c>
      <c r="Q464" s="4" t="s">
        <v>1218</v>
      </c>
      <c r="R464" s="4" t="s">
        <v>1219</v>
      </c>
      <c r="S464" s="4">
        <v>1.988178193E9</v>
      </c>
    </row>
    <row r="465">
      <c r="A465" s="67" t="str">
        <f t="shared" si="1"/>
        <v>Sun</v>
      </c>
      <c r="B465" s="69">
        <v>43618.0</v>
      </c>
      <c r="D465" s="216">
        <v>244.925</v>
      </c>
      <c r="E465" s="4" t="s">
        <v>222</v>
      </c>
      <c r="F465" s="4" t="s">
        <v>1215</v>
      </c>
      <c r="I465" s="4" t="s">
        <v>224</v>
      </c>
    </row>
    <row r="466">
      <c r="A466" s="67" t="str">
        <f t="shared" si="1"/>
        <v>Mon</v>
      </c>
      <c r="B466" s="69">
        <v>43619.0</v>
      </c>
      <c r="D466" s="208"/>
      <c r="H466" s="4" t="s">
        <v>1215</v>
      </c>
    </row>
    <row r="467">
      <c r="A467" s="67" t="str">
        <f t="shared" si="1"/>
        <v>Tue</v>
      </c>
      <c r="B467" s="69">
        <v>43620.0</v>
      </c>
      <c r="D467" s="208"/>
    </row>
    <row r="468">
      <c r="A468" s="67" t="str">
        <f t="shared" si="1"/>
        <v>Wed</v>
      </c>
      <c r="B468" s="69">
        <v>43621.0</v>
      </c>
      <c r="D468" s="208"/>
    </row>
    <row r="469">
      <c r="A469" s="67" t="str">
        <f t="shared" si="1"/>
        <v>Thu</v>
      </c>
      <c r="B469" s="69">
        <v>43622.0</v>
      </c>
      <c r="D469" s="208"/>
    </row>
    <row r="470">
      <c r="A470" s="67" t="str">
        <f t="shared" si="1"/>
        <v>Fri</v>
      </c>
      <c r="B470" s="69">
        <v>43623.0</v>
      </c>
      <c r="D470" s="216">
        <v>266.75</v>
      </c>
      <c r="E470" s="4" t="s">
        <v>222</v>
      </c>
      <c r="F470" s="4" t="s">
        <v>1220</v>
      </c>
      <c r="G470" s="4" t="s">
        <v>1220</v>
      </c>
      <c r="I470" s="4" t="s">
        <v>224</v>
      </c>
      <c r="J470" s="4" t="s">
        <v>1221</v>
      </c>
      <c r="K470" s="4" t="s">
        <v>231</v>
      </c>
      <c r="L470" s="4" t="s">
        <v>229</v>
      </c>
      <c r="M470" s="4" t="s">
        <v>1222</v>
      </c>
      <c r="Q470" s="4" t="s">
        <v>1223</v>
      </c>
      <c r="R470" s="4" t="s">
        <v>1224</v>
      </c>
      <c r="S470" s="161">
        <v>4.8487481949E10</v>
      </c>
    </row>
    <row r="471">
      <c r="A471" s="67" t="str">
        <f t="shared" si="1"/>
        <v>Sat</v>
      </c>
      <c r="B471" s="69">
        <v>43624.0</v>
      </c>
      <c r="D471" s="216">
        <v>266.75</v>
      </c>
      <c r="E471" s="4" t="s">
        <v>222</v>
      </c>
      <c r="F471" s="4" t="s">
        <v>1220</v>
      </c>
      <c r="I471" s="4" t="s">
        <v>224</v>
      </c>
      <c r="J471" s="4" t="s">
        <v>1221</v>
      </c>
    </row>
    <row r="472">
      <c r="A472" s="67" t="str">
        <f t="shared" si="1"/>
        <v>Sun</v>
      </c>
      <c r="B472" s="69">
        <v>43625.0</v>
      </c>
      <c r="D472" s="208"/>
      <c r="H472" s="4" t="s">
        <v>1220</v>
      </c>
    </row>
    <row r="473">
      <c r="A473" s="67" t="str">
        <f t="shared" si="1"/>
        <v>Mon</v>
      </c>
      <c r="B473" s="69">
        <v>43626.0</v>
      </c>
      <c r="D473" s="208"/>
    </row>
    <row r="474">
      <c r="A474" s="67" t="str">
        <f t="shared" si="1"/>
        <v>Tue</v>
      </c>
      <c r="B474" s="69">
        <v>43627.0</v>
      </c>
      <c r="D474" s="208"/>
    </row>
    <row r="475">
      <c r="A475" s="67" t="str">
        <f t="shared" si="1"/>
        <v>Wed</v>
      </c>
      <c r="B475" s="69">
        <v>43628.0</v>
      </c>
      <c r="D475" s="208"/>
    </row>
    <row r="476">
      <c r="A476" s="67" t="str">
        <f t="shared" si="1"/>
        <v>Thu</v>
      </c>
      <c r="B476" s="69">
        <v>43629.0</v>
      </c>
      <c r="D476" s="208"/>
    </row>
    <row r="477">
      <c r="A477" s="67" t="str">
        <f t="shared" si="1"/>
        <v>Fri</v>
      </c>
      <c r="B477" s="69">
        <v>43630.0</v>
      </c>
      <c r="D477" s="208"/>
    </row>
    <row r="478">
      <c r="A478" s="67" t="str">
        <f t="shared" si="1"/>
        <v>Sat</v>
      </c>
      <c r="B478" s="69">
        <v>43631.0</v>
      </c>
      <c r="D478" s="208"/>
    </row>
    <row r="479">
      <c r="A479" s="67" t="str">
        <f t="shared" si="1"/>
        <v>Sun</v>
      </c>
      <c r="B479" s="69">
        <v>43632.0</v>
      </c>
      <c r="D479" s="208"/>
    </row>
    <row r="480">
      <c r="A480" s="67" t="str">
        <f t="shared" si="1"/>
        <v>Mon</v>
      </c>
      <c r="B480" s="69">
        <v>43633.0</v>
      </c>
      <c r="D480" s="208"/>
    </row>
    <row r="481">
      <c r="A481" s="67" t="str">
        <f t="shared" si="1"/>
        <v>Tue</v>
      </c>
      <c r="B481" s="69">
        <v>43634.0</v>
      </c>
      <c r="D481" s="208"/>
    </row>
    <row r="482">
      <c r="A482" s="67" t="str">
        <f t="shared" si="1"/>
        <v>Wed</v>
      </c>
      <c r="B482" s="69">
        <v>43635.0</v>
      </c>
      <c r="D482" s="208"/>
    </row>
    <row r="483">
      <c r="A483" s="67" t="str">
        <f t="shared" si="1"/>
        <v>Thu</v>
      </c>
      <c r="B483" s="69">
        <v>43636.0</v>
      </c>
      <c r="D483" s="208"/>
    </row>
    <row r="484">
      <c r="A484" s="67" t="str">
        <f t="shared" si="1"/>
        <v>Fri</v>
      </c>
      <c r="B484" s="69">
        <v>43637.0</v>
      </c>
      <c r="D484" s="208"/>
    </row>
    <row r="485">
      <c r="A485" s="67" t="str">
        <f t="shared" si="1"/>
        <v>Sat</v>
      </c>
      <c r="B485" s="69">
        <v>43638.0</v>
      </c>
      <c r="D485" s="208"/>
    </row>
    <row r="486">
      <c r="A486" s="67" t="str">
        <f t="shared" si="1"/>
        <v>Sun</v>
      </c>
      <c r="B486" s="69">
        <v>43639.0</v>
      </c>
      <c r="D486" s="208"/>
    </row>
    <row r="487">
      <c r="A487" s="67" t="str">
        <f t="shared" si="1"/>
        <v>Mon</v>
      </c>
      <c r="B487" s="69">
        <v>43640.0</v>
      </c>
      <c r="D487" s="208"/>
    </row>
    <row r="488">
      <c r="A488" s="67" t="str">
        <f t="shared" si="1"/>
        <v>Tue</v>
      </c>
      <c r="B488" s="69">
        <v>43641.0</v>
      </c>
      <c r="D488" s="208"/>
    </row>
    <row r="489">
      <c r="A489" s="67" t="str">
        <f t="shared" si="1"/>
        <v>Wed</v>
      </c>
      <c r="B489" s="69">
        <v>43642.0</v>
      </c>
      <c r="D489" s="208"/>
    </row>
    <row r="490">
      <c r="A490" s="67" t="str">
        <f t="shared" si="1"/>
        <v>Thu</v>
      </c>
      <c r="B490" s="69">
        <v>43643.0</v>
      </c>
      <c r="D490" s="208"/>
    </row>
    <row r="491">
      <c r="A491" s="67" t="str">
        <f t="shared" si="1"/>
        <v>Fri</v>
      </c>
      <c r="B491" s="69">
        <v>43644.0</v>
      </c>
      <c r="D491" s="208"/>
    </row>
    <row r="492">
      <c r="A492" s="67" t="str">
        <f t="shared" si="1"/>
        <v>Sat</v>
      </c>
      <c r="B492" s="69">
        <v>43645.0</v>
      </c>
      <c r="D492" s="208"/>
    </row>
    <row r="493">
      <c r="A493" s="67" t="str">
        <f t="shared" si="1"/>
        <v>Sun</v>
      </c>
      <c r="B493" s="69">
        <v>43646.0</v>
      </c>
      <c r="D493" s="208"/>
    </row>
    <row r="494">
      <c r="A494" s="67" t="str">
        <f t="shared" si="1"/>
        <v>Mon</v>
      </c>
      <c r="B494" s="69">
        <v>43647.0</v>
      </c>
      <c r="D494" s="208"/>
    </row>
    <row r="495">
      <c r="A495" s="67" t="str">
        <f t="shared" si="1"/>
        <v>Tue</v>
      </c>
      <c r="B495" s="69">
        <v>43648.0</v>
      </c>
      <c r="D495" s="208"/>
    </row>
    <row r="496">
      <c r="A496" s="67" t="str">
        <f t="shared" si="1"/>
        <v>Wed</v>
      </c>
      <c r="B496" s="69">
        <v>43649.0</v>
      </c>
      <c r="D496" s="208"/>
    </row>
    <row r="497">
      <c r="A497" s="67" t="str">
        <f t="shared" si="1"/>
        <v>Thu</v>
      </c>
      <c r="B497" s="69">
        <v>43650.0</v>
      </c>
      <c r="D497" s="208"/>
    </row>
    <row r="498">
      <c r="A498" s="67" t="str">
        <f t="shared" si="1"/>
        <v>Fri</v>
      </c>
      <c r="B498" s="69">
        <v>43651.0</v>
      </c>
      <c r="D498" s="208"/>
    </row>
    <row r="499">
      <c r="A499" s="67" t="str">
        <f t="shared" si="1"/>
        <v>Sat</v>
      </c>
      <c r="B499" s="69">
        <v>43652.0</v>
      </c>
      <c r="D499" s="208"/>
    </row>
    <row r="500">
      <c r="A500" s="67" t="str">
        <f t="shared" si="1"/>
        <v>Sun</v>
      </c>
      <c r="B500" s="69">
        <v>43653.0</v>
      </c>
      <c r="D500" s="208"/>
    </row>
    <row r="501">
      <c r="A501" s="67" t="str">
        <f t="shared" si="1"/>
        <v>Mon</v>
      </c>
      <c r="B501" s="69">
        <v>43654.0</v>
      </c>
      <c r="D501" s="208"/>
    </row>
    <row r="502">
      <c r="A502" s="67" t="str">
        <f t="shared" si="1"/>
        <v>Tue</v>
      </c>
      <c r="B502" s="69">
        <v>43655.0</v>
      </c>
      <c r="D502" s="208"/>
    </row>
    <row r="503">
      <c r="A503" s="67" t="str">
        <f t="shared" si="1"/>
        <v>Wed</v>
      </c>
      <c r="B503" s="69">
        <v>43656.0</v>
      </c>
      <c r="D503" s="208"/>
    </row>
    <row r="504">
      <c r="A504" s="67" t="str">
        <f t="shared" si="1"/>
        <v>Thu</v>
      </c>
      <c r="B504" s="69">
        <v>43657.0</v>
      </c>
      <c r="D504" s="208"/>
    </row>
    <row r="505">
      <c r="A505" s="67" t="str">
        <f t="shared" si="1"/>
        <v>Fri</v>
      </c>
      <c r="B505" s="69">
        <v>43658.0</v>
      </c>
      <c r="D505" s="208"/>
    </row>
    <row r="506">
      <c r="A506" s="67" t="str">
        <f t="shared" si="1"/>
        <v>Sat</v>
      </c>
      <c r="B506" s="69">
        <v>43659.0</v>
      </c>
      <c r="D506" s="208"/>
    </row>
    <row r="507">
      <c r="A507" s="67" t="str">
        <f t="shared" si="1"/>
        <v>Sun</v>
      </c>
      <c r="B507" s="69">
        <v>43660.0</v>
      </c>
      <c r="D507" s="208"/>
    </row>
    <row r="508">
      <c r="A508" s="67" t="str">
        <f t="shared" si="1"/>
        <v>Mon</v>
      </c>
      <c r="B508" s="69">
        <v>43661.0</v>
      </c>
      <c r="D508" s="208"/>
    </row>
    <row r="509">
      <c r="A509" s="67" t="str">
        <f t="shared" si="1"/>
        <v>Tue</v>
      </c>
      <c r="B509" s="69">
        <v>43662.0</v>
      </c>
      <c r="D509" s="208"/>
    </row>
    <row r="510">
      <c r="A510" s="67" t="str">
        <f t="shared" si="1"/>
        <v>Wed</v>
      </c>
      <c r="B510" s="69">
        <v>43663.0</v>
      </c>
      <c r="D510" s="208"/>
    </row>
    <row r="511">
      <c r="A511" s="67" t="str">
        <f t="shared" si="1"/>
        <v>Thu</v>
      </c>
      <c r="B511" s="69">
        <v>43664.0</v>
      </c>
      <c r="D511" s="208"/>
    </row>
    <row r="512">
      <c r="A512" s="67" t="str">
        <f t="shared" si="1"/>
        <v>Fri</v>
      </c>
      <c r="B512" s="69">
        <v>43665.0</v>
      </c>
      <c r="D512" s="208"/>
    </row>
    <row r="513">
      <c r="A513" s="67" t="str">
        <f t="shared" si="1"/>
        <v>Sat</v>
      </c>
      <c r="B513" s="69">
        <v>43666.0</v>
      </c>
      <c r="D513" s="208"/>
    </row>
    <row r="514">
      <c r="A514" s="67" t="str">
        <f t="shared" si="1"/>
        <v>Sun</v>
      </c>
      <c r="B514" s="69">
        <v>43667.0</v>
      </c>
      <c r="D514" s="208"/>
    </row>
    <row r="515">
      <c r="A515" s="67" t="str">
        <f t="shared" si="1"/>
        <v>Mon</v>
      </c>
      <c r="B515" s="69">
        <v>43668.0</v>
      </c>
      <c r="D515" s="208"/>
    </row>
    <row r="516">
      <c r="A516" s="67" t="str">
        <f t="shared" si="1"/>
        <v>Tue</v>
      </c>
      <c r="B516" s="69">
        <v>43669.0</v>
      </c>
      <c r="D516" s="208"/>
    </row>
    <row r="517">
      <c r="A517" s="67" t="str">
        <f t="shared" si="1"/>
        <v>Wed</v>
      </c>
      <c r="B517" s="69">
        <v>43670.0</v>
      </c>
      <c r="D517" s="208"/>
    </row>
    <row r="518">
      <c r="A518" s="67" t="str">
        <f t="shared" si="1"/>
        <v>Thu</v>
      </c>
      <c r="B518" s="69">
        <v>43671.0</v>
      </c>
      <c r="D518" s="208"/>
    </row>
    <row r="519">
      <c r="A519" s="67" t="str">
        <f t="shared" si="1"/>
        <v>Fri</v>
      </c>
      <c r="B519" s="69">
        <v>43672.0</v>
      </c>
      <c r="D519" s="208"/>
    </row>
    <row r="520">
      <c r="A520" s="67" t="str">
        <f t="shared" si="1"/>
        <v>Sat</v>
      </c>
      <c r="B520" s="69">
        <v>43673.0</v>
      </c>
      <c r="D520" s="208"/>
    </row>
    <row r="521">
      <c r="A521" s="67" t="str">
        <f t="shared" si="1"/>
        <v>Sun</v>
      </c>
      <c r="B521" s="69">
        <v>43674.0</v>
      </c>
      <c r="D521" s="208"/>
    </row>
    <row r="522">
      <c r="A522" s="67" t="str">
        <f t="shared" si="1"/>
        <v>Mon</v>
      </c>
      <c r="B522" s="69">
        <v>43675.0</v>
      </c>
      <c r="D522" s="208"/>
    </row>
    <row r="523">
      <c r="A523" s="67" t="str">
        <f t="shared" si="1"/>
        <v>Tue</v>
      </c>
      <c r="B523" s="69">
        <v>43676.0</v>
      </c>
      <c r="D523" s="208"/>
    </row>
    <row r="524">
      <c r="A524" s="67" t="str">
        <f t="shared" si="1"/>
        <v>Wed</v>
      </c>
      <c r="B524" s="69">
        <v>43677.0</v>
      </c>
      <c r="D524" s="208"/>
    </row>
    <row r="525">
      <c r="A525" s="67" t="str">
        <f t="shared" si="1"/>
        <v>Thu</v>
      </c>
      <c r="B525" s="69">
        <v>43678.0</v>
      </c>
      <c r="D525" s="208"/>
    </row>
    <row r="526">
      <c r="A526" s="67" t="str">
        <f t="shared" si="1"/>
        <v>Fri</v>
      </c>
      <c r="B526" s="69">
        <v>43679.0</v>
      </c>
      <c r="D526" s="208"/>
    </row>
    <row r="527">
      <c r="A527" s="67" t="str">
        <f t="shared" si="1"/>
        <v>Sat</v>
      </c>
      <c r="B527" s="69">
        <v>43680.0</v>
      </c>
      <c r="D527" s="208"/>
    </row>
    <row r="528">
      <c r="A528" s="67" t="str">
        <f t="shared" si="1"/>
        <v>Sun</v>
      </c>
      <c r="B528" s="69">
        <v>43681.0</v>
      </c>
      <c r="D528" s="208"/>
    </row>
    <row r="529">
      <c r="A529" s="67" t="str">
        <f t="shared" si="1"/>
        <v>Mon</v>
      </c>
      <c r="B529" s="69">
        <v>43682.0</v>
      </c>
      <c r="D529" s="208"/>
    </row>
    <row r="530">
      <c r="A530" s="67" t="str">
        <f t="shared" si="1"/>
        <v>Tue</v>
      </c>
      <c r="B530" s="69">
        <v>43683.0</v>
      </c>
      <c r="D530" s="208"/>
    </row>
    <row r="531">
      <c r="A531" s="67" t="str">
        <f t="shared" si="1"/>
        <v>Wed</v>
      </c>
      <c r="B531" s="69">
        <v>43684.0</v>
      </c>
      <c r="D531" s="208"/>
    </row>
    <row r="532">
      <c r="A532" s="67" t="str">
        <f t="shared" si="1"/>
        <v>Thu</v>
      </c>
      <c r="B532" s="69">
        <v>43685.0</v>
      </c>
      <c r="D532" s="208"/>
    </row>
    <row r="533">
      <c r="A533" s="67" t="str">
        <f t="shared" si="1"/>
        <v>Fri</v>
      </c>
      <c r="B533" s="69">
        <v>43686.0</v>
      </c>
      <c r="D533" s="208"/>
    </row>
    <row r="534">
      <c r="A534" s="67" t="str">
        <f t="shared" si="1"/>
        <v>Sat</v>
      </c>
      <c r="B534" s="69">
        <v>43687.0</v>
      </c>
      <c r="D534" s="208"/>
    </row>
    <row r="535">
      <c r="A535" s="67" t="str">
        <f t="shared" si="1"/>
        <v>Sun</v>
      </c>
      <c r="B535" s="69">
        <v>43688.0</v>
      </c>
      <c r="D535" s="208"/>
    </row>
    <row r="536">
      <c r="A536" s="67" t="str">
        <f t="shared" si="1"/>
        <v>Mon</v>
      </c>
      <c r="B536" s="69">
        <v>43689.0</v>
      </c>
      <c r="D536" s="208"/>
    </row>
    <row r="537">
      <c r="A537" s="67" t="str">
        <f t="shared" si="1"/>
        <v>Tue</v>
      </c>
      <c r="B537" s="69">
        <v>43690.0</v>
      </c>
      <c r="D537" s="208"/>
    </row>
    <row r="538">
      <c r="A538" s="67" t="str">
        <f t="shared" si="1"/>
        <v>Wed</v>
      </c>
      <c r="B538" s="69">
        <v>43691.0</v>
      </c>
      <c r="D538" s="208"/>
    </row>
    <row r="539">
      <c r="A539" s="67" t="str">
        <f t="shared" si="1"/>
        <v>Thu</v>
      </c>
      <c r="B539" s="69">
        <v>43692.0</v>
      </c>
      <c r="D539" s="208"/>
    </row>
    <row r="540">
      <c r="A540" s="67" t="str">
        <f t="shared" si="1"/>
        <v>Fri</v>
      </c>
      <c r="B540" s="69">
        <v>43693.0</v>
      </c>
      <c r="D540" s="208"/>
    </row>
    <row r="541">
      <c r="A541" s="67" t="str">
        <f t="shared" si="1"/>
        <v>Sat</v>
      </c>
      <c r="B541" s="69">
        <v>43694.0</v>
      </c>
      <c r="D541" s="208"/>
    </row>
    <row r="542">
      <c r="A542" s="67" t="str">
        <f t="shared" si="1"/>
        <v>Sun</v>
      </c>
      <c r="B542" s="69">
        <v>43695.0</v>
      </c>
      <c r="D542" s="208"/>
    </row>
    <row r="543">
      <c r="A543" s="67" t="str">
        <f t="shared" si="1"/>
        <v>Mon</v>
      </c>
      <c r="B543" s="69">
        <v>43696.0</v>
      </c>
      <c r="D543" s="208"/>
    </row>
    <row r="544">
      <c r="A544" s="67" t="str">
        <f t="shared" si="1"/>
        <v>Tue</v>
      </c>
      <c r="B544" s="69">
        <v>43697.0</v>
      </c>
      <c r="D544" s="208"/>
    </row>
    <row r="545">
      <c r="A545" s="67" t="str">
        <f t="shared" si="1"/>
        <v>Wed</v>
      </c>
      <c r="B545" s="69">
        <v>43698.0</v>
      </c>
      <c r="D545" s="208"/>
    </row>
    <row r="546">
      <c r="A546" s="67" t="str">
        <f t="shared" si="1"/>
        <v>Thu</v>
      </c>
      <c r="B546" s="69">
        <v>43699.0</v>
      </c>
      <c r="D546" s="208"/>
    </row>
    <row r="547">
      <c r="A547" s="67" t="str">
        <f t="shared" si="1"/>
        <v>Fri</v>
      </c>
      <c r="B547" s="69">
        <v>43700.0</v>
      </c>
      <c r="D547" s="208"/>
    </row>
    <row r="548">
      <c r="A548" s="67" t="str">
        <f t="shared" si="1"/>
        <v>Sat</v>
      </c>
      <c r="B548" s="69">
        <v>43701.0</v>
      </c>
      <c r="D548" s="208"/>
    </row>
    <row r="549">
      <c r="A549" s="67" t="str">
        <f t="shared" si="1"/>
        <v>Sun</v>
      </c>
      <c r="B549" s="69">
        <v>43702.0</v>
      </c>
      <c r="D549" s="208"/>
    </row>
    <row r="550">
      <c r="A550" s="67" t="str">
        <f t="shared" si="1"/>
        <v>Mon</v>
      </c>
      <c r="B550" s="69">
        <v>43703.0</v>
      </c>
      <c r="D550" s="208"/>
    </row>
    <row r="551">
      <c r="A551" s="67" t="str">
        <f t="shared" si="1"/>
        <v>Tue</v>
      </c>
      <c r="B551" s="69">
        <v>43704.0</v>
      </c>
      <c r="D551" s="208"/>
    </row>
    <row r="552">
      <c r="A552" s="67" t="str">
        <f t="shared" si="1"/>
        <v>Wed</v>
      </c>
      <c r="B552" s="69">
        <v>43705.0</v>
      </c>
      <c r="D552" s="208"/>
    </row>
    <row r="553">
      <c r="A553" s="67" t="str">
        <f t="shared" si="1"/>
        <v>Thu</v>
      </c>
      <c r="B553" s="69">
        <v>43706.0</v>
      </c>
      <c r="D553" s="208"/>
    </row>
    <row r="554">
      <c r="A554" s="67" t="str">
        <f t="shared" si="1"/>
        <v>Fri</v>
      </c>
      <c r="B554" s="69">
        <v>43707.0</v>
      </c>
      <c r="D554" s="208"/>
    </row>
    <row r="555">
      <c r="A555" s="67" t="str">
        <f t="shared" si="1"/>
        <v>Sat</v>
      </c>
      <c r="B555" s="69">
        <v>43708.0</v>
      </c>
      <c r="D555" s="208"/>
    </row>
    <row r="556">
      <c r="A556" s="67" t="str">
        <f t="shared" si="1"/>
        <v>Sun</v>
      </c>
      <c r="B556" s="69">
        <v>43709.0</v>
      </c>
      <c r="D556" s="208"/>
    </row>
    <row r="557">
      <c r="A557" s="67" t="str">
        <f t="shared" si="1"/>
        <v>Mon</v>
      </c>
      <c r="B557" s="69">
        <v>43710.0</v>
      </c>
      <c r="D557" s="208"/>
    </row>
    <row r="558">
      <c r="A558" s="67" t="str">
        <f t="shared" si="1"/>
        <v>Tue</v>
      </c>
      <c r="B558" s="69">
        <v>43711.0</v>
      </c>
      <c r="D558" s="208"/>
    </row>
    <row r="559">
      <c r="A559" s="67" t="str">
        <f t="shared" si="1"/>
        <v>Wed</v>
      </c>
      <c r="B559" s="69">
        <v>43712.0</v>
      </c>
      <c r="D559" s="208"/>
    </row>
    <row r="560">
      <c r="A560" s="67" t="str">
        <f t="shared" si="1"/>
        <v>Thu</v>
      </c>
      <c r="B560" s="69">
        <v>43713.0</v>
      </c>
      <c r="D560" s="208"/>
    </row>
    <row r="561">
      <c r="A561" s="67" t="str">
        <f t="shared" si="1"/>
        <v>Fri</v>
      </c>
      <c r="B561" s="69">
        <v>43714.0</v>
      </c>
      <c r="D561" s="208"/>
    </row>
    <row r="562">
      <c r="A562" s="67" t="str">
        <f t="shared" si="1"/>
        <v>Sat</v>
      </c>
      <c r="B562" s="69">
        <v>43715.0</v>
      </c>
      <c r="D562" s="208"/>
    </row>
    <row r="563">
      <c r="A563" s="67" t="str">
        <f t="shared" si="1"/>
        <v>Sun</v>
      </c>
      <c r="B563" s="69">
        <v>43716.0</v>
      </c>
      <c r="D563" s="208"/>
    </row>
    <row r="564">
      <c r="A564" s="67" t="str">
        <f t="shared" si="1"/>
        <v>Mon</v>
      </c>
      <c r="B564" s="69">
        <v>43717.0</v>
      </c>
      <c r="D564" s="208"/>
    </row>
    <row r="565">
      <c r="A565" s="67" t="str">
        <f t="shared" si="1"/>
        <v>Tue</v>
      </c>
      <c r="B565" s="69">
        <v>43718.0</v>
      </c>
      <c r="D565" s="208"/>
    </row>
    <row r="566">
      <c r="A566" s="67" t="str">
        <f t="shared" si="1"/>
        <v>Wed</v>
      </c>
      <c r="B566" s="69">
        <v>43719.0</v>
      </c>
      <c r="D566" s="208"/>
    </row>
    <row r="567">
      <c r="A567" s="67" t="str">
        <f t="shared" si="1"/>
        <v>Thu</v>
      </c>
      <c r="B567" s="69">
        <v>43720.0</v>
      </c>
      <c r="D567" s="208"/>
    </row>
    <row r="568">
      <c r="A568" s="67" t="str">
        <f t="shared" si="1"/>
        <v>Fri</v>
      </c>
      <c r="B568" s="69">
        <v>43721.0</v>
      </c>
      <c r="D568" s="208"/>
    </row>
    <row r="569">
      <c r="A569" s="67" t="str">
        <f t="shared" si="1"/>
        <v>Sat</v>
      </c>
      <c r="B569" s="69">
        <v>43722.0</v>
      </c>
      <c r="D569" s="208"/>
    </row>
    <row r="570">
      <c r="A570" s="67" t="str">
        <f t="shared" si="1"/>
        <v>Sun</v>
      </c>
      <c r="B570" s="69">
        <v>43723.0</v>
      </c>
      <c r="D570" s="208"/>
    </row>
    <row r="571">
      <c r="A571" s="67" t="str">
        <f t="shared" si="1"/>
        <v>Mon</v>
      </c>
      <c r="B571" s="69">
        <v>43724.0</v>
      </c>
      <c r="D571" s="208"/>
    </row>
    <row r="572">
      <c r="A572" s="67" t="str">
        <f t="shared" si="1"/>
        <v>Tue</v>
      </c>
      <c r="B572" s="69">
        <v>43725.0</v>
      </c>
      <c r="D572" s="208"/>
    </row>
    <row r="573">
      <c r="A573" s="67" t="str">
        <f t="shared" si="1"/>
        <v>Wed</v>
      </c>
      <c r="B573" s="69">
        <v>43726.0</v>
      </c>
      <c r="D573" s="208"/>
    </row>
    <row r="574">
      <c r="A574" s="67" t="str">
        <f t="shared" si="1"/>
        <v>Thu</v>
      </c>
      <c r="B574" s="69">
        <v>43727.0</v>
      </c>
      <c r="D574" s="208"/>
    </row>
    <row r="575">
      <c r="A575" s="67" t="str">
        <f t="shared" si="1"/>
        <v>Fri</v>
      </c>
      <c r="B575" s="69">
        <v>43728.0</v>
      </c>
      <c r="D575" s="208"/>
    </row>
    <row r="576">
      <c r="A576" s="67" t="str">
        <f t="shared" si="1"/>
        <v>Sat</v>
      </c>
      <c r="B576" s="69">
        <v>43729.0</v>
      </c>
      <c r="D576" s="208"/>
    </row>
    <row r="577">
      <c r="A577" s="67" t="str">
        <f t="shared" si="1"/>
        <v>Sun</v>
      </c>
      <c r="B577" s="69">
        <v>43730.0</v>
      </c>
      <c r="D577" s="208"/>
    </row>
    <row r="578">
      <c r="A578" s="67" t="str">
        <f t="shared" si="1"/>
        <v>Mon</v>
      </c>
      <c r="B578" s="69">
        <v>43731.0</v>
      </c>
      <c r="D578" s="208"/>
    </row>
    <row r="579">
      <c r="A579" s="67" t="str">
        <f t="shared" si="1"/>
        <v>Tue</v>
      </c>
      <c r="B579" s="69">
        <v>43732.0</v>
      </c>
      <c r="D579" s="208"/>
    </row>
    <row r="580">
      <c r="A580" s="67" t="str">
        <f t="shared" si="1"/>
        <v>Wed</v>
      </c>
      <c r="B580" s="69">
        <v>43733.0</v>
      </c>
      <c r="D580" s="208"/>
    </row>
    <row r="581">
      <c r="A581" s="67" t="str">
        <f t="shared" si="1"/>
        <v>Thu</v>
      </c>
      <c r="B581" s="69">
        <v>43734.0</v>
      </c>
      <c r="D581" s="208"/>
    </row>
    <row r="582">
      <c r="A582" s="67" t="str">
        <f t="shared" si="1"/>
        <v>Fri</v>
      </c>
      <c r="B582" s="69">
        <v>43735.0</v>
      </c>
      <c r="D582" s="208"/>
    </row>
    <row r="583">
      <c r="A583" s="67" t="str">
        <f t="shared" si="1"/>
        <v>Sat</v>
      </c>
      <c r="B583" s="69">
        <v>43736.0</v>
      </c>
      <c r="D583" s="208"/>
    </row>
    <row r="584">
      <c r="A584" s="67" t="str">
        <f t="shared" si="1"/>
        <v>Sun</v>
      </c>
      <c r="B584" s="69">
        <v>43737.0</v>
      </c>
      <c r="D584" s="208"/>
    </row>
    <row r="585">
      <c r="A585" s="67" t="str">
        <f t="shared" si="1"/>
        <v>Mon</v>
      </c>
      <c r="B585" s="69">
        <v>43738.0</v>
      </c>
      <c r="D585" s="208"/>
    </row>
    <row r="586">
      <c r="A586" s="67" t="str">
        <f t="shared" si="1"/>
        <v>Tue</v>
      </c>
      <c r="B586" s="69">
        <v>43739.0</v>
      </c>
      <c r="D586" s="208"/>
    </row>
    <row r="587">
      <c r="A587" s="67" t="str">
        <f t="shared" si="1"/>
        <v>Wed</v>
      </c>
      <c r="B587" s="69">
        <v>43740.0</v>
      </c>
      <c r="D587" s="208"/>
    </row>
    <row r="588">
      <c r="A588" s="67" t="str">
        <f t="shared" si="1"/>
        <v>Thu</v>
      </c>
      <c r="B588" s="69">
        <v>43741.0</v>
      </c>
      <c r="D588" s="208"/>
    </row>
    <row r="589">
      <c r="A589" s="67" t="str">
        <f t="shared" si="1"/>
        <v>Fri</v>
      </c>
      <c r="B589" s="69">
        <v>43742.0</v>
      </c>
      <c r="D589" s="208"/>
    </row>
    <row r="590">
      <c r="A590" s="67" t="str">
        <f t="shared" si="1"/>
        <v>Sat</v>
      </c>
      <c r="B590" s="69">
        <v>43743.0</v>
      </c>
      <c r="D590" s="208"/>
    </row>
    <row r="591">
      <c r="A591" s="67" t="str">
        <f t="shared" si="1"/>
        <v>Sun</v>
      </c>
      <c r="B591" s="69">
        <v>43744.0</v>
      </c>
      <c r="D591" s="208"/>
    </row>
    <row r="592">
      <c r="A592" s="67" t="str">
        <f t="shared" si="1"/>
        <v>Mon</v>
      </c>
      <c r="B592" s="69">
        <v>43745.0</v>
      </c>
      <c r="D592" s="208"/>
    </row>
    <row r="593">
      <c r="A593" s="67" t="str">
        <f t="shared" si="1"/>
        <v>Tue</v>
      </c>
      <c r="B593" s="69">
        <v>43746.0</v>
      </c>
      <c r="D593" s="208"/>
    </row>
    <row r="594">
      <c r="A594" s="67" t="str">
        <f t="shared" si="1"/>
        <v>Wed</v>
      </c>
      <c r="B594" s="69">
        <v>43747.0</v>
      </c>
      <c r="D594" s="208"/>
    </row>
    <row r="595">
      <c r="A595" s="67" t="str">
        <f t="shared" si="1"/>
        <v>Thu</v>
      </c>
      <c r="B595" s="69">
        <v>43748.0</v>
      </c>
      <c r="D595" s="208"/>
    </row>
    <row r="596">
      <c r="A596" s="67" t="str">
        <f t="shared" si="1"/>
        <v>Fri</v>
      </c>
      <c r="B596" s="69">
        <v>43749.0</v>
      </c>
      <c r="D596" s="208"/>
    </row>
    <row r="597">
      <c r="A597" s="67" t="str">
        <f t="shared" si="1"/>
        <v>Sat</v>
      </c>
      <c r="B597" s="69">
        <v>43750.0</v>
      </c>
      <c r="D597" s="208"/>
    </row>
    <row r="598">
      <c r="A598" s="67" t="str">
        <f t="shared" si="1"/>
        <v>Sun</v>
      </c>
      <c r="B598" s="69">
        <v>43751.0</v>
      </c>
      <c r="D598" s="208"/>
    </row>
    <row r="599">
      <c r="A599" s="67" t="str">
        <f t="shared" si="1"/>
        <v>Mon</v>
      </c>
      <c r="B599" s="69">
        <v>43752.0</v>
      </c>
      <c r="D599" s="208"/>
    </row>
    <row r="600">
      <c r="A600" s="67" t="str">
        <f t="shared" si="1"/>
        <v>Tue</v>
      </c>
      <c r="B600" s="69">
        <v>43753.0</v>
      </c>
      <c r="D600" s="208"/>
    </row>
    <row r="601">
      <c r="A601" s="67" t="str">
        <f t="shared" si="1"/>
        <v>Wed</v>
      </c>
      <c r="B601" s="69">
        <v>43754.0</v>
      </c>
      <c r="D601" s="208"/>
    </row>
    <row r="602">
      <c r="A602" s="67" t="str">
        <f t="shared" si="1"/>
        <v>Thu</v>
      </c>
      <c r="B602" s="69">
        <v>43755.0</v>
      </c>
      <c r="D602" s="208"/>
    </row>
    <row r="603">
      <c r="A603" s="67" t="str">
        <f t="shared" si="1"/>
        <v>Fri</v>
      </c>
      <c r="B603" s="69">
        <v>43756.0</v>
      </c>
      <c r="D603" s="208"/>
    </row>
    <row r="604">
      <c r="A604" s="67" t="str">
        <f t="shared" si="1"/>
        <v>Sat</v>
      </c>
      <c r="B604" s="69">
        <v>43757.0</v>
      </c>
      <c r="D604" s="208"/>
    </row>
    <row r="605">
      <c r="A605" s="67" t="str">
        <f t="shared" si="1"/>
        <v>Sun</v>
      </c>
      <c r="B605" s="69">
        <v>43758.0</v>
      </c>
      <c r="D605" s="208"/>
    </row>
    <row r="606">
      <c r="A606" s="67" t="str">
        <f t="shared" si="1"/>
        <v>Mon</v>
      </c>
      <c r="B606" s="69">
        <v>43759.0</v>
      </c>
      <c r="D606" s="208"/>
    </row>
    <row r="607">
      <c r="A607" s="67" t="str">
        <f t="shared" si="1"/>
        <v>Tue</v>
      </c>
      <c r="B607" s="69">
        <v>43760.0</v>
      </c>
      <c r="D607" s="208"/>
    </row>
    <row r="608">
      <c r="A608" s="67" t="str">
        <f t="shared" si="1"/>
        <v>Wed</v>
      </c>
      <c r="B608" s="69">
        <v>43761.0</v>
      </c>
      <c r="D608" s="208"/>
    </row>
    <row r="609">
      <c r="A609" s="67" t="str">
        <f t="shared" si="1"/>
        <v>Thu</v>
      </c>
      <c r="B609" s="69">
        <v>43762.0</v>
      </c>
      <c r="D609" s="208"/>
    </row>
    <row r="610">
      <c r="A610" s="67" t="str">
        <f t="shared" si="1"/>
        <v>Fri</v>
      </c>
      <c r="B610" s="69">
        <v>43763.0</v>
      </c>
      <c r="D610" s="208"/>
    </row>
    <row r="611">
      <c r="A611" s="67" t="str">
        <f t="shared" si="1"/>
        <v>Sat</v>
      </c>
      <c r="B611" s="69">
        <v>43764.0</v>
      </c>
      <c r="D611" s="208"/>
    </row>
    <row r="612">
      <c r="A612" s="67" t="str">
        <f t="shared" si="1"/>
        <v>Sun</v>
      </c>
      <c r="B612" s="69">
        <v>43765.0</v>
      </c>
      <c r="D612" s="208"/>
    </row>
    <row r="613">
      <c r="A613" s="67" t="str">
        <f t="shared" si="1"/>
        <v>Mon</v>
      </c>
      <c r="B613" s="69">
        <v>43766.0</v>
      </c>
      <c r="D613" s="208"/>
    </row>
    <row r="614">
      <c r="A614" s="67" t="str">
        <f t="shared" si="1"/>
        <v>Tue</v>
      </c>
      <c r="B614" s="69">
        <v>43767.0</v>
      </c>
      <c r="D614" s="208"/>
    </row>
    <row r="615">
      <c r="A615" s="67" t="str">
        <f t="shared" si="1"/>
        <v>Wed</v>
      </c>
      <c r="B615" s="69">
        <v>43768.0</v>
      </c>
      <c r="D615" s="208"/>
    </row>
    <row r="616">
      <c r="A616" s="67" t="str">
        <f t="shared" si="1"/>
        <v>Thu</v>
      </c>
      <c r="B616" s="69">
        <v>43769.0</v>
      </c>
      <c r="D616" s="208"/>
    </row>
    <row r="617">
      <c r="A617" s="67" t="str">
        <f t="shared" si="1"/>
        <v>Fri</v>
      </c>
      <c r="B617" s="69">
        <v>43770.0</v>
      </c>
      <c r="D617" s="208"/>
    </row>
    <row r="618">
      <c r="A618" s="67" t="str">
        <f t="shared" si="1"/>
        <v>Sat</v>
      </c>
      <c r="B618" s="69">
        <v>43771.0</v>
      </c>
      <c r="D618" s="208"/>
    </row>
    <row r="619">
      <c r="A619" s="67" t="str">
        <f t="shared" si="1"/>
        <v>Sun</v>
      </c>
      <c r="B619" s="69">
        <v>43772.0</v>
      </c>
      <c r="D619" s="208"/>
    </row>
    <row r="620">
      <c r="A620" s="67" t="str">
        <f t="shared" si="1"/>
        <v>Mon</v>
      </c>
      <c r="B620" s="69">
        <v>43773.0</v>
      </c>
      <c r="D620" s="208"/>
    </row>
    <row r="621">
      <c r="A621" s="67" t="str">
        <f t="shared" si="1"/>
        <v>Tue</v>
      </c>
      <c r="B621" s="69">
        <v>43774.0</v>
      </c>
      <c r="D621" s="208"/>
    </row>
    <row r="622">
      <c r="A622" s="67" t="str">
        <f t="shared" si="1"/>
        <v>Wed</v>
      </c>
      <c r="B622" s="69">
        <v>43775.0</v>
      </c>
      <c r="D622" s="208"/>
    </row>
    <row r="623">
      <c r="A623" s="67" t="str">
        <f t="shared" si="1"/>
        <v>Thu</v>
      </c>
      <c r="B623" s="69">
        <v>43776.0</v>
      </c>
      <c r="D623" s="208"/>
    </row>
    <row r="624">
      <c r="A624" s="67" t="str">
        <f t="shared" si="1"/>
        <v>Fri</v>
      </c>
      <c r="B624" s="69">
        <v>43777.0</v>
      </c>
      <c r="D624" s="208"/>
    </row>
    <row r="625">
      <c r="A625" s="67" t="str">
        <f t="shared" si="1"/>
        <v>Sat</v>
      </c>
      <c r="B625" s="69">
        <v>43778.0</v>
      </c>
      <c r="D625" s="208"/>
    </row>
    <row r="626">
      <c r="A626" s="67" t="str">
        <f t="shared" si="1"/>
        <v>Sun</v>
      </c>
      <c r="B626" s="69">
        <v>43779.0</v>
      </c>
      <c r="D626" s="208"/>
    </row>
    <row r="627">
      <c r="A627" s="67" t="str">
        <f t="shared" si="1"/>
        <v>Mon</v>
      </c>
      <c r="B627" s="69">
        <v>43780.0</v>
      </c>
      <c r="D627" s="208"/>
    </row>
    <row r="628">
      <c r="A628" s="67" t="str">
        <f t="shared" si="1"/>
        <v>Tue</v>
      </c>
      <c r="B628" s="69">
        <v>43781.0</v>
      </c>
      <c r="D628" s="208"/>
    </row>
    <row r="629">
      <c r="A629" s="67" t="str">
        <f t="shared" si="1"/>
        <v>Wed</v>
      </c>
      <c r="B629" s="69">
        <v>43782.0</v>
      </c>
      <c r="D629" s="208"/>
    </row>
    <row r="630">
      <c r="A630" s="67" t="str">
        <f t="shared" si="1"/>
        <v>Thu</v>
      </c>
      <c r="B630" s="69">
        <v>43783.0</v>
      </c>
      <c r="D630" s="208"/>
    </row>
    <row r="631">
      <c r="A631" s="67" t="str">
        <f t="shared" si="1"/>
        <v>Fri</v>
      </c>
      <c r="B631" s="69">
        <v>43784.0</v>
      </c>
      <c r="D631" s="208"/>
    </row>
    <row r="632">
      <c r="A632" s="67" t="str">
        <f t="shared" si="1"/>
        <v>Sat</v>
      </c>
      <c r="B632" s="69">
        <v>43785.0</v>
      </c>
      <c r="D632" s="208"/>
    </row>
    <row r="633">
      <c r="A633" s="67" t="str">
        <f t="shared" si="1"/>
        <v>Sun</v>
      </c>
      <c r="B633" s="69">
        <v>43786.0</v>
      </c>
      <c r="D633" s="208"/>
    </row>
    <row r="634">
      <c r="A634" s="67" t="str">
        <f t="shared" si="1"/>
        <v>Mon</v>
      </c>
      <c r="B634" s="69">
        <v>43787.0</v>
      </c>
      <c r="D634" s="208"/>
    </row>
    <row r="635">
      <c r="A635" s="67" t="str">
        <f t="shared" si="1"/>
        <v>Tue</v>
      </c>
      <c r="B635" s="69">
        <v>43788.0</v>
      </c>
      <c r="D635" s="208"/>
    </row>
    <row r="636">
      <c r="A636" s="67" t="str">
        <f t="shared" si="1"/>
        <v>Wed</v>
      </c>
      <c r="B636" s="69">
        <v>43789.0</v>
      </c>
      <c r="D636" s="208"/>
    </row>
    <row r="637">
      <c r="A637" s="67" t="str">
        <f t="shared" si="1"/>
        <v>Thu</v>
      </c>
      <c r="B637" s="69">
        <v>43790.0</v>
      </c>
      <c r="D637" s="208"/>
    </row>
    <row r="638">
      <c r="A638" s="67" t="str">
        <f t="shared" si="1"/>
        <v>Fri</v>
      </c>
      <c r="B638" s="69">
        <v>43791.0</v>
      </c>
      <c r="D638" s="208"/>
    </row>
    <row r="639">
      <c r="A639" s="67" t="str">
        <f t="shared" si="1"/>
        <v>Sat</v>
      </c>
      <c r="B639" s="69">
        <v>43792.0</v>
      </c>
      <c r="D639" s="208"/>
    </row>
    <row r="640">
      <c r="A640" s="67" t="str">
        <f t="shared" si="1"/>
        <v>Sun</v>
      </c>
      <c r="B640" s="69">
        <v>43793.0</v>
      </c>
      <c r="D640" s="208"/>
    </row>
    <row r="641">
      <c r="A641" s="67" t="str">
        <f t="shared" si="1"/>
        <v>Mon</v>
      </c>
      <c r="B641" s="69">
        <v>43794.0</v>
      </c>
      <c r="D641" s="208"/>
    </row>
    <row r="642">
      <c r="A642" s="67" t="str">
        <f t="shared" si="1"/>
        <v>Tue</v>
      </c>
      <c r="B642" s="69">
        <v>43795.0</v>
      </c>
      <c r="D642" s="208"/>
    </row>
    <row r="643">
      <c r="A643" s="67" t="str">
        <f t="shared" si="1"/>
        <v>Wed</v>
      </c>
      <c r="B643" s="69">
        <v>43796.0</v>
      </c>
      <c r="D643" s="208"/>
    </row>
    <row r="644">
      <c r="A644" s="67" t="str">
        <f t="shared" si="1"/>
        <v>Thu</v>
      </c>
      <c r="B644" s="69">
        <v>43797.0</v>
      </c>
      <c r="D644" s="208"/>
    </row>
    <row r="645">
      <c r="A645" s="67" t="str">
        <f t="shared" si="1"/>
        <v>Fri</v>
      </c>
      <c r="B645" s="69">
        <v>43798.0</v>
      </c>
      <c r="D645" s="208"/>
    </row>
    <row r="646">
      <c r="A646" s="67" t="str">
        <f t="shared" si="1"/>
        <v>Sat</v>
      </c>
      <c r="B646" s="69">
        <v>43799.0</v>
      </c>
      <c r="D646" s="208"/>
    </row>
    <row r="647">
      <c r="A647" s="67" t="str">
        <f t="shared" si="1"/>
        <v>Sun</v>
      </c>
      <c r="B647" s="69">
        <v>43800.0</v>
      </c>
      <c r="D647" s="208"/>
    </row>
    <row r="648">
      <c r="A648" s="67" t="str">
        <f t="shared" si="1"/>
        <v>Mon</v>
      </c>
      <c r="B648" s="69">
        <v>43801.0</v>
      </c>
      <c r="D648" s="208"/>
    </row>
    <row r="649">
      <c r="A649" s="67" t="str">
        <f t="shared" si="1"/>
        <v>Tue</v>
      </c>
      <c r="B649" s="69">
        <v>43802.0</v>
      </c>
      <c r="D649" s="208"/>
    </row>
    <row r="650">
      <c r="A650" s="67" t="str">
        <f t="shared" si="1"/>
        <v>Wed</v>
      </c>
      <c r="B650" s="69">
        <v>43803.0</v>
      </c>
      <c r="D650" s="208"/>
    </row>
    <row r="651">
      <c r="A651" s="67" t="str">
        <f t="shared" si="1"/>
        <v>Thu</v>
      </c>
      <c r="B651" s="69">
        <v>43804.0</v>
      </c>
      <c r="D651" s="208"/>
    </row>
    <row r="652">
      <c r="A652" s="67" t="str">
        <f t="shared" si="1"/>
        <v>Fri</v>
      </c>
      <c r="B652" s="69">
        <v>43805.0</v>
      </c>
      <c r="D652" s="208"/>
    </row>
    <row r="653">
      <c r="A653" s="67" t="str">
        <f t="shared" si="1"/>
        <v>Sat</v>
      </c>
      <c r="B653" s="69">
        <v>43806.0</v>
      </c>
      <c r="D653" s="208"/>
    </row>
    <row r="654">
      <c r="A654" s="67" t="str">
        <f t="shared" si="1"/>
        <v>Sun</v>
      </c>
      <c r="B654" s="69">
        <v>43807.0</v>
      </c>
      <c r="D654" s="208"/>
    </row>
    <row r="655">
      <c r="A655" s="67" t="str">
        <f t="shared" si="1"/>
        <v>Mon</v>
      </c>
      <c r="B655" s="69">
        <v>43808.0</v>
      </c>
      <c r="D655" s="216">
        <v>530.0</v>
      </c>
      <c r="E655" s="4" t="s">
        <v>337</v>
      </c>
      <c r="F655" s="4" t="s">
        <v>1228</v>
      </c>
      <c r="G655" s="4" t="s">
        <v>1228</v>
      </c>
      <c r="I655" s="4" t="s">
        <v>224</v>
      </c>
      <c r="K655" s="4" t="s">
        <v>1229</v>
      </c>
      <c r="L655" s="4" t="s">
        <v>240</v>
      </c>
      <c r="M655" s="4" t="s">
        <v>226</v>
      </c>
      <c r="N655" s="4" t="s">
        <v>232</v>
      </c>
      <c r="O655" s="4" t="s">
        <v>264</v>
      </c>
      <c r="Q655" s="4" t="s">
        <v>1230</v>
      </c>
      <c r="R655" s="4" t="s">
        <v>1231</v>
      </c>
      <c r="S655" s="161">
        <v>1.17197568E10</v>
      </c>
    </row>
    <row r="656">
      <c r="A656" s="67" t="str">
        <f t="shared" si="1"/>
        <v>Tue</v>
      </c>
      <c r="B656" s="69">
        <v>43809.0</v>
      </c>
      <c r="D656" s="216">
        <v>530.0</v>
      </c>
      <c r="E656" s="4" t="s">
        <v>337</v>
      </c>
      <c r="F656" s="4" t="s">
        <v>1228</v>
      </c>
      <c r="I656" s="4" t="s">
        <v>224</v>
      </c>
    </row>
    <row r="657">
      <c r="A657" s="67" t="str">
        <f t="shared" si="1"/>
        <v>Wed</v>
      </c>
      <c r="B657" s="69">
        <v>43810.0</v>
      </c>
      <c r="D657" s="216">
        <v>530.0</v>
      </c>
      <c r="E657" s="4" t="s">
        <v>337</v>
      </c>
      <c r="F657" s="4" t="s">
        <v>1228</v>
      </c>
      <c r="I657" s="4" t="s">
        <v>224</v>
      </c>
    </row>
    <row r="658">
      <c r="A658" s="67" t="str">
        <f t="shared" si="1"/>
        <v>Thu</v>
      </c>
      <c r="B658" s="69">
        <v>43811.0</v>
      </c>
      <c r="D658" s="216">
        <v>530.0</v>
      </c>
      <c r="E658" s="4" t="s">
        <v>337</v>
      </c>
      <c r="F658" s="4" t="s">
        <v>1228</v>
      </c>
      <c r="I658" s="4" t="s">
        <v>224</v>
      </c>
    </row>
    <row r="659">
      <c r="A659" s="67" t="str">
        <f t="shared" si="1"/>
        <v>Fri</v>
      </c>
      <c r="B659" s="69">
        <v>43812.0</v>
      </c>
      <c r="D659" s="216">
        <v>530.0</v>
      </c>
      <c r="E659" s="4" t="s">
        <v>337</v>
      </c>
      <c r="F659" s="4" t="s">
        <v>1228</v>
      </c>
      <c r="I659" s="4" t="s">
        <v>224</v>
      </c>
    </row>
    <row r="660">
      <c r="A660" s="67" t="str">
        <f t="shared" si="1"/>
        <v>Sat</v>
      </c>
      <c r="B660" s="69">
        <v>43813.0</v>
      </c>
      <c r="D660" s="216">
        <v>530.0</v>
      </c>
      <c r="E660" s="4" t="s">
        <v>337</v>
      </c>
      <c r="F660" s="4" t="s">
        <v>1228</v>
      </c>
      <c r="I660" s="4" t="s">
        <v>224</v>
      </c>
    </row>
    <row r="661">
      <c r="A661" s="67" t="str">
        <f t="shared" si="1"/>
        <v>Sun</v>
      </c>
      <c r="B661" s="69">
        <v>43814.0</v>
      </c>
      <c r="D661" s="216">
        <v>530.0</v>
      </c>
      <c r="E661" s="4" t="s">
        <v>337</v>
      </c>
      <c r="F661" s="4" t="s">
        <v>1228</v>
      </c>
      <c r="I661" s="4" t="s">
        <v>224</v>
      </c>
    </row>
    <row r="662">
      <c r="A662" s="67" t="str">
        <f t="shared" si="1"/>
        <v>Mon</v>
      </c>
      <c r="B662" s="69">
        <v>43815.0</v>
      </c>
      <c r="D662" s="216">
        <v>530.0</v>
      </c>
      <c r="E662" s="4" t="s">
        <v>337</v>
      </c>
      <c r="F662" s="4" t="s">
        <v>1228</v>
      </c>
      <c r="I662" s="4" t="s">
        <v>224</v>
      </c>
    </row>
    <row r="663">
      <c r="A663" s="67" t="str">
        <f t="shared" si="1"/>
        <v>Tue</v>
      </c>
      <c r="B663" s="69">
        <v>43816.0</v>
      </c>
      <c r="D663" s="216">
        <v>530.0</v>
      </c>
      <c r="E663" s="4" t="s">
        <v>337</v>
      </c>
      <c r="F663" s="4" t="s">
        <v>1228</v>
      </c>
      <c r="I663" s="4" t="s">
        <v>224</v>
      </c>
    </row>
    <row r="664">
      <c r="A664" s="67" t="str">
        <f t="shared" si="1"/>
        <v>Wed</v>
      </c>
      <c r="B664" s="69">
        <v>43817.0</v>
      </c>
      <c r="D664" s="216">
        <v>530.0</v>
      </c>
      <c r="E664" s="4" t="s">
        <v>337</v>
      </c>
      <c r="F664" s="4" t="s">
        <v>1228</v>
      </c>
      <c r="I664" s="4" t="s">
        <v>224</v>
      </c>
    </row>
    <row r="665">
      <c r="A665" s="67" t="str">
        <f t="shared" si="1"/>
        <v>Thu</v>
      </c>
      <c r="B665" s="69">
        <v>43818.0</v>
      </c>
      <c r="D665" s="208"/>
      <c r="H665" s="4" t="s">
        <v>1228</v>
      </c>
    </row>
    <row r="666">
      <c r="A666" s="67" t="str">
        <f t="shared" si="1"/>
        <v>Fri</v>
      </c>
      <c r="B666" s="69">
        <v>43819.0</v>
      </c>
      <c r="D666" s="208"/>
    </row>
    <row r="667">
      <c r="A667" s="67" t="str">
        <f t="shared" si="1"/>
        <v>Sat</v>
      </c>
      <c r="B667" s="69">
        <v>43820.0</v>
      </c>
      <c r="D667" s="208"/>
    </row>
    <row r="668">
      <c r="A668" s="67" t="str">
        <f t="shared" si="1"/>
        <v>Sun</v>
      </c>
      <c r="B668" s="69">
        <v>43821.0</v>
      </c>
      <c r="D668" s="208"/>
    </row>
    <row r="669">
      <c r="A669" s="67" t="str">
        <f t="shared" si="1"/>
        <v>Mon</v>
      </c>
      <c r="B669" s="69">
        <v>43822.0</v>
      </c>
      <c r="D669" s="208"/>
    </row>
    <row r="670">
      <c r="A670" s="67" t="str">
        <f t="shared" si="1"/>
        <v>Tue</v>
      </c>
      <c r="B670" s="69">
        <v>43823.0</v>
      </c>
      <c r="D670" s="208"/>
    </row>
    <row r="671">
      <c r="A671" s="67" t="str">
        <f t="shared" si="1"/>
        <v>Wed</v>
      </c>
      <c r="B671" s="69">
        <v>43824.0</v>
      </c>
      <c r="D671" s="208"/>
    </row>
    <row r="672">
      <c r="A672" s="67" t="str">
        <f t="shared" si="1"/>
        <v>Thu</v>
      </c>
      <c r="B672" s="69">
        <v>43825.0</v>
      </c>
      <c r="D672" s="208"/>
    </row>
    <row r="673">
      <c r="A673" s="67" t="str">
        <f t="shared" si="1"/>
        <v>Fri</v>
      </c>
      <c r="B673" s="69">
        <v>43826.0</v>
      </c>
      <c r="D673" s="208"/>
    </row>
    <row r="674">
      <c r="A674" s="67" t="str">
        <f t="shared" si="1"/>
        <v>Sat</v>
      </c>
      <c r="B674" s="69">
        <v>43827.0</v>
      </c>
      <c r="D674" s="208"/>
    </row>
    <row r="675">
      <c r="A675" s="67" t="str">
        <f t="shared" si="1"/>
        <v>Sun</v>
      </c>
      <c r="B675" s="69">
        <v>43828.0</v>
      </c>
      <c r="D675" s="208"/>
    </row>
    <row r="676">
      <c r="A676" s="67" t="str">
        <f t="shared" si="1"/>
        <v>Mon</v>
      </c>
      <c r="B676" s="69">
        <v>43829.0</v>
      </c>
      <c r="D676" s="208"/>
    </row>
    <row r="677">
      <c r="A677" s="67" t="str">
        <f t="shared" si="1"/>
        <v>Tue</v>
      </c>
      <c r="B677" s="69">
        <v>43830.0</v>
      </c>
      <c r="D677" s="208"/>
    </row>
    <row r="678">
      <c r="A678" s="67" t="str">
        <f t="shared" si="1"/>
        <v>Wed</v>
      </c>
      <c r="B678" s="69">
        <v>43831.0</v>
      </c>
      <c r="D678" s="208"/>
    </row>
    <row r="679">
      <c r="A679" s="67" t="str">
        <f t="shared" si="1"/>
        <v>Thu</v>
      </c>
      <c r="B679" s="69">
        <v>43832.0</v>
      </c>
      <c r="D679" s="208"/>
    </row>
    <row r="680">
      <c r="A680" s="67" t="str">
        <f t="shared" si="1"/>
        <v>Fri</v>
      </c>
      <c r="B680" s="69">
        <v>43833.0</v>
      </c>
      <c r="D680" s="208"/>
    </row>
    <row r="681">
      <c r="A681" s="67" t="str">
        <f t="shared" si="1"/>
        <v>Sat</v>
      </c>
      <c r="B681" s="69">
        <v>43834.0</v>
      </c>
      <c r="D681" s="208"/>
    </row>
    <row r="682">
      <c r="A682" s="67" t="str">
        <f t="shared" si="1"/>
        <v>Sun</v>
      </c>
      <c r="B682" s="69">
        <v>43835.0</v>
      </c>
      <c r="D682" s="208"/>
    </row>
    <row r="683">
      <c r="A683" s="67" t="str">
        <f t="shared" si="1"/>
        <v>Mon</v>
      </c>
      <c r="B683" s="69">
        <v>43836.0</v>
      </c>
      <c r="D683" s="208"/>
    </row>
    <row r="684">
      <c r="A684" s="67" t="str">
        <f t="shared" si="1"/>
        <v>Tue</v>
      </c>
      <c r="B684" s="69">
        <v>43837.0</v>
      </c>
      <c r="D684" s="208"/>
    </row>
    <row r="685">
      <c r="A685" s="67" t="str">
        <f t="shared" si="1"/>
        <v>Wed</v>
      </c>
      <c r="B685" s="69">
        <v>43838.0</v>
      </c>
      <c r="D685" s="208"/>
    </row>
    <row r="686">
      <c r="A686" s="67" t="str">
        <f t="shared" si="1"/>
        <v>Thu</v>
      </c>
      <c r="B686" s="69">
        <v>43839.0</v>
      </c>
      <c r="D686" s="208"/>
    </row>
    <row r="687">
      <c r="A687" s="67" t="str">
        <f t="shared" si="1"/>
        <v>Fri</v>
      </c>
      <c r="B687" s="69">
        <v>43840.0</v>
      </c>
      <c r="D687" s="208"/>
    </row>
    <row r="688">
      <c r="A688" s="67" t="str">
        <f t="shared" si="1"/>
        <v>Sat</v>
      </c>
      <c r="B688" s="69">
        <v>43841.0</v>
      </c>
      <c r="D688" s="208"/>
    </row>
    <row r="689">
      <c r="A689" s="67" t="str">
        <f t="shared" si="1"/>
        <v>Sun</v>
      </c>
      <c r="B689" s="69">
        <v>43842.0</v>
      </c>
      <c r="D689" s="208"/>
    </row>
    <row r="690">
      <c r="A690" s="67" t="str">
        <f t="shared" si="1"/>
        <v>Mon</v>
      </c>
      <c r="B690" s="69">
        <v>43843.0</v>
      </c>
      <c r="D690" s="208"/>
    </row>
    <row r="691">
      <c r="A691" s="67" t="str">
        <f t="shared" si="1"/>
        <v>Tue</v>
      </c>
      <c r="B691" s="69">
        <v>43844.0</v>
      </c>
      <c r="D691" s="208"/>
    </row>
    <row r="692">
      <c r="A692" s="67" t="str">
        <f t="shared" si="1"/>
        <v>Wed</v>
      </c>
      <c r="B692" s="69">
        <v>43845.0</v>
      </c>
      <c r="D692" s="208"/>
    </row>
    <row r="693">
      <c r="A693" s="67" t="str">
        <f t="shared" si="1"/>
        <v>Thu</v>
      </c>
      <c r="B693" s="69">
        <v>43846.0</v>
      </c>
      <c r="D693" s="208"/>
    </row>
    <row r="694">
      <c r="A694" s="67" t="str">
        <f t="shared" si="1"/>
        <v>Fri</v>
      </c>
      <c r="B694" s="69">
        <v>43847.0</v>
      </c>
      <c r="D694" s="208"/>
    </row>
    <row r="695">
      <c r="A695" s="67" t="str">
        <f t="shared" si="1"/>
        <v>Sat</v>
      </c>
      <c r="B695" s="69">
        <v>43848.0</v>
      </c>
      <c r="D695" s="208"/>
    </row>
    <row r="696">
      <c r="A696" s="67" t="str">
        <f t="shared" si="1"/>
        <v>Sun</v>
      </c>
      <c r="B696" s="69">
        <v>43849.0</v>
      </c>
      <c r="D696" s="208"/>
    </row>
    <row r="697">
      <c r="A697" s="67" t="str">
        <f t="shared" si="1"/>
        <v>Mon</v>
      </c>
      <c r="B697" s="69">
        <v>43850.0</v>
      </c>
      <c r="D697" s="208"/>
    </row>
    <row r="698">
      <c r="A698" s="67" t="str">
        <f t="shared" si="1"/>
        <v>Tue</v>
      </c>
      <c r="B698" s="69">
        <v>43851.0</v>
      </c>
      <c r="D698" s="208"/>
    </row>
    <row r="699">
      <c r="A699" s="67" t="str">
        <f t="shared" si="1"/>
        <v>Wed</v>
      </c>
      <c r="B699" s="69">
        <v>43852.0</v>
      </c>
      <c r="D699" s="208"/>
    </row>
    <row r="700">
      <c r="A700" s="67" t="str">
        <f t="shared" si="1"/>
        <v>Thu</v>
      </c>
      <c r="B700" s="69">
        <v>43853.0</v>
      </c>
      <c r="D700" s="208"/>
    </row>
    <row r="701">
      <c r="A701" s="67" t="str">
        <f t="shared" si="1"/>
        <v>Fri</v>
      </c>
      <c r="B701" s="69">
        <v>43854.0</v>
      </c>
      <c r="D701" s="208"/>
    </row>
    <row r="702">
      <c r="A702" s="67" t="str">
        <f t="shared" si="1"/>
        <v>Sat</v>
      </c>
      <c r="B702" s="69">
        <v>43855.0</v>
      </c>
      <c r="D702" s="208"/>
    </row>
    <row r="703">
      <c r="A703" s="67" t="str">
        <f t="shared" si="1"/>
        <v>Sun</v>
      </c>
      <c r="B703" s="69">
        <v>43856.0</v>
      </c>
      <c r="D703" s="208"/>
    </row>
    <row r="704">
      <c r="A704" s="67" t="str">
        <f t="shared" si="1"/>
        <v>Mon</v>
      </c>
      <c r="B704" s="69">
        <v>43857.0</v>
      </c>
      <c r="D704" s="208"/>
    </row>
    <row r="705">
      <c r="A705" s="67" t="str">
        <f t="shared" si="1"/>
        <v>Tue</v>
      </c>
      <c r="B705" s="69">
        <v>43858.0</v>
      </c>
      <c r="D705" s="208"/>
    </row>
    <row r="706">
      <c r="A706" s="67" t="str">
        <f t="shared" si="1"/>
        <v>Wed</v>
      </c>
      <c r="B706" s="69">
        <v>43859.0</v>
      </c>
      <c r="D706" s="208"/>
    </row>
    <row r="707">
      <c r="A707" s="67" t="str">
        <f t="shared" si="1"/>
        <v>Thu</v>
      </c>
      <c r="B707" s="69">
        <v>43860.0</v>
      </c>
      <c r="D707" s="208"/>
    </row>
    <row r="708">
      <c r="A708" s="67" t="str">
        <f t="shared" si="1"/>
        <v>Fri</v>
      </c>
      <c r="B708" s="69">
        <v>43861.0</v>
      </c>
      <c r="D708" s="208"/>
    </row>
    <row r="709">
      <c r="A709" s="67" t="str">
        <f t="shared" si="1"/>
        <v>Sat</v>
      </c>
      <c r="B709" s="69">
        <v>43862.0</v>
      </c>
      <c r="D709" s="208"/>
    </row>
    <row r="710">
      <c r="A710" s="67" t="str">
        <f t="shared" si="1"/>
        <v>Sun</v>
      </c>
      <c r="B710" s="69">
        <v>43863.0</v>
      </c>
      <c r="D710" s="208"/>
    </row>
    <row r="711">
      <c r="A711" s="67" t="str">
        <f t="shared" si="1"/>
        <v>Mon</v>
      </c>
      <c r="B711" s="69">
        <v>43864.0</v>
      </c>
      <c r="D711" s="208"/>
    </row>
    <row r="712">
      <c r="A712" s="67" t="str">
        <f t="shared" si="1"/>
        <v>Tue</v>
      </c>
      <c r="B712" s="69">
        <v>43865.0</v>
      </c>
      <c r="D712" s="208"/>
    </row>
    <row r="713">
      <c r="A713" s="67" t="str">
        <f t="shared" si="1"/>
        <v>Wed</v>
      </c>
      <c r="B713" s="69">
        <v>43866.0</v>
      </c>
      <c r="D713" s="208"/>
    </row>
    <row r="714">
      <c r="A714" s="67" t="str">
        <f t="shared" si="1"/>
        <v>Thu</v>
      </c>
      <c r="B714" s="69">
        <v>43867.0</v>
      </c>
      <c r="D714" s="208"/>
    </row>
    <row r="715">
      <c r="A715" s="67" t="str">
        <f t="shared" si="1"/>
        <v>Fri</v>
      </c>
      <c r="B715" s="69">
        <v>43868.0</v>
      </c>
      <c r="D715" s="208"/>
    </row>
    <row r="716">
      <c r="A716" s="67" t="str">
        <f t="shared" si="1"/>
        <v>Sat</v>
      </c>
      <c r="B716" s="69">
        <v>43869.0</v>
      </c>
      <c r="D716" s="208"/>
    </row>
    <row r="717">
      <c r="A717" s="67" t="str">
        <f t="shared" si="1"/>
        <v>Sun</v>
      </c>
      <c r="B717" s="69">
        <v>43870.0</v>
      </c>
      <c r="D717" s="208"/>
    </row>
    <row r="718">
      <c r="A718" s="67" t="str">
        <f t="shared" si="1"/>
        <v>Mon</v>
      </c>
      <c r="B718" s="69">
        <v>43871.0</v>
      </c>
      <c r="D718" s="208"/>
    </row>
    <row r="719">
      <c r="A719" s="67" t="str">
        <f t="shared" si="1"/>
        <v>Tue</v>
      </c>
      <c r="B719" s="69">
        <v>43872.0</v>
      </c>
      <c r="D719" s="208"/>
    </row>
    <row r="720">
      <c r="A720" s="67" t="str">
        <f t="shared" si="1"/>
        <v>Wed</v>
      </c>
      <c r="B720" s="69">
        <v>43873.0</v>
      </c>
      <c r="D720" s="208"/>
    </row>
    <row r="721">
      <c r="A721" s="67" t="str">
        <f t="shared" si="1"/>
        <v>Thu</v>
      </c>
      <c r="B721" s="69">
        <v>43874.0</v>
      </c>
      <c r="D721" s="208"/>
    </row>
    <row r="722">
      <c r="A722" s="67" t="str">
        <f t="shared" si="1"/>
        <v>Fri</v>
      </c>
      <c r="B722" s="69">
        <v>43875.0</v>
      </c>
      <c r="D722" s="208"/>
    </row>
    <row r="723">
      <c r="A723" s="67" t="str">
        <f t="shared" si="1"/>
        <v>Sat</v>
      </c>
      <c r="B723" s="69">
        <v>43876.0</v>
      </c>
      <c r="D723" s="208"/>
    </row>
    <row r="724">
      <c r="A724" s="67" t="str">
        <f t="shared" si="1"/>
        <v>Sun</v>
      </c>
      <c r="B724" s="69">
        <v>43877.0</v>
      </c>
      <c r="D724" s="208"/>
    </row>
    <row r="725">
      <c r="A725" s="67" t="str">
        <f t="shared" si="1"/>
        <v>Mon</v>
      </c>
      <c r="B725" s="69">
        <v>43878.0</v>
      </c>
      <c r="D725" s="208"/>
    </row>
    <row r="726">
      <c r="A726" s="67" t="str">
        <f t="shared" si="1"/>
        <v>Tue</v>
      </c>
      <c r="B726" s="69">
        <v>43879.0</v>
      </c>
      <c r="D726" s="208"/>
    </row>
    <row r="727">
      <c r="A727" s="67" t="str">
        <f t="shared" si="1"/>
        <v>Wed</v>
      </c>
      <c r="B727" s="69">
        <v>43880.0</v>
      </c>
      <c r="D727" s="208"/>
    </row>
    <row r="728">
      <c r="A728" s="67" t="str">
        <f t="shared" si="1"/>
        <v>Thu</v>
      </c>
      <c r="B728" s="69">
        <v>43881.0</v>
      </c>
      <c r="D728" s="208"/>
    </row>
    <row r="729">
      <c r="A729" s="67" t="str">
        <f t="shared" si="1"/>
        <v>Fri</v>
      </c>
      <c r="B729" s="69">
        <v>43882.0</v>
      </c>
      <c r="D729" s="208"/>
    </row>
    <row r="730">
      <c r="A730" s="67" t="str">
        <f t="shared" si="1"/>
        <v>Sat</v>
      </c>
      <c r="B730" s="69">
        <v>43883.0</v>
      </c>
      <c r="D730" s="208"/>
    </row>
    <row r="731">
      <c r="A731" s="67" t="str">
        <f t="shared" si="1"/>
        <v>Sun</v>
      </c>
      <c r="B731" s="69">
        <v>43884.0</v>
      </c>
      <c r="D731" s="208"/>
    </row>
    <row r="732">
      <c r="A732" s="67" t="str">
        <f t="shared" si="1"/>
        <v>Mon</v>
      </c>
      <c r="B732" s="69">
        <v>43885.0</v>
      </c>
      <c r="D732" s="208"/>
    </row>
    <row r="733">
      <c r="A733" s="67" t="str">
        <f t="shared" si="1"/>
        <v>Tue</v>
      </c>
      <c r="B733" s="69">
        <v>43886.0</v>
      </c>
      <c r="D733" s="208"/>
    </row>
    <row r="734">
      <c r="A734" s="67" t="str">
        <f t="shared" si="1"/>
        <v>Wed</v>
      </c>
      <c r="B734" s="69">
        <v>43887.0</v>
      </c>
      <c r="D734" s="208"/>
    </row>
    <row r="735">
      <c r="A735" s="67" t="str">
        <f t="shared" si="1"/>
        <v>Thu</v>
      </c>
      <c r="B735" s="69">
        <v>43888.0</v>
      </c>
      <c r="D735" s="208"/>
    </row>
    <row r="736">
      <c r="A736" s="67" t="str">
        <f t="shared" si="1"/>
        <v>Fri</v>
      </c>
      <c r="B736" s="69">
        <v>43889.0</v>
      </c>
      <c r="D736" s="208"/>
    </row>
    <row r="737">
      <c r="A737" s="67" t="str">
        <f t="shared" si="1"/>
        <v>Sat</v>
      </c>
      <c r="B737" s="69">
        <v>43890.0</v>
      </c>
      <c r="D737" s="208"/>
    </row>
    <row r="738">
      <c r="A738" s="67" t="str">
        <f t="shared" si="1"/>
        <v>Sun</v>
      </c>
      <c r="B738" s="69">
        <v>43891.0</v>
      </c>
      <c r="D738" s="208"/>
    </row>
    <row r="739">
      <c r="A739" s="67" t="str">
        <f t="shared" si="1"/>
        <v>Mon</v>
      </c>
      <c r="B739" s="69">
        <v>43892.0</v>
      </c>
      <c r="D739" s="208"/>
    </row>
    <row r="740">
      <c r="A740" s="67" t="str">
        <f t="shared" si="1"/>
        <v>Tue</v>
      </c>
      <c r="B740" s="69">
        <v>43893.0</v>
      </c>
      <c r="D740" s="208"/>
    </row>
    <row r="741">
      <c r="A741" s="67" t="str">
        <f t="shared" si="1"/>
        <v>Wed</v>
      </c>
      <c r="B741" s="69">
        <v>43894.0</v>
      </c>
      <c r="D741" s="208"/>
    </row>
    <row r="742">
      <c r="A742" s="67" t="str">
        <f t="shared" si="1"/>
        <v>Thu</v>
      </c>
      <c r="B742" s="69">
        <v>43895.0</v>
      </c>
      <c r="D742" s="208"/>
    </row>
    <row r="743">
      <c r="A743" s="67" t="str">
        <f t="shared" si="1"/>
        <v>Fri</v>
      </c>
      <c r="B743" s="69">
        <v>43896.0</v>
      </c>
      <c r="D743" s="208"/>
    </row>
    <row r="744">
      <c r="A744" s="67" t="str">
        <f t="shared" si="1"/>
        <v>Sat</v>
      </c>
      <c r="B744" s="69">
        <v>43897.0</v>
      </c>
      <c r="D744" s="208"/>
    </row>
    <row r="745">
      <c r="A745" s="67" t="str">
        <f t="shared" si="1"/>
        <v>Sun</v>
      </c>
      <c r="B745" s="69">
        <v>43898.0</v>
      </c>
      <c r="D745" s="208"/>
    </row>
    <row r="746">
      <c r="A746" s="67" t="str">
        <f t="shared" si="1"/>
        <v>Mon</v>
      </c>
      <c r="B746" s="69">
        <v>43899.0</v>
      </c>
      <c r="D746" s="208"/>
    </row>
    <row r="747">
      <c r="A747" s="67" t="str">
        <f t="shared" si="1"/>
        <v>Tue</v>
      </c>
      <c r="B747" s="69">
        <v>43900.0</v>
      </c>
      <c r="D747" s="208"/>
    </row>
    <row r="748">
      <c r="A748" s="67" t="str">
        <f t="shared" si="1"/>
        <v>Wed</v>
      </c>
      <c r="B748" s="69">
        <v>43901.0</v>
      </c>
      <c r="D748" s="208"/>
    </row>
    <row r="749">
      <c r="A749" s="67" t="str">
        <f t="shared" si="1"/>
        <v>Thu</v>
      </c>
      <c r="B749" s="69">
        <v>43902.0</v>
      </c>
      <c r="D749" s="208"/>
    </row>
    <row r="750">
      <c r="A750" s="67" t="str">
        <f t="shared" si="1"/>
        <v>Fri</v>
      </c>
      <c r="B750" s="69">
        <v>43903.0</v>
      </c>
      <c r="D750" s="208"/>
    </row>
    <row r="751">
      <c r="A751" s="67" t="str">
        <f t="shared" si="1"/>
        <v>Sat</v>
      </c>
      <c r="B751" s="69">
        <v>43904.0</v>
      </c>
      <c r="D751" s="208"/>
    </row>
    <row r="752">
      <c r="A752" s="67" t="str">
        <f t="shared" si="1"/>
        <v>Sun</v>
      </c>
      <c r="B752" s="69">
        <v>43905.0</v>
      </c>
      <c r="D752" s="208"/>
    </row>
    <row r="753">
      <c r="A753" s="67" t="str">
        <f t="shared" si="1"/>
        <v>Mon</v>
      </c>
      <c r="B753" s="69">
        <v>43906.0</v>
      </c>
      <c r="D753" s="208"/>
    </row>
    <row r="754">
      <c r="A754" s="67" t="str">
        <f t="shared" si="1"/>
        <v>Tue</v>
      </c>
      <c r="B754" s="69">
        <v>43907.0</v>
      </c>
      <c r="D754" s="208"/>
    </row>
    <row r="755">
      <c r="A755" s="67" t="str">
        <f t="shared" si="1"/>
        <v>Wed</v>
      </c>
      <c r="B755" s="69">
        <v>43908.0</v>
      </c>
      <c r="D755" s="208"/>
    </row>
    <row r="756">
      <c r="A756" s="67" t="str">
        <f t="shared" si="1"/>
        <v>Thu</v>
      </c>
      <c r="B756" s="69">
        <v>43909.0</v>
      </c>
      <c r="D756" s="208"/>
    </row>
    <row r="757">
      <c r="A757" s="67" t="str">
        <f t="shared" si="1"/>
        <v>Fri</v>
      </c>
      <c r="B757" s="69">
        <v>43910.0</v>
      </c>
      <c r="D757" s="208"/>
    </row>
    <row r="758">
      <c r="A758" s="67" t="str">
        <f t="shared" si="1"/>
        <v>Sat</v>
      </c>
      <c r="B758" s="69">
        <v>43911.0</v>
      </c>
      <c r="D758" s="208"/>
    </row>
    <row r="759">
      <c r="A759" s="67" t="str">
        <f t="shared" si="1"/>
        <v>Sun</v>
      </c>
      <c r="B759" s="69">
        <v>43912.0</v>
      </c>
      <c r="D759" s="208"/>
    </row>
    <row r="760">
      <c r="A760" s="67" t="str">
        <f t="shared" si="1"/>
        <v>Mon</v>
      </c>
      <c r="B760" s="69">
        <v>43913.0</v>
      </c>
      <c r="D760" s="208"/>
    </row>
    <row r="761">
      <c r="A761" s="67" t="str">
        <f t="shared" si="1"/>
        <v>Tue</v>
      </c>
      <c r="B761" s="69">
        <v>43914.0</v>
      </c>
      <c r="D761" s="208"/>
    </row>
    <row r="762">
      <c r="A762" s="67" t="str">
        <f t="shared" si="1"/>
        <v>Wed</v>
      </c>
      <c r="B762" s="69">
        <v>43915.0</v>
      </c>
      <c r="D762" s="208"/>
    </row>
    <row r="763">
      <c r="A763" s="67" t="str">
        <f t="shared" si="1"/>
        <v>Thu</v>
      </c>
      <c r="B763" s="69">
        <v>43916.0</v>
      </c>
      <c r="D763" s="208"/>
    </row>
    <row r="764">
      <c r="A764" s="67" t="str">
        <f t="shared" si="1"/>
        <v>Fri</v>
      </c>
      <c r="B764" s="69">
        <v>43917.0</v>
      </c>
      <c r="D764" s="208"/>
    </row>
    <row r="765">
      <c r="A765" s="67" t="str">
        <f t="shared" si="1"/>
        <v>Sat</v>
      </c>
      <c r="B765" s="69">
        <v>43918.0</v>
      </c>
      <c r="D765" s="208"/>
    </row>
    <row r="766">
      <c r="A766" s="67" t="str">
        <f t="shared" si="1"/>
        <v>Sun</v>
      </c>
      <c r="B766" s="69">
        <v>43919.0</v>
      </c>
      <c r="D766" s="208"/>
    </row>
    <row r="767">
      <c r="A767" s="67" t="str">
        <f t="shared" si="1"/>
        <v>Mon</v>
      </c>
      <c r="B767" s="69">
        <v>43920.0</v>
      </c>
      <c r="D767" s="208"/>
    </row>
    <row r="768">
      <c r="A768" s="67" t="str">
        <f t="shared" si="1"/>
        <v>Tue</v>
      </c>
      <c r="B768" s="69">
        <v>43921.0</v>
      </c>
      <c r="D768" s="208"/>
    </row>
    <row r="769">
      <c r="A769" s="67" t="str">
        <f t="shared" si="1"/>
        <v>Wed</v>
      </c>
      <c r="B769" s="69">
        <v>43922.0</v>
      </c>
      <c r="D769" s="208"/>
    </row>
    <row r="770">
      <c r="A770" s="67" t="str">
        <f t="shared" si="1"/>
        <v>Thu</v>
      </c>
      <c r="B770" s="69">
        <v>43923.0</v>
      </c>
      <c r="D770" s="208"/>
    </row>
    <row r="771">
      <c r="A771" s="67" t="str">
        <f t="shared" si="1"/>
        <v>Fri</v>
      </c>
      <c r="B771" s="69">
        <v>43924.0</v>
      </c>
      <c r="D771" s="208"/>
    </row>
    <row r="772">
      <c r="A772" s="67" t="str">
        <f t="shared" si="1"/>
        <v>Sat</v>
      </c>
      <c r="B772" s="69">
        <v>43925.0</v>
      </c>
      <c r="D772" s="208"/>
    </row>
    <row r="773">
      <c r="A773" s="67" t="str">
        <f t="shared" si="1"/>
        <v>Sun</v>
      </c>
      <c r="B773" s="69">
        <v>43926.0</v>
      </c>
      <c r="D773" s="208"/>
    </row>
    <row r="774">
      <c r="A774" s="67" t="str">
        <f t="shared" si="1"/>
        <v>Mon</v>
      </c>
      <c r="B774" s="69">
        <v>43927.0</v>
      </c>
      <c r="D774" s="208"/>
    </row>
    <row r="775">
      <c r="A775" s="67" t="str">
        <f t="shared" si="1"/>
        <v>Tue</v>
      </c>
      <c r="B775" s="69">
        <v>43928.0</v>
      </c>
      <c r="D775" s="208"/>
    </row>
    <row r="776">
      <c r="A776" s="67" t="str">
        <f t="shared" si="1"/>
        <v>Wed</v>
      </c>
      <c r="B776" s="69">
        <v>43929.0</v>
      </c>
      <c r="D776" s="208"/>
    </row>
    <row r="777">
      <c r="A777" s="67" t="str">
        <f t="shared" si="1"/>
        <v>Thu</v>
      </c>
      <c r="B777" s="69">
        <v>43930.0</v>
      </c>
      <c r="D777" s="208"/>
    </row>
    <row r="778">
      <c r="A778" s="67" t="str">
        <f t="shared" si="1"/>
        <v>Fri</v>
      </c>
      <c r="B778" s="69">
        <v>43931.0</v>
      </c>
      <c r="D778" s="208"/>
    </row>
    <row r="779">
      <c r="A779" s="67" t="str">
        <f t="shared" si="1"/>
        <v>Sat</v>
      </c>
      <c r="B779" s="69">
        <v>43932.0</v>
      </c>
      <c r="D779" s="208"/>
    </row>
    <row r="780">
      <c r="A780" s="67" t="str">
        <f t="shared" si="1"/>
        <v>Sun</v>
      </c>
      <c r="B780" s="69">
        <v>43933.0</v>
      </c>
      <c r="D780" s="208"/>
    </row>
    <row r="781">
      <c r="A781" s="67" t="str">
        <f t="shared" si="1"/>
        <v>Mon</v>
      </c>
      <c r="B781" s="69">
        <v>43934.0</v>
      </c>
      <c r="D781" s="208"/>
    </row>
    <row r="782">
      <c r="A782" s="67" t="str">
        <f t="shared" si="1"/>
        <v>Tue</v>
      </c>
      <c r="B782" s="69">
        <v>43935.0</v>
      </c>
      <c r="D782" s="208"/>
    </row>
    <row r="783">
      <c r="A783" s="67" t="str">
        <f t="shared" si="1"/>
        <v>Wed</v>
      </c>
      <c r="B783" s="69">
        <v>43936.0</v>
      </c>
      <c r="D783" s="208"/>
    </row>
    <row r="784">
      <c r="A784" s="67" t="str">
        <f t="shared" si="1"/>
        <v>Thu</v>
      </c>
      <c r="B784" s="69">
        <v>43937.0</v>
      </c>
      <c r="D784" s="208"/>
    </row>
    <row r="785">
      <c r="A785" s="67" t="str">
        <f t="shared" si="1"/>
        <v>Fri</v>
      </c>
      <c r="B785" s="69">
        <v>43938.0</v>
      </c>
      <c r="D785" s="208"/>
    </row>
    <row r="786">
      <c r="A786" s="67" t="str">
        <f t="shared" si="1"/>
        <v>Sat</v>
      </c>
      <c r="B786" s="69">
        <v>43939.0</v>
      </c>
      <c r="D786" s="208"/>
    </row>
    <row r="787">
      <c r="A787" s="67" t="str">
        <f t="shared" si="1"/>
        <v>Sun</v>
      </c>
      <c r="B787" s="69">
        <v>43940.0</v>
      </c>
      <c r="D787" s="208"/>
    </row>
    <row r="788">
      <c r="A788" s="67" t="str">
        <f t="shared" si="1"/>
        <v>Mon</v>
      </c>
      <c r="B788" s="69">
        <v>43941.0</v>
      </c>
      <c r="D788" s="208"/>
    </row>
    <row r="789">
      <c r="A789" s="67" t="str">
        <f t="shared" si="1"/>
        <v>Tue</v>
      </c>
      <c r="B789" s="69">
        <v>43942.0</v>
      </c>
      <c r="D789" s="208"/>
    </row>
    <row r="790">
      <c r="A790" s="67" t="str">
        <f t="shared" si="1"/>
        <v>Wed</v>
      </c>
      <c r="B790" s="69">
        <v>43943.0</v>
      </c>
      <c r="D790" s="208"/>
    </row>
    <row r="791">
      <c r="A791" s="67" t="str">
        <f t="shared" si="1"/>
        <v>Thu</v>
      </c>
      <c r="B791" s="69">
        <v>43944.0</v>
      </c>
      <c r="D791" s="208"/>
    </row>
    <row r="792">
      <c r="A792" s="67" t="str">
        <f t="shared" si="1"/>
        <v>Fri</v>
      </c>
      <c r="B792" s="69">
        <v>43945.0</v>
      </c>
      <c r="D792" s="208"/>
    </row>
    <row r="793">
      <c r="A793" s="67" t="str">
        <f t="shared" si="1"/>
        <v>Sat</v>
      </c>
      <c r="B793" s="69">
        <v>43946.0</v>
      </c>
      <c r="D793" s="208"/>
    </row>
    <row r="794">
      <c r="A794" s="67" t="str">
        <f t="shared" si="1"/>
        <v>Sun</v>
      </c>
      <c r="B794" s="69">
        <v>43947.0</v>
      </c>
      <c r="D794" s="208"/>
    </row>
    <row r="795">
      <c r="A795" s="67" t="str">
        <f t="shared" si="1"/>
        <v>Mon</v>
      </c>
      <c r="B795" s="69">
        <v>43948.0</v>
      </c>
      <c r="D795" s="208"/>
    </row>
    <row r="796">
      <c r="A796" s="67" t="str">
        <f t="shared" si="1"/>
        <v>Tue</v>
      </c>
      <c r="B796" s="69">
        <v>43949.0</v>
      </c>
      <c r="D796" s="208"/>
    </row>
    <row r="797">
      <c r="A797" s="67" t="str">
        <f t="shared" si="1"/>
        <v>Wed</v>
      </c>
      <c r="B797" s="69">
        <v>43950.0</v>
      </c>
      <c r="D797" s="208"/>
    </row>
    <row r="798">
      <c r="A798" s="67" t="str">
        <f t="shared" si="1"/>
        <v>Thu</v>
      </c>
      <c r="B798" s="69">
        <v>43951.0</v>
      </c>
      <c r="D798" s="208"/>
    </row>
    <row r="799">
      <c r="A799" s="67" t="str">
        <f t="shared" si="1"/>
        <v>Fri</v>
      </c>
      <c r="B799" s="69">
        <v>43952.0</v>
      </c>
      <c r="D799" s="208"/>
    </row>
    <row r="800">
      <c r="A800" s="67" t="str">
        <f t="shared" si="1"/>
        <v>Sat</v>
      </c>
      <c r="B800" s="69">
        <v>43953.0</v>
      </c>
      <c r="D800" s="208"/>
    </row>
    <row r="801">
      <c r="A801" s="67" t="str">
        <f t="shared" si="1"/>
        <v>Sun</v>
      </c>
      <c r="B801" s="69">
        <v>43954.0</v>
      </c>
      <c r="D801" s="208"/>
    </row>
    <row r="802">
      <c r="A802" s="67" t="str">
        <f t="shared" si="1"/>
        <v>Mon</v>
      </c>
      <c r="B802" s="69">
        <v>43955.0</v>
      </c>
      <c r="D802" s="208"/>
    </row>
    <row r="803">
      <c r="A803" s="67" t="str">
        <f t="shared" si="1"/>
        <v>Tue</v>
      </c>
      <c r="B803" s="69">
        <v>43956.0</v>
      </c>
      <c r="D803" s="208"/>
    </row>
    <row r="804">
      <c r="A804" s="67" t="str">
        <f t="shared" si="1"/>
        <v>Wed</v>
      </c>
      <c r="B804" s="69">
        <v>43957.0</v>
      </c>
      <c r="D804" s="208"/>
    </row>
    <row r="805">
      <c r="A805" s="67" t="str">
        <f t="shared" si="1"/>
        <v>Thu</v>
      </c>
      <c r="B805" s="69">
        <v>43958.0</v>
      </c>
      <c r="D805" s="208"/>
    </row>
    <row r="806">
      <c r="A806" s="67" t="str">
        <f t="shared" si="1"/>
        <v>Fri</v>
      </c>
      <c r="B806" s="69">
        <v>43959.0</v>
      </c>
      <c r="D806" s="208"/>
    </row>
    <row r="807">
      <c r="A807" s="67" t="str">
        <f t="shared" si="1"/>
        <v>Sat</v>
      </c>
      <c r="B807" s="69">
        <v>43960.0</v>
      </c>
      <c r="D807" s="208"/>
    </row>
    <row r="808">
      <c r="A808" s="67" t="str">
        <f t="shared" si="1"/>
        <v>Sun</v>
      </c>
      <c r="B808" s="69">
        <v>43961.0</v>
      </c>
      <c r="D808" s="208"/>
    </row>
    <row r="809">
      <c r="A809" s="67" t="str">
        <f t="shared" si="1"/>
        <v>Mon</v>
      </c>
      <c r="B809" s="69">
        <v>43962.0</v>
      </c>
      <c r="D809" s="208"/>
    </row>
    <row r="810">
      <c r="A810" s="67" t="str">
        <f t="shared" si="1"/>
        <v>Tue</v>
      </c>
      <c r="B810" s="69">
        <v>43963.0</v>
      </c>
      <c r="D810" s="208"/>
    </row>
    <row r="811">
      <c r="A811" s="67" t="str">
        <f t="shared" si="1"/>
        <v>Wed</v>
      </c>
      <c r="B811" s="69">
        <v>43964.0</v>
      </c>
      <c r="D811" s="208"/>
    </row>
    <row r="812">
      <c r="A812" s="67" t="str">
        <f t="shared" si="1"/>
        <v>Thu</v>
      </c>
      <c r="B812" s="69">
        <v>43965.0</v>
      </c>
      <c r="D812" s="208"/>
    </row>
    <row r="813">
      <c r="A813" s="67" t="str">
        <f t="shared" si="1"/>
        <v>Fri</v>
      </c>
      <c r="B813" s="69">
        <v>43966.0</v>
      </c>
      <c r="D813" s="208"/>
    </row>
    <row r="814">
      <c r="A814" s="67" t="str">
        <f t="shared" si="1"/>
        <v>Sat</v>
      </c>
      <c r="B814" s="69">
        <v>43967.0</v>
      </c>
      <c r="D814" s="208"/>
    </row>
    <row r="815">
      <c r="A815" s="67" t="str">
        <f t="shared" si="1"/>
        <v>Sun</v>
      </c>
      <c r="B815" s="69">
        <v>43968.0</v>
      </c>
      <c r="D815" s="208"/>
    </row>
    <row r="816">
      <c r="A816" s="67" t="str">
        <f t="shared" si="1"/>
        <v>Mon</v>
      </c>
      <c r="B816" s="69">
        <v>43969.0</v>
      </c>
      <c r="D816" s="208"/>
    </row>
    <row r="817">
      <c r="A817" s="67" t="str">
        <f t="shared" si="1"/>
        <v>Tue</v>
      </c>
      <c r="B817" s="69">
        <v>43970.0</v>
      </c>
      <c r="D817" s="208"/>
    </row>
    <row r="818">
      <c r="A818" s="67" t="str">
        <f t="shared" si="1"/>
        <v>Wed</v>
      </c>
      <c r="B818" s="69">
        <v>43971.0</v>
      </c>
      <c r="D818" s="208"/>
    </row>
    <row r="819">
      <c r="A819" s="67" t="str">
        <f t="shared" si="1"/>
        <v>Thu</v>
      </c>
      <c r="B819" s="69">
        <v>43972.0</v>
      </c>
      <c r="D819" s="208"/>
    </row>
    <row r="820">
      <c r="A820" s="67" t="str">
        <f t="shared" si="1"/>
        <v>Fri</v>
      </c>
      <c r="B820" s="69">
        <v>43973.0</v>
      </c>
      <c r="D820" s="208"/>
    </row>
    <row r="821">
      <c r="A821" s="67" t="str">
        <f t="shared" si="1"/>
        <v>Sat</v>
      </c>
      <c r="B821" s="69">
        <v>43974.0</v>
      </c>
      <c r="D821" s="208"/>
    </row>
    <row r="822">
      <c r="A822" s="67" t="str">
        <f t="shared" si="1"/>
        <v>Sun</v>
      </c>
      <c r="B822" s="69">
        <v>43975.0</v>
      </c>
      <c r="D822" s="208"/>
    </row>
    <row r="823">
      <c r="A823" s="67" t="str">
        <f t="shared" si="1"/>
        <v>Mon</v>
      </c>
      <c r="B823" s="69">
        <v>43976.0</v>
      </c>
      <c r="D823" s="208"/>
    </row>
    <row r="824">
      <c r="A824" s="67" t="str">
        <f t="shared" si="1"/>
        <v>Tue</v>
      </c>
      <c r="B824" s="69">
        <v>43977.0</v>
      </c>
      <c r="D824" s="208"/>
    </row>
    <row r="825">
      <c r="A825" s="67" t="str">
        <f t="shared" si="1"/>
        <v>Wed</v>
      </c>
      <c r="B825" s="69">
        <v>43978.0</v>
      </c>
      <c r="D825" s="208"/>
    </row>
    <row r="826">
      <c r="A826" s="67" t="str">
        <f t="shared" si="1"/>
        <v>Thu</v>
      </c>
      <c r="B826" s="69">
        <v>43979.0</v>
      </c>
      <c r="D826" s="208"/>
    </row>
    <row r="827">
      <c r="A827" s="67" t="str">
        <f t="shared" si="1"/>
        <v>Fri</v>
      </c>
      <c r="B827" s="69">
        <v>43980.0</v>
      </c>
      <c r="D827" s="208"/>
    </row>
    <row r="828">
      <c r="A828" s="67" t="str">
        <f t="shared" si="1"/>
        <v>Sat</v>
      </c>
      <c r="B828" s="69">
        <v>43981.0</v>
      </c>
      <c r="D828" s="208"/>
    </row>
    <row r="829">
      <c r="A829" s="67" t="str">
        <f t="shared" si="1"/>
        <v>Sun</v>
      </c>
      <c r="B829" s="69">
        <v>43982.0</v>
      </c>
      <c r="D829" s="208"/>
    </row>
    <row r="830">
      <c r="A830" s="67" t="str">
        <f t="shared" si="1"/>
        <v>Mon</v>
      </c>
      <c r="B830" s="69">
        <v>43983.0</v>
      </c>
      <c r="D830" s="208"/>
    </row>
    <row r="831">
      <c r="A831" s="67" t="str">
        <f t="shared" si="1"/>
        <v>Tue</v>
      </c>
      <c r="B831" s="69">
        <v>43984.0</v>
      </c>
      <c r="D831" s="208"/>
    </row>
    <row r="832">
      <c r="A832" s="67" t="str">
        <f t="shared" si="1"/>
        <v>Wed</v>
      </c>
      <c r="B832" s="69">
        <v>43985.0</v>
      </c>
      <c r="D832" s="208"/>
    </row>
    <row r="833">
      <c r="A833" s="67" t="str">
        <f t="shared" si="1"/>
        <v>Thu</v>
      </c>
      <c r="B833" s="69">
        <v>43986.0</v>
      </c>
      <c r="D833" s="208"/>
    </row>
    <row r="834">
      <c r="A834" s="67" t="str">
        <f t="shared" si="1"/>
        <v>Fri</v>
      </c>
      <c r="B834" s="69">
        <v>43987.0</v>
      </c>
      <c r="D834" s="208"/>
    </row>
    <row r="835">
      <c r="A835" s="67" t="str">
        <f t="shared" si="1"/>
        <v>Sat</v>
      </c>
      <c r="B835" s="69">
        <v>43988.0</v>
      </c>
      <c r="D835" s="208"/>
    </row>
    <row r="836">
      <c r="A836" s="67" t="str">
        <f t="shared" si="1"/>
        <v>Sun</v>
      </c>
      <c r="B836" s="69">
        <v>43989.0</v>
      </c>
      <c r="D836" s="208"/>
    </row>
    <row r="837">
      <c r="A837" s="67" t="str">
        <f t="shared" si="1"/>
        <v>Mon</v>
      </c>
      <c r="B837" s="69">
        <v>43990.0</v>
      </c>
      <c r="D837" s="208"/>
    </row>
    <row r="838">
      <c r="A838" s="67" t="str">
        <f t="shared" si="1"/>
        <v>Tue</v>
      </c>
      <c r="B838" s="69">
        <v>43991.0</v>
      </c>
      <c r="D838" s="208"/>
    </row>
    <row r="839">
      <c r="A839" s="67" t="str">
        <f t="shared" si="1"/>
        <v>Wed</v>
      </c>
      <c r="B839" s="69">
        <v>43992.0</v>
      </c>
      <c r="D839" s="208"/>
    </row>
    <row r="840">
      <c r="A840" s="67" t="str">
        <f t="shared" si="1"/>
        <v>Thu</v>
      </c>
      <c r="B840" s="69">
        <v>43993.0</v>
      </c>
      <c r="D840" s="208"/>
    </row>
    <row r="841">
      <c r="A841" s="67" t="str">
        <f t="shared" si="1"/>
        <v>Fri</v>
      </c>
      <c r="B841" s="69">
        <v>43994.0</v>
      </c>
      <c r="D841" s="208"/>
    </row>
    <row r="842">
      <c r="A842" s="67" t="str">
        <f t="shared" si="1"/>
        <v>Sat</v>
      </c>
      <c r="B842" s="69">
        <v>43995.0</v>
      </c>
      <c r="D842" s="208"/>
    </row>
    <row r="843">
      <c r="A843" s="67" t="str">
        <f t="shared" si="1"/>
        <v>Sun</v>
      </c>
      <c r="B843" s="69">
        <v>43996.0</v>
      </c>
      <c r="D843" s="208"/>
    </row>
    <row r="844">
      <c r="A844" s="67" t="str">
        <f t="shared" si="1"/>
        <v>Mon</v>
      </c>
      <c r="B844" s="69">
        <v>43997.0</v>
      </c>
      <c r="D844" s="208"/>
    </row>
    <row r="845">
      <c r="A845" s="67" t="str">
        <f t="shared" si="1"/>
        <v>Tue</v>
      </c>
      <c r="B845" s="69">
        <v>43998.0</v>
      </c>
      <c r="D845" s="186"/>
    </row>
    <row r="846">
      <c r="A846" s="67" t="str">
        <f t="shared" si="1"/>
        <v>Wed</v>
      </c>
      <c r="B846" s="69">
        <v>43999.0</v>
      </c>
      <c r="D846" s="186"/>
    </row>
    <row r="847">
      <c r="A847" s="67" t="str">
        <f t="shared" si="1"/>
        <v>Thu</v>
      </c>
      <c r="B847" s="69">
        <v>44000.0</v>
      </c>
      <c r="D847" s="186"/>
    </row>
    <row r="848">
      <c r="A848" s="67" t="str">
        <f t="shared" si="1"/>
        <v>Fri</v>
      </c>
      <c r="B848" s="69">
        <v>44001.0</v>
      </c>
      <c r="D848" s="186"/>
    </row>
    <row r="849">
      <c r="A849" s="67" t="str">
        <f t="shared" si="1"/>
        <v>Sat</v>
      </c>
      <c r="B849" s="69">
        <v>44002.0</v>
      </c>
      <c r="D849" s="186"/>
    </row>
    <row r="850">
      <c r="A850" s="67" t="str">
        <f t="shared" si="1"/>
        <v>Sun</v>
      </c>
      <c r="B850" s="69">
        <v>44003.0</v>
      </c>
      <c r="D850" s="186"/>
    </row>
    <row r="851">
      <c r="A851" s="67" t="str">
        <f t="shared" si="1"/>
        <v>Mon</v>
      </c>
      <c r="B851" s="69">
        <v>44004.0</v>
      </c>
      <c r="D851" s="186"/>
    </row>
    <row r="852">
      <c r="A852" s="67" t="str">
        <f t="shared" si="1"/>
        <v>Tue</v>
      </c>
      <c r="B852" s="69">
        <v>44005.0</v>
      </c>
      <c r="D852" s="186"/>
    </row>
    <row r="853">
      <c r="A853" s="67" t="str">
        <f t="shared" si="1"/>
        <v>Wed</v>
      </c>
      <c r="B853" s="69">
        <v>44006.0</v>
      </c>
      <c r="D853" s="186"/>
    </row>
    <row r="854">
      <c r="A854" s="67" t="str">
        <f t="shared" si="1"/>
        <v>Thu</v>
      </c>
      <c r="B854" s="69">
        <v>44007.0</v>
      </c>
      <c r="D854" s="186"/>
    </row>
    <row r="855">
      <c r="A855" s="67" t="str">
        <f t="shared" si="1"/>
        <v>Fri</v>
      </c>
      <c r="B855" s="69">
        <v>44008.0</v>
      </c>
      <c r="D855" s="186"/>
    </row>
    <row r="856">
      <c r="A856" s="67" t="str">
        <f t="shared" si="1"/>
        <v>Sat</v>
      </c>
      <c r="B856" s="69">
        <v>44009.0</v>
      </c>
      <c r="D856" s="186"/>
    </row>
    <row r="857">
      <c r="A857" s="67" t="str">
        <f t="shared" si="1"/>
        <v>Sun</v>
      </c>
      <c r="B857" s="69">
        <v>44010.0</v>
      </c>
      <c r="D857" s="186"/>
    </row>
    <row r="858">
      <c r="A858" s="67" t="str">
        <f t="shared" si="1"/>
        <v>Mon</v>
      </c>
      <c r="B858" s="69">
        <v>44011.0</v>
      </c>
      <c r="D858" s="186"/>
    </row>
    <row r="859">
      <c r="A859" s="67" t="str">
        <f t="shared" si="1"/>
        <v>Tue</v>
      </c>
      <c r="B859" s="69">
        <v>44012.0</v>
      </c>
      <c r="D859" s="186"/>
    </row>
    <row r="860">
      <c r="A860" s="67" t="str">
        <f t="shared" si="1"/>
        <v>Wed</v>
      </c>
      <c r="B860" s="69">
        <v>44013.0</v>
      </c>
      <c r="D860" s="186"/>
    </row>
    <row r="861">
      <c r="A861" s="67" t="str">
        <f t="shared" si="1"/>
        <v>Thu</v>
      </c>
      <c r="B861" s="69">
        <v>44014.0</v>
      </c>
      <c r="D861" s="186"/>
    </row>
    <row r="862">
      <c r="A862" s="67" t="str">
        <f t="shared" si="1"/>
        <v>Fri</v>
      </c>
      <c r="B862" s="69">
        <v>44015.0</v>
      </c>
      <c r="D862" s="186"/>
    </row>
    <row r="863">
      <c r="A863" s="67" t="str">
        <f t="shared" si="1"/>
        <v>Sat</v>
      </c>
      <c r="B863" s="69">
        <v>44016.0</v>
      </c>
      <c r="D863" s="186"/>
    </row>
    <row r="864">
      <c r="A864" s="67" t="str">
        <f t="shared" si="1"/>
        <v>Sun</v>
      </c>
      <c r="B864" s="69">
        <v>44017.0</v>
      </c>
      <c r="D864" s="186"/>
    </row>
    <row r="865">
      <c r="A865" s="67" t="str">
        <f t="shared" si="1"/>
        <v>Mon</v>
      </c>
      <c r="B865" s="69">
        <v>44018.0</v>
      </c>
      <c r="D865" s="186"/>
    </row>
    <row r="866">
      <c r="A866" s="67" t="str">
        <f t="shared" si="1"/>
        <v>Tue</v>
      </c>
      <c r="B866" s="69">
        <v>44019.0</v>
      </c>
      <c r="D866" s="186"/>
    </row>
    <row r="867">
      <c r="A867" s="67" t="str">
        <f t="shared" si="1"/>
        <v>Wed</v>
      </c>
      <c r="B867" s="69">
        <v>44020.0</v>
      </c>
      <c r="D867" s="186"/>
    </row>
    <row r="868">
      <c r="A868" s="67" t="str">
        <f t="shared" si="1"/>
        <v>Thu</v>
      </c>
      <c r="B868" s="69">
        <v>44021.0</v>
      </c>
      <c r="D868" s="186"/>
    </row>
    <row r="869">
      <c r="A869" s="67" t="str">
        <f t="shared" si="1"/>
        <v>Fri</v>
      </c>
      <c r="B869" s="69">
        <v>44022.0</v>
      </c>
      <c r="D869" s="186"/>
    </row>
    <row r="870">
      <c r="A870" s="67" t="str">
        <f t="shared" si="1"/>
        <v>Sat</v>
      </c>
      <c r="B870" s="69">
        <v>44023.0</v>
      </c>
      <c r="D870" s="186"/>
    </row>
    <row r="871">
      <c r="A871" s="67" t="str">
        <f t="shared" si="1"/>
        <v>Sun</v>
      </c>
      <c r="B871" s="69">
        <v>44024.0</v>
      </c>
      <c r="D871" s="186"/>
    </row>
    <row r="872">
      <c r="A872" s="67" t="str">
        <f t="shared" si="1"/>
        <v>Mon</v>
      </c>
      <c r="B872" s="69">
        <v>44025.0</v>
      </c>
      <c r="D872" s="186"/>
    </row>
    <row r="873">
      <c r="A873" s="67" t="str">
        <f t="shared" si="1"/>
        <v>Tue</v>
      </c>
      <c r="B873" s="69">
        <v>44026.0</v>
      </c>
      <c r="D873" s="186"/>
    </row>
    <row r="874">
      <c r="A874" s="67" t="str">
        <f t="shared" si="1"/>
        <v>Wed</v>
      </c>
      <c r="B874" s="69">
        <v>44027.0</v>
      </c>
      <c r="D874" s="186"/>
    </row>
    <row r="875">
      <c r="A875" s="67" t="str">
        <f t="shared" si="1"/>
        <v>Thu</v>
      </c>
      <c r="B875" s="69">
        <v>44028.0</v>
      </c>
      <c r="D875" s="186"/>
    </row>
    <row r="876">
      <c r="A876" s="67" t="str">
        <f t="shared" si="1"/>
        <v>Fri</v>
      </c>
      <c r="B876" s="69">
        <v>44029.0</v>
      </c>
      <c r="D876" s="186"/>
    </row>
    <row r="877">
      <c r="A877" s="67" t="str">
        <f t="shared" si="1"/>
        <v>Sat</v>
      </c>
      <c r="B877" s="69">
        <v>44030.0</v>
      </c>
      <c r="D877" s="186"/>
    </row>
    <row r="878">
      <c r="A878" s="67" t="str">
        <f t="shared" si="1"/>
        <v>Sun</v>
      </c>
      <c r="B878" s="69">
        <v>44031.0</v>
      </c>
      <c r="D878" s="186"/>
    </row>
    <row r="879">
      <c r="A879" s="67" t="str">
        <f t="shared" si="1"/>
        <v>Mon</v>
      </c>
      <c r="B879" s="69">
        <v>44032.0</v>
      </c>
      <c r="D879" s="186"/>
    </row>
    <row r="880">
      <c r="A880" s="67" t="str">
        <f t="shared" si="1"/>
        <v>Tue</v>
      </c>
      <c r="B880" s="69">
        <v>44033.0</v>
      </c>
      <c r="D880" s="186"/>
    </row>
    <row r="881">
      <c r="A881" s="67" t="str">
        <f t="shared" si="1"/>
        <v>Wed</v>
      </c>
      <c r="B881" s="69">
        <v>44034.0</v>
      </c>
      <c r="D881" s="186"/>
    </row>
    <row r="882">
      <c r="A882" s="67" t="str">
        <f t="shared" si="1"/>
        <v>Thu</v>
      </c>
      <c r="B882" s="69">
        <v>44035.0</v>
      </c>
      <c r="D882" s="186"/>
    </row>
    <row r="883">
      <c r="A883" s="67" t="str">
        <f t="shared" si="1"/>
        <v>Fri</v>
      </c>
      <c r="B883" s="69">
        <v>44036.0</v>
      </c>
      <c r="D883" s="186"/>
    </row>
    <row r="884">
      <c r="A884" s="67" t="str">
        <f t="shared" si="1"/>
        <v>Sat</v>
      </c>
      <c r="B884" s="69">
        <v>44037.0</v>
      </c>
      <c r="D884" s="186"/>
    </row>
    <row r="885">
      <c r="A885" s="67" t="str">
        <f t="shared" si="1"/>
        <v>Sun</v>
      </c>
      <c r="B885" s="69">
        <v>44038.0</v>
      </c>
      <c r="D885" s="186"/>
    </row>
    <row r="886">
      <c r="A886" s="67" t="str">
        <f t="shared" si="1"/>
        <v>Mon</v>
      </c>
      <c r="B886" s="69">
        <v>44039.0</v>
      </c>
      <c r="D886" s="186"/>
    </row>
    <row r="887">
      <c r="A887" s="67" t="str">
        <f t="shared" si="1"/>
        <v>Tue</v>
      </c>
      <c r="B887" s="69">
        <v>44040.0</v>
      </c>
      <c r="D887" s="186"/>
    </row>
    <row r="888">
      <c r="A888" s="67" t="str">
        <f t="shared" si="1"/>
        <v>Wed</v>
      </c>
      <c r="B888" s="69">
        <v>44041.0</v>
      </c>
      <c r="D888" s="186"/>
    </row>
    <row r="889">
      <c r="A889" s="67" t="str">
        <f t="shared" si="1"/>
        <v>Thu</v>
      </c>
      <c r="B889" s="69">
        <v>44042.0</v>
      </c>
      <c r="D889" s="186"/>
    </row>
    <row r="890">
      <c r="A890" s="67" t="str">
        <f t="shared" si="1"/>
        <v>Fri</v>
      </c>
      <c r="B890" s="69">
        <v>44043.0</v>
      </c>
      <c r="D890" s="186"/>
    </row>
    <row r="891">
      <c r="A891" s="67" t="str">
        <f t="shared" si="1"/>
        <v>Sat</v>
      </c>
      <c r="B891" s="69">
        <v>44044.0</v>
      </c>
      <c r="D891" s="186"/>
    </row>
    <row r="892">
      <c r="A892" s="67" t="str">
        <f t="shared" si="1"/>
        <v>Sun</v>
      </c>
      <c r="B892" s="69">
        <v>44045.0</v>
      </c>
      <c r="D892" s="186"/>
    </row>
    <row r="893">
      <c r="A893" s="67" t="str">
        <f t="shared" si="1"/>
        <v>Mon</v>
      </c>
      <c r="B893" s="69">
        <v>44046.0</v>
      </c>
      <c r="D893" s="186"/>
    </row>
    <row r="894">
      <c r="A894" s="67" t="str">
        <f t="shared" si="1"/>
        <v>Tue</v>
      </c>
      <c r="B894" s="69">
        <v>44047.0</v>
      </c>
      <c r="D894" s="186"/>
    </row>
    <row r="895">
      <c r="A895" s="67" t="str">
        <f t="shared" si="1"/>
        <v>Wed</v>
      </c>
      <c r="B895" s="69">
        <v>44048.0</v>
      </c>
      <c r="D895" s="186"/>
    </row>
    <row r="896">
      <c r="A896" s="67" t="str">
        <f t="shared" si="1"/>
        <v>Thu</v>
      </c>
      <c r="B896" s="69">
        <v>44049.0</v>
      </c>
      <c r="D896" s="186"/>
    </row>
    <row r="897">
      <c r="A897" s="67" t="str">
        <f t="shared" si="1"/>
        <v>Fri</v>
      </c>
      <c r="B897" s="69">
        <v>44050.0</v>
      </c>
      <c r="D897" s="186"/>
    </row>
    <row r="898">
      <c r="A898" s="67" t="str">
        <f t="shared" si="1"/>
        <v>Sat</v>
      </c>
      <c r="B898" s="69">
        <v>44051.0</v>
      </c>
      <c r="D898" s="186"/>
    </row>
    <row r="899">
      <c r="A899" s="67" t="str">
        <f t="shared" si="1"/>
        <v>Sun</v>
      </c>
      <c r="B899" s="69">
        <v>44052.0</v>
      </c>
      <c r="D899" s="186"/>
    </row>
    <row r="900">
      <c r="A900" s="67" t="str">
        <f t="shared" si="1"/>
        <v>Mon</v>
      </c>
      <c r="B900" s="69">
        <v>44053.0</v>
      </c>
      <c r="D900" s="186"/>
    </row>
    <row r="901">
      <c r="A901" s="67" t="str">
        <f t="shared" si="1"/>
        <v>Tue</v>
      </c>
      <c r="B901" s="69">
        <v>44054.0</v>
      </c>
      <c r="D901" s="186"/>
    </row>
    <row r="902">
      <c r="A902" s="67" t="str">
        <f t="shared" si="1"/>
        <v>Wed</v>
      </c>
      <c r="B902" s="69">
        <v>44055.0</v>
      </c>
      <c r="D902" s="186"/>
    </row>
    <row r="903">
      <c r="A903" s="67" t="str">
        <f t="shared" si="1"/>
        <v>Thu</v>
      </c>
      <c r="B903" s="69">
        <v>44056.0</v>
      </c>
      <c r="D903" s="186"/>
    </row>
    <row r="904">
      <c r="A904" s="67" t="str">
        <f t="shared" si="1"/>
        <v>Fri</v>
      </c>
      <c r="B904" s="69">
        <v>44057.0</v>
      </c>
      <c r="D904" s="186"/>
    </row>
    <row r="905">
      <c r="A905" s="67" t="str">
        <f t="shared" si="1"/>
        <v>Sat</v>
      </c>
      <c r="B905" s="69">
        <v>44058.0</v>
      </c>
      <c r="D905" s="186"/>
    </row>
    <row r="906">
      <c r="A906" s="67" t="str">
        <f t="shared" si="1"/>
        <v>Sun</v>
      </c>
      <c r="B906" s="69">
        <v>44059.0</v>
      </c>
      <c r="D906" s="186"/>
    </row>
    <row r="907">
      <c r="A907" s="67" t="str">
        <f t="shared" si="1"/>
        <v>Mon</v>
      </c>
      <c r="B907" s="69">
        <v>44060.0</v>
      </c>
      <c r="D907" s="186"/>
    </row>
    <row r="908">
      <c r="A908" s="67" t="str">
        <f t="shared" si="1"/>
        <v>Tue</v>
      </c>
      <c r="B908" s="69">
        <v>44061.0</v>
      </c>
      <c r="D908" s="186"/>
    </row>
    <row r="909">
      <c r="A909" s="67" t="str">
        <f t="shared" si="1"/>
        <v>Wed</v>
      </c>
      <c r="B909" s="69">
        <v>44062.0</v>
      </c>
      <c r="D909" s="186"/>
    </row>
    <row r="910">
      <c r="A910" s="67" t="str">
        <f t="shared" si="1"/>
        <v>Thu</v>
      </c>
      <c r="B910" s="69">
        <v>44063.0</v>
      </c>
      <c r="D910" s="186"/>
    </row>
    <row r="911">
      <c r="A911" s="67" t="str">
        <f t="shared" si="1"/>
        <v>Fri</v>
      </c>
      <c r="B911" s="69">
        <v>44064.0</v>
      </c>
      <c r="D911" s="186"/>
    </row>
    <row r="912">
      <c r="A912" s="67" t="str">
        <f t="shared" si="1"/>
        <v>Sat</v>
      </c>
      <c r="B912" s="69">
        <v>44065.0</v>
      </c>
      <c r="D912" s="186"/>
    </row>
    <row r="913">
      <c r="A913" s="67" t="str">
        <f t="shared" si="1"/>
        <v>Sun</v>
      </c>
      <c r="B913" s="69">
        <v>44066.0</v>
      </c>
      <c r="D913" s="186"/>
    </row>
    <row r="914">
      <c r="A914" s="67" t="str">
        <f t="shared" si="1"/>
        <v>Mon</v>
      </c>
      <c r="B914" s="69">
        <v>44067.0</v>
      </c>
      <c r="D914" s="186"/>
    </row>
    <row r="915">
      <c r="A915" s="67" t="str">
        <f t="shared" si="1"/>
        <v>Tue</v>
      </c>
      <c r="B915" s="69">
        <v>44068.0</v>
      </c>
      <c r="D915" s="186"/>
    </row>
    <row r="916">
      <c r="A916" s="67" t="str">
        <f t="shared" si="1"/>
        <v>Wed</v>
      </c>
      <c r="B916" s="69">
        <v>44069.0</v>
      </c>
      <c r="D916" s="186"/>
    </row>
    <row r="917">
      <c r="A917" s="67" t="str">
        <f t="shared" si="1"/>
        <v>Thu</v>
      </c>
      <c r="B917" s="69">
        <v>44070.0</v>
      </c>
      <c r="D917" s="186"/>
    </row>
  </sheetData>
  <mergeCells count="5">
    <mergeCell ref="E1:F1"/>
    <mergeCell ref="E2:F2"/>
    <mergeCell ref="E3:F3"/>
    <mergeCell ref="A1:C3"/>
    <mergeCell ref="G1:R3"/>
  </mergeCells>
  <conditionalFormatting sqref="K1:K917 L1:L423 L425:L432 L434:L917">
    <cfRule type="cellIs" dxfId="0" priority="1" operator="equal">
      <formula>"Enviar email para hotel"</formula>
    </cfRule>
  </conditionalFormatting>
  <dataValidations>
    <dataValidation type="list" allowBlank="1" sqref="L313:L423 L425:L432 L434:L917">
      <formula1>"Enviar email para hotel,Enviado para o hotel,Código de reserva enviado para hóspede,Verificar dados com o hóspede,URGENTE,Fechado"</formula1>
    </dataValidation>
    <dataValidation type="list" allowBlank="1" sqref="K6:L312">
      <formula1>"Enviar email para hotel,Enviado para o hotel,Código de reserva enviado para hóspede,Fechado"</formula1>
    </dataValidation>
    <dataValidation type="list" allowBlank="1" sqref="K313:K917">
      <formula1>"A PAGAR,PARCIALMENTE PAGO,PAGO"</formula1>
    </dataValidation>
  </dataValidations>
  <hyperlinks>
    <hyperlink display="Sumario" location="Sumario!A1" ref="A4"/>
  </hyperlinks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13.57"/>
    <col customWidth="1" min="4" max="4" width="17.0"/>
    <col customWidth="1" min="10" max="10" width="16.43"/>
  </cols>
  <sheetData>
    <row r="1">
      <c r="A1" s="1"/>
      <c r="B1" s="2"/>
      <c r="C1" s="3"/>
      <c r="D1" s="11" t="s">
        <v>198</v>
      </c>
      <c r="E1" s="153" t="s">
        <v>199</v>
      </c>
      <c r="F1" s="3"/>
      <c r="G1" s="209" t="s">
        <v>1001</v>
      </c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210"/>
    </row>
    <row r="2">
      <c r="A2" s="13"/>
      <c r="C2" s="15"/>
      <c r="D2" s="9" t="s">
        <v>201</v>
      </c>
      <c r="E2" s="156">
        <v>2313.0</v>
      </c>
      <c r="F2" s="15"/>
      <c r="G2" s="13"/>
      <c r="R2" s="15"/>
      <c r="S2" s="210"/>
    </row>
    <row r="3">
      <c r="A3" s="17"/>
      <c r="B3" s="19"/>
      <c r="C3" s="21"/>
      <c r="D3" s="26" t="s">
        <v>202</v>
      </c>
      <c r="E3" s="157" t="s">
        <v>395</v>
      </c>
      <c r="F3" s="21"/>
      <c r="G3" s="17"/>
      <c r="H3" s="19"/>
      <c r="I3" s="19"/>
      <c r="J3" s="19"/>
      <c r="K3" s="19"/>
      <c r="L3" s="19"/>
      <c r="M3" s="19"/>
      <c r="N3" s="19"/>
      <c r="O3" s="19"/>
      <c r="P3" s="19"/>
      <c r="Q3" s="19"/>
      <c r="R3" s="21"/>
      <c r="S3" s="210"/>
    </row>
    <row r="4">
      <c r="A4" s="158" t="s">
        <v>203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O4" s="30"/>
      <c r="P4" s="30"/>
      <c r="Q4" s="30"/>
      <c r="R4" s="30"/>
      <c r="S4" s="170"/>
      <c r="T4" s="30"/>
      <c r="U4" s="30"/>
      <c r="V4" s="30"/>
      <c r="W4" s="30"/>
    </row>
    <row r="5">
      <c r="A5" s="42" t="s">
        <v>204</v>
      </c>
      <c r="B5" s="45" t="s">
        <v>33</v>
      </c>
      <c r="C5" s="45" t="s">
        <v>205</v>
      </c>
      <c r="D5" s="45" t="s">
        <v>206</v>
      </c>
      <c r="E5" s="45" t="s">
        <v>207</v>
      </c>
      <c r="F5" s="45" t="s">
        <v>208</v>
      </c>
      <c r="G5" s="45" t="s">
        <v>209</v>
      </c>
      <c r="H5" s="45" t="s">
        <v>210</v>
      </c>
      <c r="I5" s="45" t="s">
        <v>211</v>
      </c>
      <c r="J5" s="45" t="s">
        <v>212</v>
      </c>
      <c r="K5" s="45" t="s">
        <v>213</v>
      </c>
      <c r="L5" s="45" t="s">
        <v>214</v>
      </c>
      <c r="M5" s="45" t="s">
        <v>215</v>
      </c>
      <c r="N5" s="45" t="s">
        <v>216</v>
      </c>
      <c r="O5" s="45" t="s">
        <v>217</v>
      </c>
      <c r="P5" s="45" t="s">
        <v>218</v>
      </c>
      <c r="Q5" s="45" t="s">
        <v>219</v>
      </c>
      <c r="R5" s="160" t="s">
        <v>220</v>
      </c>
      <c r="S5" s="211" t="s">
        <v>221</v>
      </c>
    </row>
    <row r="6">
      <c r="A6" s="67" t="str">
        <f t="shared" ref="A6:A556" si="1">CHOOSE(weekday(B6),"Sun","Mon","Tue","Wed","Thu","Fri","Sat")</f>
        <v>Thu</v>
      </c>
      <c r="B6" s="69">
        <v>43349.0</v>
      </c>
      <c r="D6" s="171"/>
      <c r="M6" s="166"/>
      <c r="N6" s="166"/>
      <c r="O6" s="166"/>
      <c r="P6" s="166"/>
      <c r="Q6" s="166"/>
      <c r="R6" s="166"/>
      <c r="S6" s="212"/>
    </row>
    <row r="7">
      <c r="A7" s="67" t="str">
        <f t="shared" si="1"/>
        <v>Fri</v>
      </c>
      <c r="B7" s="69">
        <v>43350.0</v>
      </c>
      <c r="D7" s="176">
        <v>433.8</v>
      </c>
      <c r="E7" s="4" t="s">
        <v>222</v>
      </c>
      <c r="F7" s="4" t="s">
        <v>1002</v>
      </c>
      <c r="G7" s="4" t="s">
        <v>1002</v>
      </c>
      <c r="I7" s="4" t="s">
        <v>395</v>
      </c>
      <c r="K7" s="4"/>
      <c r="L7" s="4" t="s">
        <v>293</v>
      </c>
      <c r="S7" s="213"/>
    </row>
    <row r="8">
      <c r="A8" s="67" t="str">
        <f t="shared" si="1"/>
        <v>Sat</v>
      </c>
      <c r="B8" s="69">
        <v>43351.0</v>
      </c>
      <c r="D8" s="176">
        <v>433.8</v>
      </c>
      <c r="E8" s="4" t="s">
        <v>222</v>
      </c>
      <c r="F8" s="4" t="s">
        <v>1002</v>
      </c>
      <c r="I8" s="4" t="s">
        <v>395</v>
      </c>
      <c r="K8" s="4"/>
      <c r="L8" s="4" t="s">
        <v>293</v>
      </c>
      <c r="M8" s="166"/>
      <c r="N8" s="166"/>
      <c r="O8" s="166"/>
      <c r="P8" s="166"/>
      <c r="Q8" s="166"/>
      <c r="R8" s="166"/>
      <c r="S8" s="212"/>
    </row>
    <row r="9">
      <c r="A9" s="67" t="str">
        <f t="shared" si="1"/>
        <v>Sun</v>
      </c>
      <c r="B9" s="69">
        <v>43352.0</v>
      </c>
      <c r="D9" s="171"/>
      <c r="H9" s="4" t="s">
        <v>1002</v>
      </c>
      <c r="S9" s="213"/>
    </row>
    <row r="10">
      <c r="A10" s="67" t="str">
        <f t="shared" si="1"/>
        <v>Mon</v>
      </c>
      <c r="B10" s="69">
        <v>43353.0</v>
      </c>
      <c r="D10" s="171"/>
      <c r="S10" s="213"/>
    </row>
    <row r="11">
      <c r="A11" s="67" t="str">
        <f t="shared" si="1"/>
        <v>Tue</v>
      </c>
      <c r="B11" s="69">
        <v>43354.0</v>
      </c>
      <c r="D11" s="171"/>
      <c r="K11" s="4"/>
      <c r="L11" s="4"/>
      <c r="S11" s="213"/>
    </row>
    <row r="12">
      <c r="A12" s="67" t="str">
        <f t="shared" si="1"/>
        <v>Wed</v>
      </c>
      <c r="B12" s="69">
        <v>43355.0</v>
      </c>
      <c r="D12" s="171"/>
      <c r="S12" s="213"/>
    </row>
    <row r="13">
      <c r="A13" s="67" t="str">
        <f t="shared" si="1"/>
        <v>Thu</v>
      </c>
      <c r="B13" s="69">
        <v>43356.0</v>
      </c>
      <c r="D13" s="171"/>
      <c r="S13" s="213"/>
    </row>
    <row r="14">
      <c r="A14" s="67" t="str">
        <f t="shared" si="1"/>
        <v>Fri</v>
      </c>
      <c r="B14" s="69">
        <v>43357.0</v>
      </c>
      <c r="D14" s="171"/>
      <c r="S14" s="213"/>
    </row>
    <row r="15">
      <c r="A15" s="67" t="str">
        <f t="shared" si="1"/>
        <v>Sat</v>
      </c>
      <c r="B15" s="69">
        <v>43358.0</v>
      </c>
      <c r="D15" s="171"/>
      <c r="S15" s="213"/>
    </row>
    <row r="16">
      <c r="A16" s="67" t="str">
        <f t="shared" si="1"/>
        <v>Sun</v>
      </c>
      <c r="B16" s="69">
        <v>43359.0</v>
      </c>
      <c r="D16" s="171"/>
      <c r="S16" s="213"/>
    </row>
    <row r="17">
      <c r="A17" s="67" t="str">
        <f t="shared" si="1"/>
        <v>Mon</v>
      </c>
      <c r="B17" s="69">
        <v>43360.0</v>
      </c>
      <c r="D17" s="171"/>
      <c r="S17" s="213"/>
    </row>
    <row r="18">
      <c r="A18" s="67" t="str">
        <f t="shared" si="1"/>
        <v>Tue</v>
      </c>
      <c r="B18" s="69">
        <v>43361.0</v>
      </c>
      <c r="D18" s="171"/>
      <c r="S18" s="213"/>
    </row>
    <row r="19">
      <c r="A19" s="67" t="str">
        <f t="shared" si="1"/>
        <v>Wed</v>
      </c>
      <c r="B19" s="69">
        <v>43362.0</v>
      </c>
      <c r="D19" s="175">
        <v>252.5675</v>
      </c>
      <c r="E19" s="4" t="s">
        <v>222</v>
      </c>
      <c r="F19" s="4" t="s">
        <v>1003</v>
      </c>
      <c r="G19" s="4" t="s">
        <v>1003</v>
      </c>
      <c r="I19" s="4" t="s">
        <v>395</v>
      </c>
      <c r="J19" s="4" t="s">
        <v>1004</v>
      </c>
      <c r="K19" s="4"/>
      <c r="L19" s="4" t="s">
        <v>293</v>
      </c>
      <c r="S19" s="213"/>
    </row>
    <row r="20">
      <c r="A20" s="67" t="str">
        <f t="shared" si="1"/>
        <v>Thu</v>
      </c>
      <c r="B20" s="69">
        <v>43363.0</v>
      </c>
      <c r="D20" s="175">
        <v>252.5675</v>
      </c>
      <c r="E20" s="4" t="s">
        <v>222</v>
      </c>
      <c r="F20" s="4" t="s">
        <v>1003</v>
      </c>
      <c r="I20" s="4" t="s">
        <v>395</v>
      </c>
      <c r="J20" s="4" t="s">
        <v>1004</v>
      </c>
      <c r="K20" s="4"/>
      <c r="L20" s="4" t="s">
        <v>293</v>
      </c>
      <c r="S20" s="213"/>
    </row>
    <row r="21">
      <c r="A21" s="67" t="str">
        <f t="shared" si="1"/>
        <v>Fri</v>
      </c>
      <c r="B21" s="69">
        <v>43364.0</v>
      </c>
      <c r="D21" s="175">
        <v>252.5675</v>
      </c>
      <c r="E21" s="4" t="s">
        <v>222</v>
      </c>
      <c r="F21" s="4" t="s">
        <v>1003</v>
      </c>
      <c r="I21" s="4" t="s">
        <v>395</v>
      </c>
      <c r="J21" s="4" t="s">
        <v>1004</v>
      </c>
      <c r="K21" s="4"/>
      <c r="L21" s="4" t="s">
        <v>293</v>
      </c>
      <c r="M21" s="166"/>
      <c r="N21" s="166"/>
      <c r="O21" s="166"/>
      <c r="P21" s="166"/>
      <c r="Q21" s="166"/>
      <c r="R21" s="166"/>
      <c r="S21" s="212"/>
    </row>
    <row r="22">
      <c r="A22" s="67" t="str">
        <f t="shared" si="1"/>
        <v>Sat</v>
      </c>
      <c r="B22" s="69">
        <v>43365.0</v>
      </c>
      <c r="D22" s="175">
        <v>252.5675</v>
      </c>
      <c r="E22" s="4" t="s">
        <v>222</v>
      </c>
      <c r="F22" s="4" t="s">
        <v>1003</v>
      </c>
      <c r="I22" s="4" t="s">
        <v>395</v>
      </c>
      <c r="J22" s="4" t="s">
        <v>1004</v>
      </c>
      <c r="K22" s="4"/>
      <c r="L22" s="4" t="s">
        <v>293</v>
      </c>
      <c r="S22" s="213"/>
    </row>
    <row r="23">
      <c r="A23" s="67" t="str">
        <f t="shared" si="1"/>
        <v>Sun</v>
      </c>
      <c r="B23" s="69">
        <v>43366.0</v>
      </c>
      <c r="D23" s="176">
        <v>192.8</v>
      </c>
      <c r="E23" s="4" t="s">
        <v>222</v>
      </c>
      <c r="F23" s="4" t="s">
        <v>1003</v>
      </c>
      <c r="I23" s="4" t="s">
        <v>395</v>
      </c>
      <c r="J23" s="4" t="s">
        <v>1004</v>
      </c>
      <c r="K23" s="4"/>
      <c r="L23" s="4" t="s">
        <v>293</v>
      </c>
      <c r="S23" s="213"/>
    </row>
    <row r="24">
      <c r="A24" s="67" t="str">
        <f t="shared" si="1"/>
        <v>Mon</v>
      </c>
      <c r="B24" s="69">
        <v>43367.0</v>
      </c>
      <c r="D24" s="176">
        <v>200.0</v>
      </c>
      <c r="E24" s="4" t="s">
        <v>337</v>
      </c>
      <c r="F24" s="4" t="s">
        <v>1005</v>
      </c>
      <c r="H24" s="4" t="s">
        <v>1003</v>
      </c>
      <c r="K24" s="4"/>
      <c r="L24" s="4" t="s">
        <v>293</v>
      </c>
      <c r="S24" s="213"/>
    </row>
    <row r="25">
      <c r="A25" s="67" t="str">
        <f t="shared" si="1"/>
        <v>Tue</v>
      </c>
      <c r="B25" s="69">
        <v>43368.0</v>
      </c>
      <c r="D25" s="171"/>
      <c r="H25" s="4" t="s">
        <v>1005</v>
      </c>
      <c r="S25" s="213"/>
    </row>
    <row r="26">
      <c r="A26" s="67" t="str">
        <f t="shared" si="1"/>
        <v>Wed</v>
      </c>
      <c r="B26" s="69">
        <v>43369.0</v>
      </c>
      <c r="D26" s="171"/>
      <c r="S26" s="213"/>
    </row>
    <row r="27">
      <c r="A27" s="67" t="str">
        <f t="shared" si="1"/>
        <v>Thu</v>
      </c>
      <c r="B27" s="69">
        <v>43370.0</v>
      </c>
      <c r="D27" s="171"/>
      <c r="S27" s="213"/>
    </row>
    <row r="28">
      <c r="A28" s="67" t="str">
        <f t="shared" si="1"/>
        <v>Fri</v>
      </c>
      <c r="B28" s="69">
        <v>43371.0</v>
      </c>
      <c r="D28" s="171"/>
      <c r="S28" s="213"/>
    </row>
    <row r="29">
      <c r="A29" s="67" t="str">
        <f t="shared" si="1"/>
        <v>Sat</v>
      </c>
      <c r="B29" s="69">
        <v>43372.0</v>
      </c>
      <c r="D29" s="176">
        <v>255.46</v>
      </c>
      <c r="E29" s="4" t="s">
        <v>222</v>
      </c>
      <c r="F29" s="4" t="s">
        <v>1006</v>
      </c>
      <c r="G29" s="4" t="s">
        <v>1006</v>
      </c>
      <c r="I29" s="4" t="s">
        <v>395</v>
      </c>
      <c r="K29" s="4"/>
      <c r="L29" s="4" t="s">
        <v>293</v>
      </c>
      <c r="S29" s="213"/>
    </row>
    <row r="30">
      <c r="A30" s="67" t="str">
        <f t="shared" si="1"/>
        <v>Sun</v>
      </c>
      <c r="B30" s="69">
        <v>43373.0</v>
      </c>
      <c r="D30" s="176">
        <v>255.46</v>
      </c>
      <c r="E30" s="4" t="s">
        <v>222</v>
      </c>
      <c r="F30" s="4" t="s">
        <v>1006</v>
      </c>
      <c r="I30" s="4" t="s">
        <v>395</v>
      </c>
      <c r="K30" s="4"/>
      <c r="L30" s="4" t="s">
        <v>293</v>
      </c>
      <c r="S30" s="213"/>
    </row>
    <row r="31">
      <c r="A31" s="67" t="str">
        <f t="shared" si="1"/>
        <v>Mon</v>
      </c>
      <c r="B31" s="69">
        <v>43374.0</v>
      </c>
      <c r="D31" s="171"/>
      <c r="H31" s="4" t="s">
        <v>1006</v>
      </c>
      <c r="S31" s="213"/>
    </row>
    <row r="32">
      <c r="A32" s="67" t="str">
        <f t="shared" si="1"/>
        <v>Tue</v>
      </c>
      <c r="B32" s="69">
        <v>43375.0</v>
      </c>
      <c r="D32" s="175">
        <v>245.73333333333335</v>
      </c>
      <c r="E32" s="4" t="s">
        <v>222</v>
      </c>
      <c r="F32" s="4" t="s">
        <v>1008</v>
      </c>
      <c r="G32" s="4" t="s">
        <v>1008</v>
      </c>
      <c r="I32" s="4" t="s">
        <v>395</v>
      </c>
      <c r="K32" s="4"/>
      <c r="L32" s="4" t="s">
        <v>293</v>
      </c>
      <c r="S32" s="213"/>
    </row>
    <row r="33">
      <c r="A33" s="67" t="str">
        <f t="shared" si="1"/>
        <v>Wed</v>
      </c>
      <c r="B33" s="69">
        <v>43376.0</v>
      </c>
      <c r="D33" s="175">
        <v>245.73333333333335</v>
      </c>
      <c r="E33" s="4" t="s">
        <v>222</v>
      </c>
      <c r="F33" s="4" t="s">
        <v>1008</v>
      </c>
      <c r="I33" s="4" t="s">
        <v>395</v>
      </c>
      <c r="K33" s="4"/>
      <c r="L33" s="4" t="s">
        <v>293</v>
      </c>
      <c r="S33" s="213"/>
    </row>
    <row r="34">
      <c r="A34" s="67" t="str">
        <f t="shared" si="1"/>
        <v>Thu</v>
      </c>
      <c r="B34" s="69">
        <v>43377.0</v>
      </c>
      <c r="D34" s="175">
        <v>245.73333333333335</v>
      </c>
      <c r="E34" s="4" t="s">
        <v>222</v>
      </c>
      <c r="F34" s="4" t="s">
        <v>1008</v>
      </c>
      <c r="I34" s="4" t="s">
        <v>395</v>
      </c>
      <c r="K34" s="4"/>
      <c r="L34" s="4" t="s">
        <v>293</v>
      </c>
      <c r="S34" s="213"/>
    </row>
    <row r="35">
      <c r="A35" s="67" t="str">
        <f t="shared" si="1"/>
        <v>Fri</v>
      </c>
      <c r="B35" s="69">
        <v>43378.0</v>
      </c>
      <c r="D35" s="175">
        <v>245.73333333333335</v>
      </c>
      <c r="E35" s="4" t="s">
        <v>222</v>
      </c>
      <c r="F35" s="4" t="s">
        <v>1008</v>
      </c>
      <c r="I35" s="4" t="s">
        <v>395</v>
      </c>
      <c r="K35" s="4"/>
      <c r="L35" s="4" t="s">
        <v>293</v>
      </c>
      <c r="S35" s="213"/>
    </row>
    <row r="36">
      <c r="A36" s="67" t="str">
        <f t="shared" si="1"/>
        <v>Sat</v>
      </c>
      <c r="B36" s="69">
        <v>43379.0</v>
      </c>
      <c r="D36" s="175">
        <v>245.73333333333335</v>
      </c>
      <c r="E36" s="4" t="s">
        <v>222</v>
      </c>
      <c r="F36" s="4" t="s">
        <v>1008</v>
      </c>
      <c r="I36" s="4" t="s">
        <v>395</v>
      </c>
      <c r="K36" s="4"/>
      <c r="L36" s="4" t="s">
        <v>293</v>
      </c>
      <c r="S36" s="213"/>
    </row>
    <row r="37">
      <c r="A37" s="67" t="str">
        <f t="shared" si="1"/>
        <v>Sun</v>
      </c>
      <c r="B37" s="69">
        <v>43380.0</v>
      </c>
      <c r="D37" s="175">
        <v>245.73333333333335</v>
      </c>
      <c r="E37" s="4" t="s">
        <v>222</v>
      </c>
      <c r="F37" s="4" t="s">
        <v>1008</v>
      </c>
      <c r="I37" s="4" t="s">
        <v>395</v>
      </c>
      <c r="K37" s="4"/>
      <c r="L37" s="4" t="s">
        <v>293</v>
      </c>
      <c r="S37" s="213"/>
    </row>
    <row r="38">
      <c r="A38" s="67" t="str">
        <f t="shared" si="1"/>
        <v>Mon</v>
      </c>
      <c r="B38" s="69">
        <v>43381.0</v>
      </c>
      <c r="D38" s="176">
        <v>184.29999999999998</v>
      </c>
      <c r="E38" s="4" t="s">
        <v>222</v>
      </c>
      <c r="F38" s="4" t="s">
        <v>1010</v>
      </c>
      <c r="G38" s="4" t="s">
        <v>1010</v>
      </c>
      <c r="H38" s="4" t="s">
        <v>1008</v>
      </c>
      <c r="I38" s="4" t="s">
        <v>395</v>
      </c>
      <c r="K38" s="4"/>
      <c r="L38" s="4" t="s">
        <v>293</v>
      </c>
      <c r="S38" s="213"/>
    </row>
    <row r="39">
      <c r="A39" s="67" t="str">
        <f t="shared" si="1"/>
        <v>Tue</v>
      </c>
      <c r="B39" s="69">
        <v>43382.0</v>
      </c>
      <c r="D39" s="176">
        <v>184.29999999999998</v>
      </c>
      <c r="E39" s="4" t="s">
        <v>222</v>
      </c>
      <c r="F39" s="4" t="s">
        <v>1010</v>
      </c>
      <c r="I39" s="4" t="s">
        <v>395</v>
      </c>
      <c r="K39" s="4"/>
      <c r="L39" s="4" t="s">
        <v>293</v>
      </c>
      <c r="S39" s="213"/>
    </row>
    <row r="40">
      <c r="A40" s="67" t="str">
        <f t="shared" si="1"/>
        <v>Wed</v>
      </c>
      <c r="B40" s="69">
        <v>43383.0</v>
      </c>
      <c r="D40" s="176">
        <v>184.29999999999998</v>
      </c>
      <c r="E40" s="4" t="s">
        <v>222</v>
      </c>
      <c r="F40" s="4" t="s">
        <v>1010</v>
      </c>
      <c r="I40" s="4" t="s">
        <v>395</v>
      </c>
      <c r="K40" s="4"/>
      <c r="L40" s="4" t="s">
        <v>293</v>
      </c>
      <c r="S40" s="213"/>
    </row>
    <row r="41">
      <c r="A41" s="67" t="str">
        <f t="shared" si="1"/>
        <v>Thu</v>
      </c>
      <c r="B41" s="69">
        <v>43384.0</v>
      </c>
      <c r="D41" s="176">
        <v>175.0</v>
      </c>
      <c r="E41" s="4" t="s">
        <v>337</v>
      </c>
      <c r="F41" s="4" t="s">
        <v>1013</v>
      </c>
      <c r="G41" s="4" t="s">
        <v>1013</v>
      </c>
      <c r="H41" s="4" t="s">
        <v>1010</v>
      </c>
      <c r="I41" s="4" t="s">
        <v>395</v>
      </c>
      <c r="K41" s="4"/>
      <c r="L41" s="4" t="s">
        <v>293</v>
      </c>
      <c r="S41" s="213"/>
    </row>
    <row r="42">
      <c r="A42" s="67" t="str">
        <f t="shared" si="1"/>
        <v>Fri</v>
      </c>
      <c r="B42" s="69">
        <v>43385.0</v>
      </c>
      <c r="D42" s="175">
        <v>363.1066666666666</v>
      </c>
      <c r="E42" s="4" t="s">
        <v>222</v>
      </c>
      <c r="F42" s="4" t="s">
        <v>1014</v>
      </c>
      <c r="G42" s="4" t="s">
        <v>1014</v>
      </c>
      <c r="H42" s="4" t="s">
        <v>1013</v>
      </c>
      <c r="I42" s="4" t="s">
        <v>395</v>
      </c>
      <c r="K42" s="4"/>
      <c r="L42" s="4" t="s">
        <v>293</v>
      </c>
      <c r="S42" s="213"/>
    </row>
    <row r="43">
      <c r="A43" s="67" t="str">
        <f t="shared" si="1"/>
        <v>Sat</v>
      </c>
      <c r="B43" s="69">
        <v>43386.0</v>
      </c>
      <c r="D43" s="175">
        <v>363.1066666666666</v>
      </c>
      <c r="E43" s="4" t="s">
        <v>222</v>
      </c>
      <c r="F43" s="4" t="s">
        <v>1014</v>
      </c>
      <c r="I43" s="4" t="s">
        <v>395</v>
      </c>
      <c r="K43" s="4"/>
      <c r="L43" s="4" t="s">
        <v>293</v>
      </c>
      <c r="S43" s="213"/>
    </row>
    <row r="44">
      <c r="A44" s="67" t="str">
        <f t="shared" si="1"/>
        <v>Sun</v>
      </c>
      <c r="B44" s="69">
        <v>43387.0</v>
      </c>
      <c r="D44" s="175">
        <v>363.1066666666666</v>
      </c>
      <c r="E44" s="4" t="s">
        <v>222</v>
      </c>
      <c r="F44" s="4" t="s">
        <v>1014</v>
      </c>
      <c r="I44" s="4" t="s">
        <v>395</v>
      </c>
      <c r="K44" s="4"/>
      <c r="L44" s="4" t="s">
        <v>293</v>
      </c>
      <c r="S44" s="213"/>
    </row>
    <row r="45">
      <c r="A45" s="67" t="str">
        <f t="shared" si="1"/>
        <v>Mon</v>
      </c>
      <c r="B45" s="69">
        <v>43388.0</v>
      </c>
      <c r="D45" s="176">
        <v>194.0</v>
      </c>
      <c r="E45" s="4" t="s">
        <v>222</v>
      </c>
      <c r="F45" s="4" t="s">
        <v>1015</v>
      </c>
      <c r="H45" s="4" t="s">
        <v>1014</v>
      </c>
      <c r="I45" s="4" t="s">
        <v>395</v>
      </c>
      <c r="K45" s="4"/>
      <c r="L45" s="4" t="s">
        <v>293</v>
      </c>
      <c r="S45" s="213"/>
    </row>
    <row r="46">
      <c r="A46" s="67" t="str">
        <f t="shared" si="1"/>
        <v>Tue</v>
      </c>
      <c r="B46" s="69">
        <v>43389.0</v>
      </c>
      <c r="D46" s="176">
        <v>194.0</v>
      </c>
      <c r="E46" s="4" t="s">
        <v>222</v>
      </c>
      <c r="F46" s="4" t="s">
        <v>1016</v>
      </c>
      <c r="G46" s="4" t="s">
        <v>1016</v>
      </c>
      <c r="H46" s="4" t="s">
        <v>1015</v>
      </c>
      <c r="I46" s="4" t="s">
        <v>395</v>
      </c>
      <c r="K46" s="4"/>
      <c r="L46" s="4" t="s">
        <v>293</v>
      </c>
      <c r="S46" s="213"/>
    </row>
    <row r="47">
      <c r="A47" s="67" t="str">
        <f t="shared" si="1"/>
        <v>Wed</v>
      </c>
      <c r="B47" s="69">
        <v>43390.0</v>
      </c>
      <c r="D47" s="176">
        <v>194.0</v>
      </c>
      <c r="E47" s="4" t="s">
        <v>222</v>
      </c>
      <c r="F47" s="4" t="s">
        <v>1016</v>
      </c>
      <c r="I47" s="4" t="s">
        <v>395</v>
      </c>
      <c r="K47" s="4"/>
      <c r="L47" s="4" t="s">
        <v>293</v>
      </c>
      <c r="S47" s="213"/>
    </row>
    <row r="48">
      <c r="A48" s="67" t="str">
        <f t="shared" si="1"/>
        <v>Thu</v>
      </c>
      <c r="B48" s="69">
        <v>43391.0</v>
      </c>
      <c r="D48" s="176">
        <v>327.76</v>
      </c>
      <c r="E48" s="4" t="s">
        <v>222</v>
      </c>
      <c r="F48" s="4" t="s">
        <v>1017</v>
      </c>
      <c r="G48" s="4" t="s">
        <v>1017</v>
      </c>
      <c r="H48" s="4" t="s">
        <v>1016</v>
      </c>
      <c r="I48" s="4" t="s">
        <v>395</v>
      </c>
      <c r="K48" s="4"/>
      <c r="L48" s="4" t="s">
        <v>293</v>
      </c>
      <c r="S48" s="213"/>
    </row>
    <row r="49">
      <c r="A49" s="67" t="str">
        <f t="shared" si="1"/>
        <v>Fri</v>
      </c>
      <c r="B49" s="69">
        <v>43392.0</v>
      </c>
      <c r="D49" s="176">
        <v>327.76</v>
      </c>
      <c r="E49" s="4" t="s">
        <v>222</v>
      </c>
      <c r="F49" s="4" t="s">
        <v>1017</v>
      </c>
      <c r="I49" s="4" t="s">
        <v>395</v>
      </c>
      <c r="K49" s="4"/>
      <c r="L49" s="4" t="s">
        <v>293</v>
      </c>
      <c r="S49" s="213"/>
    </row>
    <row r="50">
      <c r="A50" s="67" t="str">
        <f t="shared" si="1"/>
        <v>Sat</v>
      </c>
      <c r="B50" s="69">
        <v>43393.0</v>
      </c>
      <c r="D50" s="171"/>
      <c r="H50" s="4" t="s">
        <v>1017</v>
      </c>
      <c r="S50" s="213"/>
    </row>
    <row r="51">
      <c r="A51" s="67" t="str">
        <f t="shared" si="1"/>
        <v>Sun</v>
      </c>
      <c r="B51" s="69">
        <v>43394.0</v>
      </c>
      <c r="D51" s="171"/>
      <c r="S51" s="213"/>
    </row>
    <row r="52">
      <c r="A52" s="67" t="str">
        <f t="shared" si="1"/>
        <v>Mon</v>
      </c>
      <c r="B52" s="69">
        <v>43395.0</v>
      </c>
      <c r="D52" s="176">
        <v>223.1</v>
      </c>
      <c r="E52" s="4" t="s">
        <v>222</v>
      </c>
      <c r="F52" s="4" t="s">
        <v>1021</v>
      </c>
      <c r="G52" s="4" t="s">
        <v>1021</v>
      </c>
      <c r="I52" s="4" t="s">
        <v>395</v>
      </c>
      <c r="K52" s="4"/>
      <c r="L52" s="4" t="s">
        <v>293</v>
      </c>
      <c r="S52" s="213"/>
    </row>
    <row r="53">
      <c r="A53" s="67" t="str">
        <f t="shared" si="1"/>
        <v>Tue</v>
      </c>
      <c r="B53" s="69">
        <v>43396.0</v>
      </c>
      <c r="D53" s="176">
        <v>223.1</v>
      </c>
      <c r="E53" s="4" t="s">
        <v>222</v>
      </c>
      <c r="F53" s="4" t="s">
        <v>1021</v>
      </c>
      <c r="I53" s="4" t="s">
        <v>395</v>
      </c>
      <c r="K53" s="4"/>
      <c r="L53" s="4" t="s">
        <v>293</v>
      </c>
      <c r="S53" s="213"/>
    </row>
    <row r="54">
      <c r="A54" s="67" t="str">
        <f t="shared" si="1"/>
        <v>Wed</v>
      </c>
      <c r="B54" s="69">
        <v>43397.0</v>
      </c>
      <c r="D54" s="176">
        <v>223.1</v>
      </c>
      <c r="E54" s="4" t="s">
        <v>222</v>
      </c>
      <c r="F54" s="4" t="s">
        <v>1021</v>
      </c>
      <c r="I54" s="4" t="s">
        <v>395</v>
      </c>
      <c r="K54" s="4"/>
      <c r="L54" s="4" t="s">
        <v>293</v>
      </c>
      <c r="S54" s="213"/>
    </row>
    <row r="55">
      <c r="A55" s="67" t="str">
        <f t="shared" si="1"/>
        <v>Thu</v>
      </c>
      <c r="B55" s="69">
        <v>43398.0</v>
      </c>
      <c r="D55" s="176">
        <v>223.1</v>
      </c>
      <c r="E55" s="4" t="s">
        <v>222</v>
      </c>
      <c r="F55" s="4" t="s">
        <v>1021</v>
      </c>
      <c r="I55" s="4" t="s">
        <v>395</v>
      </c>
      <c r="K55" s="4"/>
      <c r="L55" s="4" t="s">
        <v>293</v>
      </c>
      <c r="S55" s="213"/>
    </row>
    <row r="56">
      <c r="A56" s="67" t="str">
        <f t="shared" si="1"/>
        <v>Fri</v>
      </c>
      <c r="B56" s="69">
        <v>43399.0</v>
      </c>
      <c r="D56" s="172">
        <v>200.0</v>
      </c>
      <c r="E56" s="4" t="s">
        <v>337</v>
      </c>
      <c r="F56" s="4" t="s">
        <v>1023</v>
      </c>
      <c r="G56" s="4" t="s">
        <v>1023</v>
      </c>
      <c r="H56" s="4" t="s">
        <v>1021</v>
      </c>
      <c r="I56" s="4" t="s">
        <v>395</v>
      </c>
      <c r="K56" s="4"/>
      <c r="L56" s="4" t="s">
        <v>293</v>
      </c>
      <c r="S56" s="213"/>
    </row>
    <row r="57">
      <c r="A57" s="67" t="str">
        <f t="shared" si="1"/>
        <v>Sat</v>
      </c>
      <c r="B57" s="69">
        <v>43400.0</v>
      </c>
      <c r="D57" s="172">
        <v>200.0</v>
      </c>
      <c r="E57" s="4" t="s">
        <v>337</v>
      </c>
      <c r="F57" s="4" t="s">
        <v>1023</v>
      </c>
      <c r="I57" s="4" t="s">
        <v>395</v>
      </c>
      <c r="K57" s="4"/>
      <c r="L57" s="4" t="s">
        <v>293</v>
      </c>
      <c r="S57" s="213"/>
    </row>
    <row r="58">
      <c r="A58" s="67" t="str">
        <f t="shared" si="1"/>
        <v>Sun</v>
      </c>
      <c r="B58" s="69">
        <v>43401.0</v>
      </c>
      <c r="D58" s="172">
        <v>200.0</v>
      </c>
      <c r="E58" s="4" t="s">
        <v>337</v>
      </c>
      <c r="F58" s="4" t="s">
        <v>1023</v>
      </c>
      <c r="I58" s="4" t="s">
        <v>395</v>
      </c>
      <c r="K58" s="4"/>
      <c r="L58" s="4" t="s">
        <v>293</v>
      </c>
      <c r="S58" s="213"/>
    </row>
    <row r="59">
      <c r="A59" s="67" t="str">
        <f t="shared" si="1"/>
        <v>Mon</v>
      </c>
      <c r="B59" s="69">
        <v>43402.0</v>
      </c>
      <c r="D59" s="172">
        <v>200.0</v>
      </c>
      <c r="E59" s="4" t="s">
        <v>337</v>
      </c>
      <c r="F59" s="4" t="s">
        <v>1023</v>
      </c>
      <c r="I59" s="4" t="s">
        <v>395</v>
      </c>
      <c r="K59" s="4"/>
      <c r="L59" s="4" t="s">
        <v>293</v>
      </c>
      <c r="S59" s="213"/>
    </row>
    <row r="60">
      <c r="A60" s="67" t="str">
        <f t="shared" si="1"/>
        <v>Tue</v>
      </c>
      <c r="B60" s="69">
        <v>43403.0</v>
      </c>
      <c r="D60" s="175">
        <v>366.175</v>
      </c>
      <c r="E60" s="4" t="s">
        <v>222</v>
      </c>
      <c r="F60" s="4" t="s">
        <v>1023</v>
      </c>
      <c r="I60" s="4" t="s">
        <v>395</v>
      </c>
      <c r="K60" s="4"/>
      <c r="L60" s="4" t="s">
        <v>293</v>
      </c>
      <c r="S60" s="213"/>
    </row>
    <row r="61">
      <c r="A61" s="67" t="str">
        <f t="shared" si="1"/>
        <v>Wed</v>
      </c>
      <c r="B61" s="69">
        <v>43404.0</v>
      </c>
      <c r="D61" s="175">
        <v>366.175</v>
      </c>
      <c r="E61" s="4" t="s">
        <v>222</v>
      </c>
      <c r="F61" s="4" t="s">
        <v>1023</v>
      </c>
      <c r="I61" s="4" t="s">
        <v>395</v>
      </c>
      <c r="K61" s="4"/>
      <c r="L61" s="4" t="s">
        <v>293</v>
      </c>
      <c r="S61" s="213"/>
    </row>
    <row r="62">
      <c r="A62" s="67" t="str">
        <f t="shared" si="1"/>
        <v>Thu</v>
      </c>
      <c r="B62" s="69">
        <v>43405.0</v>
      </c>
      <c r="D62" s="175">
        <v>366.175</v>
      </c>
      <c r="E62" s="4" t="s">
        <v>222</v>
      </c>
      <c r="F62" s="4" t="s">
        <v>1023</v>
      </c>
      <c r="I62" s="4" t="s">
        <v>395</v>
      </c>
      <c r="K62" s="4"/>
      <c r="L62" s="4" t="s">
        <v>293</v>
      </c>
      <c r="S62" s="213"/>
    </row>
    <row r="63">
      <c r="A63" s="67" t="str">
        <f t="shared" si="1"/>
        <v>Fri</v>
      </c>
      <c r="B63" s="69">
        <v>43406.0</v>
      </c>
      <c r="D63" s="175">
        <v>366.175</v>
      </c>
      <c r="E63" s="4" t="s">
        <v>222</v>
      </c>
      <c r="F63" s="4" t="s">
        <v>1023</v>
      </c>
      <c r="I63" s="4" t="s">
        <v>395</v>
      </c>
      <c r="K63" s="4"/>
      <c r="L63" s="4" t="s">
        <v>293</v>
      </c>
      <c r="S63" s="213"/>
    </row>
    <row r="64">
      <c r="A64" s="67" t="str">
        <f t="shared" si="1"/>
        <v>Sat</v>
      </c>
      <c r="B64" s="69">
        <v>43407.0</v>
      </c>
      <c r="D64" s="171"/>
      <c r="H64" s="4" t="s">
        <v>1023</v>
      </c>
      <c r="S64" s="213"/>
    </row>
    <row r="65">
      <c r="A65" s="67" t="str">
        <f t="shared" si="1"/>
        <v>Sun</v>
      </c>
      <c r="B65" s="69">
        <v>43408.0</v>
      </c>
      <c r="D65" s="171"/>
      <c r="S65" s="213"/>
    </row>
    <row r="66">
      <c r="A66" s="67" t="str">
        <f t="shared" si="1"/>
        <v>Mon</v>
      </c>
      <c r="B66" s="69">
        <v>43409.0</v>
      </c>
      <c r="D66" s="171"/>
      <c r="S66" s="213"/>
    </row>
    <row r="67">
      <c r="A67" s="67" t="str">
        <f t="shared" si="1"/>
        <v>Tue</v>
      </c>
      <c r="B67" s="69">
        <v>43410.0</v>
      </c>
      <c r="D67" s="171"/>
      <c r="S67" s="213"/>
    </row>
    <row r="68">
      <c r="A68" s="67" t="str">
        <f t="shared" si="1"/>
        <v>Wed</v>
      </c>
      <c r="B68" s="69">
        <v>43411.0</v>
      </c>
      <c r="D68" s="176">
        <v>242.5</v>
      </c>
      <c r="E68" s="4" t="s">
        <v>222</v>
      </c>
      <c r="F68" s="4" t="s">
        <v>1026</v>
      </c>
      <c r="G68" s="4" t="s">
        <v>1026</v>
      </c>
      <c r="I68" s="4" t="s">
        <v>395</v>
      </c>
      <c r="K68" s="4"/>
      <c r="L68" s="4" t="s">
        <v>293</v>
      </c>
      <c r="S68" s="213"/>
    </row>
    <row r="69">
      <c r="A69" s="67" t="str">
        <f t="shared" si="1"/>
        <v>Thu</v>
      </c>
      <c r="B69" s="69">
        <v>43412.0</v>
      </c>
      <c r="D69" s="176">
        <v>242.5</v>
      </c>
      <c r="E69" s="4" t="s">
        <v>222</v>
      </c>
      <c r="F69" s="4" t="s">
        <v>1026</v>
      </c>
      <c r="I69" s="4" t="s">
        <v>395</v>
      </c>
      <c r="K69" s="4"/>
      <c r="L69" s="4" t="s">
        <v>293</v>
      </c>
      <c r="S69" s="213"/>
    </row>
    <row r="70">
      <c r="A70" s="67" t="str">
        <f t="shared" si="1"/>
        <v>Fri</v>
      </c>
      <c r="B70" s="69">
        <v>43413.0</v>
      </c>
      <c r="D70" s="176">
        <v>242.5</v>
      </c>
      <c r="E70" s="4" t="s">
        <v>222</v>
      </c>
      <c r="F70" s="4" t="s">
        <v>1026</v>
      </c>
      <c r="I70" s="4" t="s">
        <v>395</v>
      </c>
      <c r="K70" s="4"/>
      <c r="L70" s="4" t="s">
        <v>293</v>
      </c>
      <c r="S70" s="213"/>
    </row>
    <row r="71">
      <c r="A71" s="67" t="str">
        <f t="shared" si="1"/>
        <v>Sat</v>
      </c>
      <c r="B71" s="69">
        <v>43414.0</v>
      </c>
      <c r="D71" s="171"/>
      <c r="H71" s="4" t="s">
        <v>1026</v>
      </c>
      <c r="S71" s="213"/>
    </row>
    <row r="72">
      <c r="A72" s="67" t="str">
        <f t="shared" si="1"/>
        <v>Sun</v>
      </c>
      <c r="B72" s="69">
        <v>43415.0</v>
      </c>
      <c r="D72" s="176">
        <v>194.0</v>
      </c>
      <c r="E72" s="4" t="s">
        <v>222</v>
      </c>
      <c r="F72" s="4" t="s">
        <v>1027</v>
      </c>
      <c r="G72" s="4" t="s">
        <v>1027</v>
      </c>
      <c r="I72" s="4" t="s">
        <v>395</v>
      </c>
      <c r="K72" s="4"/>
      <c r="L72" s="4" t="s">
        <v>293</v>
      </c>
      <c r="S72" s="213"/>
    </row>
    <row r="73">
      <c r="A73" s="67" t="str">
        <f t="shared" si="1"/>
        <v>Mon</v>
      </c>
      <c r="B73" s="69">
        <v>43416.0</v>
      </c>
      <c r="D73" s="176">
        <v>194.0</v>
      </c>
      <c r="E73" s="4" t="s">
        <v>222</v>
      </c>
      <c r="F73" s="4" t="s">
        <v>1027</v>
      </c>
      <c r="I73" s="4" t="s">
        <v>395</v>
      </c>
      <c r="K73" s="4"/>
      <c r="L73" s="4" t="s">
        <v>293</v>
      </c>
      <c r="S73" s="213"/>
    </row>
    <row r="74">
      <c r="A74" s="67" t="str">
        <f t="shared" si="1"/>
        <v>Tue</v>
      </c>
      <c r="B74" s="69">
        <v>43417.0</v>
      </c>
      <c r="D74" s="171"/>
      <c r="H74" s="4" t="s">
        <v>1027</v>
      </c>
      <c r="S74" s="213"/>
    </row>
    <row r="75">
      <c r="A75" s="67" t="str">
        <f t="shared" si="1"/>
        <v>Wed</v>
      </c>
      <c r="B75" s="69">
        <v>43418.0</v>
      </c>
      <c r="D75" s="176">
        <v>400.0</v>
      </c>
      <c r="E75" s="4" t="s">
        <v>337</v>
      </c>
      <c r="F75" s="4" t="s">
        <v>1028</v>
      </c>
      <c r="G75" s="4" t="s">
        <v>1028</v>
      </c>
      <c r="I75" s="4" t="s">
        <v>395</v>
      </c>
      <c r="J75" s="4" t="s">
        <v>1029</v>
      </c>
      <c r="K75" s="4"/>
      <c r="L75" s="4" t="s">
        <v>293</v>
      </c>
      <c r="S75" s="213"/>
    </row>
    <row r="76">
      <c r="A76" s="67" t="str">
        <f t="shared" si="1"/>
        <v>Thu</v>
      </c>
      <c r="B76" s="69">
        <v>43419.0</v>
      </c>
      <c r="D76" s="176">
        <v>400.0</v>
      </c>
      <c r="E76" s="4" t="s">
        <v>337</v>
      </c>
      <c r="F76" s="4" t="s">
        <v>1028</v>
      </c>
      <c r="I76" s="4" t="s">
        <v>395</v>
      </c>
      <c r="J76" s="4" t="s">
        <v>1029</v>
      </c>
      <c r="K76" s="4"/>
      <c r="L76" s="4" t="s">
        <v>293</v>
      </c>
      <c r="S76" s="213"/>
    </row>
    <row r="77">
      <c r="A77" s="67" t="str">
        <f t="shared" si="1"/>
        <v>Fri</v>
      </c>
      <c r="B77" s="69">
        <v>43420.0</v>
      </c>
      <c r="D77" s="176">
        <v>400.0</v>
      </c>
      <c r="E77" s="4" t="s">
        <v>337</v>
      </c>
      <c r="F77" s="4" t="s">
        <v>1028</v>
      </c>
      <c r="I77" s="4" t="s">
        <v>395</v>
      </c>
      <c r="J77" s="4" t="s">
        <v>1029</v>
      </c>
      <c r="K77" s="4"/>
      <c r="L77" s="4" t="s">
        <v>293</v>
      </c>
      <c r="S77" s="213"/>
    </row>
    <row r="78">
      <c r="A78" s="67" t="str">
        <f t="shared" si="1"/>
        <v>Sat</v>
      </c>
      <c r="B78" s="69">
        <v>43421.0</v>
      </c>
      <c r="D78" s="176">
        <v>400.0</v>
      </c>
      <c r="E78" s="4" t="s">
        <v>337</v>
      </c>
      <c r="F78" s="4" t="s">
        <v>1028</v>
      </c>
      <c r="I78" s="4" t="s">
        <v>395</v>
      </c>
      <c r="J78" s="4" t="s">
        <v>1029</v>
      </c>
      <c r="K78" s="4"/>
      <c r="L78" s="4" t="s">
        <v>293</v>
      </c>
      <c r="S78" s="213"/>
    </row>
    <row r="79">
      <c r="A79" s="67" t="str">
        <f t="shared" si="1"/>
        <v>Sun</v>
      </c>
      <c r="B79" s="69">
        <v>43422.0</v>
      </c>
      <c r="D79" s="176">
        <v>400.0</v>
      </c>
      <c r="E79" s="4" t="s">
        <v>337</v>
      </c>
      <c r="F79" s="4" t="s">
        <v>1028</v>
      </c>
      <c r="I79" s="4" t="s">
        <v>395</v>
      </c>
      <c r="J79" s="4" t="s">
        <v>1029</v>
      </c>
      <c r="K79" s="4"/>
      <c r="L79" s="4" t="s">
        <v>293</v>
      </c>
      <c r="S79" s="213"/>
    </row>
    <row r="80">
      <c r="A80" s="67" t="str">
        <f t="shared" si="1"/>
        <v>Mon</v>
      </c>
      <c r="B80" s="69">
        <v>43423.0</v>
      </c>
      <c r="D80" s="172">
        <v>242.5</v>
      </c>
      <c r="E80" s="4" t="s">
        <v>222</v>
      </c>
      <c r="F80" s="4" t="s">
        <v>819</v>
      </c>
      <c r="H80" s="4" t="s">
        <v>1028</v>
      </c>
      <c r="K80" s="4"/>
      <c r="L80" s="4" t="s">
        <v>293</v>
      </c>
      <c r="S80" s="213"/>
    </row>
    <row r="81">
      <c r="A81" s="67" t="str">
        <f t="shared" si="1"/>
        <v>Tue</v>
      </c>
      <c r="B81" s="69">
        <v>43424.0</v>
      </c>
      <c r="D81" s="172">
        <v>242.5</v>
      </c>
      <c r="E81" s="4" t="s">
        <v>222</v>
      </c>
      <c r="F81" s="4" t="s">
        <v>819</v>
      </c>
      <c r="K81" s="4"/>
      <c r="L81" s="4" t="s">
        <v>293</v>
      </c>
      <c r="S81" s="213"/>
    </row>
    <row r="82">
      <c r="A82" s="67" t="str">
        <f t="shared" si="1"/>
        <v>Wed</v>
      </c>
      <c r="B82" s="69">
        <v>43425.0</v>
      </c>
      <c r="D82" s="172">
        <v>242.5</v>
      </c>
      <c r="E82" s="4" t="s">
        <v>222</v>
      </c>
      <c r="F82" s="4" t="s">
        <v>819</v>
      </c>
      <c r="K82" s="4"/>
      <c r="L82" s="4" t="s">
        <v>293</v>
      </c>
      <c r="S82" s="213"/>
    </row>
    <row r="83">
      <c r="A83" s="67" t="str">
        <f t="shared" si="1"/>
        <v>Thu</v>
      </c>
      <c r="B83" s="69">
        <v>43426.0</v>
      </c>
      <c r="D83" s="172">
        <v>242.5</v>
      </c>
      <c r="E83" s="4" t="s">
        <v>222</v>
      </c>
      <c r="F83" s="4" t="s">
        <v>819</v>
      </c>
      <c r="K83" s="4"/>
      <c r="L83" s="4" t="s">
        <v>293</v>
      </c>
      <c r="S83" s="213"/>
    </row>
    <row r="84">
      <c r="A84" s="67" t="str">
        <f t="shared" si="1"/>
        <v>Fri</v>
      </c>
      <c r="B84" s="69">
        <v>43427.0</v>
      </c>
      <c r="D84" s="175">
        <v>307.1666666666667</v>
      </c>
      <c r="E84" s="4" t="s">
        <v>222</v>
      </c>
      <c r="F84" s="4" t="s">
        <v>1031</v>
      </c>
      <c r="G84" s="4" t="s">
        <v>1031</v>
      </c>
      <c r="H84" s="4" t="s">
        <v>819</v>
      </c>
      <c r="I84" s="4" t="s">
        <v>395</v>
      </c>
      <c r="K84" s="4"/>
      <c r="L84" s="4" t="s">
        <v>293</v>
      </c>
      <c r="S84" s="213"/>
    </row>
    <row r="85">
      <c r="A85" s="67" t="str">
        <f t="shared" si="1"/>
        <v>Sat</v>
      </c>
      <c r="B85" s="69">
        <v>43428.0</v>
      </c>
      <c r="D85" s="175">
        <v>307.1666666666667</v>
      </c>
      <c r="E85" s="4" t="s">
        <v>222</v>
      </c>
      <c r="F85" s="4" t="s">
        <v>1031</v>
      </c>
      <c r="I85" s="4" t="s">
        <v>395</v>
      </c>
      <c r="K85" s="4"/>
      <c r="L85" s="4" t="s">
        <v>293</v>
      </c>
      <c r="S85" s="213"/>
    </row>
    <row r="86">
      <c r="A86" s="67" t="str">
        <f t="shared" si="1"/>
        <v>Sun</v>
      </c>
      <c r="B86" s="69">
        <v>43429.0</v>
      </c>
      <c r="D86" s="175">
        <v>307.1666666666667</v>
      </c>
      <c r="E86" s="4" t="s">
        <v>222</v>
      </c>
      <c r="F86" s="4" t="s">
        <v>1031</v>
      </c>
      <c r="I86" s="4" t="s">
        <v>395</v>
      </c>
      <c r="K86" s="4"/>
      <c r="L86" s="4" t="s">
        <v>293</v>
      </c>
      <c r="S86" s="213"/>
    </row>
    <row r="87">
      <c r="A87" s="67" t="str">
        <f t="shared" si="1"/>
        <v>Mon</v>
      </c>
      <c r="B87" s="69">
        <v>43430.0</v>
      </c>
      <c r="D87" s="176">
        <v>242.5</v>
      </c>
      <c r="E87" s="4" t="s">
        <v>222</v>
      </c>
      <c r="F87" s="4" t="s">
        <v>1032</v>
      </c>
      <c r="G87" s="4" t="s">
        <v>1032</v>
      </c>
      <c r="H87" s="4" t="s">
        <v>1031</v>
      </c>
      <c r="I87" s="4" t="s">
        <v>395</v>
      </c>
      <c r="K87" s="4"/>
      <c r="L87" s="4" t="s">
        <v>293</v>
      </c>
      <c r="S87" s="213"/>
    </row>
    <row r="88">
      <c r="A88" s="67" t="str">
        <f t="shared" si="1"/>
        <v>Tue</v>
      </c>
      <c r="B88" s="69">
        <v>43431.0</v>
      </c>
      <c r="D88" s="176">
        <v>223.1</v>
      </c>
      <c r="E88" s="4" t="s">
        <v>222</v>
      </c>
      <c r="F88" s="4" t="s">
        <v>1033</v>
      </c>
      <c r="G88" s="4" t="s">
        <v>1033</v>
      </c>
      <c r="H88" s="4" t="s">
        <v>1032</v>
      </c>
      <c r="I88" s="4" t="s">
        <v>395</v>
      </c>
      <c r="K88" s="4"/>
      <c r="L88" s="4" t="s">
        <v>293</v>
      </c>
      <c r="S88" s="213"/>
    </row>
    <row r="89">
      <c r="A89" s="67" t="str">
        <f t="shared" si="1"/>
        <v>Wed</v>
      </c>
      <c r="B89" s="69">
        <v>43432.0</v>
      </c>
      <c r="D89" s="176">
        <v>223.1</v>
      </c>
      <c r="E89" s="4" t="s">
        <v>222</v>
      </c>
      <c r="F89" s="4" t="s">
        <v>1033</v>
      </c>
      <c r="I89" s="4" t="s">
        <v>395</v>
      </c>
      <c r="K89" s="4"/>
      <c r="L89" s="4" t="s">
        <v>293</v>
      </c>
      <c r="S89" s="213"/>
    </row>
    <row r="90">
      <c r="A90" s="67" t="str">
        <f t="shared" si="1"/>
        <v>Thu</v>
      </c>
      <c r="B90" s="69">
        <v>43433.0</v>
      </c>
      <c r="D90" s="171"/>
      <c r="H90" s="4" t="s">
        <v>1033</v>
      </c>
      <c r="S90" s="213"/>
    </row>
    <row r="91">
      <c r="A91" s="67" t="str">
        <f t="shared" si="1"/>
        <v>Fri</v>
      </c>
      <c r="B91" s="69">
        <v>43434.0</v>
      </c>
      <c r="D91" s="176">
        <v>339.5</v>
      </c>
      <c r="E91" s="4" t="s">
        <v>222</v>
      </c>
      <c r="F91" s="4" t="s">
        <v>1034</v>
      </c>
      <c r="G91" s="4" t="s">
        <v>1034</v>
      </c>
      <c r="I91" s="4" t="s">
        <v>395</v>
      </c>
      <c r="K91" s="4"/>
      <c r="L91" s="4" t="s">
        <v>293</v>
      </c>
      <c r="S91" s="213"/>
    </row>
    <row r="92">
      <c r="A92" s="67" t="str">
        <f t="shared" si="1"/>
        <v>Sat</v>
      </c>
      <c r="B92" s="69">
        <v>43435.0</v>
      </c>
      <c r="D92" s="176">
        <v>339.5</v>
      </c>
      <c r="E92" s="4" t="s">
        <v>222</v>
      </c>
      <c r="F92" s="4" t="s">
        <v>1034</v>
      </c>
      <c r="I92" s="4" t="s">
        <v>395</v>
      </c>
      <c r="K92" s="4"/>
      <c r="L92" s="4" t="s">
        <v>293</v>
      </c>
      <c r="S92" s="213"/>
    </row>
    <row r="93">
      <c r="A93" s="67" t="str">
        <f t="shared" si="1"/>
        <v>Sun</v>
      </c>
      <c r="B93" s="69">
        <v>43436.0</v>
      </c>
      <c r="D93" s="176">
        <v>310.4</v>
      </c>
      <c r="E93" s="4" t="s">
        <v>222</v>
      </c>
      <c r="F93" s="4" t="s">
        <v>1037</v>
      </c>
      <c r="G93" s="4" t="s">
        <v>1037</v>
      </c>
      <c r="H93" s="4" t="s">
        <v>1034</v>
      </c>
      <c r="I93" s="4" t="s">
        <v>395</v>
      </c>
      <c r="J93" s="4" t="s">
        <v>1038</v>
      </c>
      <c r="K93" s="4"/>
      <c r="L93" s="4" t="s">
        <v>293</v>
      </c>
      <c r="S93" s="213"/>
    </row>
    <row r="94">
      <c r="A94" s="67" t="str">
        <f t="shared" si="1"/>
        <v>Mon</v>
      </c>
      <c r="B94" s="69">
        <v>43437.0</v>
      </c>
      <c r="D94" s="176">
        <v>310.4</v>
      </c>
      <c r="E94" s="4" t="s">
        <v>222</v>
      </c>
      <c r="F94" s="4" t="s">
        <v>1037</v>
      </c>
      <c r="I94" s="4" t="s">
        <v>395</v>
      </c>
      <c r="J94" s="4" t="s">
        <v>1038</v>
      </c>
      <c r="K94" s="4"/>
      <c r="L94" s="4" t="s">
        <v>293</v>
      </c>
      <c r="S94" s="213"/>
    </row>
    <row r="95">
      <c r="A95" s="67" t="str">
        <f t="shared" si="1"/>
        <v>Tue</v>
      </c>
      <c r="B95" s="69">
        <v>43438.0</v>
      </c>
      <c r="D95" s="176">
        <v>310.4</v>
      </c>
      <c r="E95" s="4" t="s">
        <v>222</v>
      </c>
      <c r="F95" s="4" t="s">
        <v>1037</v>
      </c>
      <c r="I95" s="4" t="s">
        <v>395</v>
      </c>
      <c r="J95" s="4" t="s">
        <v>1038</v>
      </c>
      <c r="K95" s="4"/>
      <c r="L95" s="4" t="s">
        <v>293</v>
      </c>
      <c r="S95" s="213"/>
    </row>
    <row r="96">
      <c r="A96" s="67" t="str">
        <f t="shared" si="1"/>
        <v>Wed</v>
      </c>
      <c r="B96" s="69">
        <v>43439.0</v>
      </c>
      <c r="D96" s="176">
        <v>310.4</v>
      </c>
      <c r="E96" s="4" t="s">
        <v>222</v>
      </c>
      <c r="F96" s="4" t="s">
        <v>1037</v>
      </c>
      <c r="I96" s="4" t="s">
        <v>395</v>
      </c>
      <c r="J96" s="4" t="s">
        <v>1038</v>
      </c>
      <c r="K96" s="4"/>
      <c r="L96" s="4" t="s">
        <v>293</v>
      </c>
      <c r="S96" s="213"/>
    </row>
    <row r="97">
      <c r="A97" s="67" t="str">
        <f t="shared" si="1"/>
        <v>Thu</v>
      </c>
      <c r="B97" s="69">
        <v>43440.0</v>
      </c>
      <c r="D97" s="175">
        <v>346.42857142857144</v>
      </c>
      <c r="E97" s="4" t="s">
        <v>222</v>
      </c>
      <c r="F97" s="4" t="s">
        <v>1039</v>
      </c>
      <c r="G97" s="4" t="s">
        <v>1039</v>
      </c>
      <c r="H97" s="4" t="s">
        <v>1037</v>
      </c>
      <c r="I97" s="4" t="s">
        <v>395</v>
      </c>
      <c r="K97" s="4"/>
      <c r="L97" s="4" t="s">
        <v>293</v>
      </c>
      <c r="S97" s="213"/>
    </row>
    <row r="98">
      <c r="A98" s="67" t="str">
        <f t="shared" si="1"/>
        <v>Fri</v>
      </c>
      <c r="B98" s="69">
        <v>43441.0</v>
      </c>
      <c r="D98" s="175">
        <v>346.42857142857144</v>
      </c>
      <c r="E98" s="4" t="s">
        <v>222</v>
      </c>
      <c r="F98" s="4" t="s">
        <v>1039</v>
      </c>
      <c r="I98" s="4" t="s">
        <v>395</v>
      </c>
      <c r="K98" s="4"/>
      <c r="L98" s="4" t="s">
        <v>293</v>
      </c>
      <c r="S98" s="213"/>
    </row>
    <row r="99">
      <c r="A99" s="67" t="str">
        <f t="shared" si="1"/>
        <v>Sat</v>
      </c>
      <c r="B99" s="69">
        <v>43442.0</v>
      </c>
      <c r="D99" s="175">
        <v>346.42857142857144</v>
      </c>
      <c r="E99" s="4" t="s">
        <v>222</v>
      </c>
      <c r="F99" s="4" t="s">
        <v>1039</v>
      </c>
      <c r="I99" s="4" t="s">
        <v>395</v>
      </c>
      <c r="K99" s="4"/>
      <c r="L99" s="4" t="s">
        <v>293</v>
      </c>
      <c r="S99" s="213"/>
    </row>
    <row r="100">
      <c r="A100" s="67" t="str">
        <f t="shared" si="1"/>
        <v>Sun</v>
      </c>
      <c r="B100" s="69">
        <v>43443.0</v>
      </c>
      <c r="D100" s="175">
        <v>346.42857142857144</v>
      </c>
      <c r="E100" s="4" t="s">
        <v>222</v>
      </c>
      <c r="F100" s="4" t="s">
        <v>1039</v>
      </c>
      <c r="I100" s="4" t="s">
        <v>395</v>
      </c>
      <c r="K100" s="4"/>
      <c r="L100" s="4" t="s">
        <v>293</v>
      </c>
      <c r="S100" s="213"/>
    </row>
    <row r="101">
      <c r="A101" s="67" t="str">
        <f t="shared" si="1"/>
        <v>Mon</v>
      </c>
      <c r="B101" s="69">
        <v>43444.0</v>
      </c>
      <c r="D101" s="175">
        <v>346.42857142857144</v>
      </c>
      <c r="E101" s="4" t="s">
        <v>222</v>
      </c>
      <c r="F101" s="4" t="s">
        <v>1039</v>
      </c>
      <c r="I101" s="4" t="s">
        <v>395</v>
      </c>
      <c r="K101" s="4"/>
      <c r="L101" s="4" t="s">
        <v>293</v>
      </c>
      <c r="S101" s="213"/>
    </row>
    <row r="102">
      <c r="A102" s="67" t="str">
        <f t="shared" si="1"/>
        <v>Tue</v>
      </c>
      <c r="B102" s="69">
        <v>43445.0</v>
      </c>
      <c r="D102" s="175">
        <v>346.42857142857144</v>
      </c>
      <c r="E102" s="4" t="s">
        <v>222</v>
      </c>
      <c r="F102" s="4" t="s">
        <v>1039</v>
      </c>
      <c r="I102" s="4" t="s">
        <v>395</v>
      </c>
      <c r="K102" s="4"/>
      <c r="L102" s="4" t="s">
        <v>293</v>
      </c>
      <c r="S102" s="213"/>
    </row>
    <row r="103">
      <c r="A103" s="67" t="str">
        <f t="shared" si="1"/>
        <v>Wed</v>
      </c>
      <c r="B103" s="69">
        <v>43446.0</v>
      </c>
      <c r="D103" s="175">
        <v>346.42857142857144</v>
      </c>
      <c r="E103" s="4" t="s">
        <v>222</v>
      </c>
      <c r="F103" s="4" t="s">
        <v>1039</v>
      </c>
      <c r="I103" s="4" t="s">
        <v>395</v>
      </c>
      <c r="K103" s="4"/>
      <c r="L103" s="4" t="s">
        <v>293</v>
      </c>
      <c r="S103" s="213"/>
    </row>
    <row r="104">
      <c r="A104" s="67" t="str">
        <f t="shared" si="1"/>
        <v>Thu</v>
      </c>
      <c r="B104" s="69">
        <v>43447.0</v>
      </c>
      <c r="D104" s="176">
        <v>310.4</v>
      </c>
      <c r="E104" s="4" t="s">
        <v>222</v>
      </c>
      <c r="F104" s="4" t="s">
        <v>1041</v>
      </c>
      <c r="H104" s="4" t="s">
        <v>1039</v>
      </c>
      <c r="I104" s="4" t="s">
        <v>395</v>
      </c>
      <c r="K104" s="4"/>
      <c r="L104" s="4" t="s">
        <v>293</v>
      </c>
      <c r="S104" s="213"/>
    </row>
    <row r="105">
      <c r="A105" s="67" t="str">
        <f t="shared" si="1"/>
        <v>Fri</v>
      </c>
      <c r="B105" s="69">
        <v>43448.0</v>
      </c>
      <c r="D105" s="176">
        <v>436.5</v>
      </c>
      <c r="E105" s="4" t="s">
        <v>222</v>
      </c>
      <c r="F105" s="4" t="s">
        <v>1042</v>
      </c>
      <c r="G105" s="4" t="s">
        <v>1042</v>
      </c>
      <c r="H105" s="4" t="s">
        <v>1041</v>
      </c>
      <c r="I105" s="4" t="s">
        <v>395</v>
      </c>
      <c r="K105" s="4"/>
      <c r="L105" s="4" t="s">
        <v>293</v>
      </c>
      <c r="S105" s="213"/>
    </row>
    <row r="106">
      <c r="A106" s="67" t="str">
        <f t="shared" si="1"/>
        <v>Sat</v>
      </c>
      <c r="B106" s="69">
        <v>43449.0</v>
      </c>
      <c r="D106" s="176">
        <v>436.5</v>
      </c>
      <c r="E106" s="4" t="s">
        <v>222</v>
      </c>
      <c r="F106" s="4" t="s">
        <v>1042</v>
      </c>
      <c r="I106" s="4" t="s">
        <v>395</v>
      </c>
      <c r="S106" s="213"/>
    </row>
    <row r="107">
      <c r="A107" s="67" t="str">
        <f t="shared" si="1"/>
        <v>Sun</v>
      </c>
      <c r="B107" s="69">
        <v>43450.0</v>
      </c>
      <c r="D107" s="176">
        <v>308.48</v>
      </c>
      <c r="E107" s="4" t="s">
        <v>222</v>
      </c>
      <c r="F107" s="4" t="s">
        <v>1043</v>
      </c>
      <c r="G107" s="4" t="s">
        <v>1043</v>
      </c>
      <c r="H107" s="4" t="s">
        <v>1042</v>
      </c>
      <c r="I107" s="4" t="s">
        <v>395</v>
      </c>
      <c r="K107" s="4"/>
      <c r="L107" s="4" t="s">
        <v>293</v>
      </c>
      <c r="S107" s="213"/>
    </row>
    <row r="108">
      <c r="A108" s="67" t="str">
        <f t="shared" si="1"/>
        <v>Mon</v>
      </c>
      <c r="B108" s="69">
        <v>43451.0</v>
      </c>
      <c r="D108" s="176">
        <v>308.48</v>
      </c>
      <c r="E108" s="4" t="s">
        <v>222</v>
      </c>
      <c r="F108" s="4" t="s">
        <v>1043</v>
      </c>
      <c r="I108" s="4" t="s">
        <v>395</v>
      </c>
      <c r="S108" s="213"/>
    </row>
    <row r="109">
      <c r="A109" s="67" t="str">
        <f t="shared" si="1"/>
        <v>Tue</v>
      </c>
      <c r="B109" s="69">
        <v>43452.0</v>
      </c>
      <c r="D109" s="176">
        <v>308.48</v>
      </c>
      <c r="E109" s="4" t="s">
        <v>222</v>
      </c>
      <c r="F109" s="4" t="s">
        <v>1043</v>
      </c>
      <c r="I109" s="4" t="s">
        <v>395</v>
      </c>
      <c r="S109" s="213"/>
    </row>
    <row r="110">
      <c r="A110" s="67" t="str">
        <f t="shared" si="1"/>
        <v>Wed</v>
      </c>
      <c r="B110" s="69">
        <v>43453.0</v>
      </c>
      <c r="D110" s="176">
        <v>223.1</v>
      </c>
      <c r="E110" s="4" t="s">
        <v>222</v>
      </c>
      <c r="F110" s="4" t="s">
        <v>1044</v>
      </c>
      <c r="G110" s="4" t="s">
        <v>1044</v>
      </c>
      <c r="H110" s="4" t="s">
        <v>1043</v>
      </c>
      <c r="I110" s="4" t="s">
        <v>395</v>
      </c>
      <c r="K110" s="4"/>
      <c r="L110" s="4" t="s">
        <v>225</v>
      </c>
      <c r="S110" s="213"/>
    </row>
    <row r="111">
      <c r="A111" s="67" t="str">
        <f t="shared" si="1"/>
        <v>Thu</v>
      </c>
      <c r="B111" s="69">
        <v>43454.0</v>
      </c>
      <c r="D111" s="176">
        <v>223.1</v>
      </c>
      <c r="E111" s="4" t="s">
        <v>222</v>
      </c>
      <c r="F111" s="4" t="s">
        <v>1044</v>
      </c>
      <c r="I111" s="4" t="s">
        <v>395</v>
      </c>
      <c r="S111" s="213"/>
    </row>
    <row r="112">
      <c r="A112" s="67" t="str">
        <f t="shared" si="1"/>
        <v>Fri</v>
      </c>
      <c r="B112" s="69">
        <v>43455.0</v>
      </c>
      <c r="D112" s="176">
        <v>630.5</v>
      </c>
      <c r="E112" s="4" t="s">
        <v>222</v>
      </c>
      <c r="F112" s="4" t="s">
        <v>515</v>
      </c>
      <c r="G112" s="4" t="s">
        <v>515</v>
      </c>
      <c r="H112" s="4" t="s">
        <v>1044</v>
      </c>
      <c r="I112" s="4" t="s">
        <v>395</v>
      </c>
      <c r="K112" s="4"/>
      <c r="L112" s="4" t="s">
        <v>229</v>
      </c>
      <c r="S112" s="213"/>
    </row>
    <row r="113">
      <c r="A113" s="67" t="str">
        <f t="shared" si="1"/>
        <v>Sat</v>
      </c>
      <c r="B113" s="69">
        <v>43456.0</v>
      </c>
      <c r="D113" s="176">
        <v>630.5</v>
      </c>
      <c r="E113" s="4" t="s">
        <v>222</v>
      </c>
      <c r="F113" s="4" t="s">
        <v>515</v>
      </c>
      <c r="I113" s="4" t="s">
        <v>395</v>
      </c>
      <c r="S113" s="213"/>
    </row>
    <row r="114">
      <c r="A114" s="67" t="str">
        <f t="shared" si="1"/>
        <v>Sun</v>
      </c>
      <c r="B114" s="69">
        <v>43457.0</v>
      </c>
      <c r="D114" s="176">
        <v>630.5</v>
      </c>
      <c r="E114" s="4" t="s">
        <v>222</v>
      </c>
      <c r="F114" s="4" t="s">
        <v>515</v>
      </c>
      <c r="I114" s="4" t="s">
        <v>395</v>
      </c>
      <c r="S114" s="213"/>
    </row>
    <row r="115">
      <c r="A115" s="67" t="str">
        <f t="shared" si="1"/>
        <v>Mon</v>
      </c>
      <c r="B115" s="69">
        <v>43458.0</v>
      </c>
      <c r="D115" s="176">
        <v>630.5</v>
      </c>
      <c r="E115" s="4" t="s">
        <v>222</v>
      </c>
      <c r="F115" s="4" t="s">
        <v>515</v>
      </c>
      <c r="I115" s="4" t="s">
        <v>395</v>
      </c>
      <c r="S115" s="213"/>
    </row>
    <row r="116">
      <c r="A116" s="67" t="str">
        <f t="shared" si="1"/>
        <v>Tue</v>
      </c>
      <c r="B116" s="69">
        <v>43459.0</v>
      </c>
      <c r="D116" s="176">
        <v>630.5</v>
      </c>
      <c r="E116" s="4" t="s">
        <v>222</v>
      </c>
      <c r="F116" s="4" t="s">
        <v>515</v>
      </c>
      <c r="I116" s="4" t="s">
        <v>395</v>
      </c>
      <c r="S116" s="213"/>
    </row>
    <row r="117">
      <c r="A117" s="67" t="str">
        <f t="shared" si="1"/>
        <v>Wed</v>
      </c>
      <c r="B117" s="69">
        <v>43460.0</v>
      </c>
      <c r="D117" s="176">
        <v>291.0</v>
      </c>
      <c r="E117" s="4" t="s">
        <v>222</v>
      </c>
      <c r="F117" s="4" t="s">
        <v>1046</v>
      </c>
      <c r="G117" s="4" t="s">
        <v>1046</v>
      </c>
      <c r="H117" s="4" t="s">
        <v>515</v>
      </c>
      <c r="I117" s="4" t="s">
        <v>395</v>
      </c>
      <c r="K117" s="4"/>
      <c r="L117" s="4" t="s">
        <v>225</v>
      </c>
      <c r="S117" s="213"/>
    </row>
    <row r="118">
      <c r="A118" s="67" t="str">
        <f t="shared" si="1"/>
        <v>Thu</v>
      </c>
      <c r="B118" s="69">
        <v>43461.0</v>
      </c>
      <c r="D118" s="175">
        <f t="shared" ref="D118:D124" si="2">9628/7</f>
        <v>1375.428571</v>
      </c>
      <c r="E118" s="4" t="s">
        <v>337</v>
      </c>
      <c r="F118" s="4" t="s">
        <v>1049</v>
      </c>
      <c r="G118" s="4" t="s">
        <v>1049</v>
      </c>
      <c r="H118" s="4" t="s">
        <v>1046</v>
      </c>
      <c r="I118" s="4" t="s">
        <v>395</v>
      </c>
      <c r="K118" s="4"/>
      <c r="L118" s="4" t="s">
        <v>225</v>
      </c>
      <c r="S118" s="213"/>
    </row>
    <row r="119">
      <c r="A119" s="67" t="str">
        <f t="shared" si="1"/>
        <v>Fri</v>
      </c>
      <c r="B119" s="69">
        <v>43462.0</v>
      </c>
      <c r="D119" s="175">
        <f t="shared" si="2"/>
        <v>1375.428571</v>
      </c>
      <c r="E119" s="4" t="s">
        <v>337</v>
      </c>
      <c r="F119" s="4" t="s">
        <v>1049</v>
      </c>
      <c r="I119" s="4" t="s">
        <v>395</v>
      </c>
      <c r="J119" s="4" t="s">
        <v>1050</v>
      </c>
      <c r="S119" s="213"/>
    </row>
    <row r="120">
      <c r="A120" s="67" t="str">
        <f t="shared" si="1"/>
        <v>Sat</v>
      </c>
      <c r="B120" s="69">
        <v>43463.0</v>
      </c>
      <c r="D120" s="175">
        <f t="shared" si="2"/>
        <v>1375.428571</v>
      </c>
      <c r="E120" s="4" t="s">
        <v>337</v>
      </c>
      <c r="F120" s="4" t="s">
        <v>1049</v>
      </c>
      <c r="I120" s="4" t="s">
        <v>395</v>
      </c>
      <c r="J120" s="4" t="s">
        <v>1050</v>
      </c>
      <c r="S120" s="213"/>
    </row>
    <row r="121">
      <c r="A121" s="67" t="str">
        <f t="shared" si="1"/>
        <v>Sun</v>
      </c>
      <c r="B121" s="69">
        <v>43464.0</v>
      </c>
      <c r="D121" s="175">
        <f t="shared" si="2"/>
        <v>1375.428571</v>
      </c>
      <c r="E121" s="4" t="s">
        <v>337</v>
      </c>
      <c r="F121" s="4" t="s">
        <v>1049</v>
      </c>
      <c r="I121" s="4" t="s">
        <v>395</v>
      </c>
      <c r="J121" s="4" t="s">
        <v>1050</v>
      </c>
      <c r="S121" s="213"/>
    </row>
    <row r="122">
      <c r="A122" s="67" t="str">
        <f t="shared" si="1"/>
        <v>Mon</v>
      </c>
      <c r="B122" s="69">
        <v>43465.0</v>
      </c>
      <c r="D122" s="175">
        <f t="shared" si="2"/>
        <v>1375.428571</v>
      </c>
      <c r="E122" s="4" t="s">
        <v>337</v>
      </c>
      <c r="F122" s="4" t="s">
        <v>1049</v>
      </c>
      <c r="I122" s="4" t="s">
        <v>395</v>
      </c>
      <c r="J122" s="4" t="s">
        <v>1050</v>
      </c>
      <c r="S122" s="213"/>
    </row>
    <row r="123">
      <c r="A123" s="67" t="str">
        <f t="shared" si="1"/>
        <v>Tue</v>
      </c>
      <c r="B123" s="69">
        <v>43466.0</v>
      </c>
      <c r="D123" s="175">
        <f t="shared" si="2"/>
        <v>1375.428571</v>
      </c>
      <c r="E123" s="4" t="s">
        <v>337</v>
      </c>
      <c r="F123" s="4" t="s">
        <v>1049</v>
      </c>
      <c r="I123" s="4" t="s">
        <v>395</v>
      </c>
      <c r="J123" s="4" t="s">
        <v>495</v>
      </c>
      <c r="K123" s="4" t="s">
        <v>231</v>
      </c>
      <c r="S123" s="213"/>
    </row>
    <row r="124">
      <c r="A124" s="67" t="str">
        <f t="shared" si="1"/>
        <v>Wed</v>
      </c>
      <c r="B124" s="69">
        <v>43467.0</v>
      </c>
      <c r="D124" s="175">
        <f t="shared" si="2"/>
        <v>1375.428571</v>
      </c>
      <c r="E124" s="4" t="s">
        <v>337</v>
      </c>
      <c r="F124" s="4" t="s">
        <v>1049</v>
      </c>
      <c r="I124" s="4" t="s">
        <v>395</v>
      </c>
      <c r="J124" s="4" t="s">
        <v>495</v>
      </c>
      <c r="S124" s="213"/>
    </row>
    <row r="125">
      <c r="A125" s="67" t="str">
        <f t="shared" si="1"/>
        <v>Thu</v>
      </c>
      <c r="B125" s="69">
        <v>43468.0</v>
      </c>
      <c r="D125" s="193">
        <v>750.0</v>
      </c>
      <c r="E125" s="4" t="s">
        <v>337</v>
      </c>
      <c r="F125" s="4" t="s">
        <v>1053</v>
      </c>
      <c r="G125" s="4" t="s">
        <v>1053</v>
      </c>
      <c r="H125" s="4" t="s">
        <v>1049</v>
      </c>
      <c r="I125" s="4" t="s">
        <v>395</v>
      </c>
      <c r="J125" s="4" t="s">
        <v>495</v>
      </c>
      <c r="K125" s="4" t="s">
        <v>231</v>
      </c>
      <c r="L125" s="4" t="s">
        <v>293</v>
      </c>
      <c r="M125" s="4" t="s">
        <v>310</v>
      </c>
      <c r="N125" s="4" t="s">
        <v>310</v>
      </c>
      <c r="O125" s="4" t="s">
        <v>310</v>
      </c>
      <c r="Q125" s="4" t="s">
        <v>810</v>
      </c>
      <c r="R125" s="4">
        <v>5.56592811482E11</v>
      </c>
      <c r="S125" s="170"/>
    </row>
    <row r="126">
      <c r="A126" s="67" t="str">
        <f t="shared" si="1"/>
        <v>Fri</v>
      </c>
      <c r="B126" s="69">
        <v>43469.0</v>
      </c>
      <c r="D126" s="193">
        <v>750.0</v>
      </c>
      <c r="E126" s="4" t="s">
        <v>337</v>
      </c>
      <c r="F126" s="4" t="s">
        <v>1053</v>
      </c>
      <c r="I126" s="4" t="s">
        <v>395</v>
      </c>
      <c r="J126" s="4" t="s">
        <v>495</v>
      </c>
      <c r="S126" s="213"/>
    </row>
    <row r="127">
      <c r="A127" s="67" t="str">
        <f t="shared" si="1"/>
        <v>Sat</v>
      </c>
      <c r="B127" s="69">
        <v>43470.0</v>
      </c>
      <c r="D127" s="193">
        <v>750.0</v>
      </c>
      <c r="E127" s="4" t="s">
        <v>337</v>
      </c>
      <c r="F127" s="4" t="s">
        <v>1053</v>
      </c>
      <c r="I127" s="4" t="s">
        <v>395</v>
      </c>
      <c r="J127" s="4" t="s">
        <v>495</v>
      </c>
      <c r="S127" s="213"/>
    </row>
    <row r="128">
      <c r="A128" s="67" t="str">
        <f t="shared" si="1"/>
        <v>Sun</v>
      </c>
      <c r="B128" s="69">
        <v>43471.0</v>
      </c>
      <c r="D128" s="194">
        <f t="shared" ref="D128:D134" si="3">5558.1/7</f>
        <v>794.0142857</v>
      </c>
      <c r="E128" s="4" t="s">
        <v>222</v>
      </c>
      <c r="F128" s="4" t="s">
        <v>1055</v>
      </c>
      <c r="G128" s="4" t="s">
        <v>1055</v>
      </c>
      <c r="H128" s="4" t="s">
        <v>1053</v>
      </c>
      <c r="I128" s="4" t="s">
        <v>359</v>
      </c>
      <c r="K128" s="4"/>
      <c r="L128" s="4" t="s">
        <v>225</v>
      </c>
      <c r="M128" s="4" t="s">
        <v>1056</v>
      </c>
      <c r="N128" s="4" t="s">
        <v>1057</v>
      </c>
      <c r="Q128" s="4" t="s">
        <v>1058</v>
      </c>
      <c r="R128" s="4" t="s">
        <v>1059</v>
      </c>
      <c r="S128" s="170"/>
    </row>
    <row r="129">
      <c r="A129" s="67" t="str">
        <f t="shared" si="1"/>
        <v>Mon</v>
      </c>
      <c r="B129" s="69">
        <v>43472.0</v>
      </c>
      <c r="D129" s="194">
        <f t="shared" si="3"/>
        <v>794.0142857</v>
      </c>
      <c r="E129" s="4" t="s">
        <v>222</v>
      </c>
      <c r="F129" s="4" t="s">
        <v>1055</v>
      </c>
      <c r="I129" s="4" t="s">
        <v>359</v>
      </c>
      <c r="S129" s="213"/>
    </row>
    <row r="130">
      <c r="A130" s="67" t="str">
        <f t="shared" si="1"/>
        <v>Tue</v>
      </c>
      <c r="B130" s="69">
        <v>43473.0</v>
      </c>
      <c r="D130" s="194">
        <f t="shared" si="3"/>
        <v>794.0142857</v>
      </c>
      <c r="E130" s="4" t="s">
        <v>222</v>
      </c>
      <c r="F130" s="4" t="s">
        <v>1055</v>
      </c>
      <c r="I130" s="4" t="s">
        <v>359</v>
      </c>
      <c r="S130" s="213"/>
    </row>
    <row r="131">
      <c r="A131" s="67" t="str">
        <f t="shared" si="1"/>
        <v>Wed</v>
      </c>
      <c r="B131" s="69">
        <v>43474.0</v>
      </c>
      <c r="D131" s="194">
        <f t="shared" si="3"/>
        <v>794.0142857</v>
      </c>
      <c r="E131" s="4" t="s">
        <v>222</v>
      </c>
      <c r="F131" s="4" t="s">
        <v>1055</v>
      </c>
      <c r="I131" s="4" t="s">
        <v>359</v>
      </c>
      <c r="S131" s="213"/>
    </row>
    <row r="132">
      <c r="A132" s="67" t="str">
        <f t="shared" si="1"/>
        <v>Thu</v>
      </c>
      <c r="B132" s="69">
        <v>43475.0</v>
      </c>
      <c r="D132" s="194">
        <f t="shared" si="3"/>
        <v>794.0142857</v>
      </c>
      <c r="E132" s="4" t="s">
        <v>222</v>
      </c>
      <c r="F132" s="4" t="s">
        <v>1055</v>
      </c>
      <c r="I132" s="4" t="s">
        <v>359</v>
      </c>
      <c r="S132" s="213"/>
    </row>
    <row r="133">
      <c r="A133" s="67" t="str">
        <f t="shared" si="1"/>
        <v>Fri</v>
      </c>
      <c r="B133" s="69">
        <v>43476.0</v>
      </c>
      <c r="D133" s="194">
        <f t="shared" si="3"/>
        <v>794.0142857</v>
      </c>
      <c r="E133" s="4" t="s">
        <v>222</v>
      </c>
      <c r="F133" s="4" t="s">
        <v>1055</v>
      </c>
      <c r="I133" s="4" t="s">
        <v>359</v>
      </c>
      <c r="S133" s="213"/>
    </row>
    <row r="134">
      <c r="A134" s="67" t="str">
        <f t="shared" si="1"/>
        <v>Sat</v>
      </c>
      <c r="B134" s="69">
        <v>43477.0</v>
      </c>
      <c r="D134" s="194">
        <f t="shared" si="3"/>
        <v>794.0142857</v>
      </c>
      <c r="E134" s="4" t="s">
        <v>222</v>
      </c>
      <c r="F134" s="4" t="s">
        <v>1055</v>
      </c>
      <c r="I134" s="4" t="s">
        <v>359</v>
      </c>
      <c r="S134" s="213"/>
    </row>
    <row r="135">
      <c r="A135" s="67" t="str">
        <f t="shared" si="1"/>
        <v>Sun</v>
      </c>
      <c r="B135" s="69">
        <v>43478.0</v>
      </c>
      <c r="D135" s="193">
        <v>485.0</v>
      </c>
      <c r="E135" s="4" t="s">
        <v>222</v>
      </c>
      <c r="F135" s="4" t="s">
        <v>1064</v>
      </c>
      <c r="G135" s="4" t="s">
        <v>1064</v>
      </c>
      <c r="H135" s="4" t="s">
        <v>1055</v>
      </c>
      <c r="I135" s="4" t="s">
        <v>359</v>
      </c>
      <c r="K135" s="4"/>
      <c r="L135" s="4" t="s">
        <v>225</v>
      </c>
      <c r="M135" s="4" t="s">
        <v>1066</v>
      </c>
      <c r="Q135" s="4" t="s">
        <v>1068</v>
      </c>
      <c r="R135" s="167" t="s">
        <v>1070</v>
      </c>
      <c r="S135" s="170"/>
    </row>
    <row r="136">
      <c r="A136" s="67" t="str">
        <f t="shared" si="1"/>
        <v>Mon</v>
      </c>
      <c r="B136" s="69">
        <v>43479.0</v>
      </c>
      <c r="D136" s="194">
        <v>703.638</v>
      </c>
      <c r="E136" s="4" t="s">
        <v>222</v>
      </c>
      <c r="F136" s="4" t="s">
        <v>1074</v>
      </c>
      <c r="G136" s="4" t="s">
        <v>1074</v>
      </c>
      <c r="I136" s="4" t="s">
        <v>359</v>
      </c>
      <c r="K136" s="4"/>
      <c r="L136" s="4" t="s">
        <v>225</v>
      </c>
      <c r="M136" s="4" t="s">
        <v>1075</v>
      </c>
      <c r="N136" s="4" t="s">
        <v>1076</v>
      </c>
      <c r="Q136" s="4" t="s">
        <v>1077</v>
      </c>
      <c r="R136" s="4" t="s">
        <v>1078</v>
      </c>
      <c r="S136" s="170"/>
    </row>
    <row r="137">
      <c r="A137" s="67" t="str">
        <f t="shared" si="1"/>
        <v>Tue</v>
      </c>
      <c r="B137" s="69">
        <v>43480.0</v>
      </c>
      <c r="D137" s="194">
        <v>703.638</v>
      </c>
      <c r="E137" s="4" t="s">
        <v>222</v>
      </c>
      <c r="F137" s="4" t="s">
        <v>1074</v>
      </c>
      <c r="I137" s="4" t="s">
        <v>359</v>
      </c>
      <c r="S137" s="213"/>
    </row>
    <row r="138">
      <c r="A138" s="67" t="str">
        <f t="shared" si="1"/>
        <v>Wed</v>
      </c>
      <c r="B138" s="69">
        <v>43481.0</v>
      </c>
      <c r="D138" s="194">
        <v>703.638</v>
      </c>
      <c r="E138" s="4" t="s">
        <v>222</v>
      </c>
      <c r="F138" s="4" t="s">
        <v>1074</v>
      </c>
      <c r="I138" s="4" t="s">
        <v>359</v>
      </c>
      <c r="S138" s="213"/>
    </row>
    <row r="139">
      <c r="A139" s="67" t="str">
        <f t="shared" si="1"/>
        <v>Thu</v>
      </c>
      <c r="B139" s="69">
        <v>43482.0</v>
      </c>
      <c r="D139" s="194">
        <v>703.638</v>
      </c>
      <c r="E139" s="4" t="s">
        <v>222</v>
      </c>
      <c r="F139" s="4" t="s">
        <v>1074</v>
      </c>
      <c r="I139" s="4" t="s">
        <v>359</v>
      </c>
      <c r="S139" s="213"/>
    </row>
    <row r="140">
      <c r="A140" s="67" t="str">
        <f t="shared" si="1"/>
        <v>Fri</v>
      </c>
      <c r="B140" s="69">
        <v>43483.0</v>
      </c>
      <c r="D140" s="194">
        <v>703.638</v>
      </c>
      <c r="E140" s="4" t="s">
        <v>222</v>
      </c>
      <c r="F140" s="4" t="s">
        <v>1074</v>
      </c>
      <c r="I140" s="4" t="s">
        <v>359</v>
      </c>
      <c r="S140" s="213"/>
    </row>
    <row r="141">
      <c r="A141" s="67" t="str">
        <f t="shared" si="1"/>
        <v>Sat</v>
      </c>
      <c r="B141" s="69">
        <v>43484.0</v>
      </c>
      <c r="D141" s="194">
        <v>863.3</v>
      </c>
      <c r="E141" s="4" t="s">
        <v>222</v>
      </c>
      <c r="F141" s="4" t="s">
        <v>749</v>
      </c>
      <c r="G141" s="4" t="s">
        <v>749</v>
      </c>
      <c r="H141" s="4" t="s">
        <v>1074</v>
      </c>
      <c r="I141" s="4" t="s">
        <v>359</v>
      </c>
      <c r="K141" s="4"/>
      <c r="L141" s="4" t="s">
        <v>225</v>
      </c>
      <c r="M141" s="4" t="s">
        <v>226</v>
      </c>
      <c r="N141" s="4" t="s">
        <v>232</v>
      </c>
      <c r="O141" s="4" t="s">
        <v>264</v>
      </c>
      <c r="S141" s="213"/>
    </row>
    <row r="142">
      <c r="A142" s="67" t="str">
        <f t="shared" si="1"/>
        <v>Sun</v>
      </c>
      <c r="B142" s="69">
        <v>43485.0</v>
      </c>
      <c r="D142" s="194">
        <f t="shared" ref="D142:D152" si="4">8319.13/11</f>
        <v>756.2845455</v>
      </c>
      <c r="E142" s="4" t="s">
        <v>222</v>
      </c>
      <c r="F142" s="4" t="s">
        <v>1080</v>
      </c>
      <c r="G142" s="4" t="s">
        <v>1080</v>
      </c>
      <c r="H142" s="4" t="s">
        <v>749</v>
      </c>
      <c r="I142" s="4" t="s">
        <v>395</v>
      </c>
      <c r="J142" s="4" t="s">
        <v>1081</v>
      </c>
      <c r="K142" s="4"/>
      <c r="L142" s="4" t="s">
        <v>225</v>
      </c>
      <c r="M142" s="4" t="s">
        <v>1082</v>
      </c>
      <c r="N142" s="4" t="s">
        <v>1083</v>
      </c>
      <c r="O142" s="4" t="s">
        <v>1084</v>
      </c>
      <c r="P142" s="4" t="s">
        <v>310</v>
      </c>
      <c r="Q142" s="4" t="s">
        <v>1085</v>
      </c>
      <c r="R142" s="167" t="s">
        <v>1086</v>
      </c>
      <c r="S142" s="170"/>
    </row>
    <row r="143">
      <c r="A143" s="67" t="str">
        <f t="shared" si="1"/>
        <v>Mon</v>
      </c>
      <c r="B143" s="69">
        <v>43486.0</v>
      </c>
      <c r="D143" s="194">
        <f t="shared" si="4"/>
        <v>756.2845455</v>
      </c>
      <c r="E143" s="4" t="s">
        <v>222</v>
      </c>
      <c r="F143" s="4" t="s">
        <v>1080</v>
      </c>
      <c r="I143" s="4" t="s">
        <v>395</v>
      </c>
      <c r="J143" s="4" t="s">
        <v>1081</v>
      </c>
      <c r="S143" s="213"/>
    </row>
    <row r="144">
      <c r="A144" s="67" t="str">
        <f t="shared" si="1"/>
        <v>Tue</v>
      </c>
      <c r="B144" s="69">
        <v>43487.0</v>
      </c>
      <c r="D144" s="194">
        <f t="shared" si="4"/>
        <v>756.2845455</v>
      </c>
      <c r="E144" s="4" t="s">
        <v>222</v>
      </c>
      <c r="F144" s="4" t="s">
        <v>1080</v>
      </c>
      <c r="I144" s="4" t="s">
        <v>395</v>
      </c>
      <c r="J144" s="4" t="s">
        <v>1081</v>
      </c>
      <c r="S144" s="213"/>
    </row>
    <row r="145">
      <c r="A145" s="67" t="str">
        <f t="shared" si="1"/>
        <v>Wed</v>
      </c>
      <c r="B145" s="69">
        <v>43488.0</v>
      </c>
      <c r="D145" s="194">
        <f t="shared" si="4"/>
        <v>756.2845455</v>
      </c>
      <c r="E145" s="4" t="s">
        <v>222</v>
      </c>
      <c r="F145" s="4" t="s">
        <v>1080</v>
      </c>
      <c r="I145" s="4" t="s">
        <v>395</v>
      </c>
      <c r="J145" s="4" t="s">
        <v>1081</v>
      </c>
      <c r="S145" s="213"/>
    </row>
    <row r="146">
      <c r="A146" s="67" t="str">
        <f t="shared" si="1"/>
        <v>Thu</v>
      </c>
      <c r="B146" s="69">
        <v>43489.0</v>
      </c>
      <c r="D146" s="194">
        <f t="shared" si="4"/>
        <v>756.2845455</v>
      </c>
      <c r="E146" s="4" t="s">
        <v>222</v>
      </c>
      <c r="F146" s="4" t="s">
        <v>1080</v>
      </c>
      <c r="I146" s="4" t="s">
        <v>395</v>
      </c>
      <c r="J146" s="4" t="s">
        <v>1081</v>
      </c>
      <c r="S146" s="213"/>
    </row>
    <row r="147">
      <c r="A147" s="67" t="str">
        <f t="shared" si="1"/>
        <v>Fri</v>
      </c>
      <c r="B147" s="69">
        <v>43490.0</v>
      </c>
      <c r="D147" s="194">
        <f t="shared" si="4"/>
        <v>756.2845455</v>
      </c>
      <c r="E147" s="4" t="s">
        <v>222</v>
      </c>
      <c r="F147" s="4" t="s">
        <v>1080</v>
      </c>
      <c r="I147" s="4" t="s">
        <v>395</v>
      </c>
      <c r="J147" s="4" t="s">
        <v>1081</v>
      </c>
      <c r="S147" s="213"/>
    </row>
    <row r="148">
      <c r="A148" s="67" t="str">
        <f t="shared" si="1"/>
        <v>Sat</v>
      </c>
      <c r="B148" s="69">
        <v>43491.0</v>
      </c>
      <c r="D148" s="194">
        <f t="shared" si="4"/>
        <v>756.2845455</v>
      </c>
      <c r="E148" s="4" t="s">
        <v>222</v>
      </c>
      <c r="F148" s="4" t="s">
        <v>1080</v>
      </c>
      <c r="I148" s="4" t="s">
        <v>395</v>
      </c>
      <c r="J148" s="4" t="s">
        <v>1081</v>
      </c>
      <c r="S148" s="213"/>
    </row>
    <row r="149">
      <c r="A149" s="67" t="str">
        <f t="shared" si="1"/>
        <v>Sun</v>
      </c>
      <c r="B149" s="69">
        <v>43492.0</v>
      </c>
      <c r="D149" s="194">
        <f t="shared" si="4"/>
        <v>756.2845455</v>
      </c>
      <c r="E149" s="4" t="s">
        <v>222</v>
      </c>
      <c r="F149" s="4" t="s">
        <v>1080</v>
      </c>
      <c r="I149" s="4" t="s">
        <v>395</v>
      </c>
      <c r="J149" s="4" t="s">
        <v>1081</v>
      </c>
      <c r="S149" s="213"/>
    </row>
    <row r="150">
      <c r="A150" s="67" t="str">
        <f t="shared" si="1"/>
        <v>Mon</v>
      </c>
      <c r="B150" s="69">
        <v>43493.0</v>
      </c>
      <c r="D150" s="194">
        <f t="shared" si="4"/>
        <v>756.2845455</v>
      </c>
      <c r="E150" s="4" t="s">
        <v>222</v>
      </c>
      <c r="F150" s="4" t="s">
        <v>1080</v>
      </c>
      <c r="I150" s="4" t="s">
        <v>395</v>
      </c>
      <c r="J150" s="4" t="s">
        <v>1081</v>
      </c>
      <c r="S150" s="213"/>
    </row>
    <row r="151">
      <c r="A151" s="67" t="str">
        <f t="shared" si="1"/>
        <v>Tue</v>
      </c>
      <c r="B151" s="69">
        <v>43494.0</v>
      </c>
      <c r="D151" s="194">
        <f t="shared" si="4"/>
        <v>756.2845455</v>
      </c>
      <c r="E151" s="4" t="s">
        <v>222</v>
      </c>
      <c r="F151" s="4" t="s">
        <v>1080</v>
      </c>
      <c r="I151" s="4" t="s">
        <v>395</v>
      </c>
      <c r="J151" s="4" t="s">
        <v>1081</v>
      </c>
      <c r="S151" s="213"/>
    </row>
    <row r="152">
      <c r="A152" s="67" t="str">
        <f t="shared" si="1"/>
        <v>Wed</v>
      </c>
      <c r="B152" s="69">
        <v>43495.0</v>
      </c>
      <c r="D152" s="194">
        <f t="shared" si="4"/>
        <v>756.2845455</v>
      </c>
      <c r="E152" s="4" t="s">
        <v>222</v>
      </c>
      <c r="F152" s="4" t="s">
        <v>1080</v>
      </c>
      <c r="I152" s="4" t="s">
        <v>395</v>
      </c>
      <c r="J152" s="4" t="s">
        <v>1081</v>
      </c>
      <c r="S152" s="213"/>
    </row>
    <row r="153">
      <c r="A153" s="67" t="str">
        <f t="shared" si="1"/>
        <v>Thu</v>
      </c>
      <c r="B153" s="69">
        <v>43496.0</v>
      </c>
      <c r="D153" s="171"/>
      <c r="H153" s="4" t="s">
        <v>1080</v>
      </c>
      <c r="S153" s="213"/>
    </row>
    <row r="154">
      <c r="A154" s="67" t="str">
        <f t="shared" si="1"/>
        <v>Fri</v>
      </c>
      <c r="B154" s="69">
        <v>43497.0</v>
      </c>
      <c r="D154" s="193">
        <v>405.0</v>
      </c>
      <c r="E154" s="4" t="s">
        <v>337</v>
      </c>
      <c r="F154" s="4" t="s">
        <v>1097</v>
      </c>
      <c r="G154" s="4" t="s">
        <v>1097</v>
      </c>
      <c r="I154" s="4" t="s">
        <v>395</v>
      </c>
      <c r="J154" s="4" t="s">
        <v>1098</v>
      </c>
      <c r="K154" s="4" t="s">
        <v>231</v>
      </c>
      <c r="L154" s="4" t="s">
        <v>225</v>
      </c>
      <c r="S154" s="213"/>
    </row>
    <row r="155">
      <c r="A155" s="67" t="str">
        <f t="shared" si="1"/>
        <v>Sat</v>
      </c>
      <c r="B155" s="69">
        <v>43498.0</v>
      </c>
      <c r="D155" s="193">
        <v>405.0</v>
      </c>
      <c r="E155" s="4" t="s">
        <v>337</v>
      </c>
      <c r="F155" s="4" t="s">
        <v>1097</v>
      </c>
      <c r="I155" s="4" t="s">
        <v>395</v>
      </c>
      <c r="S155" s="213"/>
    </row>
    <row r="156">
      <c r="A156" s="67" t="str">
        <f t="shared" si="1"/>
        <v>Sun</v>
      </c>
      <c r="B156" s="69">
        <v>43499.0</v>
      </c>
      <c r="D156" s="193"/>
      <c r="H156" s="4" t="s">
        <v>1097</v>
      </c>
      <c r="S156" s="213"/>
    </row>
    <row r="157">
      <c r="A157" s="67" t="str">
        <f t="shared" si="1"/>
        <v>Mon</v>
      </c>
      <c r="B157" s="69">
        <v>43500.0</v>
      </c>
      <c r="D157" s="194">
        <v>630.5</v>
      </c>
      <c r="E157" s="4" t="s">
        <v>222</v>
      </c>
      <c r="F157" s="4" t="s">
        <v>1099</v>
      </c>
      <c r="G157" s="4" t="s">
        <v>1099</v>
      </c>
      <c r="I157" s="4" t="s">
        <v>359</v>
      </c>
      <c r="K157" s="4"/>
      <c r="L157" s="4" t="s">
        <v>225</v>
      </c>
      <c r="M157" s="4" t="s">
        <v>1100</v>
      </c>
      <c r="N157" s="4" t="s">
        <v>1101</v>
      </c>
      <c r="O157" s="4" t="s">
        <v>1102</v>
      </c>
      <c r="Q157" s="4" t="s">
        <v>1103</v>
      </c>
      <c r="R157" s="4" t="s">
        <v>1104</v>
      </c>
      <c r="S157" s="170"/>
    </row>
    <row r="158">
      <c r="A158" s="67" t="str">
        <f t="shared" si="1"/>
        <v>Tue</v>
      </c>
      <c r="B158" s="69">
        <v>43501.0</v>
      </c>
      <c r="D158" s="194">
        <v>630.5</v>
      </c>
      <c r="E158" s="4" t="s">
        <v>222</v>
      </c>
      <c r="F158" s="4" t="s">
        <v>1099</v>
      </c>
      <c r="I158" s="4" t="s">
        <v>359</v>
      </c>
      <c r="S158" s="213"/>
    </row>
    <row r="159">
      <c r="A159" s="67" t="str">
        <f t="shared" si="1"/>
        <v>Wed</v>
      </c>
      <c r="B159" s="69">
        <v>43502.0</v>
      </c>
      <c r="D159" s="194">
        <v>630.5</v>
      </c>
      <c r="E159" s="4" t="s">
        <v>222</v>
      </c>
      <c r="F159" s="4" t="s">
        <v>1099</v>
      </c>
      <c r="I159" s="4" t="s">
        <v>359</v>
      </c>
      <c r="S159" s="213"/>
    </row>
    <row r="160">
      <c r="A160" s="67" t="str">
        <f t="shared" si="1"/>
        <v>Thu</v>
      </c>
      <c r="B160" s="69">
        <v>43503.0</v>
      </c>
      <c r="D160" s="194">
        <v>630.5</v>
      </c>
      <c r="E160" s="4" t="s">
        <v>222</v>
      </c>
      <c r="F160" s="4" t="s">
        <v>1099</v>
      </c>
      <c r="I160" s="4" t="s">
        <v>359</v>
      </c>
      <c r="S160" s="213"/>
    </row>
    <row r="161">
      <c r="A161" s="67" t="str">
        <f t="shared" si="1"/>
        <v>Fri</v>
      </c>
      <c r="B161" s="69">
        <v>43504.0</v>
      </c>
      <c r="D161" s="194">
        <v>630.5</v>
      </c>
      <c r="E161" s="4" t="s">
        <v>222</v>
      </c>
      <c r="F161" s="4" t="s">
        <v>1099</v>
      </c>
      <c r="I161" s="4" t="s">
        <v>359</v>
      </c>
      <c r="S161" s="213"/>
    </row>
    <row r="162">
      <c r="A162" s="67" t="str">
        <f t="shared" si="1"/>
        <v>Sat</v>
      </c>
      <c r="B162" s="69">
        <v>43505.0</v>
      </c>
      <c r="D162" s="194">
        <v>630.5</v>
      </c>
      <c r="E162" s="4" t="s">
        <v>222</v>
      </c>
      <c r="F162" s="4" t="s">
        <v>1099</v>
      </c>
      <c r="I162" s="4" t="s">
        <v>359</v>
      </c>
      <c r="S162" s="213"/>
    </row>
    <row r="163">
      <c r="A163" s="67" t="str">
        <f t="shared" si="1"/>
        <v>Sun</v>
      </c>
      <c r="B163" s="69">
        <v>43506.0</v>
      </c>
      <c r="D163" s="194">
        <v>475.3</v>
      </c>
      <c r="E163" s="4" t="s">
        <v>222</v>
      </c>
      <c r="F163" s="4" t="s">
        <v>520</v>
      </c>
      <c r="G163" s="4" t="s">
        <v>520</v>
      </c>
      <c r="H163" s="4" t="s">
        <v>1099</v>
      </c>
      <c r="I163" s="4" t="s">
        <v>359</v>
      </c>
      <c r="K163" s="4" t="s">
        <v>231</v>
      </c>
      <c r="L163" s="4" t="s">
        <v>225</v>
      </c>
      <c r="M163" s="4" t="s">
        <v>1105</v>
      </c>
      <c r="N163" s="4" t="s">
        <v>1106</v>
      </c>
      <c r="Q163" s="4" t="s">
        <v>1107</v>
      </c>
      <c r="R163" s="4" t="s">
        <v>1108</v>
      </c>
      <c r="S163" s="170"/>
    </row>
    <row r="164">
      <c r="A164" s="67" t="str">
        <f t="shared" si="1"/>
        <v>Mon</v>
      </c>
      <c r="B164" s="69">
        <v>43507.0</v>
      </c>
      <c r="D164" s="194">
        <v>475.3</v>
      </c>
      <c r="E164" s="4" t="s">
        <v>222</v>
      </c>
      <c r="F164" s="4" t="s">
        <v>1109</v>
      </c>
      <c r="G164" s="4" t="s">
        <v>1109</v>
      </c>
      <c r="H164" s="4" t="s">
        <v>520</v>
      </c>
      <c r="I164" s="4" t="s">
        <v>359</v>
      </c>
      <c r="K164" s="4" t="s">
        <v>231</v>
      </c>
      <c r="L164" s="4" t="s">
        <v>225</v>
      </c>
      <c r="M164" s="4" t="s">
        <v>1110</v>
      </c>
      <c r="N164" s="4" t="s">
        <v>1111</v>
      </c>
      <c r="O164" s="4" t="s">
        <v>1112</v>
      </c>
      <c r="Q164" s="4" t="s">
        <v>1113</v>
      </c>
      <c r="R164" s="4" t="s">
        <v>1114</v>
      </c>
      <c r="S164" s="170"/>
    </row>
    <row r="165">
      <c r="A165" s="67" t="str">
        <f t="shared" si="1"/>
        <v>Tue</v>
      </c>
      <c r="B165" s="69">
        <v>43508.0</v>
      </c>
      <c r="D165" s="194">
        <v>475.3</v>
      </c>
      <c r="E165" s="4" t="s">
        <v>222</v>
      </c>
      <c r="F165" s="4" t="s">
        <v>1109</v>
      </c>
      <c r="I165" s="4" t="s">
        <v>359</v>
      </c>
      <c r="S165" s="213"/>
    </row>
    <row r="166">
      <c r="A166" s="67" t="str">
        <f t="shared" si="1"/>
        <v>Wed</v>
      </c>
      <c r="B166" s="69">
        <v>43509.0</v>
      </c>
      <c r="D166" s="194">
        <v>475.3</v>
      </c>
      <c r="E166" s="4" t="s">
        <v>222</v>
      </c>
      <c r="F166" s="4" t="s">
        <v>1109</v>
      </c>
      <c r="I166" s="4" t="s">
        <v>359</v>
      </c>
      <c r="S166" s="213"/>
    </row>
    <row r="167">
      <c r="A167" s="67" t="str">
        <f t="shared" si="1"/>
        <v>Thu</v>
      </c>
      <c r="B167" s="69">
        <v>43510.0</v>
      </c>
      <c r="D167" s="194">
        <v>475.3</v>
      </c>
      <c r="E167" s="4" t="s">
        <v>222</v>
      </c>
      <c r="F167" s="4" t="s">
        <v>1109</v>
      </c>
      <c r="I167" s="4" t="s">
        <v>359</v>
      </c>
      <c r="S167" s="213"/>
    </row>
    <row r="168">
      <c r="A168" s="67" t="str">
        <f t="shared" si="1"/>
        <v>Fri</v>
      </c>
      <c r="B168" s="69">
        <v>43511.0</v>
      </c>
      <c r="D168" s="194">
        <v>475.3</v>
      </c>
      <c r="E168" s="4" t="s">
        <v>222</v>
      </c>
      <c r="F168" s="4" t="s">
        <v>1109</v>
      </c>
      <c r="I168" s="4" t="s">
        <v>359</v>
      </c>
      <c r="S168" s="213"/>
    </row>
    <row r="169">
      <c r="A169" s="67" t="str">
        <f t="shared" si="1"/>
        <v>Sat</v>
      </c>
      <c r="B169" s="69">
        <v>43512.0</v>
      </c>
      <c r="D169" s="194">
        <v>475.3</v>
      </c>
      <c r="E169" s="4" t="s">
        <v>222</v>
      </c>
      <c r="F169" s="4" t="s">
        <v>1109</v>
      </c>
      <c r="I169" s="4" t="s">
        <v>359</v>
      </c>
      <c r="S169" s="213"/>
    </row>
    <row r="170">
      <c r="A170" s="67" t="str">
        <f t="shared" si="1"/>
        <v>Sun</v>
      </c>
      <c r="B170" s="69">
        <v>43513.0</v>
      </c>
      <c r="D170" s="194">
        <v>475.3</v>
      </c>
      <c r="E170" s="4" t="s">
        <v>222</v>
      </c>
      <c r="F170" s="4" t="s">
        <v>1109</v>
      </c>
      <c r="I170" s="4" t="s">
        <v>359</v>
      </c>
      <c r="S170" s="213"/>
    </row>
    <row r="171">
      <c r="A171" s="67" t="str">
        <f t="shared" si="1"/>
        <v>Mon</v>
      </c>
      <c r="B171" s="69">
        <v>43514.0</v>
      </c>
      <c r="D171" s="194">
        <v>368.6</v>
      </c>
      <c r="E171" s="4" t="s">
        <v>222</v>
      </c>
      <c r="F171" s="4" t="s">
        <v>1115</v>
      </c>
      <c r="G171" s="4" t="s">
        <v>1115</v>
      </c>
      <c r="H171" s="4" t="s">
        <v>1109</v>
      </c>
      <c r="I171" s="4" t="s">
        <v>359</v>
      </c>
      <c r="K171" s="4" t="s">
        <v>231</v>
      </c>
      <c r="L171" s="4" t="s">
        <v>225</v>
      </c>
      <c r="M171" s="4" t="s">
        <v>226</v>
      </c>
      <c r="S171" s="213"/>
    </row>
    <row r="172">
      <c r="A172" s="67" t="str">
        <f t="shared" si="1"/>
        <v>Tue</v>
      </c>
      <c r="B172" s="69">
        <v>43515.0</v>
      </c>
      <c r="D172" s="194">
        <v>368.6</v>
      </c>
      <c r="E172" s="4" t="s">
        <v>222</v>
      </c>
      <c r="F172" s="4" t="s">
        <v>1115</v>
      </c>
      <c r="I172" s="4" t="s">
        <v>359</v>
      </c>
      <c r="S172" s="213"/>
    </row>
    <row r="173">
      <c r="A173" s="67" t="str">
        <f t="shared" si="1"/>
        <v>Wed</v>
      </c>
      <c r="B173" s="69">
        <v>43516.0</v>
      </c>
      <c r="D173" s="194">
        <v>368.6</v>
      </c>
      <c r="E173" s="4" t="s">
        <v>222</v>
      </c>
      <c r="F173" s="4" t="s">
        <v>1115</v>
      </c>
      <c r="I173" s="4" t="s">
        <v>359</v>
      </c>
      <c r="S173" s="213"/>
    </row>
    <row r="174">
      <c r="A174" s="67" t="str">
        <f t="shared" si="1"/>
        <v>Thu</v>
      </c>
      <c r="B174" s="69">
        <v>43517.0</v>
      </c>
      <c r="D174" s="194">
        <v>368.6</v>
      </c>
      <c r="E174" s="4" t="s">
        <v>222</v>
      </c>
      <c r="F174" s="4" t="s">
        <v>1115</v>
      </c>
      <c r="I174" s="4" t="s">
        <v>359</v>
      </c>
      <c r="S174" s="213"/>
    </row>
    <row r="175">
      <c r="A175" s="67" t="str">
        <f t="shared" si="1"/>
        <v>Fri</v>
      </c>
      <c r="B175" s="69">
        <v>43518.0</v>
      </c>
      <c r="D175" s="171"/>
      <c r="F175" s="4"/>
      <c r="G175" s="4"/>
      <c r="H175" s="4" t="s">
        <v>1115</v>
      </c>
      <c r="J175" s="4"/>
      <c r="L175" s="4" t="s">
        <v>225</v>
      </c>
      <c r="M175" s="4"/>
      <c r="N175" s="4"/>
      <c r="O175" s="4"/>
      <c r="S175" s="213"/>
    </row>
    <row r="176">
      <c r="A176" s="67" t="str">
        <f t="shared" si="1"/>
        <v>Sat</v>
      </c>
      <c r="B176" s="69">
        <v>43519.0</v>
      </c>
      <c r="D176" s="193">
        <v>425.0</v>
      </c>
      <c r="E176" s="4" t="s">
        <v>337</v>
      </c>
      <c r="F176" s="4" t="s">
        <v>1116</v>
      </c>
      <c r="G176" s="4" t="s">
        <v>1116</v>
      </c>
      <c r="I176" s="4" t="s">
        <v>359</v>
      </c>
      <c r="K176" s="4" t="s">
        <v>231</v>
      </c>
      <c r="L176" s="4" t="s">
        <v>225</v>
      </c>
      <c r="M176" s="4" t="s">
        <v>226</v>
      </c>
      <c r="N176" s="4" t="s">
        <v>232</v>
      </c>
      <c r="O176" s="4" t="s">
        <v>264</v>
      </c>
      <c r="S176" s="213"/>
    </row>
    <row r="177">
      <c r="A177" s="67" t="str">
        <f t="shared" si="1"/>
        <v>Sun</v>
      </c>
      <c r="B177" s="69">
        <v>43520.0</v>
      </c>
      <c r="D177" s="193">
        <v>425.0</v>
      </c>
      <c r="E177" s="4" t="s">
        <v>337</v>
      </c>
      <c r="F177" s="4" t="s">
        <v>1116</v>
      </c>
      <c r="H177" s="4"/>
      <c r="I177" s="4" t="s">
        <v>359</v>
      </c>
      <c r="S177" s="213"/>
    </row>
    <row r="178">
      <c r="A178" s="67" t="str">
        <f t="shared" si="1"/>
        <v>Mon</v>
      </c>
      <c r="B178" s="69">
        <v>43521.0</v>
      </c>
      <c r="D178" s="193">
        <v>380.0</v>
      </c>
      <c r="E178" s="4" t="s">
        <v>337</v>
      </c>
      <c r="F178" s="4" t="s">
        <v>1116</v>
      </c>
      <c r="G178" s="4"/>
      <c r="I178" s="4" t="s">
        <v>359</v>
      </c>
      <c r="M178" s="4"/>
      <c r="N178" s="4"/>
      <c r="O178" s="4"/>
      <c r="S178" s="213"/>
    </row>
    <row r="179">
      <c r="A179" s="67" t="str">
        <f t="shared" si="1"/>
        <v>Tue</v>
      </c>
      <c r="B179" s="69">
        <v>43522.0</v>
      </c>
      <c r="D179" s="171"/>
      <c r="F179" s="4"/>
      <c r="G179" s="4"/>
      <c r="H179" s="4" t="s">
        <v>1116</v>
      </c>
      <c r="J179" s="4"/>
      <c r="L179" s="4" t="s">
        <v>225</v>
      </c>
      <c r="M179" s="4"/>
      <c r="N179" s="4"/>
      <c r="O179" s="4"/>
      <c r="S179" s="213"/>
    </row>
    <row r="180">
      <c r="A180" s="67" t="str">
        <f t="shared" si="1"/>
        <v>Wed</v>
      </c>
      <c r="B180" s="69">
        <v>43523.0</v>
      </c>
      <c r="D180" s="193">
        <v>789.7666666666667</v>
      </c>
      <c r="E180" s="4" t="s">
        <v>169</v>
      </c>
      <c r="F180" s="4" t="s">
        <v>1117</v>
      </c>
      <c r="G180" s="4" t="s">
        <v>1117</v>
      </c>
      <c r="H180" s="4"/>
      <c r="I180" s="4" t="s">
        <v>359</v>
      </c>
      <c r="K180" s="4"/>
      <c r="L180" s="4" t="s">
        <v>225</v>
      </c>
      <c r="M180" s="4" t="s">
        <v>226</v>
      </c>
      <c r="N180" s="4" t="s">
        <v>232</v>
      </c>
      <c r="O180" s="4" t="s">
        <v>264</v>
      </c>
      <c r="S180" s="213"/>
    </row>
    <row r="181">
      <c r="A181" s="67" t="str">
        <f t="shared" si="1"/>
        <v>Thu</v>
      </c>
      <c r="B181" s="69">
        <v>43524.0</v>
      </c>
      <c r="D181" s="193">
        <v>789.7666666666667</v>
      </c>
      <c r="E181" s="4" t="s">
        <v>169</v>
      </c>
      <c r="F181" s="4" t="s">
        <v>1117</v>
      </c>
      <c r="I181" s="4" t="s">
        <v>359</v>
      </c>
      <c r="S181" s="213"/>
    </row>
    <row r="182">
      <c r="A182" s="67" t="str">
        <f t="shared" si="1"/>
        <v>Fri</v>
      </c>
      <c r="B182" s="69">
        <v>43525.0</v>
      </c>
      <c r="D182" s="194">
        <v>789.7666666666667</v>
      </c>
      <c r="E182" s="4" t="s">
        <v>169</v>
      </c>
      <c r="F182" s="4" t="s">
        <v>1117</v>
      </c>
      <c r="I182" s="4" t="s">
        <v>359</v>
      </c>
      <c r="S182" s="213"/>
    </row>
    <row r="183">
      <c r="A183" s="67" t="str">
        <f t="shared" si="1"/>
        <v>Sat</v>
      </c>
      <c r="B183" s="69">
        <v>43526.0</v>
      </c>
      <c r="D183" s="194">
        <v>789.7666666666667</v>
      </c>
      <c r="E183" s="4" t="s">
        <v>169</v>
      </c>
      <c r="F183" s="4" t="s">
        <v>1117</v>
      </c>
      <c r="I183" s="4" t="s">
        <v>359</v>
      </c>
      <c r="S183" s="213"/>
    </row>
    <row r="184">
      <c r="A184" s="67" t="str">
        <f t="shared" si="1"/>
        <v>Sun</v>
      </c>
      <c r="B184" s="69">
        <v>43527.0</v>
      </c>
      <c r="D184" s="194">
        <v>789.7666666666667</v>
      </c>
      <c r="E184" s="4" t="s">
        <v>169</v>
      </c>
      <c r="F184" s="4" t="s">
        <v>1117</v>
      </c>
      <c r="I184" s="4" t="s">
        <v>359</v>
      </c>
      <c r="S184" s="213"/>
    </row>
    <row r="185">
      <c r="A185" s="67" t="str">
        <f t="shared" si="1"/>
        <v>Mon</v>
      </c>
      <c r="B185" s="69">
        <v>43528.0</v>
      </c>
      <c r="D185" s="194">
        <v>789.7666666666667</v>
      </c>
      <c r="E185" s="4" t="s">
        <v>169</v>
      </c>
      <c r="F185" s="4" t="s">
        <v>1117</v>
      </c>
      <c r="I185" s="4" t="s">
        <v>359</v>
      </c>
      <c r="S185" s="213"/>
    </row>
    <row r="186">
      <c r="A186" s="67" t="str">
        <f t="shared" si="1"/>
        <v>Tue</v>
      </c>
      <c r="B186" s="69">
        <v>43529.0</v>
      </c>
      <c r="D186" s="194">
        <v>789.7666666666667</v>
      </c>
      <c r="E186" s="4" t="s">
        <v>169</v>
      </c>
      <c r="F186" s="4" t="s">
        <v>1117</v>
      </c>
      <c r="I186" s="4" t="s">
        <v>359</v>
      </c>
      <c r="S186" s="213"/>
    </row>
    <row r="187">
      <c r="A187" s="67" t="str">
        <f t="shared" si="1"/>
        <v>Wed</v>
      </c>
      <c r="B187" s="69">
        <v>43530.0</v>
      </c>
      <c r="D187" s="194">
        <v>789.7666666666667</v>
      </c>
      <c r="E187" s="4" t="s">
        <v>169</v>
      </c>
      <c r="F187" s="4" t="s">
        <v>1117</v>
      </c>
      <c r="I187" s="4" t="s">
        <v>359</v>
      </c>
      <c r="S187" s="213"/>
    </row>
    <row r="188">
      <c r="A188" s="67" t="str">
        <f t="shared" si="1"/>
        <v>Thu</v>
      </c>
      <c r="B188" s="69">
        <v>43531.0</v>
      </c>
      <c r="D188" s="194">
        <v>789.7666666666667</v>
      </c>
      <c r="E188" s="4" t="s">
        <v>169</v>
      </c>
      <c r="F188" s="4" t="s">
        <v>1117</v>
      </c>
      <c r="I188" s="4" t="s">
        <v>359</v>
      </c>
      <c r="S188" s="213"/>
    </row>
    <row r="189">
      <c r="A189" s="67" t="str">
        <f t="shared" si="1"/>
        <v>Fri</v>
      </c>
      <c r="B189" s="69">
        <v>43532.0</v>
      </c>
      <c r="D189" s="194">
        <v>339.5</v>
      </c>
      <c r="E189" s="4" t="s">
        <v>222</v>
      </c>
      <c r="F189" s="4" t="s">
        <v>1121</v>
      </c>
      <c r="G189" s="4" t="s">
        <v>1121</v>
      </c>
      <c r="H189" s="4" t="s">
        <v>1117</v>
      </c>
      <c r="I189" s="4" t="s">
        <v>359</v>
      </c>
      <c r="K189" s="4" t="s">
        <v>231</v>
      </c>
      <c r="L189" s="4" t="s">
        <v>225</v>
      </c>
      <c r="M189" s="4" t="s">
        <v>1126</v>
      </c>
      <c r="Q189" s="4" t="s">
        <v>1127</v>
      </c>
      <c r="R189" s="4" t="s">
        <v>1128</v>
      </c>
      <c r="S189" s="170" t="s">
        <v>1129</v>
      </c>
    </row>
    <row r="190">
      <c r="A190" s="67" t="str">
        <f t="shared" si="1"/>
        <v>Sat</v>
      </c>
      <c r="B190" s="69">
        <v>43533.0</v>
      </c>
      <c r="D190" s="194">
        <v>339.5</v>
      </c>
      <c r="E190" s="4" t="s">
        <v>222</v>
      </c>
      <c r="F190" s="4" t="s">
        <v>1121</v>
      </c>
      <c r="I190" s="4" t="s">
        <v>359</v>
      </c>
      <c r="S190" s="213"/>
    </row>
    <row r="191">
      <c r="A191" s="67" t="str">
        <f t="shared" si="1"/>
        <v>Sun</v>
      </c>
      <c r="B191" s="69">
        <v>43534.0</v>
      </c>
      <c r="D191" s="175">
        <v>294.4642857142857</v>
      </c>
      <c r="E191" s="4" t="s">
        <v>222</v>
      </c>
      <c r="F191" s="4" t="s">
        <v>1130</v>
      </c>
      <c r="G191" s="4" t="s">
        <v>1130</v>
      </c>
      <c r="H191" s="4" t="s">
        <v>1121</v>
      </c>
      <c r="I191" s="4" t="s">
        <v>395</v>
      </c>
      <c r="L191" s="4" t="s">
        <v>225</v>
      </c>
      <c r="M191" s="4" t="s">
        <v>226</v>
      </c>
      <c r="N191" s="4" t="s">
        <v>232</v>
      </c>
      <c r="O191" s="4" t="s">
        <v>264</v>
      </c>
      <c r="S191" s="213"/>
    </row>
    <row r="192">
      <c r="A192" s="67" t="str">
        <f t="shared" si="1"/>
        <v>Mon</v>
      </c>
      <c r="B192" s="69">
        <v>43535.0</v>
      </c>
      <c r="D192" s="175">
        <v>294.4642857142857</v>
      </c>
      <c r="E192" s="4" t="s">
        <v>222</v>
      </c>
      <c r="F192" s="4" t="s">
        <v>1130</v>
      </c>
      <c r="I192" s="4" t="s">
        <v>395</v>
      </c>
      <c r="S192" s="213"/>
    </row>
    <row r="193">
      <c r="A193" s="67" t="str">
        <f t="shared" si="1"/>
        <v>Tue</v>
      </c>
      <c r="B193" s="69">
        <v>43536.0</v>
      </c>
      <c r="D193" s="175">
        <v>294.4642857142857</v>
      </c>
      <c r="E193" s="4" t="s">
        <v>222</v>
      </c>
      <c r="F193" s="4" t="s">
        <v>1130</v>
      </c>
      <c r="I193" s="4" t="s">
        <v>395</v>
      </c>
      <c r="S193" s="213"/>
    </row>
    <row r="194">
      <c r="A194" s="67" t="str">
        <f t="shared" si="1"/>
        <v>Wed</v>
      </c>
      <c r="B194" s="69">
        <v>43537.0</v>
      </c>
      <c r="D194" s="175">
        <v>294.4642857142857</v>
      </c>
      <c r="E194" s="4" t="s">
        <v>222</v>
      </c>
      <c r="F194" s="4" t="s">
        <v>1130</v>
      </c>
      <c r="I194" s="4" t="s">
        <v>395</v>
      </c>
      <c r="S194" s="213"/>
    </row>
    <row r="195">
      <c r="A195" s="67" t="str">
        <f t="shared" si="1"/>
        <v>Thu</v>
      </c>
      <c r="B195" s="69">
        <v>43538.0</v>
      </c>
      <c r="D195" s="175">
        <v>294.4642857142857</v>
      </c>
      <c r="E195" s="4" t="s">
        <v>222</v>
      </c>
      <c r="F195" s="4" t="s">
        <v>1130</v>
      </c>
      <c r="I195" s="4" t="s">
        <v>395</v>
      </c>
      <c r="S195" s="213"/>
    </row>
    <row r="196">
      <c r="A196" s="67" t="str">
        <f t="shared" si="1"/>
        <v>Fri</v>
      </c>
      <c r="B196" s="69">
        <v>43539.0</v>
      </c>
      <c r="D196" s="175">
        <v>294.4642857142857</v>
      </c>
      <c r="E196" s="4" t="s">
        <v>222</v>
      </c>
      <c r="F196" s="4" t="s">
        <v>1130</v>
      </c>
      <c r="I196" s="4" t="s">
        <v>395</v>
      </c>
      <c r="S196" s="213"/>
    </row>
    <row r="197">
      <c r="A197" s="67" t="str">
        <f t="shared" si="1"/>
        <v>Sat</v>
      </c>
      <c r="B197" s="69">
        <v>43540.0</v>
      </c>
      <c r="D197" s="175">
        <v>294.4642857142857</v>
      </c>
      <c r="E197" s="4" t="s">
        <v>222</v>
      </c>
      <c r="F197" s="4" t="s">
        <v>1130</v>
      </c>
      <c r="I197" s="4" t="s">
        <v>395</v>
      </c>
      <c r="S197" s="213"/>
    </row>
    <row r="198">
      <c r="A198" s="67" t="str">
        <f t="shared" si="1"/>
        <v>Sun</v>
      </c>
      <c r="B198" s="69">
        <v>43541.0</v>
      </c>
      <c r="D198" s="194">
        <v>291.0</v>
      </c>
      <c r="E198" s="4" t="s">
        <v>222</v>
      </c>
      <c r="F198" s="4" t="s">
        <v>1135</v>
      </c>
      <c r="G198" s="4" t="s">
        <v>1135</v>
      </c>
      <c r="H198" s="4" t="s">
        <v>1130</v>
      </c>
      <c r="I198" s="4" t="s">
        <v>359</v>
      </c>
      <c r="K198" s="4" t="s">
        <v>231</v>
      </c>
      <c r="L198" s="4" t="s">
        <v>225</v>
      </c>
      <c r="M198" s="4" t="s">
        <v>226</v>
      </c>
      <c r="N198" s="4" t="s">
        <v>232</v>
      </c>
      <c r="O198" s="4" t="s">
        <v>264</v>
      </c>
      <c r="S198" s="213"/>
    </row>
    <row r="199">
      <c r="A199" s="67" t="str">
        <f t="shared" si="1"/>
        <v>Mon</v>
      </c>
      <c r="B199" s="69">
        <v>43542.0</v>
      </c>
      <c r="D199" s="194">
        <v>291.0</v>
      </c>
      <c r="E199" s="4" t="s">
        <v>222</v>
      </c>
      <c r="F199" s="4" t="s">
        <v>1135</v>
      </c>
      <c r="I199" s="4" t="s">
        <v>359</v>
      </c>
      <c r="S199" s="213"/>
    </row>
    <row r="200">
      <c r="A200" s="67" t="str">
        <f t="shared" si="1"/>
        <v>Tue</v>
      </c>
      <c r="B200" s="69">
        <v>43543.0</v>
      </c>
      <c r="D200" s="194">
        <v>291.0</v>
      </c>
      <c r="E200" s="4" t="s">
        <v>222</v>
      </c>
      <c r="F200" s="4" t="s">
        <v>1135</v>
      </c>
      <c r="I200" s="4" t="s">
        <v>359</v>
      </c>
      <c r="S200" s="213"/>
    </row>
    <row r="201">
      <c r="A201" s="67" t="str">
        <f t="shared" si="1"/>
        <v>Wed</v>
      </c>
      <c r="B201" s="69">
        <v>43544.0</v>
      </c>
      <c r="D201" s="194">
        <v>291.0</v>
      </c>
      <c r="E201" s="4" t="s">
        <v>222</v>
      </c>
      <c r="F201" s="4" t="s">
        <v>1135</v>
      </c>
      <c r="I201" s="4" t="s">
        <v>359</v>
      </c>
      <c r="S201" s="213"/>
    </row>
    <row r="202">
      <c r="A202" s="67" t="str">
        <f t="shared" si="1"/>
        <v>Thu</v>
      </c>
      <c r="B202" s="69">
        <v>43545.0</v>
      </c>
      <c r="D202" s="194">
        <v>291.0</v>
      </c>
      <c r="E202" s="4" t="s">
        <v>222</v>
      </c>
      <c r="F202" s="4" t="s">
        <v>1135</v>
      </c>
      <c r="I202" s="4" t="s">
        <v>359</v>
      </c>
      <c r="S202" s="213"/>
    </row>
    <row r="203">
      <c r="A203" s="67" t="str">
        <f t="shared" si="1"/>
        <v>Fri</v>
      </c>
      <c r="B203" s="69">
        <v>43546.0</v>
      </c>
      <c r="D203" s="194">
        <v>275.47999999999996</v>
      </c>
      <c r="E203" s="4" t="s">
        <v>222</v>
      </c>
      <c r="F203" s="4" t="s">
        <v>1136</v>
      </c>
      <c r="G203" s="4" t="s">
        <v>1136</v>
      </c>
      <c r="H203" s="4" t="s">
        <v>1135</v>
      </c>
      <c r="I203" s="4" t="s">
        <v>359</v>
      </c>
      <c r="K203" s="4" t="s">
        <v>231</v>
      </c>
      <c r="L203" s="4" t="s">
        <v>225</v>
      </c>
      <c r="M203" s="4" t="s">
        <v>1137</v>
      </c>
      <c r="N203" s="4" t="s">
        <v>1138</v>
      </c>
      <c r="O203" s="4" t="s">
        <v>1139</v>
      </c>
      <c r="S203" s="213"/>
    </row>
    <row r="204">
      <c r="A204" s="67" t="str">
        <f t="shared" si="1"/>
        <v>Sat</v>
      </c>
      <c r="B204" s="69">
        <v>43547.0</v>
      </c>
      <c r="D204" s="194">
        <v>275.47999999999996</v>
      </c>
      <c r="E204" s="4" t="s">
        <v>222</v>
      </c>
      <c r="F204" s="4" t="s">
        <v>1136</v>
      </c>
      <c r="I204" s="4" t="s">
        <v>359</v>
      </c>
      <c r="S204" s="213"/>
    </row>
    <row r="205">
      <c r="A205" s="67" t="str">
        <f t="shared" si="1"/>
        <v>Sun</v>
      </c>
      <c r="B205" s="69">
        <v>43548.0</v>
      </c>
      <c r="D205" s="194">
        <v>275.47999999999996</v>
      </c>
      <c r="E205" s="4" t="s">
        <v>222</v>
      </c>
      <c r="F205" s="4" t="s">
        <v>1136</v>
      </c>
      <c r="I205" s="4" t="s">
        <v>359</v>
      </c>
      <c r="S205" s="213"/>
    </row>
    <row r="206">
      <c r="A206" s="67" t="str">
        <f t="shared" si="1"/>
        <v>Mon</v>
      </c>
      <c r="B206" s="69">
        <v>43549.0</v>
      </c>
      <c r="D206" s="194">
        <v>275.47999999999996</v>
      </c>
      <c r="E206" s="4" t="s">
        <v>222</v>
      </c>
      <c r="F206" s="4" t="s">
        <v>1136</v>
      </c>
      <c r="I206" s="4" t="s">
        <v>359</v>
      </c>
      <c r="S206" s="213"/>
    </row>
    <row r="207">
      <c r="A207" s="67" t="str">
        <f t="shared" si="1"/>
        <v>Tue</v>
      </c>
      <c r="B207" s="69">
        <v>43550.0</v>
      </c>
      <c r="D207" s="194">
        <v>275.47999999999996</v>
      </c>
      <c r="E207" s="4" t="s">
        <v>222</v>
      </c>
      <c r="F207" s="4" t="s">
        <v>1136</v>
      </c>
      <c r="I207" s="4" t="s">
        <v>359</v>
      </c>
      <c r="S207" s="213"/>
    </row>
    <row r="208">
      <c r="A208" s="67" t="str">
        <f t="shared" si="1"/>
        <v>Wed</v>
      </c>
      <c r="B208" s="69">
        <v>43551.0</v>
      </c>
      <c r="D208" s="194">
        <v>275.47999999999996</v>
      </c>
      <c r="E208" s="4" t="s">
        <v>222</v>
      </c>
      <c r="F208" s="4" t="s">
        <v>1136</v>
      </c>
      <c r="I208" s="4" t="s">
        <v>359</v>
      </c>
      <c r="S208" s="213"/>
    </row>
    <row r="209">
      <c r="A209" s="67" t="str">
        <f t="shared" si="1"/>
        <v>Thu</v>
      </c>
      <c r="B209" s="69">
        <v>43552.0</v>
      </c>
      <c r="D209" s="194">
        <v>275.47999999999996</v>
      </c>
      <c r="E209" s="4" t="s">
        <v>222</v>
      </c>
      <c r="F209" s="4" t="s">
        <v>1136</v>
      </c>
      <c r="I209" s="4" t="s">
        <v>359</v>
      </c>
      <c r="S209" s="213"/>
    </row>
    <row r="210">
      <c r="A210" s="67" t="str">
        <f t="shared" si="1"/>
        <v>Fri</v>
      </c>
      <c r="B210" s="69">
        <v>43553.0</v>
      </c>
      <c r="D210" s="171"/>
      <c r="H210" s="4" t="s">
        <v>1136</v>
      </c>
      <c r="J210" s="4"/>
      <c r="S210" s="213"/>
    </row>
    <row r="211">
      <c r="A211" s="67" t="str">
        <f t="shared" si="1"/>
        <v>Sat</v>
      </c>
      <c r="B211" s="69">
        <v>43554.0</v>
      </c>
      <c r="D211" s="194">
        <v>285.665</v>
      </c>
      <c r="E211" s="4" t="s">
        <v>222</v>
      </c>
      <c r="F211" s="4" t="s">
        <v>1147</v>
      </c>
      <c r="G211" s="4" t="s">
        <v>1147</v>
      </c>
      <c r="I211" s="4" t="s">
        <v>359</v>
      </c>
      <c r="K211" s="4" t="s">
        <v>231</v>
      </c>
      <c r="L211" s="4" t="s">
        <v>225</v>
      </c>
      <c r="M211" s="4" t="s">
        <v>1148</v>
      </c>
      <c r="Q211" s="4" t="s">
        <v>1149</v>
      </c>
      <c r="R211" s="4" t="s">
        <v>1150</v>
      </c>
      <c r="S211" s="170" t="s">
        <v>1151</v>
      </c>
    </row>
    <row r="212">
      <c r="A212" s="67" t="str">
        <f t="shared" si="1"/>
        <v>Sun</v>
      </c>
      <c r="B212" s="69">
        <v>43555.0</v>
      </c>
      <c r="D212" s="194">
        <v>285.665</v>
      </c>
      <c r="E212" s="4" t="s">
        <v>222</v>
      </c>
      <c r="F212" s="4" t="s">
        <v>1147</v>
      </c>
      <c r="I212" s="4" t="s">
        <v>359</v>
      </c>
      <c r="S212" s="213"/>
    </row>
    <row r="213">
      <c r="A213" s="67" t="str">
        <f t="shared" si="1"/>
        <v>Mon</v>
      </c>
      <c r="B213" s="69">
        <v>43556.0</v>
      </c>
      <c r="D213" s="194">
        <v>271.406</v>
      </c>
      <c r="E213" s="4" t="s">
        <v>222</v>
      </c>
      <c r="F213" s="4" t="s">
        <v>1152</v>
      </c>
      <c r="G213" s="4" t="s">
        <v>1152</v>
      </c>
      <c r="H213" s="4" t="s">
        <v>1147</v>
      </c>
      <c r="I213" s="4" t="s">
        <v>359</v>
      </c>
      <c r="K213" s="4" t="s">
        <v>231</v>
      </c>
      <c r="L213" s="4" t="s">
        <v>225</v>
      </c>
      <c r="M213" s="4" t="s">
        <v>1153</v>
      </c>
      <c r="N213" s="4" t="s">
        <v>1154</v>
      </c>
      <c r="Q213" s="4" t="s">
        <v>1155</v>
      </c>
      <c r="R213" s="4" t="s">
        <v>1156</v>
      </c>
      <c r="S213" s="170"/>
    </row>
    <row r="214">
      <c r="A214" s="67" t="str">
        <f t="shared" si="1"/>
        <v>Tue</v>
      </c>
      <c r="B214" s="69">
        <v>43557.0</v>
      </c>
      <c r="D214" s="194">
        <v>271.406</v>
      </c>
      <c r="E214" s="4" t="s">
        <v>222</v>
      </c>
      <c r="F214" s="4" t="s">
        <v>1152</v>
      </c>
      <c r="I214" s="4" t="s">
        <v>359</v>
      </c>
      <c r="S214" s="213"/>
    </row>
    <row r="215">
      <c r="A215" s="67" t="str">
        <f t="shared" si="1"/>
        <v>Wed</v>
      </c>
      <c r="B215" s="69">
        <v>43558.0</v>
      </c>
      <c r="D215" s="194">
        <v>271.406</v>
      </c>
      <c r="E215" s="4" t="s">
        <v>222</v>
      </c>
      <c r="F215" s="4" t="s">
        <v>1152</v>
      </c>
      <c r="I215" s="4" t="s">
        <v>359</v>
      </c>
      <c r="S215" s="213"/>
    </row>
    <row r="216">
      <c r="A216" s="67" t="str">
        <f t="shared" si="1"/>
        <v>Thu</v>
      </c>
      <c r="B216" s="69">
        <v>43559.0</v>
      </c>
      <c r="D216" s="194">
        <v>271.406</v>
      </c>
      <c r="E216" s="4" t="s">
        <v>222</v>
      </c>
      <c r="F216" s="4" t="s">
        <v>1152</v>
      </c>
      <c r="I216" s="4" t="s">
        <v>359</v>
      </c>
      <c r="S216" s="213"/>
    </row>
    <row r="217">
      <c r="A217" s="67" t="str">
        <f t="shared" si="1"/>
        <v>Fri</v>
      </c>
      <c r="B217" s="69">
        <v>43560.0</v>
      </c>
      <c r="D217" s="194">
        <v>271.406</v>
      </c>
      <c r="E217" s="4" t="s">
        <v>222</v>
      </c>
      <c r="F217" s="4" t="s">
        <v>1152</v>
      </c>
      <c r="I217" s="4" t="s">
        <v>359</v>
      </c>
      <c r="S217" s="213"/>
    </row>
    <row r="218">
      <c r="A218" s="67" t="str">
        <f t="shared" si="1"/>
        <v>Sat</v>
      </c>
      <c r="B218" s="69">
        <v>43561.0</v>
      </c>
      <c r="D218" s="194">
        <v>271.406</v>
      </c>
      <c r="E218" s="4" t="s">
        <v>222</v>
      </c>
      <c r="F218" s="4" t="s">
        <v>1152</v>
      </c>
      <c r="I218" s="4" t="s">
        <v>359</v>
      </c>
      <c r="S218" s="213"/>
    </row>
    <row r="219">
      <c r="A219" s="67" t="str">
        <f t="shared" si="1"/>
        <v>Sun</v>
      </c>
      <c r="B219" s="69">
        <v>43562.0</v>
      </c>
      <c r="D219" s="194">
        <v>271.406</v>
      </c>
      <c r="E219" s="4" t="s">
        <v>222</v>
      </c>
      <c r="F219" s="4" t="s">
        <v>1152</v>
      </c>
      <c r="I219" s="4" t="s">
        <v>359</v>
      </c>
      <c r="S219" s="213"/>
    </row>
    <row r="220">
      <c r="A220" s="67" t="str">
        <f t="shared" si="1"/>
        <v>Mon</v>
      </c>
      <c r="B220" s="69">
        <v>43563.0</v>
      </c>
      <c r="D220" s="194">
        <v>271.406</v>
      </c>
      <c r="E220" s="4" t="s">
        <v>222</v>
      </c>
      <c r="F220" s="4" t="s">
        <v>1152</v>
      </c>
      <c r="I220" s="4" t="s">
        <v>359</v>
      </c>
      <c r="S220" s="213"/>
    </row>
    <row r="221">
      <c r="A221" s="67" t="str">
        <f t="shared" si="1"/>
        <v>Tue</v>
      </c>
      <c r="B221" s="69">
        <v>43564.0</v>
      </c>
      <c r="D221" s="194">
        <v>271.406</v>
      </c>
      <c r="E221" s="4" t="s">
        <v>222</v>
      </c>
      <c r="F221" s="4" t="s">
        <v>1152</v>
      </c>
      <c r="I221" s="4" t="s">
        <v>359</v>
      </c>
      <c r="S221" s="213"/>
    </row>
    <row r="222">
      <c r="A222" s="67" t="str">
        <f t="shared" si="1"/>
        <v>Wed</v>
      </c>
      <c r="B222" s="69">
        <v>43565.0</v>
      </c>
      <c r="D222" s="194">
        <v>271.406</v>
      </c>
      <c r="E222" s="4" t="s">
        <v>222</v>
      </c>
      <c r="F222" s="4" t="s">
        <v>1152</v>
      </c>
      <c r="I222" s="4" t="s">
        <v>359</v>
      </c>
      <c r="S222" s="213"/>
    </row>
    <row r="223">
      <c r="A223" s="67" t="str">
        <f t="shared" si="1"/>
        <v>Thu</v>
      </c>
      <c r="B223" s="69">
        <v>43566.0</v>
      </c>
      <c r="D223" s="193">
        <v>280.0</v>
      </c>
      <c r="E223" s="4" t="s">
        <v>337</v>
      </c>
      <c r="F223" s="4" t="s">
        <v>1152</v>
      </c>
      <c r="I223" s="4" t="s">
        <v>359</v>
      </c>
      <c r="S223" s="213"/>
    </row>
    <row r="224">
      <c r="A224" s="67" t="str">
        <f t="shared" si="1"/>
        <v>Fri</v>
      </c>
      <c r="B224" s="69">
        <v>43567.0</v>
      </c>
      <c r="D224" s="193">
        <v>280.0</v>
      </c>
      <c r="E224" s="4" t="s">
        <v>337</v>
      </c>
      <c r="F224" s="4" t="s">
        <v>1152</v>
      </c>
      <c r="I224" s="4" t="s">
        <v>359</v>
      </c>
      <c r="S224" s="213"/>
    </row>
    <row r="225">
      <c r="A225" s="67" t="str">
        <f t="shared" si="1"/>
        <v>Sat</v>
      </c>
      <c r="B225" s="69">
        <v>43568.0</v>
      </c>
      <c r="D225" s="194">
        <v>316.3071428571429</v>
      </c>
      <c r="E225" s="4" t="s">
        <v>169</v>
      </c>
      <c r="F225" s="4" t="s">
        <v>1164</v>
      </c>
      <c r="G225" s="4" t="s">
        <v>1164</v>
      </c>
      <c r="H225" s="4" t="s">
        <v>1152</v>
      </c>
      <c r="I225" s="4" t="s">
        <v>359</v>
      </c>
      <c r="K225" s="4" t="s">
        <v>231</v>
      </c>
      <c r="L225" s="4" t="s">
        <v>225</v>
      </c>
      <c r="M225" s="4" t="s">
        <v>310</v>
      </c>
      <c r="N225" s="4" t="s">
        <v>310</v>
      </c>
      <c r="O225" s="4" t="s">
        <v>310</v>
      </c>
      <c r="S225" s="213"/>
    </row>
    <row r="226">
      <c r="A226" s="67" t="str">
        <f t="shared" si="1"/>
        <v>Sun</v>
      </c>
      <c r="B226" s="69">
        <v>43569.0</v>
      </c>
      <c r="D226" s="194">
        <v>316.3071428571429</v>
      </c>
      <c r="E226" s="4" t="s">
        <v>169</v>
      </c>
      <c r="F226" s="4" t="s">
        <v>1164</v>
      </c>
      <c r="I226" s="4" t="s">
        <v>359</v>
      </c>
      <c r="S226" s="213"/>
    </row>
    <row r="227">
      <c r="A227" s="67" t="str">
        <f t="shared" si="1"/>
        <v>Mon</v>
      </c>
      <c r="B227" s="69">
        <v>43570.0</v>
      </c>
      <c r="D227" s="194">
        <v>316.3071428571429</v>
      </c>
      <c r="E227" s="4" t="s">
        <v>169</v>
      </c>
      <c r="F227" s="4" t="s">
        <v>1164</v>
      </c>
      <c r="I227" s="4" t="s">
        <v>359</v>
      </c>
      <c r="S227" s="213"/>
    </row>
    <row r="228">
      <c r="A228" s="67" t="str">
        <f t="shared" si="1"/>
        <v>Tue</v>
      </c>
      <c r="B228" s="69">
        <v>43571.0</v>
      </c>
      <c r="D228" s="194">
        <v>316.3071428571429</v>
      </c>
      <c r="E228" s="4" t="s">
        <v>169</v>
      </c>
      <c r="F228" s="4" t="s">
        <v>1164</v>
      </c>
      <c r="I228" s="4" t="s">
        <v>359</v>
      </c>
      <c r="S228" s="213"/>
    </row>
    <row r="229">
      <c r="A229" s="67" t="str">
        <f t="shared" si="1"/>
        <v>Wed</v>
      </c>
      <c r="B229" s="69">
        <v>43572.0</v>
      </c>
      <c r="D229" s="194">
        <v>316.3071428571429</v>
      </c>
      <c r="E229" s="4" t="s">
        <v>169</v>
      </c>
      <c r="F229" s="4" t="s">
        <v>1164</v>
      </c>
      <c r="I229" s="4" t="s">
        <v>359</v>
      </c>
      <c r="S229" s="213"/>
    </row>
    <row r="230">
      <c r="A230" s="67" t="str">
        <f t="shared" si="1"/>
        <v>Thu</v>
      </c>
      <c r="B230" s="69">
        <v>43573.0</v>
      </c>
      <c r="D230" s="194">
        <v>316.3071428571429</v>
      </c>
      <c r="E230" s="4" t="s">
        <v>169</v>
      </c>
      <c r="F230" s="4" t="s">
        <v>1164</v>
      </c>
      <c r="I230" s="4" t="s">
        <v>359</v>
      </c>
      <c r="S230" s="213"/>
    </row>
    <row r="231">
      <c r="A231" s="67" t="str">
        <f t="shared" si="1"/>
        <v>Fri</v>
      </c>
      <c r="B231" s="69">
        <v>43574.0</v>
      </c>
      <c r="D231" s="194">
        <v>316.3071428571429</v>
      </c>
      <c r="E231" s="4" t="s">
        <v>169</v>
      </c>
      <c r="F231" s="4" t="s">
        <v>1164</v>
      </c>
      <c r="I231" s="4" t="s">
        <v>359</v>
      </c>
      <c r="S231" s="213"/>
    </row>
    <row r="232">
      <c r="A232" s="67" t="str">
        <f t="shared" si="1"/>
        <v>Sat</v>
      </c>
      <c r="B232" s="69">
        <v>43575.0</v>
      </c>
      <c r="D232" s="194">
        <v>436.5</v>
      </c>
      <c r="E232" s="4" t="s">
        <v>222</v>
      </c>
      <c r="F232" s="4" t="s">
        <v>1165</v>
      </c>
      <c r="G232" s="4" t="s">
        <v>1165</v>
      </c>
      <c r="H232" s="4" t="s">
        <v>1164</v>
      </c>
      <c r="I232" s="4" t="s">
        <v>224</v>
      </c>
      <c r="K232" s="4" t="s">
        <v>231</v>
      </c>
      <c r="L232" s="4" t="s">
        <v>225</v>
      </c>
      <c r="M232" s="4" t="s">
        <v>226</v>
      </c>
      <c r="N232" s="4" t="s">
        <v>232</v>
      </c>
      <c r="O232" s="4" t="s">
        <v>264</v>
      </c>
      <c r="R232" s="4" t="s">
        <v>1166</v>
      </c>
      <c r="S232" s="170" t="s">
        <v>1167</v>
      </c>
    </row>
    <row r="233">
      <c r="A233" s="67" t="str">
        <f t="shared" si="1"/>
        <v>Sun</v>
      </c>
      <c r="B233" s="69">
        <v>43576.0</v>
      </c>
      <c r="D233" s="194">
        <v>174.6</v>
      </c>
      <c r="E233" s="4" t="s">
        <v>222</v>
      </c>
      <c r="F233" s="4" t="s">
        <v>1169</v>
      </c>
      <c r="G233" s="4" t="s">
        <v>1169</v>
      </c>
      <c r="H233" s="4" t="s">
        <v>1165</v>
      </c>
      <c r="I233" s="4" t="s">
        <v>224</v>
      </c>
      <c r="J233" s="4"/>
      <c r="K233" s="4" t="s">
        <v>231</v>
      </c>
      <c r="L233" s="4" t="s">
        <v>1170</v>
      </c>
      <c r="M233" s="4" t="s">
        <v>1171</v>
      </c>
      <c r="N233" s="4" t="s">
        <v>232</v>
      </c>
      <c r="O233" s="4" t="s">
        <v>264</v>
      </c>
      <c r="R233" s="4" t="s">
        <v>1172</v>
      </c>
      <c r="S233" s="213"/>
    </row>
    <row r="234">
      <c r="A234" s="67" t="str">
        <f t="shared" si="1"/>
        <v>Mon</v>
      </c>
      <c r="B234" s="69">
        <v>43577.0</v>
      </c>
      <c r="D234" s="194">
        <v>174.6</v>
      </c>
      <c r="E234" s="4" t="s">
        <v>222</v>
      </c>
      <c r="F234" s="4" t="s">
        <v>1169</v>
      </c>
      <c r="I234" s="4" t="s">
        <v>224</v>
      </c>
      <c r="J234" s="4"/>
      <c r="S234" s="213"/>
    </row>
    <row r="235">
      <c r="A235" s="67" t="str">
        <f t="shared" si="1"/>
        <v>Tue</v>
      </c>
      <c r="B235" s="69">
        <v>43578.0</v>
      </c>
      <c r="D235" s="171"/>
      <c r="G235" s="4" t="s">
        <v>1173</v>
      </c>
      <c r="H235" s="4" t="s">
        <v>1169</v>
      </c>
      <c r="J235" s="4" t="s">
        <v>228</v>
      </c>
      <c r="L235" s="4" t="s">
        <v>229</v>
      </c>
      <c r="M235" s="4" t="s">
        <v>226</v>
      </c>
      <c r="N235" s="4" t="s">
        <v>232</v>
      </c>
      <c r="O235" s="4" t="s">
        <v>264</v>
      </c>
      <c r="S235" s="213"/>
    </row>
    <row r="236">
      <c r="A236" s="67" t="str">
        <f t="shared" si="1"/>
        <v>Wed</v>
      </c>
      <c r="B236" s="69">
        <v>43579.0</v>
      </c>
      <c r="D236" s="171"/>
      <c r="J236" s="4" t="s">
        <v>228</v>
      </c>
      <c r="S236" s="213"/>
    </row>
    <row r="237">
      <c r="A237" s="67" t="str">
        <f t="shared" si="1"/>
        <v>Thu</v>
      </c>
      <c r="B237" s="69">
        <v>43580.0</v>
      </c>
      <c r="D237" s="194">
        <v>187.53333333333333</v>
      </c>
      <c r="E237" s="4" t="s">
        <v>222</v>
      </c>
      <c r="F237" s="4" t="s">
        <v>1174</v>
      </c>
      <c r="G237" s="4" t="s">
        <v>1174</v>
      </c>
      <c r="H237" s="4" t="s">
        <v>1173</v>
      </c>
      <c r="I237" s="4" t="s">
        <v>224</v>
      </c>
      <c r="K237" s="4" t="s">
        <v>231</v>
      </c>
      <c r="L237" s="4" t="s">
        <v>225</v>
      </c>
      <c r="M237" s="4" t="s">
        <v>1175</v>
      </c>
      <c r="N237" s="4" t="s">
        <v>232</v>
      </c>
      <c r="O237" s="4" t="s">
        <v>264</v>
      </c>
      <c r="Q237" s="4" t="s">
        <v>1176</v>
      </c>
      <c r="R237" s="4" t="s">
        <v>1177</v>
      </c>
      <c r="S237" s="170" t="s">
        <v>1178</v>
      </c>
    </row>
    <row r="238">
      <c r="A238" s="67" t="str">
        <f t="shared" si="1"/>
        <v>Fri</v>
      </c>
      <c r="B238" s="69">
        <v>43581.0</v>
      </c>
      <c r="D238" s="194">
        <v>187.53333333333333</v>
      </c>
      <c r="E238" s="4" t="s">
        <v>222</v>
      </c>
      <c r="F238" s="4" t="s">
        <v>1174</v>
      </c>
      <c r="I238" s="4" t="s">
        <v>224</v>
      </c>
      <c r="S238" s="213"/>
    </row>
    <row r="239">
      <c r="A239" s="67" t="str">
        <f t="shared" si="1"/>
        <v>Sat</v>
      </c>
      <c r="B239" s="69">
        <v>43582.0</v>
      </c>
      <c r="D239" s="194">
        <v>187.53333333333333</v>
      </c>
      <c r="E239" s="4" t="s">
        <v>222</v>
      </c>
      <c r="F239" s="4" t="s">
        <v>1174</v>
      </c>
      <c r="I239" s="4" t="s">
        <v>224</v>
      </c>
      <c r="S239" s="213"/>
    </row>
    <row r="240">
      <c r="A240" s="67" t="str">
        <f t="shared" si="1"/>
        <v>Sun</v>
      </c>
      <c r="B240" s="69">
        <v>43583.0</v>
      </c>
      <c r="D240" s="193">
        <v>174.6</v>
      </c>
      <c r="E240" s="4" t="s">
        <v>222</v>
      </c>
      <c r="F240" s="4" t="s">
        <v>1181</v>
      </c>
      <c r="G240" s="4"/>
      <c r="H240" s="4" t="s">
        <v>1174</v>
      </c>
      <c r="I240" s="4" t="s">
        <v>224</v>
      </c>
      <c r="K240" s="4" t="s">
        <v>231</v>
      </c>
      <c r="L240" s="4" t="s">
        <v>225</v>
      </c>
      <c r="M240" s="4" t="s">
        <v>1182</v>
      </c>
      <c r="N240" s="4" t="s">
        <v>1183</v>
      </c>
      <c r="R240" s="4" t="s">
        <v>1184</v>
      </c>
      <c r="S240" s="213"/>
    </row>
    <row r="241">
      <c r="A241" s="67" t="str">
        <f t="shared" si="1"/>
        <v>Mon</v>
      </c>
      <c r="B241" s="69">
        <v>43584.0</v>
      </c>
      <c r="D241" s="193">
        <v>174.6</v>
      </c>
      <c r="E241" s="4" t="s">
        <v>222</v>
      </c>
      <c r="F241" s="4" t="s">
        <v>1181</v>
      </c>
      <c r="I241" s="4" t="s">
        <v>224</v>
      </c>
      <c r="S241" s="213"/>
    </row>
    <row r="242">
      <c r="A242" s="67" t="str">
        <f t="shared" si="1"/>
        <v>Tue</v>
      </c>
      <c r="B242" s="69">
        <v>43585.0</v>
      </c>
      <c r="D242" s="193">
        <v>174.6</v>
      </c>
      <c r="E242" s="4" t="s">
        <v>222</v>
      </c>
      <c r="F242" s="4" t="s">
        <v>1181</v>
      </c>
      <c r="G242" s="4"/>
      <c r="H242" s="4"/>
      <c r="I242" s="4" t="s">
        <v>224</v>
      </c>
      <c r="N242" s="4"/>
      <c r="O242" s="4"/>
      <c r="S242" s="213"/>
    </row>
    <row r="243">
      <c r="A243" s="67" t="str">
        <f t="shared" si="1"/>
        <v>Wed</v>
      </c>
      <c r="B243" s="69">
        <v>43586.0</v>
      </c>
      <c r="D243" s="193">
        <v>230.0</v>
      </c>
      <c r="E243" s="4" t="s">
        <v>337</v>
      </c>
      <c r="F243" s="6" t="s">
        <v>1190</v>
      </c>
      <c r="G243" s="6" t="s">
        <v>1190</v>
      </c>
      <c r="H243" s="4" t="s">
        <v>1181</v>
      </c>
      <c r="I243" s="4" t="s">
        <v>224</v>
      </c>
      <c r="K243" s="4" t="s">
        <v>231</v>
      </c>
      <c r="L243" s="4" t="s">
        <v>225</v>
      </c>
      <c r="M243" s="4" t="s">
        <v>1191</v>
      </c>
      <c r="Q243" s="6" t="s">
        <v>1192</v>
      </c>
      <c r="R243" s="6" t="s">
        <v>1193</v>
      </c>
      <c r="S243" s="213" t="s">
        <v>1194</v>
      </c>
    </row>
    <row r="244">
      <c r="A244" s="67" t="str">
        <f t="shared" si="1"/>
        <v>Thu</v>
      </c>
      <c r="B244" s="69">
        <v>43587.0</v>
      </c>
      <c r="D244" s="193">
        <v>230.0</v>
      </c>
      <c r="E244" s="4" t="s">
        <v>337</v>
      </c>
      <c r="F244" s="6" t="s">
        <v>1190</v>
      </c>
      <c r="G244" s="4"/>
      <c r="H244" s="4"/>
      <c r="I244" s="4" t="s">
        <v>224</v>
      </c>
      <c r="M244" s="4"/>
      <c r="N244" s="4"/>
      <c r="O244" s="4"/>
      <c r="S244" s="213"/>
    </row>
    <row r="245">
      <c r="A245" s="67" t="str">
        <f t="shared" si="1"/>
        <v>Fri</v>
      </c>
      <c r="B245" s="69">
        <v>43588.0</v>
      </c>
      <c r="D245" s="193">
        <v>230.0</v>
      </c>
      <c r="E245" s="4" t="s">
        <v>337</v>
      </c>
      <c r="F245" s="6" t="s">
        <v>1190</v>
      </c>
      <c r="I245" s="4" t="s">
        <v>224</v>
      </c>
      <c r="S245" s="213"/>
    </row>
    <row r="246">
      <c r="A246" s="67" t="str">
        <f t="shared" si="1"/>
        <v>Sat</v>
      </c>
      <c r="B246" s="69">
        <v>43589.0</v>
      </c>
      <c r="D246" s="193">
        <v>230.0</v>
      </c>
      <c r="E246" s="4" t="s">
        <v>337</v>
      </c>
      <c r="F246" s="6" t="s">
        <v>1190</v>
      </c>
      <c r="H246" s="4"/>
      <c r="I246" s="4" t="s">
        <v>224</v>
      </c>
      <c r="S246" s="213"/>
    </row>
    <row r="247">
      <c r="A247" s="67" t="str">
        <f t="shared" si="1"/>
        <v>Sun</v>
      </c>
      <c r="B247" s="69">
        <v>43590.0</v>
      </c>
      <c r="D247" s="193">
        <v>232.8</v>
      </c>
      <c r="E247" s="4" t="s">
        <v>222</v>
      </c>
      <c r="F247" s="4" t="s">
        <v>1197</v>
      </c>
      <c r="G247" s="4" t="s">
        <v>1197</v>
      </c>
      <c r="H247" s="6" t="s">
        <v>1190</v>
      </c>
      <c r="I247" s="4" t="s">
        <v>224</v>
      </c>
      <c r="K247" s="4" t="s">
        <v>231</v>
      </c>
      <c r="L247" s="4" t="s">
        <v>225</v>
      </c>
      <c r="M247" s="4" t="s">
        <v>226</v>
      </c>
      <c r="N247" s="4" t="s">
        <v>232</v>
      </c>
      <c r="O247" s="4" t="s">
        <v>264</v>
      </c>
      <c r="R247" s="4" t="s">
        <v>1199</v>
      </c>
      <c r="S247" s="213"/>
    </row>
    <row r="248">
      <c r="A248" s="67" t="str">
        <f t="shared" si="1"/>
        <v>Mon</v>
      </c>
      <c r="B248" s="69">
        <v>43591.0</v>
      </c>
      <c r="D248" s="171"/>
      <c r="F248" s="4"/>
      <c r="H248" s="4" t="s">
        <v>1197</v>
      </c>
      <c r="S248" s="213"/>
    </row>
    <row r="249">
      <c r="A249" s="67" t="str">
        <f t="shared" si="1"/>
        <v>Tue</v>
      </c>
      <c r="B249" s="69">
        <v>43592.0</v>
      </c>
      <c r="D249" s="171"/>
      <c r="F249" s="4"/>
      <c r="G249" s="4"/>
      <c r="H249" s="4"/>
      <c r="N249" s="4"/>
      <c r="O249" s="4"/>
      <c r="S249" s="213"/>
    </row>
    <row r="250">
      <c r="A250" s="67" t="str">
        <f t="shared" si="1"/>
        <v>Wed</v>
      </c>
      <c r="B250" s="69">
        <v>43593.0</v>
      </c>
      <c r="D250" s="171"/>
      <c r="F250" s="4"/>
      <c r="S250" s="213"/>
    </row>
    <row r="251">
      <c r="A251" s="67" t="str">
        <f t="shared" si="1"/>
        <v>Thu</v>
      </c>
      <c r="B251" s="69">
        <v>43594.0</v>
      </c>
      <c r="D251" s="171"/>
      <c r="F251" s="4"/>
      <c r="G251" s="4"/>
      <c r="H251" s="4"/>
      <c r="N251" s="4"/>
      <c r="O251" s="4"/>
      <c r="S251" s="213"/>
    </row>
    <row r="252">
      <c r="A252" s="67" t="str">
        <f t="shared" si="1"/>
        <v>Fri</v>
      </c>
      <c r="B252" s="69">
        <v>43595.0</v>
      </c>
      <c r="D252" s="194">
        <v>242.5</v>
      </c>
      <c r="E252" s="4" t="s">
        <v>222</v>
      </c>
      <c r="F252" s="4" t="s">
        <v>1200</v>
      </c>
      <c r="G252" s="4" t="s">
        <v>1200</v>
      </c>
      <c r="H252" s="4"/>
      <c r="I252" s="4" t="s">
        <v>224</v>
      </c>
      <c r="K252" s="4" t="s">
        <v>231</v>
      </c>
      <c r="L252" s="4" t="s">
        <v>225</v>
      </c>
      <c r="M252" s="4" t="s">
        <v>226</v>
      </c>
      <c r="N252" s="4" t="s">
        <v>232</v>
      </c>
      <c r="O252" s="4" t="s">
        <v>264</v>
      </c>
      <c r="R252" s="4" t="s">
        <v>1201</v>
      </c>
      <c r="S252" s="213"/>
    </row>
    <row r="253">
      <c r="A253" s="67" t="str">
        <f t="shared" si="1"/>
        <v>Sat</v>
      </c>
      <c r="B253" s="69">
        <v>43596.0</v>
      </c>
      <c r="D253" s="194">
        <v>242.5</v>
      </c>
      <c r="E253" s="4" t="s">
        <v>222</v>
      </c>
      <c r="F253" s="4" t="s">
        <v>1200</v>
      </c>
      <c r="I253" s="4" t="s">
        <v>224</v>
      </c>
      <c r="S253" s="213"/>
    </row>
    <row r="254">
      <c r="A254" s="67" t="str">
        <f t="shared" si="1"/>
        <v>Sun</v>
      </c>
      <c r="B254" s="69">
        <v>43597.0</v>
      </c>
      <c r="D254" s="171"/>
      <c r="F254" s="4"/>
      <c r="G254" s="4"/>
      <c r="H254" s="4" t="s">
        <v>1200</v>
      </c>
      <c r="N254" s="4"/>
      <c r="O254" s="4"/>
      <c r="S254" s="213"/>
    </row>
    <row r="255">
      <c r="A255" s="67" t="str">
        <f t="shared" si="1"/>
        <v>Mon</v>
      </c>
      <c r="B255" s="69">
        <v>43598.0</v>
      </c>
      <c r="D255" s="171"/>
      <c r="F255" s="4"/>
      <c r="S255" s="213"/>
    </row>
    <row r="256">
      <c r="A256" s="67" t="str">
        <f t="shared" si="1"/>
        <v>Tue</v>
      </c>
      <c r="B256" s="69">
        <v>43599.0</v>
      </c>
      <c r="D256" s="171"/>
      <c r="F256" s="4"/>
      <c r="G256" s="4"/>
      <c r="H256" s="4"/>
      <c r="N256" s="4"/>
      <c r="O256" s="4"/>
      <c r="S256" s="213"/>
    </row>
    <row r="257">
      <c r="A257" s="67" t="str">
        <f t="shared" si="1"/>
        <v>Wed</v>
      </c>
      <c r="B257" s="69">
        <v>43600.0</v>
      </c>
      <c r="D257" s="171"/>
      <c r="F257" s="4"/>
      <c r="S257" s="213"/>
    </row>
    <row r="258">
      <c r="A258" s="67" t="str">
        <f t="shared" si="1"/>
        <v>Thu</v>
      </c>
      <c r="B258" s="69">
        <v>43601.0</v>
      </c>
      <c r="D258" s="171"/>
      <c r="F258" s="4"/>
      <c r="G258" s="4"/>
      <c r="H258" s="4"/>
      <c r="N258" s="4"/>
      <c r="O258" s="4"/>
      <c r="S258" s="213"/>
    </row>
    <row r="259">
      <c r="A259" s="67" t="str">
        <f t="shared" si="1"/>
        <v>Fri</v>
      </c>
      <c r="B259" s="69">
        <v>43602.0</v>
      </c>
      <c r="D259" s="193">
        <v>234.42</v>
      </c>
      <c r="E259" s="4" t="s">
        <v>222</v>
      </c>
      <c r="F259" s="4" t="s">
        <v>1202</v>
      </c>
      <c r="G259" s="4" t="s">
        <v>1202</v>
      </c>
      <c r="H259" s="4"/>
      <c r="I259" s="4" t="s">
        <v>224</v>
      </c>
      <c r="K259" s="4" t="s">
        <v>231</v>
      </c>
      <c r="L259" s="4" t="s">
        <v>225</v>
      </c>
      <c r="M259" s="4" t="s">
        <v>1203</v>
      </c>
      <c r="Q259" s="4" t="s">
        <v>1204</v>
      </c>
      <c r="R259" s="4" t="s">
        <v>1205</v>
      </c>
      <c r="S259" s="170" t="s">
        <v>1206</v>
      </c>
    </row>
    <row r="260">
      <c r="A260" s="67" t="str">
        <f t="shared" si="1"/>
        <v>Sat</v>
      </c>
      <c r="B260" s="69">
        <v>43603.0</v>
      </c>
      <c r="D260" s="193">
        <v>234.42</v>
      </c>
      <c r="E260" s="4" t="s">
        <v>222</v>
      </c>
      <c r="F260" s="4" t="s">
        <v>1202</v>
      </c>
      <c r="I260" s="4" t="s">
        <v>224</v>
      </c>
      <c r="S260" s="213"/>
    </row>
    <row r="261">
      <c r="A261" s="67" t="str">
        <f t="shared" si="1"/>
        <v>Sun</v>
      </c>
      <c r="B261" s="69">
        <v>43604.0</v>
      </c>
      <c r="D261" s="193">
        <v>234.42</v>
      </c>
      <c r="E261" s="4" t="s">
        <v>222</v>
      </c>
      <c r="F261" s="4" t="s">
        <v>1202</v>
      </c>
      <c r="I261" s="4" t="s">
        <v>224</v>
      </c>
      <c r="S261" s="213"/>
    </row>
    <row r="262">
      <c r="A262" s="67" t="str">
        <f t="shared" si="1"/>
        <v>Mon</v>
      </c>
      <c r="B262" s="69">
        <v>43605.0</v>
      </c>
      <c r="D262" s="171"/>
      <c r="H262" s="4" t="s">
        <v>1202</v>
      </c>
      <c r="S262" s="213"/>
    </row>
    <row r="263">
      <c r="A263" s="67" t="str">
        <f t="shared" si="1"/>
        <v>Tue</v>
      </c>
      <c r="B263" s="69">
        <v>43606.0</v>
      </c>
      <c r="D263" s="171"/>
      <c r="S263" s="213"/>
    </row>
    <row r="264">
      <c r="A264" s="67" t="str">
        <f t="shared" si="1"/>
        <v>Wed</v>
      </c>
      <c r="B264" s="69">
        <v>43607.0</v>
      </c>
      <c r="D264" s="194">
        <v>824.5</v>
      </c>
      <c r="E264" s="4" t="s">
        <v>222</v>
      </c>
      <c r="F264" s="4" t="s">
        <v>1207</v>
      </c>
      <c r="G264" s="4" t="s">
        <v>1207</v>
      </c>
      <c r="I264" s="4" t="s">
        <v>359</v>
      </c>
      <c r="K264" s="4" t="s">
        <v>231</v>
      </c>
      <c r="L264" s="4" t="s">
        <v>225</v>
      </c>
      <c r="M264" s="6" t="s">
        <v>226</v>
      </c>
      <c r="N264" s="6" t="s">
        <v>232</v>
      </c>
      <c r="O264" s="6" t="s">
        <v>264</v>
      </c>
      <c r="Q264" s="6" t="s">
        <v>1208</v>
      </c>
      <c r="R264" s="6" t="s">
        <v>1209</v>
      </c>
      <c r="S264" s="213" t="s">
        <v>1210</v>
      </c>
    </row>
    <row r="265">
      <c r="A265" s="67" t="str">
        <f t="shared" si="1"/>
        <v>Thu</v>
      </c>
      <c r="B265" s="69">
        <v>43608.0</v>
      </c>
      <c r="D265" s="194">
        <v>824.5</v>
      </c>
      <c r="E265" s="4" t="s">
        <v>222</v>
      </c>
      <c r="F265" s="4" t="s">
        <v>1207</v>
      </c>
      <c r="I265" s="4" t="s">
        <v>359</v>
      </c>
      <c r="S265" s="213"/>
    </row>
    <row r="266">
      <c r="A266" s="67" t="str">
        <f t="shared" si="1"/>
        <v>Fri</v>
      </c>
      <c r="B266" s="69">
        <v>43609.0</v>
      </c>
      <c r="D266" s="194">
        <v>824.5</v>
      </c>
      <c r="E266" s="4" t="s">
        <v>222</v>
      </c>
      <c r="F266" s="4" t="s">
        <v>1207</v>
      </c>
      <c r="I266" s="4" t="s">
        <v>359</v>
      </c>
      <c r="S266" s="213"/>
    </row>
    <row r="267">
      <c r="A267" s="67" t="str">
        <f t="shared" si="1"/>
        <v>Sat</v>
      </c>
      <c r="B267" s="69">
        <v>43610.0</v>
      </c>
      <c r="D267" s="194">
        <v>824.5</v>
      </c>
      <c r="E267" s="4" t="s">
        <v>222</v>
      </c>
      <c r="F267" s="4" t="s">
        <v>1207</v>
      </c>
      <c r="I267" s="4" t="s">
        <v>359</v>
      </c>
      <c r="S267" s="213"/>
    </row>
    <row r="268">
      <c r="A268" s="67" t="str">
        <f t="shared" si="1"/>
        <v>Sun</v>
      </c>
      <c r="B268" s="69">
        <v>43611.0</v>
      </c>
      <c r="D268" s="194">
        <v>824.5</v>
      </c>
      <c r="E268" s="4" t="s">
        <v>222</v>
      </c>
      <c r="F268" s="4" t="s">
        <v>1207</v>
      </c>
      <c r="I268" s="4" t="s">
        <v>359</v>
      </c>
      <c r="S268" s="213"/>
    </row>
    <row r="269">
      <c r="A269" s="67" t="str">
        <f t="shared" si="1"/>
        <v>Mon</v>
      </c>
      <c r="B269" s="69">
        <v>43612.0</v>
      </c>
      <c r="D269" s="194">
        <v>242.5</v>
      </c>
      <c r="E269" s="4" t="s">
        <v>222</v>
      </c>
      <c r="F269" s="4" t="s">
        <v>1211</v>
      </c>
      <c r="G269" s="4" t="s">
        <v>1211</v>
      </c>
      <c r="H269" s="4" t="s">
        <v>1207</v>
      </c>
      <c r="I269" s="4" t="s">
        <v>224</v>
      </c>
      <c r="K269" s="4" t="s">
        <v>231</v>
      </c>
      <c r="L269" s="4" t="s">
        <v>225</v>
      </c>
      <c r="M269" s="6" t="s">
        <v>226</v>
      </c>
      <c r="N269" s="6" t="s">
        <v>232</v>
      </c>
      <c r="O269" s="6" t="s">
        <v>264</v>
      </c>
      <c r="R269" s="4" t="s">
        <v>1212</v>
      </c>
    </row>
    <row r="270">
      <c r="A270" s="67" t="str">
        <f t="shared" si="1"/>
        <v>Tue</v>
      </c>
      <c r="B270" s="69">
        <v>43613.0</v>
      </c>
      <c r="D270" s="194">
        <v>242.5</v>
      </c>
      <c r="E270" s="4" t="s">
        <v>222</v>
      </c>
      <c r="F270" s="4" t="s">
        <v>1211</v>
      </c>
      <c r="I270" s="4" t="s">
        <v>224</v>
      </c>
      <c r="S270" s="213"/>
    </row>
    <row r="271">
      <c r="A271" s="67" t="str">
        <f t="shared" si="1"/>
        <v>Wed</v>
      </c>
      <c r="B271" s="69">
        <v>43614.0</v>
      </c>
      <c r="D271" s="194">
        <v>242.5</v>
      </c>
      <c r="E271" s="4" t="s">
        <v>222</v>
      </c>
      <c r="F271" s="4" t="s">
        <v>1211</v>
      </c>
      <c r="I271" s="4" t="s">
        <v>224</v>
      </c>
      <c r="S271" s="213"/>
    </row>
    <row r="272">
      <c r="A272" s="67" t="str">
        <f t="shared" si="1"/>
        <v>Thu</v>
      </c>
      <c r="B272" s="69">
        <v>43615.0</v>
      </c>
      <c r="D272" s="171"/>
      <c r="F272" s="4"/>
      <c r="G272" s="4"/>
      <c r="H272" s="4" t="s">
        <v>1211</v>
      </c>
      <c r="J272" s="4" t="s">
        <v>295</v>
      </c>
      <c r="L272" s="4" t="s">
        <v>229</v>
      </c>
      <c r="M272" s="4"/>
      <c r="N272" s="4"/>
      <c r="O272" s="4"/>
      <c r="S272" s="213"/>
    </row>
    <row r="273">
      <c r="A273" s="67" t="str">
        <f t="shared" si="1"/>
        <v>Fri</v>
      </c>
      <c r="B273" s="69">
        <v>43616.0</v>
      </c>
      <c r="D273" s="171"/>
      <c r="F273" s="4"/>
      <c r="G273" s="4"/>
      <c r="H273" s="4"/>
      <c r="J273" s="4" t="s">
        <v>295</v>
      </c>
      <c r="L273" s="4" t="s">
        <v>229</v>
      </c>
      <c r="M273" s="4"/>
      <c r="N273" s="4"/>
      <c r="O273" s="4"/>
      <c r="S273" s="213"/>
    </row>
    <row r="274">
      <c r="A274" s="67" t="str">
        <f t="shared" si="1"/>
        <v>Sat</v>
      </c>
      <c r="B274" s="69">
        <v>43617.0</v>
      </c>
      <c r="D274" s="171"/>
      <c r="H274" s="4"/>
      <c r="S274" s="213"/>
    </row>
    <row r="275">
      <c r="A275" s="67" t="str">
        <f t="shared" si="1"/>
        <v>Sun</v>
      </c>
      <c r="B275" s="69">
        <v>43618.0</v>
      </c>
      <c r="D275" s="171"/>
      <c r="S275" s="213"/>
    </row>
    <row r="276">
      <c r="A276" s="67" t="str">
        <f t="shared" si="1"/>
        <v>Mon</v>
      </c>
      <c r="B276" s="69">
        <v>43619.0</v>
      </c>
      <c r="D276" s="171"/>
      <c r="S276" s="213"/>
    </row>
    <row r="277">
      <c r="A277" s="67" t="str">
        <f t="shared" si="1"/>
        <v>Tue</v>
      </c>
      <c r="B277" s="69">
        <v>43620.0</v>
      </c>
      <c r="D277" s="171"/>
      <c r="S277" s="213"/>
    </row>
    <row r="278">
      <c r="A278" s="67" t="str">
        <f t="shared" si="1"/>
        <v>Wed</v>
      </c>
      <c r="B278" s="69">
        <v>43621.0</v>
      </c>
      <c r="D278" s="171"/>
      <c r="S278" s="213"/>
    </row>
    <row r="279">
      <c r="A279" s="67" t="str">
        <f t="shared" si="1"/>
        <v>Thu</v>
      </c>
      <c r="B279" s="69">
        <v>43622.0</v>
      </c>
      <c r="D279" s="171"/>
      <c r="S279" s="213"/>
    </row>
    <row r="280">
      <c r="A280" s="67" t="str">
        <f t="shared" si="1"/>
        <v>Fri</v>
      </c>
      <c r="B280" s="69">
        <v>43623.0</v>
      </c>
      <c r="D280" s="171"/>
      <c r="S280" s="213"/>
    </row>
    <row r="281">
      <c r="A281" s="67" t="str">
        <f t="shared" si="1"/>
        <v>Sat</v>
      </c>
      <c r="B281" s="69">
        <v>43624.0</v>
      </c>
      <c r="D281" s="171"/>
      <c r="S281" s="213"/>
    </row>
    <row r="282">
      <c r="A282" s="67" t="str">
        <f t="shared" si="1"/>
        <v>Sun</v>
      </c>
      <c r="B282" s="69">
        <v>43625.0</v>
      </c>
      <c r="D282" s="171"/>
      <c r="S282" s="213"/>
    </row>
    <row r="283">
      <c r="A283" s="67" t="str">
        <f t="shared" si="1"/>
        <v>Mon</v>
      </c>
      <c r="B283" s="69">
        <v>43626.0</v>
      </c>
      <c r="D283" s="171"/>
      <c r="S283" s="213"/>
    </row>
    <row r="284">
      <c r="A284" s="67" t="str">
        <f t="shared" si="1"/>
        <v>Tue</v>
      </c>
      <c r="B284" s="69">
        <v>43627.0</v>
      </c>
      <c r="D284" s="171"/>
      <c r="S284" s="213"/>
    </row>
    <row r="285">
      <c r="A285" s="67" t="str">
        <f t="shared" si="1"/>
        <v>Wed</v>
      </c>
      <c r="B285" s="69">
        <v>43628.0</v>
      </c>
      <c r="D285" s="171"/>
      <c r="S285" s="213"/>
    </row>
    <row r="286">
      <c r="A286" s="67" t="str">
        <f t="shared" si="1"/>
        <v>Thu</v>
      </c>
      <c r="B286" s="69">
        <v>43629.0</v>
      </c>
      <c r="D286" s="171"/>
      <c r="S286" s="213"/>
    </row>
    <row r="287">
      <c r="A287" s="67" t="str">
        <f t="shared" si="1"/>
        <v>Fri</v>
      </c>
      <c r="B287" s="69">
        <v>43630.0</v>
      </c>
      <c r="D287" s="171"/>
      <c r="S287" s="213"/>
    </row>
    <row r="288">
      <c r="A288" s="67" t="str">
        <f t="shared" si="1"/>
        <v>Sat</v>
      </c>
      <c r="B288" s="69">
        <v>43631.0</v>
      </c>
      <c r="D288" s="171"/>
      <c r="S288" s="213"/>
    </row>
    <row r="289">
      <c r="A289" s="67" t="str">
        <f t="shared" si="1"/>
        <v>Sun</v>
      </c>
      <c r="B289" s="69">
        <v>43632.0</v>
      </c>
      <c r="D289" s="171"/>
      <c r="S289" s="213"/>
    </row>
    <row r="290">
      <c r="A290" s="67" t="str">
        <f t="shared" si="1"/>
        <v>Mon</v>
      </c>
      <c r="B290" s="69">
        <v>43633.0</v>
      </c>
      <c r="D290" s="182"/>
      <c r="S290" s="213"/>
    </row>
    <row r="291">
      <c r="A291" s="67" t="str">
        <f t="shared" si="1"/>
        <v>Tue</v>
      </c>
      <c r="B291" s="69">
        <v>43634.0</v>
      </c>
      <c r="D291" s="182"/>
      <c r="S291" s="213"/>
    </row>
    <row r="292">
      <c r="A292" s="67" t="str">
        <f t="shared" si="1"/>
        <v>Wed</v>
      </c>
      <c r="B292" s="69">
        <v>43635.0</v>
      </c>
      <c r="D292" s="182"/>
      <c r="S292" s="213"/>
    </row>
    <row r="293">
      <c r="A293" s="67" t="str">
        <f t="shared" si="1"/>
        <v>Thu</v>
      </c>
      <c r="B293" s="69">
        <v>43636.0</v>
      </c>
      <c r="S293" s="213"/>
    </row>
    <row r="294">
      <c r="A294" s="67" t="str">
        <f t="shared" si="1"/>
        <v>Fri</v>
      </c>
      <c r="B294" s="69">
        <v>43637.0</v>
      </c>
      <c r="S294" s="213"/>
    </row>
    <row r="295">
      <c r="A295" s="67" t="str">
        <f t="shared" si="1"/>
        <v>Sat</v>
      </c>
      <c r="B295" s="69">
        <v>43638.0</v>
      </c>
      <c r="S295" s="213"/>
    </row>
    <row r="296">
      <c r="A296" s="67" t="str">
        <f t="shared" si="1"/>
        <v>Sun</v>
      </c>
      <c r="B296" s="69">
        <v>43639.0</v>
      </c>
      <c r="S296" s="213"/>
    </row>
    <row r="297">
      <c r="A297" s="67" t="str">
        <f t="shared" si="1"/>
        <v>Mon</v>
      </c>
      <c r="B297" s="69">
        <v>43640.0</v>
      </c>
      <c r="S297" s="213"/>
    </row>
    <row r="298">
      <c r="A298" s="67" t="str">
        <f t="shared" si="1"/>
        <v>Tue</v>
      </c>
      <c r="B298" s="69">
        <v>43641.0</v>
      </c>
      <c r="S298" s="213"/>
    </row>
    <row r="299">
      <c r="A299" s="67" t="str">
        <f t="shared" si="1"/>
        <v>Wed</v>
      </c>
      <c r="B299" s="69">
        <v>43642.0</v>
      </c>
      <c r="S299" s="213"/>
    </row>
    <row r="300">
      <c r="A300" s="67" t="str">
        <f t="shared" si="1"/>
        <v>Thu</v>
      </c>
      <c r="B300" s="69">
        <v>43643.0</v>
      </c>
      <c r="S300" s="213"/>
    </row>
    <row r="301">
      <c r="A301" s="67" t="str">
        <f t="shared" si="1"/>
        <v>Fri</v>
      </c>
      <c r="B301" s="69">
        <v>43644.0</v>
      </c>
      <c r="S301" s="213"/>
    </row>
    <row r="302">
      <c r="A302" s="67" t="str">
        <f t="shared" si="1"/>
        <v>Sat</v>
      </c>
      <c r="B302" s="69">
        <v>43645.0</v>
      </c>
      <c r="D302" s="171"/>
      <c r="S302" s="213"/>
    </row>
    <row r="303">
      <c r="A303" s="67" t="str">
        <f t="shared" si="1"/>
        <v>Sun</v>
      </c>
      <c r="B303" s="69">
        <v>43646.0</v>
      </c>
      <c r="D303" s="171"/>
      <c r="S303" s="213"/>
    </row>
    <row r="304">
      <c r="A304" s="67" t="str">
        <f t="shared" si="1"/>
        <v>Mon</v>
      </c>
      <c r="B304" s="69">
        <v>43647.0</v>
      </c>
      <c r="D304" s="171"/>
      <c r="S304" s="213"/>
    </row>
    <row r="305">
      <c r="A305" s="67" t="str">
        <f t="shared" si="1"/>
        <v>Tue</v>
      </c>
      <c r="B305" s="69">
        <v>43648.0</v>
      </c>
      <c r="D305" s="171"/>
      <c r="S305" s="213"/>
    </row>
    <row r="306">
      <c r="A306" s="67" t="str">
        <f t="shared" si="1"/>
        <v>Wed</v>
      </c>
      <c r="B306" s="69">
        <v>43649.0</v>
      </c>
      <c r="D306" s="171"/>
      <c r="S306" s="213"/>
    </row>
    <row r="307">
      <c r="A307" s="67" t="str">
        <f t="shared" si="1"/>
        <v>Thu</v>
      </c>
      <c r="B307" s="69">
        <v>43650.0</v>
      </c>
      <c r="D307" s="171"/>
      <c r="S307" s="213"/>
    </row>
    <row r="308">
      <c r="A308" s="67" t="str">
        <f t="shared" si="1"/>
        <v>Fri</v>
      </c>
      <c r="B308" s="69">
        <v>43651.0</v>
      </c>
      <c r="D308" s="171"/>
      <c r="S308" s="213"/>
    </row>
    <row r="309">
      <c r="A309" s="67" t="str">
        <f t="shared" si="1"/>
        <v>Sat</v>
      </c>
      <c r="B309" s="69">
        <v>43652.0</v>
      </c>
      <c r="D309" s="171"/>
      <c r="S309" s="213"/>
    </row>
    <row r="310">
      <c r="A310" s="67" t="str">
        <f t="shared" si="1"/>
        <v>Sun</v>
      </c>
      <c r="B310" s="69">
        <v>43653.0</v>
      </c>
      <c r="D310" s="171"/>
      <c r="S310" s="213"/>
    </row>
    <row r="311">
      <c r="A311" s="67" t="str">
        <f t="shared" si="1"/>
        <v>Mon</v>
      </c>
      <c r="B311" s="69">
        <v>43654.0</v>
      </c>
      <c r="D311" s="171"/>
      <c r="S311" s="213"/>
    </row>
    <row r="312">
      <c r="A312" s="67" t="str">
        <f t="shared" si="1"/>
        <v>Tue</v>
      </c>
      <c r="B312" s="69">
        <v>43655.0</v>
      </c>
      <c r="D312" s="171"/>
      <c r="S312" s="213"/>
    </row>
    <row r="313">
      <c r="A313" s="67" t="str">
        <f t="shared" si="1"/>
        <v>Wed</v>
      </c>
      <c r="B313" s="69">
        <v>43656.0</v>
      </c>
      <c r="D313" s="171"/>
      <c r="S313" s="213"/>
    </row>
    <row r="314">
      <c r="A314" s="67" t="str">
        <f t="shared" si="1"/>
        <v>Thu</v>
      </c>
      <c r="B314" s="69">
        <v>43657.0</v>
      </c>
      <c r="D314" s="171"/>
      <c r="S314" s="213"/>
    </row>
    <row r="315">
      <c r="A315" s="67" t="str">
        <f t="shared" si="1"/>
        <v>Fri</v>
      </c>
      <c r="B315" s="69">
        <v>43658.0</v>
      </c>
      <c r="D315" s="171"/>
      <c r="S315" s="213"/>
    </row>
    <row r="316">
      <c r="A316" s="67" t="str">
        <f t="shared" si="1"/>
        <v>Sat</v>
      </c>
      <c r="B316" s="69">
        <v>43659.0</v>
      </c>
      <c r="D316" s="171"/>
      <c r="S316" s="213"/>
    </row>
    <row r="317">
      <c r="A317" s="67" t="str">
        <f t="shared" si="1"/>
        <v>Sun</v>
      </c>
      <c r="B317" s="69">
        <v>43660.0</v>
      </c>
      <c r="D317" s="171"/>
      <c r="S317" s="213"/>
    </row>
    <row r="318">
      <c r="A318" s="67" t="str">
        <f t="shared" si="1"/>
        <v>Mon</v>
      </c>
      <c r="B318" s="69">
        <v>43661.0</v>
      </c>
      <c r="D318" s="171"/>
      <c r="S318" s="213"/>
    </row>
    <row r="319">
      <c r="A319" s="67" t="str">
        <f t="shared" si="1"/>
        <v>Tue</v>
      </c>
      <c r="B319" s="69">
        <v>43662.0</v>
      </c>
      <c r="D319" s="171"/>
      <c r="S319" s="213"/>
    </row>
    <row r="320">
      <c r="A320" s="67" t="str">
        <f t="shared" si="1"/>
        <v>Wed</v>
      </c>
      <c r="B320" s="69">
        <v>43663.0</v>
      </c>
      <c r="D320" s="171"/>
      <c r="S320" s="213"/>
    </row>
    <row r="321">
      <c r="A321" s="67" t="str">
        <f t="shared" si="1"/>
        <v>Thu</v>
      </c>
      <c r="B321" s="69">
        <v>43664.0</v>
      </c>
      <c r="D321" s="171"/>
      <c r="S321" s="213"/>
    </row>
    <row r="322">
      <c r="A322" s="67" t="str">
        <f t="shared" si="1"/>
        <v>Fri</v>
      </c>
      <c r="B322" s="69">
        <v>43665.0</v>
      </c>
      <c r="D322" s="171"/>
      <c r="S322" s="213"/>
    </row>
    <row r="323">
      <c r="A323" s="67" t="str">
        <f t="shared" si="1"/>
        <v>Sat</v>
      </c>
      <c r="B323" s="69">
        <v>43666.0</v>
      </c>
      <c r="D323" s="218">
        <v>294.93</v>
      </c>
      <c r="E323" s="4" t="s">
        <v>169</v>
      </c>
      <c r="F323" s="4" t="s">
        <v>1225</v>
      </c>
      <c r="G323" s="4" t="s">
        <v>1225</v>
      </c>
      <c r="I323" s="4" t="s">
        <v>224</v>
      </c>
      <c r="K323" s="4" t="s">
        <v>231</v>
      </c>
      <c r="L323" s="4" t="s">
        <v>240</v>
      </c>
      <c r="M323" s="4" t="s">
        <v>226</v>
      </c>
      <c r="N323" s="4" t="s">
        <v>1226</v>
      </c>
      <c r="R323" s="4" t="s">
        <v>1227</v>
      </c>
      <c r="S323" s="213"/>
    </row>
    <row r="324">
      <c r="A324" s="67" t="str">
        <f t="shared" si="1"/>
        <v>Sun</v>
      </c>
      <c r="B324" s="69">
        <v>43667.0</v>
      </c>
      <c r="D324" s="218">
        <v>294.93</v>
      </c>
      <c r="E324" s="4" t="s">
        <v>169</v>
      </c>
      <c r="F324" s="4" t="s">
        <v>1225</v>
      </c>
      <c r="I324" s="4" t="s">
        <v>224</v>
      </c>
      <c r="S324" s="213"/>
    </row>
    <row r="325">
      <c r="A325" s="67" t="str">
        <f t="shared" si="1"/>
        <v>Mon</v>
      </c>
      <c r="B325" s="69">
        <v>43668.0</v>
      </c>
      <c r="D325" s="218">
        <v>294.93</v>
      </c>
      <c r="E325" s="4" t="s">
        <v>169</v>
      </c>
      <c r="F325" s="4" t="s">
        <v>1225</v>
      </c>
      <c r="I325" s="4" t="s">
        <v>224</v>
      </c>
      <c r="S325" s="213"/>
    </row>
    <row r="326">
      <c r="A326" s="67" t="str">
        <f t="shared" si="1"/>
        <v>Tue</v>
      </c>
      <c r="B326" s="69">
        <v>43669.0</v>
      </c>
      <c r="D326" s="218">
        <v>294.93</v>
      </c>
      <c r="E326" s="4" t="s">
        <v>169</v>
      </c>
      <c r="F326" s="4" t="s">
        <v>1225</v>
      </c>
      <c r="I326" s="4" t="s">
        <v>224</v>
      </c>
      <c r="S326" s="213"/>
    </row>
    <row r="327">
      <c r="A327" s="67" t="str">
        <f t="shared" si="1"/>
        <v>Wed</v>
      </c>
      <c r="B327" s="69">
        <v>43670.0</v>
      </c>
      <c r="D327" s="194">
        <v>294.93</v>
      </c>
      <c r="E327" s="4" t="s">
        <v>169</v>
      </c>
      <c r="F327" s="4" t="s">
        <v>1225</v>
      </c>
      <c r="I327" s="4" t="s">
        <v>224</v>
      </c>
      <c r="S327" s="213"/>
    </row>
    <row r="328">
      <c r="A328" s="67" t="str">
        <f t="shared" si="1"/>
        <v>Thu</v>
      </c>
      <c r="B328" s="69">
        <v>43671.0</v>
      </c>
      <c r="D328" s="194">
        <v>294.93</v>
      </c>
      <c r="E328" s="4" t="s">
        <v>169</v>
      </c>
      <c r="F328" s="4" t="s">
        <v>1225</v>
      </c>
      <c r="I328" s="4" t="s">
        <v>224</v>
      </c>
      <c r="S328" s="213"/>
    </row>
    <row r="329">
      <c r="A329" s="67" t="str">
        <f t="shared" si="1"/>
        <v>Fri</v>
      </c>
      <c r="B329" s="69">
        <v>43672.0</v>
      </c>
      <c r="D329" s="194">
        <v>294.93</v>
      </c>
      <c r="E329" s="4" t="s">
        <v>169</v>
      </c>
      <c r="F329" s="4" t="s">
        <v>1225</v>
      </c>
      <c r="I329" s="4" t="s">
        <v>224</v>
      </c>
      <c r="S329" s="213"/>
    </row>
    <row r="330">
      <c r="A330" s="67" t="str">
        <f t="shared" si="1"/>
        <v>Sat</v>
      </c>
      <c r="B330" s="69">
        <v>43673.0</v>
      </c>
      <c r="D330" s="194">
        <v>294.93</v>
      </c>
      <c r="E330" s="4" t="s">
        <v>169</v>
      </c>
      <c r="F330" s="4" t="s">
        <v>1225</v>
      </c>
      <c r="I330" s="4" t="s">
        <v>224</v>
      </c>
      <c r="S330" s="213"/>
    </row>
    <row r="331">
      <c r="A331" s="67" t="str">
        <f t="shared" si="1"/>
        <v>Sun</v>
      </c>
      <c r="B331" s="69">
        <v>43674.0</v>
      </c>
      <c r="D331" s="171"/>
      <c r="H331" s="4" t="s">
        <v>1225</v>
      </c>
      <c r="S331" s="213"/>
    </row>
    <row r="332">
      <c r="A332" s="67" t="str">
        <f t="shared" si="1"/>
        <v>Mon</v>
      </c>
      <c r="B332" s="69">
        <v>43675.0</v>
      </c>
      <c r="D332" s="171"/>
      <c r="S332" s="213"/>
    </row>
    <row r="333">
      <c r="A333" s="67" t="str">
        <f t="shared" si="1"/>
        <v>Tue</v>
      </c>
      <c r="B333" s="69">
        <v>43676.0</v>
      </c>
      <c r="D333" s="171"/>
      <c r="S333" s="213"/>
    </row>
    <row r="334">
      <c r="A334" s="67" t="str">
        <f t="shared" si="1"/>
        <v>Wed</v>
      </c>
      <c r="B334" s="69">
        <v>43677.0</v>
      </c>
      <c r="D334" s="171"/>
      <c r="S334" s="213"/>
    </row>
    <row r="335">
      <c r="A335" s="67" t="str">
        <f t="shared" si="1"/>
        <v>Thu</v>
      </c>
      <c r="B335" s="69">
        <v>43678.0</v>
      </c>
      <c r="D335" s="171"/>
      <c r="S335" s="213"/>
    </row>
    <row r="336">
      <c r="A336" s="67" t="str">
        <f t="shared" si="1"/>
        <v>Fri</v>
      </c>
      <c r="B336" s="69">
        <v>43679.0</v>
      </c>
      <c r="D336" s="171"/>
      <c r="S336" s="213"/>
    </row>
    <row r="337">
      <c r="A337" s="67" t="str">
        <f t="shared" si="1"/>
        <v>Sat</v>
      </c>
      <c r="B337" s="69">
        <v>43680.0</v>
      </c>
      <c r="D337" s="171"/>
      <c r="S337" s="213"/>
    </row>
    <row r="338">
      <c r="A338" s="67" t="str">
        <f t="shared" si="1"/>
        <v>Sun</v>
      </c>
      <c r="B338" s="69">
        <v>43681.0</v>
      </c>
      <c r="D338" s="171"/>
      <c r="S338" s="213"/>
    </row>
    <row r="339">
      <c r="A339" s="67" t="str">
        <f t="shared" si="1"/>
        <v>Mon</v>
      </c>
      <c r="B339" s="69">
        <v>43682.0</v>
      </c>
      <c r="D339" s="171"/>
      <c r="S339" s="213"/>
    </row>
    <row r="340">
      <c r="A340" s="67" t="str">
        <f t="shared" si="1"/>
        <v>Tue</v>
      </c>
      <c r="B340" s="69">
        <v>43683.0</v>
      </c>
      <c r="D340" s="171"/>
      <c r="S340" s="213"/>
    </row>
    <row r="341">
      <c r="A341" s="67" t="str">
        <f t="shared" si="1"/>
        <v>Wed</v>
      </c>
      <c r="B341" s="69">
        <v>43684.0</v>
      </c>
      <c r="D341" s="171"/>
      <c r="S341" s="213"/>
    </row>
    <row r="342">
      <c r="A342" s="67" t="str">
        <f t="shared" si="1"/>
        <v>Thu</v>
      </c>
      <c r="B342" s="69">
        <v>43685.0</v>
      </c>
      <c r="D342" s="171"/>
      <c r="S342" s="213"/>
    </row>
    <row r="343">
      <c r="A343" s="67" t="str">
        <f t="shared" si="1"/>
        <v>Fri</v>
      </c>
      <c r="B343" s="69">
        <v>43686.0</v>
      </c>
      <c r="D343" s="171"/>
      <c r="S343" s="213"/>
    </row>
    <row r="344">
      <c r="A344" s="67" t="str">
        <f t="shared" si="1"/>
        <v>Sat</v>
      </c>
      <c r="B344" s="69">
        <v>43687.0</v>
      </c>
      <c r="D344" s="171"/>
      <c r="S344" s="213"/>
    </row>
    <row r="345">
      <c r="A345" s="67" t="str">
        <f t="shared" si="1"/>
        <v>Sun</v>
      </c>
      <c r="B345" s="69">
        <v>43688.0</v>
      </c>
      <c r="D345" s="171"/>
      <c r="S345" s="213"/>
    </row>
    <row r="346">
      <c r="A346" s="67" t="str">
        <f t="shared" si="1"/>
        <v>Mon</v>
      </c>
      <c r="B346" s="69">
        <v>43689.0</v>
      </c>
      <c r="D346" s="171"/>
      <c r="S346" s="213"/>
    </row>
    <row r="347">
      <c r="A347" s="67" t="str">
        <f t="shared" si="1"/>
        <v>Tue</v>
      </c>
      <c r="B347" s="69">
        <v>43690.0</v>
      </c>
      <c r="D347" s="171"/>
      <c r="S347" s="213"/>
    </row>
    <row r="348">
      <c r="A348" s="67" t="str">
        <f t="shared" si="1"/>
        <v>Wed</v>
      </c>
      <c r="B348" s="69">
        <v>43691.0</v>
      </c>
      <c r="D348" s="171"/>
      <c r="S348" s="213"/>
    </row>
    <row r="349">
      <c r="A349" s="67" t="str">
        <f t="shared" si="1"/>
        <v>Thu</v>
      </c>
      <c r="B349" s="69">
        <v>43692.0</v>
      </c>
      <c r="D349" s="171"/>
      <c r="S349" s="213"/>
    </row>
    <row r="350">
      <c r="A350" s="67" t="str">
        <f t="shared" si="1"/>
        <v>Fri</v>
      </c>
      <c r="B350" s="69">
        <v>43693.0</v>
      </c>
      <c r="D350" s="171"/>
      <c r="S350" s="213"/>
    </row>
    <row r="351">
      <c r="A351" s="67" t="str">
        <f t="shared" si="1"/>
        <v>Sat</v>
      </c>
      <c r="B351" s="69">
        <v>43694.0</v>
      </c>
      <c r="D351" s="171"/>
      <c r="S351" s="213"/>
    </row>
    <row r="352">
      <c r="A352" s="67" t="str">
        <f t="shared" si="1"/>
        <v>Sun</v>
      </c>
      <c r="B352" s="69">
        <v>43695.0</v>
      </c>
      <c r="D352" s="171"/>
      <c r="S352" s="213"/>
    </row>
    <row r="353">
      <c r="A353" s="67" t="str">
        <f t="shared" si="1"/>
        <v>Mon</v>
      </c>
      <c r="B353" s="69">
        <v>43696.0</v>
      </c>
      <c r="D353" s="171"/>
      <c r="S353" s="213"/>
    </row>
    <row r="354">
      <c r="A354" s="67" t="str">
        <f t="shared" si="1"/>
        <v>Tue</v>
      </c>
      <c r="B354" s="69">
        <v>43697.0</v>
      </c>
      <c r="D354" s="171"/>
      <c r="S354" s="213"/>
    </row>
    <row r="355">
      <c r="A355" s="67" t="str">
        <f t="shared" si="1"/>
        <v>Wed</v>
      </c>
      <c r="B355" s="69">
        <v>43698.0</v>
      </c>
      <c r="D355" s="171"/>
      <c r="S355" s="213"/>
    </row>
    <row r="356">
      <c r="A356" s="67" t="str">
        <f t="shared" si="1"/>
        <v>Thu</v>
      </c>
      <c r="B356" s="69">
        <v>43699.0</v>
      </c>
      <c r="D356" s="171"/>
      <c r="S356" s="213"/>
    </row>
    <row r="357">
      <c r="A357" s="67" t="str">
        <f t="shared" si="1"/>
        <v>Fri</v>
      </c>
      <c r="B357" s="69">
        <v>43700.0</v>
      </c>
      <c r="D357" s="171"/>
      <c r="S357" s="213"/>
    </row>
    <row r="358">
      <c r="A358" s="67" t="str">
        <f t="shared" si="1"/>
        <v>Sat</v>
      </c>
      <c r="B358" s="69">
        <v>43701.0</v>
      </c>
      <c r="D358" s="171"/>
      <c r="S358" s="213"/>
    </row>
    <row r="359">
      <c r="A359" s="67" t="str">
        <f t="shared" si="1"/>
        <v>Sun</v>
      </c>
      <c r="B359" s="69">
        <v>43702.0</v>
      </c>
      <c r="D359" s="171"/>
      <c r="S359" s="213"/>
    </row>
    <row r="360">
      <c r="A360" s="67" t="str">
        <f t="shared" si="1"/>
        <v>Mon</v>
      </c>
      <c r="B360" s="69">
        <v>43703.0</v>
      </c>
      <c r="D360" s="171"/>
      <c r="S360" s="213"/>
    </row>
    <row r="361">
      <c r="A361" s="67" t="str">
        <f t="shared" si="1"/>
        <v>Tue</v>
      </c>
      <c r="B361" s="69">
        <v>43704.0</v>
      </c>
      <c r="D361" s="171"/>
      <c r="S361" s="213"/>
    </row>
    <row r="362">
      <c r="A362" s="67" t="str">
        <f t="shared" si="1"/>
        <v>Wed</v>
      </c>
      <c r="B362" s="69">
        <v>43705.0</v>
      </c>
      <c r="D362" s="171"/>
      <c r="S362" s="213"/>
    </row>
    <row r="363">
      <c r="A363" s="67" t="str">
        <f t="shared" si="1"/>
        <v>Thu</v>
      </c>
      <c r="B363" s="69">
        <v>43706.0</v>
      </c>
      <c r="D363" s="171"/>
      <c r="S363" s="213"/>
    </row>
    <row r="364">
      <c r="A364" s="67" t="str">
        <f t="shared" si="1"/>
        <v>Fri</v>
      </c>
      <c r="B364" s="69">
        <v>43707.0</v>
      </c>
      <c r="D364" s="171"/>
      <c r="S364" s="213"/>
    </row>
    <row r="365">
      <c r="A365" s="67" t="str">
        <f t="shared" si="1"/>
        <v>Sat</v>
      </c>
      <c r="B365" s="69">
        <v>43708.0</v>
      </c>
      <c r="D365" s="171"/>
      <c r="S365" s="213"/>
    </row>
    <row r="366">
      <c r="A366" s="67" t="str">
        <f t="shared" si="1"/>
        <v>Sun</v>
      </c>
      <c r="B366" s="69">
        <v>43709.0</v>
      </c>
      <c r="D366" s="171"/>
      <c r="S366" s="213"/>
    </row>
    <row r="367">
      <c r="A367" s="67" t="str">
        <f t="shared" si="1"/>
        <v>Mon</v>
      </c>
      <c r="B367" s="69">
        <v>43710.0</v>
      </c>
      <c r="D367" s="171"/>
      <c r="S367" s="213"/>
    </row>
    <row r="368">
      <c r="A368" s="67" t="str">
        <f t="shared" si="1"/>
        <v>Tue</v>
      </c>
      <c r="B368" s="69">
        <v>43711.0</v>
      </c>
      <c r="D368" s="171"/>
      <c r="S368" s="213"/>
    </row>
    <row r="369">
      <c r="A369" s="67" t="str">
        <f t="shared" si="1"/>
        <v>Wed</v>
      </c>
      <c r="B369" s="69">
        <v>43712.0</v>
      </c>
      <c r="D369" s="171"/>
      <c r="S369" s="213"/>
    </row>
    <row r="370">
      <c r="A370" s="67" t="str">
        <f t="shared" si="1"/>
        <v>Thu</v>
      </c>
      <c r="B370" s="69">
        <v>43713.0</v>
      </c>
      <c r="S370" s="213"/>
    </row>
    <row r="371">
      <c r="A371" s="67" t="str">
        <f t="shared" si="1"/>
        <v>Fri</v>
      </c>
      <c r="B371" s="69">
        <v>43714.0</v>
      </c>
      <c r="S371" s="213"/>
    </row>
    <row r="372">
      <c r="A372" s="67" t="str">
        <f t="shared" si="1"/>
        <v>Sat</v>
      </c>
      <c r="B372" s="69">
        <v>43715.0</v>
      </c>
      <c r="S372" s="213"/>
    </row>
    <row r="373">
      <c r="A373" s="67" t="str">
        <f t="shared" si="1"/>
        <v>Sun</v>
      </c>
      <c r="B373" s="69">
        <v>43716.0</v>
      </c>
      <c r="S373" s="213"/>
    </row>
    <row r="374">
      <c r="A374" s="67" t="str">
        <f t="shared" si="1"/>
        <v>Mon</v>
      </c>
      <c r="B374" s="69">
        <v>43717.0</v>
      </c>
      <c r="S374" s="213"/>
    </row>
    <row r="375">
      <c r="A375" s="67" t="str">
        <f t="shared" si="1"/>
        <v>Tue</v>
      </c>
      <c r="B375" s="69">
        <v>43718.0</v>
      </c>
      <c r="S375" s="213"/>
    </row>
    <row r="376">
      <c r="A376" s="67" t="str">
        <f t="shared" si="1"/>
        <v>Wed</v>
      </c>
      <c r="B376" s="69">
        <v>43719.0</v>
      </c>
      <c r="S376" s="213"/>
    </row>
    <row r="377">
      <c r="A377" s="67" t="str">
        <f t="shared" si="1"/>
        <v>Thu</v>
      </c>
      <c r="B377" s="69">
        <v>43720.0</v>
      </c>
      <c r="S377" s="213"/>
    </row>
    <row r="378">
      <c r="A378" s="67" t="str">
        <f t="shared" si="1"/>
        <v>Fri</v>
      </c>
      <c r="B378" s="69">
        <v>43721.0</v>
      </c>
      <c r="S378" s="213"/>
    </row>
    <row r="379">
      <c r="A379" s="67" t="str">
        <f t="shared" si="1"/>
        <v>Sat</v>
      </c>
      <c r="B379" s="69">
        <v>43722.0</v>
      </c>
      <c r="S379" s="213"/>
    </row>
    <row r="380">
      <c r="A380" s="67" t="str">
        <f t="shared" si="1"/>
        <v>Sun</v>
      </c>
      <c r="B380" s="69">
        <v>43723.0</v>
      </c>
      <c r="S380" s="213"/>
    </row>
    <row r="381">
      <c r="A381" s="67" t="str">
        <f t="shared" si="1"/>
        <v>Mon</v>
      </c>
      <c r="B381" s="69">
        <v>43724.0</v>
      </c>
      <c r="S381" s="213"/>
    </row>
    <row r="382">
      <c r="A382" s="67" t="str">
        <f t="shared" si="1"/>
        <v>Tue</v>
      </c>
      <c r="B382" s="69">
        <v>43725.0</v>
      </c>
      <c r="S382" s="213"/>
    </row>
    <row r="383">
      <c r="A383" s="67" t="str">
        <f t="shared" si="1"/>
        <v>Wed</v>
      </c>
      <c r="B383" s="69">
        <v>43726.0</v>
      </c>
      <c r="S383" s="213"/>
    </row>
    <row r="384">
      <c r="A384" s="67" t="str">
        <f t="shared" si="1"/>
        <v>Thu</v>
      </c>
      <c r="B384" s="69">
        <v>43727.0</v>
      </c>
      <c r="S384" s="213"/>
    </row>
    <row r="385">
      <c r="A385" s="67" t="str">
        <f t="shared" si="1"/>
        <v>Fri</v>
      </c>
      <c r="B385" s="69">
        <v>43728.0</v>
      </c>
      <c r="S385" s="213"/>
    </row>
    <row r="386">
      <c r="A386" s="67" t="str">
        <f t="shared" si="1"/>
        <v>Sat</v>
      </c>
      <c r="B386" s="69">
        <v>43729.0</v>
      </c>
      <c r="S386" s="213"/>
    </row>
    <row r="387">
      <c r="A387" s="67" t="str">
        <f t="shared" si="1"/>
        <v>Sun</v>
      </c>
      <c r="B387" s="69">
        <v>43730.0</v>
      </c>
      <c r="S387" s="213"/>
    </row>
    <row r="388">
      <c r="A388" s="67" t="str">
        <f t="shared" si="1"/>
        <v>Mon</v>
      </c>
      <c r="B388" s="69">
        <v>43731.0</v>
      </c>
      <c r="S388" s="213"/>
    </row>
    <row r="389">
      <c r="A389" s="67" t="str">
        <f t="shared" si="1"/>
        <v>Tue</v>
      </c>
      <c r="B389" s="69">
        <v>43732.0</v>
      </c>
      <c r="S389" s="213"/>
    </row>
    <row r="390">
      <c r="A390" s="67" t="str">
        <f t="shared" si="1"/>
        <v>Wed</v>
      </c>
      <c r="B390" s="69">
        <v>43733.0</v>
      </c>
      <c r="S390" s="213"/>
    </row>
    <row r="391">
      <c r="A391" s="67" t="str">
        <f t="shared" si="1"/>
        <v>Thu</v>
      </c>
      <c r="B391" s="69">
        <v>43734.0</v>
      </c>
      <c r="S391" s="213"/>
    </row>
    <row r="392">
      <c r="A392" s="67" t="str">
        <f t="shared" si="1"/>
        <v>Fri</v>
      </c>
      <c r="B392" s="69">
        <v>43735.0</v>
      </c>
      <c r="S392" s="213"/>
    </row>
    <row r="393">
      <c r="A393" s="67" t="str">
        <f t="shared" si="1"/>
        <v>Sat</v>
      </c>
      <c r="B393" s="69">
        <v>43736.0</v>
      </c>
      <c r="S393" s="213"/>
    </row>
    <row r="394">
      <c r="A394" s="67" t="str">
        <f t="shared" si="1"/>
        <v>Sun</v>
      </c>
      <c r="B394" s="69">
        <v>43737.0</v>
      </c>
      <c r="S394" s="213"/>
    </row>
    <row r="395">
      <c r="A395" s="67" t="str">
        <f t="shared" si="1"/>
        <v>Mon</v>
      </c>
      <c r="B395" s="69">
        <v>43738.0</v>
      </c>
      <c r="S395" s="213"/>
    </row>
    <row r="396">
      <c r="A396" s="67" t="str">
        <f t="shared" si="1"/>
        <v>Tue</v>
      </c>
      <c r="B396" s="69">
        <v>43739.0</v>
      </c>
      <c r="S396" s="213"/>
    </row>
    <row r="397">
      <c r="A397" s="67" t="str">
        <f t="shared" si="1"/>
        <v>Wed</v>
      </c>
      <c r="B397" s="69">
        <v>43740.0</v>
      </c>
      <c r="S397" s="213"/>
    </row>
    <row r="398">
      <c r="A398" s="67" t="str">
        <f t="shared" si="1"/>
        <v>Thu</v>
      </c>
      <c r="B398" s="69">
        <v>43741.0</v>
      </c>
      <c r="S398" s="213"/>
    </row>
    <row r="399">
      <c r="A399" s="67" t="str">
        <f t="shared" si="1"/>
        <v>Fri</v>
      </c>
      <c r="B399" s="69">
        <v>43742.0</v>
      </c>
      <c r="S399" s="213"/>
    </row>
    <row r="400">
      <c r="A400" s="67" t="str">
        <f t="shared" si="1"/>
        <v>Sat</v>
      </c>
      <c r="B400" s="69">
        <v>43743.0</v>
      </c>
      <c r="S400" s="213"/>
    </row>
    <row r="401">
      <c r="A401" s="67" t="str">
        <f t="shared" si="1"/>
        <v>Sun</v>
      </c>
      <c r="B401" s="69">
        <v>43744.0</v>
      </c>
      <c r="S401" s="213"/>
    </row>
    <row r="402">
      <c r="A402" s="67" t="str">
        <f t="shared" si="1"/>
        <v>Mon</v>
      </c>
      <c r="B402" s="69">
        <v>43745.0</v>
      </c>
      <c r="S402" s="213"/>
    </row>
    <row r="403">
      <c r="A403" s="67" t="str">
        <f t="shared" si="1"/>
        <v>Tue</v>
      </c>
      <c r="B403" s="69">
        <v>43746.0</v>
      </c>
      <c r="S403" s="213"/>
    </row>
    <row r="404">
      <c r="A404" s="67" t="str">
        <f t="shared" si="1"/>
        <v>Wed</v>
      </c>
      <c r="B404" s="69">
        <v>43747.0</v>
      </c>
      <c r="S404" s="213"/>
    </row>
    <row r="405">
      <c r="A405" s="67" t="str">
        <f t="shared" si="1"/>
        <v>Thu</v>
      </c>
      <c r="B405" s="69">
        <v>43748.0</v>
      </c>
      <c r="S405" s="213"/>
    </row>
    <row r="406">
      <c r="A406" s="67" t="str">
        <f t="shared" si="1"/>
        <v>Fri</v>
      </c>
      <c r="B406" s="69">
        <v>43749.0</v>
      </c>
      <c r="S406" s="213"/>
    </row>
    <row r="407">
      <c r="A407" s="67" t="str">
        <f t="shared" si="1"/>
        <v>Sat</v>
      </c>
      <c r="B407" s="69">
        <v>43750.0</v>
      </c>
      <c r="S407" s="213"/>
    </row>
    <row r="408">
      <c r="A408" s="67" t="str">
        <f t="shared" si="1"/>
        <v>Sun</v>
      </c>
      <c r="B408" s="69">
        <v>43751.0</v>
      </c>
      <c r="S408" s="213"/>
    </row>
    <row r="409">
      <c r="A409" s="67" t="str">
        <f t="shared" si="1"/>
        <v>Mon</v>
      </c>
      <c r="B409" s="69">
        <v>43752.0</v>
      </c>
      <c r="S409" s="213"/>
    </row>
    <row r="410">
      <c r="A410" s="67" t="str">
        <f t="shared" si="1"/>
        <v>Tue</v>
      </c>
      <c r="B410" s="69">
        <v>43753.0</v>
      </c>
      <c r="S410" s="213"/>
    </row>
    <row r="411">
      <c r="A411" s="67" t="str">
        <f t="shared" si="1"/>
        <v>Wed</v>
      </c>
      <c r="B411" s="69">
        <v>43754.0</v>
      </c>
      <c r="S411" s="213"/>
    </row>
    <row r="412">
      <c r="A412" s="67" t="str">
        <f t="shared" si="1"/>
        <v>Thu</v>
      </c>
      <c r="B412" s="69">
        <v>43755.0</v>
      </c>
      <c r="S412" s="213"/>
    </row>
    <row r="413">
      <c r="A413" s="67" t="str">
        <f t="shared" si="1"/>
        <v>Fri</v>
      </c>
      <c r="B413" s="69">
        <v>43756.0</v>
      </c>
      <c r="S413" s="213"/>
    </row>
    <row r="414">
      <c r="A414" s="67" t="str">
        <f t="shared" si="1"/>
        <v>Sat</v>
      </c>
      <c r="B414" s="69">
        <v>43757.0</v>
      </c>
      <c r="S414" s="213"/>
    </row>
    <row r="415">
      <c r="A415" s="67" t="str">
        <f t="shared" si="1"/>
        <v>Sun</v>
      </c>
      <c r="B415" s="69">
        <v>43758.0</v>
      </c>
      <c r="S415" s="213"/>
    </row>
    <row r="416">
      <c r="A416" s="67" t="str">
        <f t="shared" si="1"/>
        <v>Mon</v>
      </c>
      <c r="B416" s="69">
        <v>43759.0</v>
      </c>
      <c r="S416" s="213"/>
    </row>
    <row r="417">
      <c r="A417" s="67" t="str">
        <f t="shared" si="1"/>
        <v>Tue</v>
      </c>
      <c r="B417" s="69">
        <v>43760.0</v>
      </c>
      <c r="S417" s="213"/>
    </row>
    <row r="418">
      <c r="A418" s="67" t="str">
        <f t="shared" si="1"/>
        <v>Wed</v>
      </c>
      <c r="B418" s="69">
        <v>43761.0</v>
      </c>
      <c r="S418" s="213"/>
    </row>
    <row r="419">
      <c r="A419" s="67" t="str">
        <f t="shared" si="1"/>
        <v>Thu</v>
      </c>
      <c r="B419" s="69">
        <v>43762.0</v>
      </c>
      <c r="S419" s="213"/>
    </row>
    <row r="420">
      <c r="A420" s="67" t="str">
        <f t="shared" si="1"/>
        <v>Fri</v>
      </c>
      <c r="B420" s="69">
        <v>43763.0</v>
      </c>
      <c r="S420" s="213"/>
    </row>
    <row r="421">
      <c r="A421" s="67" t="str">
        <f t="shared" si="1"/>
        <v>Sat</v>
      </c>
      <c r="B421" s="69">
        <v>43764.0</v>
      </c>
      <c r="S421" s="213"/>
    </row>
    <row r="422">
      <c r="A422" s="67" t="str">
        <f t="shared" si="1"/>
        <v>Sun</v>
      </c>
      <c r="B422" s="69">
        <v>43765.0</v>
      </c>
      <c r="S422" s="213"/>
    </row>
    <row r="423">
      <c r="A423" s="67" t="str">
        <f t="shared" si="1"/>
        <v>Mon</v>
      </c>
      <c r="B423" s="69">
        <v>43766.0</v>
      </c>
      <c r="S423" s="213"/>
    </row>
    <row r="424">
      <c r="A424" s="67" t="str">
        <f t="shared" si="1"/>
        <v>Tue</v>
      </c>
      <c r="B424" s="69">
        <v>43767.0</v>
      </c>
      <c r="S424" s="213"/>
    </row>
    <row r="425">
      <c r="A425" s="67" t="str">
        <f t="shared" si="1"/>
        <v>Wed</v>
      </c>
      <c r="B425" s="69">
        <v>43768.0</v>
      </c>
      <c r="S425" s="213"/>
    </row>
    <row r="426">
      <c r="A426" s="67" t="str">
        <f t="shared" si="1"/>
        <v>Thu</v>
      </c>
      <c r="B426" s="69">
        <v>43769.0</v>
      </c>
      <c r="S426" s="213"/>
    </row>
    <row r="427">
      <c r="A427" s="67" t="str">
        <f t="shared" si="1"/>
        <v>Fri</v>
      </c>
      <c r="B427" s="69">
        <v>43770.0</v>
      </c>
      <c r="S427" s="213"/>
    </row>
    <row r="428">
      <c r="A428" s="67" t="str">
        <f t="shared" si="1"/>
        <v>Sat</v>
      </c>
      <c r="B428" s="69">
        <v>43771.0</v>
      </c>
      <c r="S428" s="213"/>
    </row>
    <row r="429">
      <c r="A429" s="67" t="str">
        <f t="shared" si="1"/>
        <v>Sun</v>
      </c>
      <c r="B429" s="69">
        <v>43772.0</v>
      </c>
      <c r="S429" s="213"/>
    </row>
    <row r="430">
      <c r="A430" s="67" t="str">
        <f t="shared" si="1"/>
        <v>Mon</v>
      </c>
      <c r="B430" s="69">
        <v>43773.0</v>
      </c>
      <c r="S430" s="213"/>
    </row>
    <row r="431">
      <c r="A431" s="67" t="str">
        <f t="shared" si="1"/>
        <v>Tue</v>
      </c>
      <c r="B431" s="69">
        <v>43774.0</v>
      </c>
      <c r="S431" s="213"/>
    </row>
    <row r="432">
      <c r="A432" s="67" t="str">
        <f t="shared" si="1"/>
        <v>Wed</v>
      </c>
      <c r="B432" s="69">
        <v>43775.0</v>
      </c>
      <c r="S432" s="213"/>
    </row>
    <row r="433">
      <c r="A433" s="67" t="str">
        <f t="shared" si="1"/>
        <v>Thu</v>
      </c>
      <c r="B433" s="69">
        <v>43776.0</v>
      </c>
      <c r="S433" s="213"/>
    </row>
    <row r="434">
      <c r="A434" s="67" t="str">
        <f t="shared" si="1"/>
        <v>Fri</v>
      </c>
      <c r="B434" s="69">
        <v>43777.0</v>
      </c>
      <c r="S434" s="213"/>
    </row>
    <row r="435">
      <c r="A435" s="67" t="str">
        <f t="shared" si="1"/>
        <v>Sat</v>
      </c>
      <c r="B435" s="69">
        <v>43778.0</v>
      </c>
      <c r="S435" s="213"/>
    </row>
    <row r="436">
      <c r="A436" s="67" t="str">
        <f t="shared" si="1"/>
        <v>Sun</v>
      </c>
      <c r="B436" s="69">
        <v>43779.0</v>
      </c>
      <c r="S436" s="213"/>
    </row>
    <row r="437">
      <c r="A437" s="67" t="str">
        <f t="shared" si="1"/>
        <v>Mon</v>
      </c>
      <c r="B437" s="69">
        <v>43780.0</v>
      </c>
      <c r="S437" s="213"/>
    </row>
    <row r="438">
      <c r="A438" s="67" t="str">
        <f t="shared" si="1"/>
        <v>Tue</v>
      </c>
      <c r="B438" s="69">
        <v>43781.0</v>
      </c>
      <c r="S438" s="213"/>
    </row>
    <row r="439">
      <c r="A439" s="67" t="str">
        <f t="shared" si="1"/>
        <v>Wed</v>
      </c>
      <c r="B439" s="69">
        <v>43782.0</v>
      </c>
      <c r="S439" s="213"/>
    </row>
    <row r="440">
      <c r="A440" s="67" t="str">
        <f t="shared" si="1"/>
        <v>Thu</v>
      </c>
      <c r="B440" s="69">
        <v>43783.0</v>
      </c>
      <c r="S440" s="213"/>
    </row>
    <row r="441">
      <c r="A441" s="67" t="str">
        <f t="shared" si="1"/>
        <v>Fri</v>
      </c>
      <c r="B441" s="69">
        <v>43784.0</v>
      </c>
      <c r="S441" s="213"/>
    </row>
    <row r="442">
      <c r="A442" s="67" t="str">
        <f t="shared" si="1"/>
        <v>Sat</v>
      </c>
      <c r="B442" s="69">
        <v>43785.0</v>
      </c>
      <c r="S442" s="213"/>
    </row>
    <row r="443">
      <c r="A443" s="67" t="str">
        <f t="shared" si="1"/>
        <v>Sun</v>
      </c>
      <c r="B443" s="69">
        <v>43786.0</v>
      </c>
      <c r="S443" s="213"/>
    </row>
    <row r="444">
      <c r="A444" s="67" t="str">
        <f t="shared" si="1"/>
        <v>Mon</v>
      </c>
      <c r="B444" s="69">
        <v>43787.0</v>
      </c>
      <c r="S444" s="213"/>
    </row>
    <row r="445">
      <c r="A445" s="67" t="str">
        <f t="shared" si="1"/>
        <v>Tue</v>
      </c>
      <c r="B445" s="69">
        <v>43788.0</v>
      </c>
      <c r="S445" s="213"/>
    </row>
    <row r="446">
      <c r="A446" s="67" t="str">
        <f t="shared" si="1"/>
        <v>Wed</v>
      </c>
      <c r="B446" s="69">
        <v>43789.0</v>
      </c>
      <c r="S446" s="213"/>
    </row>
    <row r="447">
      <c r="A447" s="67" t="str">
        <f t="shared" si="1"/>
        <v>Thu</v>
      </c>
      <c r="B447" s="69">
        <v>43790.0</v>
      </c>
      <c r="S447" s="213"/>
    </row>
    <row r="448">
      <c r="A448" s="67" t="str">
        <f t="shared" si="1"/>
        <v>Fri</v>
      </c>
      <c r="B448" s="69">
        <v>43791.0</v>
      </c>
      <c r="S448" s="213"/>
    </row>
    <row r="449">
      <c r="A449" s="67" t="str">
        <f t="shared" si="1"/>
        <v>Sat</v>
      </c>
      <c r="B449" s="69">
        <v>43792.0</v>
      </c>
      <c r="S449" s="213"/>
    </row>
    <row r="450">
      <c r="A450" s="67" t="str">
        <f t="shared" si="1"/>
        <v>Sun</v>
      </c>
      <c r="B450" s="69">
        <v>43793.0</v>
      </c>
      <c r="S450" s="213"/>
    </row>
    <row r="451">
      <c r="A451" s="67" t="str">
        <f t="shared" si="1"/>
        <v>Mon</v>
      </c>
      <c r="B451" s="69">
        <v>43794.0</v>
      </c>
      <c r="S451" s="213"/>
    </row>
    <row r="452">
      <c r="A452" s="67" t="str">
        <f t="shared" si="1"/>
        <v>Tue</v>
      </c>
      <c r="B452" s="69">
        <v>43795.0</v>
      </c>
      <c r="S452" s="213"/>
    </row>
    <row r="453">
      <c r="A453" s="67" t="str">
        <f t="shared" si="1"/>
        <v>Wed</v>
      </c>
      <c r="B453" s="69">
        <v>43796.0</v>
      </c>
      <c r="S453" s="213"/>
    </row>
    <row r="454">
      <c r="A454" s="67" t="str">
        <f t="shared" si="1"/>
        <v>Thu</v>
      </c>
      <c r="B454" s="69">
        <v>43797.0</v>
      </c>
      <c r="S454" s="213"/>
    </row>
    <row r="455">
      <c r="A455" s="67" t="str">
        <f t="shared" si="1"/>
        <v>Fri</v>
      </c>
      <c r="B455" s="69">
        <v>43798.0</v>
      </c>
      <c r="S455" s="213"/>
    </row>
    <row r="456">
      <c r="A456" s="67" t="str">
        <f t="shared" si="1"/>
        <v>Sat</v>
      </c>
      <c r="B456" s="69">
        <v>43799.0</v>
      </c>
      <c r="S456" s="213"/>
    </row>
    <row r="457">
      <c r="A457" s="67" t="str">
        <f t="shared" si="1"/>
        <v>Sun</v>
      </c>
      <c r="B457" s="69">
        <v>43800.0</v>
      </c>
      <c r="S457" s="213"/>
    </row>
    <row r="458">
      <c r="A458" s="67" t="str">
        <f t="shared" si="1"/>
        <v>Mon</v>
      </c>
      <c r="B458" s="69">
        <v>43801.0</v>
      </c>
      <c r="S458" s="213"/>
    </row>
    <row r="459">
      <c r="A459" s="67" t="str">
        <f t="shared" si="1"/>
        <v>Tue</v>
      </c>
      <c r="B459" s="69">
        <v>43802.0</v>
      </c>
      <c r="S459" s="213"/>
    </row>
    <row r="460">
      <c r="A460" s="67" t="str">
        <f t="shared" si="1"/>
        <v>Wed</v>
      </c>
      <c r="B460" s="69">
        <v>43803.0</v>
      </c>
      <c r="S460" s="213"/>
    </row>
    <row r="461">
      <c r="A461" s="67" t="str">
        <f t="shared" si="1"/>
        <v>Thu</v>
      </c>
      <c r="B461" s="69">
        <v>43804.0</v>
      </c>
      <c r="S461" s="213"/>
    </row>
    <row r="462">
      <c r="A462" s="67" t="str">
        <f t="shared" si="1"/>
        <v>Fri</v>
      </c>
      <c r="B462" s="69">
        <v>43805.0</v>
      </c>
      <c r="S462" s="213"/>
    </row>
    <row r="463">
      <c r="A463" s="67" t="str">
        <f t="shared" si="1"/>
        <v>Sat</v>
      </c>
      <c r="B463" s="69">
        <v>43806.0</v>
      </c>
      <c r="S463" s="213"/>
    </row>
    <row r="464">
      <c r="A464" s="67" t="str">
        <f t="shared" si="1"/>
        <v>Sun</v>
      </c>
      <c r="B464" s="69">
        <v>43807.0</v>
      </c>
      <c r="S464" s="213"/>
    </row>
    <row r="465">
      <c r="A465" s="67" t="str">
        <f t="shared" si="1"/>
        <v>Mon</v>
      </c>
      <c r="B465" s="69">
        <v>43808.0</v>
      </c>
      <c r="S465" s="213"/>
    </row>
    <row r="466">
      <c r="A466" s="67" t="str">
        <f t="shared" si="1"/>
        <v>Tue</v>
      </c>
      <c r="B466" s="69">
        <v>43809.0</v>
      </c>
      <c r="S466" s="213"/>
    </row>
    <row r="467">
      <c r="A467" s="67" t="str">
        <f t="shared" si="1"/>
        <v>Wed</v>
      </c>
      <c r="B467" s="69">
        <v>43810.0</v>
      </c>
      <c r="S467" s="213"/>
    </row>
    <row r="468">
      <c r="A468" s="67" t="str">
        <f t="shared" si="1"/>
        <v>Thu</v>
      </c>
      <c r="B468" s="69">
        <v>43811.0</v>
      </c>
      <c r="S468" s="213"/>
    </row>
    <row r="469">
      <c r="A469" s="67" t="str">
        <f t="shared" si="1"/>
        <v>Fri</v>
      </c>
      <c r="B469" s="69">
        <v>43812.0</v>
      </c>
      <c r="S469" s="213"/>
    </row>
    <row r="470">
      <c r="A470" s="67" t="str">
        <f t="shared" si="1"/>
        <v>Sat</v>
      </c>
      <c r="B470" s="69">
        <v>43813.0</v>
      </c>
      <c r="S470" s="213"/>
    </row>
    <row r="471">
      <c r="A471" s="67" t="str">
        <f t="shared" si="1"/>
        <v>Sun</v>
      </c>
      <c r="B471" s="69">
        <v>43814.0</v>
      </c>
      <c r="S471" s="213"/>
    </row>
    <row r="472">
      <c r="A472" s="67" t="str">
        <f t="shared" si="1"/>
        <v>Mon</v>
      </c>
      <c r="B472" s="69">
        <v>43815.0</v>
      </c>
      <c r="S472" s="213"/>
    </row>
    <row r="473">
      <c r="A473" s="67" t="str">
        <f t="shared" si="1"/>
        <v>Tue</v>
      </c>
      <c r="B473" s="69">
        <v>43816.0</v>
      </c>
      <c r="S473" s="213"/>
    </row>
    <row r="474">
      <c r="A474" s="67" t="str">
        <f t="shared" si="1"/>
        <v>Wed</v>
      </c>
      <c r="B474" s="69">
        <v>43817.0</v>
      </c>
      <c r="S474" s="213"/>
    </row>
    <row r="475">
      <c r="A475" s="67" t="str">
        <f t="shared" si="1"/>
        <v>Thu</v>
      </c>
      <c r="B475" s="69">
        <v>43818.0</v>
      </c>
      <c r="S475" s="213"/>
    </row>
    <row r="476">
      <c r="A476" s="67" t="str">
        <f t="shared" si="1"/>
        <v>Fri</v>
      </c>
      <c r="B476" s="69">
        <v>43819.0</v>
      </c>
      <c r="S476" s="213"/>
    </row>
    <row r="477">
      <c r="A477" s="67" t="str">
        <f t="shared" si="1"/>
        <v>Sat</v>
      </c>
      <c r="B477" s="69">
        <v>43820.0</v>
      </c>
      <c r="S477" s="213"/>
    </row>
    <row r="478">
      <c r="A478" s="67" t="str">
        <f t="shared" si="1"/>
        <v>Sun</v>
      </c>
      <c r="B478" s="69">
        <v>43821.0</v>
      </c>
      <c r="S478" s="213"/>
    </row>
    <row r="479">
      <c r="A479" s="67" t="str">
        <f t="shared" si="1"/>
        <v>Mon</v>
      </c>
      <c r="B479" s="69">
        <v>43822.0</v>
      </c>
      <c r="S479" s="213"/>
    </row>
    <row r="480">
      <c r="A480" s="67" t="str">
        <f t="shared" si="1"/>
        <v>Tue</v>
      </c>
      <c r="B480" s="69">
        <v>43823.0</v>
      </c>
      <c r="S480" s="213"/>
    </row>
    <row r="481">
      <c r="A481" s="67" t="str">
        <f t="shared" si="1"/>
        <v>Wed</v>
      </c>
      <c r="B481" s="69">
        <v>43824.0</v>
      </c>
      <c r="S481" s="213"/>
    </row>
    <row r="482">
      <c r="A482" s="67" t="str">
        <f t="shared" si="1"/>
        <v>Thu</v>
      </c>
      <c r="B482" s="69">
        <v>43825.0</v>
      </c>
      <c r="S482" s="213"/>
    </row>
    <row r="483">
      <c r="A483" s="67" t="str">
        <f t="shared" si="1"/>
        <v>Fri</v>
      </c>
      <c r="B483" s="69">
        <v>43826.0</v>
      </c>
      <c r="S483" s="213"/>
    </row>
    <row r="484">
      <c r="A484" s="67" t="str">
        <f t="shared" si="1"/>
        <v>Sat</v>
      </c>
      <c r="B484" s="69">
        <v>43827.0</v>
      </c>
      <c r="S484" s="213"/>
    </row>
    <row r="485">
      <c r="A485" s="67" t="str">
        <f t="shared" si="1"/>
        <v>Sun</v>
      </c>
      <c r="B485" s="69">
        <v>43828.0</v>
      </c>
      <c r="S485" s="213"/>
    </row>
    <row r="486">
      <c r="A486" s="67" t="str">
        <f t="shared" si="1"/>
        <v>Mon</v>
      </c>
      <c r="B486" s="69">
        <v>43829.0</v>
      </c>
      <c r="S486" s="213"/>
    </row>
    <row r="487">
      <c r="A487" s="67" t="str">
        <f t="shared" si="1"/>
        <v>Tue</v>
      </c>
      <c r="B487" s="69">
        <v>43830.0</v>
      </c>
      <c r="S487" s="213"/>
    </row>
    <row r="488">
      <c r="A488" s="67" t="str">
        <f t="shared" si="1"/>
        <v>Wed</v>
      </c>
      <c r="B488" s="69">
        <v>43831.0</v>
      </c>
      <c r="S488" s="213"/>
    </row>
    <row r="489">
      <c r="A489" s="67" t="str">
        <f t="shared" si="1"/>
        <v>Thu</v>
      </c>
      <c r="B489" s="69">
        <v>43832.0</v>
      </c>
      <c r="S489" s="213"/>
    </row>
    <row r="490">
      <c r="A490" s="67" t="str">
        <f t="shared" si="1"/>
        <v>Fri</v>
      </c>
      <c r="B490" s="69">
        <v>43833.0</v>
      </c>
      <c r="S490" s="213"/>
    </row>
    <row r="491">
      <c r="A491" s="67" t="str">
        <f t="shared" si="1"/>
        <v>Sat</v>
      </c>
      <c r="B491" s="69">
        <v>43834.0</v>
      </c>
      <c r="S491" s="213"/>
    </row>
    <row r="492">
      <c r="A492" s="67" t="str">
        <f t="shared" si="1"/>
        <v>Sun</v>
      </c>
      <c r="B492" s="69">
        <v>43835.0</v>
      </c>
      <c r="S492" s="213"/>
    </row>
    <row r="493">
      <c r="A493" s="67" t="str">
        <f t="shared" si="1"/>
        <v>Mon</v>
      </c>
      <c r="B493" s="69">
        <v>43836.0</v>
      </c>
      <c r="S493" s="213"/>
    </row>
    <row r="494">
      <c r="A494" s="67" t="str">
        <f t="shared" si="1"/>
        <v>Tue</v>
      </c>
      <c r="B494" s="69">
        <v>43837.0</v>
      </c>
      <c r="S494" s="213"/>
    </row>
    <row r="495">
      <c r="A495" s="67" t="str">
        <f t="shared" si="1"/>
        <v>Wed</v>
      </c>
      <c r="B495" s="69">
        <v>43838.0</v>
      </c>
      <c r="S495" s="213"/>
    </row>
    <row r="496">
      <c r="A496" s="67" t="str">
        <f t="shared" si="1"/>
        <v>Thu</v>
      </c>
      <c r="B496" s="69">
        <v>43839.0</v>
      </c>
      <c r="S496" s="213"/>
    </row>
    <row r="497">
      <c r="A497" s="67" t="str">
        <f t="shared" si="1"/>
        <v>Fri</v>
      </c>
      <c r="B497" s="69">
        <v>43840.0</v>
      </c>
      <c r="S497" s="213"/>
    </row>
    <row r="498">
      <c r="A498" s="67" t="str">
        <f t="shared" si="1"/>
        <v>Sat</v>
      </c>
      <c r="B498" s="69">
        <v>43841.0</v>
      </c>
      <c r="S498" s="213"/>
    </row>
    <row r="499">
      <c r="A499" s="67" t="str">
        <f t="shared" si="1"/>
        <v>Sun</v>
      </c>
      <c r="B499" s="69">
        <v>43842.0</v>
      </c>
      <c r="S499" s="213"/>
    </row>
    <row r="500">
      <c r="A500" s="67" t="str">
        <f t="shared" si="1"/>
        <v>Mon</v>
      </c>
      <c r="B500" s="69">
        <v>43843.0</v>
      </c>
      <c r="S500" s="213"/>
    </row>
    <row r="501">
      <c r="A501" s="67" t="str">
        <f t="shared" si="1"/>
        <v>Tue</v>
      </c>
      <c r="B501" s="69">
        <v>43844.0</v>
      </c>
      <c r="S501" s="213"/>
    </row>
    <row r="502">
      <c r="A502" s="67" t="str">
        <f t="shared" si="1"/>
        <v>Wed</v>
      </c>
      <c r="B502" s="69">
        <v>43845.0</v>
      </c>
      <c r="S502" s="213"/>
    </row>
    <row r="503">
      <c r="A503" s="67" t="str">
        <f t="shared" si="1"/>
        <v>Thu</v>
      </c>
      <c r="B503" s="69">
        <v>43846.0</v>
      </c>
      <c r="S503" s="213"/>
    </row>
    <row r="504">
      <c r="A504" s="67" t="str">
        <f t="shared" si="1"/>
        <v>Fri</v>
      </c>
      <c r="B504" s="69">
        <v>43847.0</v>
      </c>
      <c r="S504" s="213"/>
    </row>
    <row r="505">
      <c r="A505" s="67" t="str">
        <f t="shared" si="1"/>
        <v>Sat</v>
      </c>
      <c r="B505" s="69">
        <v>43848.0</v>
      </c>
      <c r="S505" s="213"/>
    </row>
    <row r="506">
      <c r="A506" s="67" t="str">
        <f t="shared" si="1"/>
        <v>Sun</v>
      </c>
      <c r="B506" s="69">
        <v>43849.0</v>
      </c>
      <c r="S506" s="213"/>
    </row>
    <row r="507">
      <c r="A507" s="67" t="str">
        <f t="shared" si="1"/>
        <v>Mon</v>
      </c>
      <c r="B507" s="69">
        <v>43850.0</v>
      </c>
      <c r="S507" s="213"/>
    </row>
    <row r="508">
      <c r="A508" s="67" t="str">
        <f t="shared" si="1"/>
        <v>Tue</v>
      </c>
      <c r="B508" s="69">
        <v>43851.0</v>
      </c>
      <c r="S508" s="213"/>
    </row>
    <row r="509">
      <c r="A509" s="67" t="str">
        <f t="shared" si="1"/>
        <v>Wed</v>
      </c>
      <c r="B509" s="69">
        <v>43852.0</v>
      </c>
      <c r="S509" s="213"/>
    </row>
    <row r="510">
      <c r="A510" s="67" t="str">
        <f t="shared" si="1"/>
        <v>Thu</v>
      </c>
      <c r="B510" s="69">
        <v>43853.0</v>
      </c>
      <c r="S510" s="213"/>
    </row>
    <row r="511">
      <c r="A511" s="67" t="str">
        <f t="shared" si="1"/>
        <v>Fri</v>
      </c>
      <c r="B511" s="69">
        <v>43854.0</v>
      </c>
      <c r="S511" s="213"/>
    </row>
    <row r="512">
      <c r="A512" s="67" t="str">
        <f t="shared" si="1"/>
        <v>Sat</v>
      </c>
      <c r="B512" s="69">
        <v>43855.0</v>
      </c>
      <c r="S512" s="213"/>
    </row>
    <row r="513">
      <c r="A513" s="67" t="str">
        <f t="shared" si="1"/>
        <v>Sun</v>
      </c>
      <c r="B513" s="69">
        <v>43856.0</v>
      </c>
      <c r="S513" s="213"/>
    </row>
    <row r="514">
      <c r="A514" s="67" t="str">
        <f t="shared" si="1"/>
        <v>Mon</v>
      </c>
      <c r="B514" s="69">
        <v>43857.0</v>
      </c>
      <c r="S514" s="213"/>
    </row>
    <row r="515">
      <c r="A515" s="67" t="str">
        <f t="shared" si="1"/>
        <v>Tue</v>
      </c>
      <c r="B515" s="69">
        <v>43858.0</v>
      </c>
      <c r="S515" s="213"/>
    </row>
    <row r="516">
      <c r="A516" s="67" t="str">
        <f t="shared" si="1"/>
        <v>Wed</v>
      </c>
      <c r="B516" s="69">
        <v>43859.0</v>
      </c>
      <c r="S516" s="213"/>
    </row>
    <row r="517">
      <c r="A517" s="67" t="str">
        <f t="shared" si="1"/>
        <v>Thu</v>
      </c>
      <c r="B517" s="69">
        <v>43860.0</v>
      </c>
      <c r="S517" s="213"/>
    </row>
    <row r="518">
      <c r="A518" s="67" t="str">
        <f t="shared" si="1"/>
        <v>Fri</v>
      </c>
      <c r="B518" s="69">
        <v>43861.0</v>
      </c>
      <c r="S518" s="213"/>
    </row>
    <row r="519">
      <c r="A519" s="67" t="str">
        <f t="shared" si="1"/>
        <v>Sat</v>
      </c>
      <c r="B519" s="69">
        <v>43862.0</v>
      </c>
      <c r="S519" s="213"/>
    </row>
    <row r="520">
      <c r="A520" s="67" t="str">
        <f t="shared" si="1"/>
        <v>Sun</v>
      </c>
      <c r="B520" s="69">
        <v>43863.0</v>
      </c>
      <c r="S520" s="213"/>
    </row>
    <row r="521">
      <c r="A521" s="67" t="str">
        <f t="shared" si="1"/>
        <v>Mon</v>
      </c>
      <c r="B521" s="69">
        <v>43864.0</v>
      </c>
      <c r="S521" s="213"/>
    </row>
    <row r="522">
      <c r="A522" s="67" t="str">
        <f t="shared" si="1"/>
        <v>Tue</v>
      </c>
      <c r="B522" s="69">
        <v>43865.0</v>
      </c>
      <c r="S522" s="213"/>
    </row>
    <row r="523">
      <c r="A523" s="67" t="str">
        <f t="shared" si="1"/>
        <v>Wed</v>
      </c>
      <c r="B523" s="69">
        <v>43866.0</v>
      </c>
      <c r="S523" s="213"/>
    </row>
    <row r="524">
      <c r="A524" s="67" t="str">
        <f t="shared" si="1"/>
        <v>Thu</v>
      </c>
      <c r="B524" s="69">
        <v>43867.0</v>
      </c>
      <c r="S524" s="213"/>
    </row>
    <row r="525">
      <c r="A525" s="67" t="str">
        <f t="shared" si="1"/>
        <v>Fri</v>
      </c>
      <c r="B525" s="69">
        <v>43868.0</v>
      </c>
      <c r="S525" s="213"/>
    </row>
    <row r="526">
      <c r="A526" s="67" t="str">
        <f t="shared" si="1"/>
        <v>Sat</v>
      </c>
      <c r="B526" s="69">
        <v>43869.0</v>
      </c>
      <c r="S526" s="213"/>
    </row>
    <row r="527">
      <c r="A527" s="67" t="str">
        <f t="shared" si="1"/>
        <v>Sun</v>
      </c>
      <c r="B527" s="69">
        <v>43870.0</v>
      </c>
      <c r="S527" s="213"/>
    </row>
    <row r="528">
      <c r="A528" s="67" t="str">
        <f t="shared" si="1"/>
        <v>Mon</v>
      </c>
      <c r="B528" s="69">
        <v>43871.0</v>
      </c>
      <c r="S528" s="213"/>
    </row>
    <row r="529">
      <c r="A529" s="67" t="str">
        <f t="shared" si="1"/>
        <v>Tue</v>
      </c>
      <c r="B529" s="69">
        <v>43872.0</v>
      </c>
      <c r="S529" s="213"/>
    </row>
    <row r="530">
      <c r="A530" s="67" t="str">
        <f t="shared" si="1"/>
        <v>Wed</v>
      </c>
      <c r="B530" s="69">
        <v>43873.0</v>
      </c>
      <c r="S530" s="213"/>
    </row>
    <row r="531">
      <c r="A531" s="67" t="str">
        <f t="shared" si="1"/>
        <v>Thu</v>
      </c>
      <c r="B531" s="69">
        <v>43874.0</v>
      </c>
      <c r="S531" s="213"/>
    </row>
    <row r="532">
      <c r="A532" s="67" t="str">
        <f t="shared" si="1"/>
        <v>Fri</v>
      </c>
      <c r="B532" s="69">
        <v>43875.0</v>
      </c>
      <c r="S532" s="213"/>
    </row>
    <row r="533">
      <c r="A533" s="67" t="str">
        <f t="shared" si="1"/>
        <v>Sat</v>
      </c>
      <c r="B533" s="69">
        <v>43876.0</v>
      </c>
      <c r="S533" s="213"/>
    </row>
    <row r="534">
      <c r="A534" s="67" t="str">
        <f t="shared" si="1"/>
        <v>Sun</v>
      </c>
      <c r="B534" s="69">
        <v>43877.0</v>
      </c>
      <c r="S534" s="213"/>
    </row>
    <row r="535">
      <c r="A535" s="67" t="str">
        <f t="shared" si="1"/>
        <v>Mon</v>
      </c>
      <c r="B535" s="69">
        <v>43878.0</v>
      </c>
      <c r="S535" s="213"/>
    </row>
    <row r="536">
      <c r="A536" s="67" t="str">
        <f t="shared" si="1"/>
        <v>Tue</v>
      </c>
      <c r="B536" s="69">
        <v>43879.0</v>
      </c>
      <c r="S536" s="213"/>
    </row>
    <row r="537">
      <c r="A537" s="67" t="str">
        <f t="shared" si="1"/>
        <v>Wed</v>
      </c>
      <c r="B537" s="69">
        <v>43880.0</v>
      </c>
      <c r="S537" s="213"/>
    </row>
    <row r="538">
      <c r="A538" s="67" t="str">
        <f t="shared" si="1"/>
        <v>Thu</v>
      </c>
      <c r="B538" s="69">
        <v>43881.0</v>
      </c>
      <c r="S538" s="213"/>
    </row>
    <row r="539">
      <c r="A539" s="67" t="str">
        <f t="shared" si="1"/>
        <v>Fri</v>
      </c>
      <c r="B539" s="69">
        <v>43882.0</v>
      </c>
      <c r="S539" s="213"/>
    </row>
    <row r="540">
      <c r="A540" s="67" t="str">
        <f t="shared" si="1"/>
        <v>Sat</v>
      </c>
      <c r="B540" s="69">
        <v>43883.0</v>
      </c>
      <c r="S540" s="213"/>
    </row>
    <row r="541">
      <c r="A541" s="67" t="str">
        <f t="shared" si="1"/>
        <v>Sun</v>
      </c>
      <c r="B541" s="69">
        <v>43884.0</v>
      </c>
      <c r="S541" s="213"/>
    </row>
    <row r="542">
      <c r="A542" s="67" t="str">
        <f t="shared" si="1"/>
        <v>Mon</v>
      </c>
      <c r="B542" s="69">
        <v>43885.0</v>
      </c>
      <c r="S542" s="213"/>
    </row>
    <row r="543">
      <c r="A543" s="67" t="str">
        <f t="shared" si="1"/>
        <v>Tue</v>
      </c>
      <c r="B543" s="69">
        <v>43886.0</v>
      </c>
      <c r="S543" s="213"/>
    </row>
    <row r="544">
      <c r="A544" s="67" t="str">
        <f t="shared" si="1"/>
        <v>Wed</v>
      </c>
      <c r="B544" s="69">
        <v>43887.0</v>
      </c>
      <c r="S544" s="213"/>
    </row>
    <row r="545">
      <c r="A545" s="67" t="str">
        <f t="shared" si="1"/>
        <v>Thu</v>
      </c>
      <c r="B545" s="69">
        <v>43888.0</v>
      </c>
      <c r="S545" s="213"/>
    </row>
    <row r="546">
      <c r="A546" s="67" t="str">
        <f t="shared" si="1"/>
        <v>Fri</v>
      </c>
      <c r="B546" s="69">
        <v>43889.0</v>
      </c>
      <c r="S546" s="213"/>
    </row>
    <row r="547">
      <c r="A547" s="67" t="str">
        <f t="shared" si="1"/>
        <v>Sat</v>
      </c>
      <c r="B547" s="69">
        <v>43890.0</v>
      </c>
      <c r="S547" s="213"/>
    </row>
    <row r="548">
      <c r="A548" s="67" t="str">
        <f t="shared" si="1"/>
        <v>Sun</v>
      </c>
      <c r="B548" s="69">
        <v>43891.0</v>
      </c>
      <c r="S548" s="213"/>
    </row>
    <row r="549">
      <c r="A549" s="67" t="str">
        <f t="shared" si="1"/>
        <v>Mon</v>
      </c>
      <c r="B549" s="69">
        <v>43892.0</v>
      </c>
      <c r="S549" s="213"/>
    </row>
    <row r="550">
      <c r="A550" s="67" t="str">
        <f t="shared" si="1"/>
        <v>Tue</v>
      </c>
      <c r="B550" s="69">
        <v>43893.0</v>
      </c>
      <c r="S550" s="213"/>
    </row>
    <row r="551">
      <c r="A551" s="67" t="str">
        <f t="shared" si="1"/>
        <v>Wed</v>
      </c>
      <c r="B551" s="69">
        <v>43894.0</v>
      </c>
      <c r="S551" s="213"/>
    </row>
    <row r="552">
      <c r="A552" s="67" t="str">
        <f t="shared" si="1"/>
        <v>Thu</v>
      </c>
      <c r="B552" s="69">
        <v>43895.0</v>
      </c>
      <c r="S552" s="213"/>
    </row>
    <row r="553">
      <c r="A553" s="67" t="str">
        <f t="shared" si="1"/>
        <v>Fri</v>
      </c>
      <c r="B553" s="69">
        <v>43896.0</v>
      </c>
      <c r="S553" s="213"/>
    </row>
    <row r="554">
      <c r="A554" s="67" t="str">
        <f t="shared" si="1"/>
        <v>Sat</v>
      </c>
      <c r="B554" s="69">
        <v>43897.0</v>
      </c>
      <c r="S554" s="213"/>
    </row>
    <row r="555">
      <c r="A555" s="67" t="str">
        <f t="shared" si="1"/>
        <v>Sun</v>
      </c>
      <c r="B555" s="69">
        <v>43898.0</v>
      </c>
      <c r="S555" s="213"/>
    </row>
    <row r="556">
      <c r="A556" s="67" t="str">
        <f t="shared" si="1"/>
        <v>Mon</v>
      </c>
      <c r="B556" s="69">
        <v>43899.0</v>
      </c>
      <c r="S556" s="213"/>
    </row>
  </sheetData>
  <mergeCells count="5">
    <mergeCell ref="E1:F1"/>
    <mergeCell ref="E2:F2"/>
    <mergeCell ref="E3:F3"/>
    <mergeCell ref="A1:C3"/>
    <mergeCell ref="G1:R3"/>
  </mergeCells>
  <conditionalFormatting sqref="K1:L556">
    <cfRule type="cellIs" dxfId="0" priority="1" operator="equal">
      <formula>"Enviar email para hotel"</formula>
    </cfRule>
  </conditionalFormatting>
  <dataValidations>
    <dataValidation type="list" allowBlank="1" sqref="L123:L556">
      <formula1>"Enviar email para hotel,Enviado para o hotel,Código de reserva enviado para hóspede,Verificar dados com o hóspede,URGENTE,Fechado"</formula1>
    </dataValidation>
    <dataValidation type="list" allowBlank="1" sqref="K6:L122">
      <formula1>"Enviar email para hotel,Enviado para o hotel,Código de reserva enviado para hóspede,Fechado"</formula1>
    </dataValidation>
    <dataValidation type="list" allowBlank="1" sqref="K123:K556">
      <formula1>"A PAGAR,PARCIALMENTE PAGO,PAGO"</formula1>
    </dataValidation>
  </dataValidations>
  <hyperlinks>
    <hyperlink display="Sumario" location="Sumario!A1" ref="A4"/>
  </hyperlinks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5.0" topLeftCell="C6" activePane="bottomRight" state="frozen"/>
      <selection activeCell="C1" sqref="C1" pane="topRight"/>
      <selection activeCell="A6" sqref="A6" pane="bottomLeft"/>
      <selection activeCell="C6" sqref="C6" pane="bottomRight"/>
    </sheetView>
  </sheetViews>
  <sheetFormatPr customHeight="1" defaultColWidth="14.43" defaultRowHeight="15.75"/>
  <cols>
    <col customWidth="1" min="1" max="1" width="13.57"/>
    <col customWidth="1" min="2" max="2" width="11.29"/>
    <col customWidth="1" min="4" max="4" width="17.0"/>
    <col customWidth="1" min="5" max="5" width="12.71"/>
    <col customWidth="1" min="6" max="6" width="17.86"/>
    <col customWidth="1" min="7" max="7" width="15.71"/>
    <col customWidth="1" min="8" max="8" width="15.57"/>
    <col customWidth="1" min="9" max="9" width="12.57"/>
    <col customWidth="1" min="10" max="10" width="15.43"/>
    <col customWidth="1" min="11" max="11" width="17.0"/>
    <col customWidth="1" min="12" max="12" width="23.0"/>
  </cols>
  <sheetData>
    <row r="1">
      <c r="A1" s="1"/>
      <c r="B1" s="7"/>
      <c r="C1" s="8"/>
      <c r="D1" s="11" t="s">
        <v>198</v>
      </c>
      <c r="E1" s="219" t="s">
        <v>199</v>
      </c>
      <c r="F1" s="3"/>
      <c r="G1" s="154" t="s">
        <v>200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>
      <c r="A2" s="16"/>
      <c r="B2" s="18"/>
      <c r="C2" s="20"/>
      <c r="D2" s="9" t="s">
        <v>201</v>
      </c>
      <c r="E2" s="156">
        <v>2412.0</v>
      </c>
      <c r="F2" s="15"/>
      <c r="S2" s="15"/>
    </row>
    <row r="3">
      <c r="A3" s="23"/>
      <c r="B3" s="25"/>
      <c r="C3" s="27"/>
      <c r="D3" s="26" t="s">
        <v>202</v>
      </c>
      <c r="E3" s="157" t="s">
        <v>1232</v>
      </c>
      <c r="F3" s="21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21"/>
    </row>
    <row r="4">
      <c r="A4" s="158" t="s">
        <v>203</v>
      </c>
      <c r="B4" s="4"/>
      <c r="C4" s="4"/>
      <c r="D4" s="4"/>
      <c r="E4" s="4"/>
      <c r="F4" s="4"/>
      <c r="G4" s="4"/>
      <c r="I4" s="4"/>
      <c r="J4" s="4"/>
      <c r="K4" s="4"/>
      <c r="L4" s="4"/>
      <c r="O4" s="30"/>
      <c r="P4" s="30"/>
      <c r="Q4" s="30"/>
      <c r="R4" s="30"/>
      <c r="S4" s="30"/>
      <c r="T4" s="30"/>
      <c r="U4" s="30"/>
      <c r="V4" s="30"/>
      <c r="W4" s="30"/>
    </row>
    <row r="5">
      <c r="A5" s="42" t="s">
        <v>204</v>
      </c>
      <c r="B5" s="45" t="s">
        <v>33</v>
      </c>
      <c r="C5" s="45" t="s">
        <v>205</v>
      </c>
      <c r="D5" s="45" t="s">
        <v>206</v>
      </c>
      <c r="E5" s="45" t="s">
        <v>207</v>
      </c>
      <c r="F5" s="45" t="s">
        <v>208</v>
      </c>
      <c r="G5" s="45" t="s">
        <v>209</v>
      </c>
      <c r="H5" s="45" t="s">
        <v>210</v>
      </c>
      <c r="I5" s="45" t="s">
        <v>211</v>
      </c>
      <c r="J5" s="45" t="s">
        <v>212</v>
      </c>
      <c r="K5" s="45" t="s">
        <v>213</v>
      </c>
      <c r="L5" s="45" t="s">
        <v>214</v>
      </c>
      <c r="M5" s="45" t="s">
        <v>215</v>
      </c>
      <c r="N5" s="45" t="s">
        <v>216</v>
      </c>
      <c r="O5" s="45" t="s">
        <v>217</v>
      </c>
      <c r="P5" s="45" t="s">
        <v>218</v>
      </c>
      <c r="Q5" s="45" t="s">
        <v>219</v>
      </c>
      <c r="R5" s="160" t="s">
        <v>220</v>
      </c>
      <c r="S5" s="160" t="s">
        <v>221</v>
      </c>
    </row>
    <row r="6" hidden="1">
      <c r="A6" s="220" t="str">
        <f t="shared" ref="A6:A401" si="1">CHOOSE(weekday(B6),"Sun","Mon","Tue","Wed","Thu","Fri","Sat")</f>
        <v>Sat</v>
      </c>
      <c r="B6" s="221">
        <v>43435.0</v>
      </c>
      <c r="C6" s="2"/>
      <c r="D6" s="222">
        <v>324.95</v>
      </c>
      <c r="E6" s="223" t="s">
        <v>222</v>
      </c>
      <c r="F6" s="223" t="s">
        <v>1233</v>
      </c>
      <c r="G6" s="223" t="s">
        <v>1233</v>
      </c>
      <c r="H6" s="2"/>
      <c r="I6" s="223" t="s">
        <v>359</v>
      </c>
      <c r="J6" s="2"/>
      <c r="K6" s="4"/>
      <c r="L6" s="4" t="s">
        <v>293</v>
      </c>
      <c r="M6" s="224" t="s">
        <v>1234</v>
      </c>
      <c r="N6" s="224" t="s">
        <v>1235</v>
      </c>
      <c r="O6" s="224" t="s">
        <v>1236</v>
      </c>
      <c r="P6" s="224"/>
      <c r="Q6" s="224" t="s">
        <v>1237</v>
      </c>
      <c r="R6" s="224" t="s">
        <v>1238</v>
      </c>
      <c r="S6" s="224"/>
    </row>
    <row r="7" hidden="1">
      <c r="A7" s="67" t="str">
        <f t="shared" si="1"/>
        <v>Sun</v>
      </c>
      <c r="B7" s="69">
        <v>43436.0</v>
      </c>
      <c r="D7" s="161">
        <v>324.95</v>
      </c>
      <c r="E7" s="4" t="s">
        <v>222</v>
      </c>
      <c r="F7" s="4" t="s">
        <v>1233</v>
      </c>
      <c r="I7" s="4" t="s">
        <v>359</v>
      </c>
    </row>
    <row r="8" hidden="1">
      <c r="A8" s="67" t="str">
        <f t="shared" si="1"/>
        <v>Mon</v>
      </c>
      <c r="B8" s="69">
        <v>43437.0</v>
      </c>
      <c r="D8" s="161">
        <v>336.26666666666665</v>
      </c>
      <c r="E8" s="4" t="s">
        <v>222</v>
      </c>
      <c r="F8" s="4" t="s">
        <v>1239</v>
      </c>
      <c r="G8" s="4" t="s">
        <v>1239</v>
      </c>
      <c r="H8" s="4" t="s">
        <v>1233</v>
      </c>
      <c r="I8" s="4" t="s">
        <v>359</v>
      </c>
      <c r="K8" s="4"/>
      <c r="L8" s="4" t="s">
        <v>293</v>
      </c>
      <c r="M8" s="166" t="s">
        <v>1240</v>
      </c>
      <c r="N8" s="166" t="s">
        <v>1241</v>
      </c>
      <c r="O8" s="166"/>
      <c r="P8" s="166"/>
      <c r="Q8" s="166" t="s">
        <v>1242</v>
      </c>
      <c r="R8" s="166" t="s">
        <v>1243</v>
      </c>
      <c r="S8" s="166"/>
    </row>
    <row r="9" hidden="1">
      <c r="A9" s="67" t="str">
        <f t="shared" si="1"/>
        <v>Tue</v>
      </c>
      <c r="B9" s="69">
        <v>43438.0</v>
      </c>
      <c r="D9" s="161">
        <v>336.26666666666665</v>
      </c>
      <c r="E9" s="4" t="s">
        <v>222</v>
      </c>
      <c r="F9" s="4" t="s">
        <v>1239</v>
      </c>
      <c r="I9" s="4" t="s">
        <v>359</v>
      </c>
    </row>
    <row r="10" hidden="1">
      <c r="A10" s="67" t="str">
        <f t="shared" si="1"/>
        <v>Wed</v>
      </c>
      <c r="B10" s="69">
        <v>43439.0</v>
      </c>
      <c r="D10" s="161">
        <v>336.26666666666665</v>
      </c>
      <c r="E10" s="4" t="s">
        <v>222</v>
      </c>
      <c r="F10" s="4" t="s">
        <v>1239</v>
      </c>
      <c r="I10" s="4" t="s">
        <v>359</v>
      </c>
    </row>
    <row r="11" hidden="1">
      <c r="A11" s="67" t="str">
        <f t="shared" si="1"/>
        <v>Thu</v>
      </c>
      <c r="B11" s="69">
        <v>43440.0</v>
      </c>
      <c r="D11" s="161">
        <v>336.26666666666665</v>
      </c>
      <c r="E11" s="4" t="s">
        <v>222</v>
      </c>
      <c r="F11" s="4" t="s">
        <v>1239</v>
      </c>
      <c r="I11" s="4" t="s">
        <v>359</v>
      </c>
    </row>
    <row r="12" hidden="1">
      <c r="A12" s="67" t="str">
        <f t="shared" si="1"/>
        <v>Fri</v>
      </c>
      <c r="B12" s="69">
        <v>43441.0</v>
      </c>
      <c r="D12" s="161">
        <v>336.26666666666665</v>
      </c>
      <c r="E12" s="4" t="s">
        <v>222</v>
      </c>
      <c r="F12" s="4" t="s">
        <v>1239</v>
      </c>
      <c r="I12" s="4" t="s">
        <v>359</v>
      </c>
      <c r="K12" s="4"/>
      <c r="L12" s="4"/>
    </row>
    <row r="13" hidden="1">
      <c r="A13" s="67" t="str">
        <f t="shared" si="1"/>
        <v>Sat</v>
      </c>
      <c r="B13" s="69">
        <v>43442.0</v>
      </c>
      <c r="D13" s="161">
        <v>336.26666666666665</v>
      </c>
      <c r="E13" s="4" t="s">
        <v>222</v>
      </c>
      <c r="F13" s="4" t="s">
        <v>1239</v>
      </c>
      <c r="I13" s="4" t="s">
        <v>359</v>
      </c>
      <c r="K13" s="4"/>
      <c r="L13" s="4"/>
    </row>
    <row r="14" hidden="1">
      <c r="A14" s="67" t="str">
        <f t="shared" si="1"/>
        <v>Sun</v>
      </c>
      <c r="B14" s="69">
        <v>43443.0</v>
      </c>
      <c r="H14" s="4" t="s">
        <v>1239</v>
      </c>
    </row>
    <row r="15" hidden="1">
      <c r="A15" s="67" t="str">
        <f t="shared" si="1"/>
        <v>Mon</v>
      </c>
      <c r="B15" s="69">
        <v>43444.0</v>
      </c>
      <c r="D15" s="161">
        <v>245.73333333333335</v>
      </c>
      <c r="E15" s="4" t="s">
        <v>222</v>
      </c>
      <c r="F15" s="4" t="s">
        <v>1244</v>
      </c>
      <c r="G15" s="4" t="s">
        <v>1244</v>
      </c>
      <c r="I15" s="4" t="s">
        <v>359</v>
      </c>
      <c r="K15" s="4"/>
      <c r="L15" s="4" t="s">
        <v>293</v>
      </c>
      <c r="M15" s="4" t="s">
        <v>1245</v>
      </c>
      <c r="P15" s="4"/>
      <c r="Q15" s="4" t="s">
        <v>1246</v>
      </c>
      <c r="R15" s="4" t="s">
        <v>1247</v>
      </c>
      <c r="S15" s="4"/>
      <c r="U15" s="30"/>
      <c r="V15" s="30"/>
    </row>
    <row r="16" hidden="1">
      <c r="A16" s="67" t="str">
        <f t="shared" si="1"/>
        <v>Tue</v>
      </c>
      <c r="B16" s="69">
        <v>43445.0</v>
      </c>
      <c r="D16" s="161">
        <v>245.73333333333335</v>
      </c>
      <c r="E16" s="4" t="s">
        <v>222</v>
      </c>
      <c r="F16" s="4" t="s">
        <v>1244</v>
      </c>
      <c r="I16" s="4" t="s">
        <v>359</v>
      </c>
      <c r="U16" s="30"/>
      <c r="V16" s="30"/>
    </row>
    <row r="17" hidden="1">
      <c r="A17" s="67" t="str">
        <f t="shared" si="1"/>
        <v>Wed</v>
      </c>
      <c r="B17" s="69">
        <v>43446.0</v>
      </c>
      <c r="D17" s="161">
        <v>245.73333333333335</v>
      </c>
      <c r="E17" s="4" t="s">
        <v>222</v>
      </c>
      <c r="F17" s="4" t="s">
        <v>1244</v>
      </c>
      <c r="I17" s="4" t="s">
        <v>359</v>
      </c>
      <c r="U17" s="30"/>
      <c r="V17" s="30"/>
    </row>
    <row r="18" hidden="1">
      <c r="A18" s="67" t="str">
        <f t="shared" si="1"/>
        <v>Thu</v>
      </c>
      <c r="B18" s="69">
        <v>43447.0</v>
      </c>
      <c r="D18" s="161">
        <v>340.0</v>
      </c>
      <c r="E18" s="4" t="s">
        <v>337</v>
      </c>
      <c r="F18" s="4" t="s">
        <v>1248</v>
      </c>
      <c r="G18" s="4" t="s">
        <v>1248</v>
      </c>
      <c r="H18" s="4" t="s">
        <v>1244</v>
      </c>
      <c r="I18" s="4" t="s">
        <v>395</v>
      </c>
      <c r="K18" s="4"/>
      <c r="L18" s="4" t="s">
        <v>293</v>
      </c>
      <c r="M18" s="4" t="s">
        <v>226</v>
      </c>
      <c r="N18" s="4" t="s">
        <v>232</v>
      </c>
      <c r="O18" s="4" t="s">
        <v>264</v>
      </c>
    </row>
    <row r="19" hidden="1">
      <c r="A19" s="67" t="str">
        <f t="shared" si="1"/>
        <v>Fri</v>
      </c>
      <c r="B19" s="69">
        <v>43448.0</v>
      </c>
      <c r="D19" s="161">
        <v>340.0</v>
      </c>
      <c r="E19" s="4" t="s">
        <v>337</v>
      </c>
      <c r="F19" s="4" t="s">
        <v>1248</v>
      </c>
      <c r="I19" s="4" t="s">
        <v>395</v>
      </c>
    </row>
    <row r="20" hidden="1">
      <c r="A20" s="67" t="str">
        <f t="shared" si="1"/>
        <v>Sat</v>
      </c>
      <c r="B20" s="69">
        <v>43449.0</v>
      </c>
      <c r="D20" s="161">
        <v>504.4</v>
      </c>
      <c r="E20" s="4" t="s">
        <v>222</v>
      </c>
      <c r="F20" s="4" t="s">
        <v>1249</v>
      </c>
      <c r="G20" s="4" t="s">
        <v>1249</v>
      </c>
      <c r="H20" s="4" t="s">
        <v>1248</v>
      </c>
      <c r="I20" s="4" t="s">
        <v>359</v>
      </c>
      <c r="K20" s="4"/>
      <c r="L20" s="4" t="s">
        <v>293</v>
      </c>
      <c r="M20" s="4" t="s">
        <v>1250</v>
      </c>
      <c r="P20" s="4"/>
      <c r="Q20" s="4" t="s">
        <v>1251</v>
      </c>
      <c r="R20" s="4" t="s">
        <v>1252</v>
      </c>
      <c r="S20" s="4"/>
    </row>
    <row r="21" hidden="1">
      <c r="A21" s="67" t="str">
        <f t="shared" si="1"/>
        <v>Sun</v>
      </c>
      <c r="B21" s="69">
        <v>43450.0</v>
      </c>
      <c r="D21" s="161">
        <v>316.21999999999997</v>
      </c>
      <c r="E21" s="4" t="s">
        <v>222</v>
      </c>
      <c r="F21" s="4" t="s">
        <v>1253</v>
      </c>
      <c r="G21" s="4" t="s">
        <v>1253</v>
      </c>
      <c r="H21" s="4" t="s">
        <v>1249</v>
      </c>
      <c r="I21" s="4" t="s">
        <v>359</v>
      </c>
      <c r="K21" s="4"/>
      <c r="L21" s="4" t="s">
        <v>293</v>
      </c>
      <c r="M21" t="s">
        <v>1254</v>
      </c>
      <c r="N21" t="s">
        <v>1255</v>
      </c>
      <c r="O21" t="s">
        <v>1256</v>
      </c>
      <c r="Q21" t="s">
        <v>1257</v>
      </c>
      <c r="R21" t="s">
        <v>1258</v>
      </c>
    </row>
    <row r="22" hidden="1">
      <c r="A22" s="67" t="str">
        <f t="shared" si="1"/>
        <v>Mon</v>
      </c>
      <c r="B22" s="69">
        <v>43451.0</v>
      </c>
      <c r="D22" s="161">
        <v>316.21999999999997</v>
      </c>
      <c r="E22" s="4" t="s">
        <v>222</v>
      </c>
      <c r="F22" s="4" t="s">
        <v>1253</v>
      </c>
      <c r="I22" s="4" t="s">
        <v>359</v>
      </c>
    </row>
    <row r="23" hidden="1">
      <c r="A23" s="67" t="str">
        <f t="shared" si="1"/>
        <v>Tue</v>
      </c>
      <c r="B23" s="69">
        <v>43452.0</v>
      </c>
      <c r="D23" s="161">
        <v>316.21999999999997</v>
      </c>
      <c r="E23" s="4" t="s">
        <v>222</v>
      </c>
      <c r="F23" s="4" t="s">
        <v>1253</v>
      </c>
      <c r="I23" s="4" t="s">
        <v>359</v>
      </c>
      <c r="K23" s="4"/>
      <c r="L23" s="4"/>
    </row>
    <row r="24" hidden="1">
      <c r="A24" s="67" t="str">
        <f t="shared" si="1"/>
        <v>Wed</v>
      </c>
      <c r="B24" s="69">
        <v>43453.0</v>
      </c>
      <c r="D24" s="161">
        <v>316.21999999999997</v>
      </c>
      <c r="E24" s="4" t="s">
        <v>222</v>
      </c>
      <c r="F24" s="4" t="s">
        <v>1253</v>
      </c>
      <c r="I24" s="4" t="s">
        <v>359</v>
      </c>
    </row>
    <row r="25" hidden="1">
      <c r="A25" s="67" t="str">
        <f t="shared" si="1"/>
        <v>Thu</v>
      </c>
      <c r="B25" s="69">
        <v>43454.0</v>
      </c>
      <c r="D25" s="161">
        <v>316.21999999999997</v>
      </c>
      <c r="E25" s="4" t="s">
        <v>222</v>
      </c>
      <c r="F25" s="4" t="s">
        <v>1253</v>
      </c>
      <c r="I25" s="4" t="s">
        <v>359</v>
      </c>
      <c r="U25" s="30"/>
      <c r="V25" s="30"/>
    </row>
    <row r="26" hidden="1">
      <c r="A26" s="67" t="str">
        <f t="shared" si="1"/>
        <v>Fri</v>
      </c>
      <c r="B26" s="69">
        <v>43455.0</v>
      </c>
      <c r="D26" s="4">
        <v>485.0</v>
      </c>
      <c r="E26" s="4" t="s">
        <v>222</v>
      </c>
      <c r="F26" s="4" t="s">
        <v>1259</v>
      </c>
      <c r="G26" s="4" t="s">
        <v>1259</v>
      </c>
      <c r="H26" s="4" t="s">
        <v>1253</v>
      </c>
      <c r="I26" s="4" t="s">
        <v>359</v>
      </c>
      <c r="K26" s="4"/>
      <c r="L26" s="4" t="s">
        <v>293</v>
      </c>
      <c r="M26" s="4" t="s">
        <v>1260</v>
      </c>
      <c r="N26" s="4" t="s">
        <v>1261</v>
      </c>
      <c r="O26" s="4" t="s">
        <v>1262</v>
      </c>
      <c r="P26" s="4"/>
      <c r="Q26" s="4" t="s">
        <v>1263</v>
      </c>
      <c r="R26" s="4" t="s">
        <v>1264</v>
      </c>
      <c r="S26" s="4"/>
    </row>
    <row r="27" hidden="1">
      <c r="A27" s="67" t="str">
        <f t="shared" si="1"/>
        <v>Sat</v>
      </c>
      <c r="B27" s="69">
        <v>43456.0</v>
      </c>
      <c r="D27" s="161">
        <v>485.0</v>
      </c>
      <c r="E27" s="4" t="s">
        <v>222</v>
      </c>
      <c r="F27" s="4" t="s">
        <v>1259</v>
      </c>
      <c r="I27" s="4" t="s">
        <v>359</v>
      </c>
    </row>
    <row r="28" hidden="1">
      <c r="A28" s="67" t="str">
        <f t="shared" si="1"/>
        <v>Sun</v>
      </c>
      <c r="B28" s="69">
        <v>43457.0</v>
      </c>
      <c r="D28" s="161">
        <v>485.0</v>
      </c>
      <c r="E28" s="4" t="s">
        <v>222</v>
      </c>
      <c r="F28" s="4" t="s">
        <v>1259</v>
      </c>
      <c r="I28" s="4" t="s">
        <v>359</v>
      </c>
      <c r="U28" s="30"/>
    </row>
    <row r="29" hidden="1">
      <c r="A29" s="67" t="str">
        <f t="shared" si="1"/>
        <v>Mon</v>
      </c>
      <c r="B29" s="69">
        <v>43458.0</v>
      </c>
      <c r="D29" s="4">
        <v>485.0</v>
      </c>
      <c r="E29" s="4" t="s">
        <v>222</v>
      </c>
      <c r="F29" s="4" t="s">
        <v>1265</v>
      </c>
      <c r="G29" s="4" t="s">
        <v>1265</v>
      </c>
      <c r="H29" s="4" t="s">
        <v>1259</v>
      </c>
      <c r="I29" s="4" t="s">
        <v>359</v>
      </c>
      <c r="K29" s="4"/>
      <c r="L29" s="4" t="s">
        <v>293</v>
      </c>
      <c r="M29" s="4" t="s">
        <v>1266</v>
      </c>
      <c r="N29" s="4" t="s">
        <v>1267</v>
      </c>
      <c r="O29" s="4" t="s">
        <v>1268</v>
      </c>
      <c r="P29" s="4"/>
      <c r="Q29" s="4" t="s">
        <v>1269</v>
      </c>
      <c r="R29" s="4" t="s">
        <v>1270</v>
      </c>
      <c r="S29" s="4"/>
    </row>
    <row r="30" hidden="1">
      <c r="A30" s="67" t="str">
        <f t="shared" si="1"/>
        <v>Tue</v>
      </c>
      <c r="B30" s="69">
        <v>43459.0</v>
      </c>
      <c r="D30" s="4">
        <v>485.0</v>
      </c>
      <c r="E30" s="4" t="s">
        <v>222</v>
      </c>
      <c r="F30" s="4" t="s">
        <v>1265</v>
      </c>
      <c r="I30" s="4" t="s">
        <v>359</v>
      </c>
    </row>
    <row r="31" hidden="1">
      <c r="A31" s="67" t="str">
        <f t="shared" si="1"/>
        <v>Wed</v>
      </c>
      <c r="B31" s="69">
        <v>43460.0</v>
      </c>
      <c r="D31" s="4">
        <v>485.0</v>
      </c>
      <c r="E31" s="4" t="s">
        <v>222</v>
      </c>
      <c r="F31" s="4" t="s">
        <v>1265</v>
      </c>
      <c r="I31" s="4" t="s">
        <v>359</v>
      </c>
    </row>
    <row r="32" hidden="1">
      <c r="A32" s="67" t="str">
        <f t="shared" si="1"/>
        <v>Thu</v>
      </c>
      <c r="B32" s="69">
        <v>43461.0</v>
      </c>
      <c r="D32" s="4">
        <v>485.0</v>
      </c>
      <c r="E32" s="4" t="s">
        <v>222</v>
      </c>
      <c r="F32" s="4" t="s">
        <v>1265</v>
      </c>
      <c r="I32" s="4" t="s">
        <v>359</v>
      </c>
    </row>
    <row r="33" hidden="1">
      <c r="A33" s="67" t="str">
        <f t="shared" si="1"/>
        <v>Fri</v>
      </c>
      <c r="B33" s="69">
        <v>43462.0</v>
      </c>
      <c r="D33" s="161">
        <v>0.0</v>
      </c>
      <c r="E33" s="4" t="s">
        <v>222</v>
      </c>
      <c r="F33" s="4" t="s">
        <v>267</v>
      </c>
      <c r="H33" s="4" t="s">
        <v>1265</v>
      </c>
      <c r="I33" s="4" t="s">
        <v>292</v>
      </c>
      <c r="J33" s="4" t="s">
        <v>1271</v>
      </c>
    </row>
    <row r="34" hidden="1">
      <c r="A34" s="67" t="str">
        <f t="shared" si="1"/>
        <v>Sat</v>
      </c>
      <c r="B34" s="69">
        <v>43463.0</v>
      </c>
      <c r="D34" s="161">
        <v>0.0</v>
      </c>
      <c r="E34" s="4" t="s">
        <v>222</v>
      </c>
      <c r="F34" s="4" t="s">
        <v>267</v>
      </c>
      <c r="I34" s="4" t="s">
        <v>292</v>
      </c>
      <c r="J34" s="4" t="s">
        <v>1271</v>
      </c>
    </row>
    <row r="35" hidden="1">
      <c r="A35" s="67" t="str">
        <f t="shared" si="1"/>
        <v>Sun</v>
      </c>
      <c r="B35" s="69">
        <v>43464.0</v>
      </c>
      <c r="D35" s="161">
        <v>0.0</v>
      </c>
      <c r="E35" s="4" t="s">
        <v>222</v>
      </c>
      <c r="F35" s="4" t="s">
        <v>267</v>
      </c>
      <c r="I35" s="4" t="s">
        <v>292</v>
      </c>
      <c r="J35" s="4" t="s">
        <v>1271</v>
      </c>
    </row>
    <row r="36" hidden="1">
      <c r="A36" s="225" t="str">
        <f t="shared" si="1"/>
        <v>Mon</v>
      </c>
      <c r="B36" s="226">
        <v>43465.0</v>
      </c>
      <c r="C36" s="19"/>
      <c r="D36" s="227">
        <v>0.0</v>
      </c>
      <c r="E36" s="22" t="s">
        <v>222</v>
      </c>
      <c r="F36" s="22" t="s">
        <v>267</v>
      </c>
      <c r="G36" s="19"/>
      <c r="H36" s="19"/>
      <c r="I36" s="22" t="s">
        <v>292</v>
      </c>
      <c r="J36" s="22" t="s">
        <v>1271</v>
      </c>
    </row>
    <row r="37" hidden="1">
      <c r="A37" s="67" t="str">
        <f t="shared" si="1"/>
        <v>Tue</v>
      </c>
      <c r="B37" s="69">
        <v>43466.0</v>
      </c>
      <c r="D37" s="161">
        <v>0.0</v>
      </c>
      <c r="E37" s="4" t="s">
        <v>222</v>
      </c>
      <c r="F37" s="4" t="s">
        <v>267</v>
      </c>
      <c r="I37" s="4" t="s">
        <v>292</v>
      </c>
      <c r="J37" s="4" t="s">
        <v>1271</v>
      </c>
    </row>
    <row r="38" hidden="1">
      <c r="A38" s="67" t="str">
        <f t="shared" si="1"/>
        <v>Wed</v>
      </c>
      <c r="B38" s="69">
        <v>43467.0</v>
      </c>
      <c r="D38" s="161">
        <v>0.0</v>
      </c>
      <c r="E38" s="4" t="s">
        <v>222</v>
      </c>
      <c r="F38" s="4" t="s">
        <v>267</v>
      </c>
      <c r="I38" s="4" t="s">
        <v>292</v>
      </c>
      <c r="J38" s="4" t="s">
        <v>1271</v>
      </c>
    </row>
    <row r="39" hidden="1">
      <c r="A39" s="67" t="str">
        <f t="shared" si="1"/>
        <v>Thu</v>
      </c>
      <c r="B39" s="69">
        <v>43468.0</v>
      </c>
      <c r="D39" s="161">
        <v>0.0</v>
      </c>
      <c r="E39" s="4" t="s">
        <v>222</v>
      </c>
      <c r="F39" s="4" t="s">
        <v>267</v>
      </c>
      <c r="I39" s="4" t="s">
        <v>292</v>
      </c>
      <c r="J39" s="4" t="s">
        <v>1271</v>
      </c>
    </row>
    <row r="40" hidden="1">
      <c r="A40" s="67" t="str">
        <f t="shared" si="1"/>
        <v>Fri</v>
      </c>
      <c r="B40" s="69">
        <v>43469.0</v>
      </c>
      <c r="D40" s="161">
        <v>0.0</v>
      </c>
      <c r="E40" s="4" t="s">
        <v>222</v>
      </c>
      <c r="F40" s="4" t="s">
        <v>267</v>
      </c>
      <c r="I40" s="4" t="s">
        <v>292</v>
      </c>
      <c r="J40" s="4" t="s">
        <v>1271</v>
      </c>
    </row>
    <row r="41" hidden="1">
      <c r="A41" s="67" t="str">
        <f t="shared" si="1"/>
        <v>Sat</v>
      </c>
      <c r="B41" s="69">
        <v>43470.0</v>
      </c>
      <c r="D41" s="161">
        <v>0.0</v>
      </c>
      <c r="E41" s="4" t="s">
        <v>222</v>
      </c>
      <c r="F41" s="4" t="s">
        <v>267</v>
      </c>
      <c r="I41" s="4" t="s">
        <v>292</v>
      </c>
      <c r="J41" s="4" t="s">
        <v>1271</v>
      </c>
    </row>
    <row r="42" hidden="1">
      <c r="A42" s="67" t="str">
        <f t="shared" si="1"/>
        <v>Sun</v>
      </c>
      <c r="B42" s="69">
        <v>43471.0</v>
      </c>
      <c r="D42" s="161">
        <v>0.0</v>
      </c>
      <c r="E42" s="4" t="s">
        <v>222</v>
      </c>
      <c r="F42" s="4" t="s">
        <v>267</v>
      </c>
      <c r="I42" s="4" t="s">
        <v>292</v>
      </c>
      <c r="J42" s="4" t="s">
        <v>1271</v>
      </c>
    </row>
    <row r="43" hidden="1">
      <c r="A43" s="67" t="str">
        <f t="shared" si="1"/>
        <v>Mon</v>
      </c>
      <c r="B43" s="69">
        <v>43472.0</v>
      </c>
      <c r="D43" s="161">
        <v>0.0</v>
      </c>
      <c r="E43" s="4" t="s">
        <v>222</v>
      </c>
      <c r="F43" s="4" t="s">
        <v>267</v>
      </c>
      <c r="I43" s="4" t="s">
        <v>292</v>
      </c>
      <c r="J43" s="4" t="s">
        <v>1271</v>
      </c>
    </row>
    <row r="44" hidden="1">
      <c r="A44" s="67" t="str">
        <f t="shared" si="1"/>
        <v>Tue</v>
      </c>
      <c r="B44" s="69">
        <v>43473.0</v>
      </c>
      <c r="D44" s="161">
        <v>0.0</v>
      </c>
      <c r="E44" s="4" t="s">
        <v>222</v>
      </c>
      <c r="F44" s="4" t="s">
        <v>267</v>
      </c>
      <c r="I44" s="4" t="s">
        <v>292</v>
      </c>
      <c r="J44" s="4" t="s">
        <v>1271</v>
      </c>
    </row>
    <row r="45" hidden="1">
      <c r="A45" s="67" t="str">
        <f t="shared" si="1"/>
        <v>Wed</v>
      </c>
      <c r="B45" s="69">
        <v>43474.0</v>
      </c>
      <c r="D45" s="161">
        <v>0.0</v>
      </c>
      <c r="E45" s="4" t="s">
        <v>222</v>
      </c>
      <c r="F45" s="4" t="s">
        <v>267</v>
      </c>
      <c r="I45" s="4" t="s">
        <v>292</v>
      </c>
      <c r="J45" s="4" t="s">
        <v>1271</v>
      </c>
    </row>
    <row r="46" hidden="1">
      <c r="A46" s="67" t="str">
        <f t="shared" si="1"/>
        <v>Thu</v>
      </c>
      <c r="B46" s="69">
        <v>43475.0</v>
      </c>
      <c r="D46" s="161">
        <v>0.0</v>
      </c>
      <c r="E46" s="4" t="s">
        <v>222</v>
      </c>
      <c r="F46" s="4" t="s">
        <v>267</v>
      </c>
      <c r="I46" s="4" t="s">
        <v>292</v>
      </c>
      <c r="J46" s="4" t="s">
        <v>1271</v>
      </c>
    </row>
    <row r="47" hidden="1">
      <c r="A47" s="67" t="str">
        <f t="shared" si="1"/>
        <v>Fri</v>
      </c>
      <c r="B47" s="69">
        <v>43476.0</v>
      </c>
      <c r="D47" s="161">
        <v>0.0</v>
      </c>
      <c r="E47" s="4" t="s">
        <v>222</v>
      </c>
      <c r="F47" s="4" t="s">
        <v>267</v>
      </c>
      <c r="I47" s="4" t="s">
        <v>292</v>
      </c>
      <c r="J47" s="4" t="s">
        <v>1271</v>
      </c>
    </row>
    <row r="48" hidden="1">
      <c r="A48" s="67" t="str">
        <f t="shared" si="1"/>
        <v>Sat</v>
      </c>
      <c r="B48" s="69">
        <v>43477.0</v>
      </c>
      <c r="D48" s="161">
        <v>0.0</v>
      </c>
      <c r="E48" s="4" t="s">
        <v>222</v>
      </c>
      <c r="F48" s="4" t="s">
        <v>267</v>
      </c>
      <c r="I48" s="4" t="s">
        <v>292</v>
      </c>
      <c r="J48" s="4" t="s">
        <v>1271</v>
      </c>
    </row>
    <row r="49" hidden="1">
      <c r="A49" s="67" t="str">
        <f t="shared" si="1"/>
        <v>Sun</v>
      </c>
      <c r="B49" s="69">
        <v>43478.0</v>
      </c>
      <c r="D49">
        <f>1067/2</f>
        <v>533.5</v>
      </c>
      <c r="E49" s="4" t="s">
        <v>222</v>
      </c>
      <c r="F49" s="4" t="s">
        <v>1272</v>
      </c>
      <c r="G49" s="4" t="s">
        <v>1272</v>
      </c>
      <c r="H49" s="4" t="s">
        <v>267</v>
      </c>
      <c r="I49" s="4" t="s">
        <v>359</v>
      </c>
      <c r="K49" s="4"/>
      <c r="L49" s="4" t="s">
        <v>293</v>
      </c>
      <c r="M49" s="4" t="s">
        <v>1273</v>
      </c>
    </row>
    <row r="50" hidden="1">
      <c r="A50" s="67" t="str">
        <f t="shared" si="1"/>
        <v>Mon</v>
      </c>
      <c r="B50" s="69">
        <v>43479.0</v>
      </c>
      <c r="D50">
        <f>D49</f>
        <v>533.5</v>
      </c>
      <c r="E50" s="4" t="s">
        <v>222</v>
      </c>
      <c r="F50" s="4" t="s">
        <v>1272</v>
      </c>
      <c r="I50" s="4" t="s">
        <v>359</v>
      </c>
    </row>
    <row r="51" hidden="1">
      <c r="A51" s="67" t="str">
        <f t="shared" si="1"/>
        <v>Tue</v>
      </c>
      <c r="B51" s="69">
        <v>43480.0</v>
      </c>
      <c r="D51" s="161">
        <v>679.0</v>
      </c>
      <c r="E51" s="4" t="s">
        <v>222</v>
      </c>
      <c r="F51" s="4" t="s">
        <v>1274</v>
      </c>
      <c r="G51" s="4" t="s">
        <v>1274</v>
      </c>
      <c r="H51" s="4" t="s">
        <v>1272</v>
      </c>
      <c r="I51" s="4" t="s">
        <v>359</v>
      </c>
      <c r="K51" s="4"/>
      <c r="L51" s="4" t="s">
        <v>293</v>
      </c>
      <c r="M51" s="4" t="s">
        <v>1275</v>
      </c>
      <c r="N51" s="4" t="s">
        <v>1276</v>
      </c>
      <c r="O51" s="4" t="s">
        <v>1277</v>
      </c>
      <c r="Q51" s="4" t="s">
        <v>1278</v>
      </c>
      <c r="R51" s="4" t="s">
        <v>1279</v>
      </c>
      <c r="S51" s="4"/>
      <c r="U51" s="30"/>
    </row>
    <row r="52" hidden="1">
      <c r="A52" s="67" t="str">
        <f t="shared" si="1"/>
        <v>Wed</v>
      </c>
      <c r="B52" s="69">
        <v>43481.0</v>
      </c>
      <c r="D52" s="161">
        <v>679.0</v>
      </c>
      <c r="E52" s="4" t="s">
        <v>222</v>
      </c>
      <c r="F52" s="4" t="s">
        <v>1274</v>
      </c>
      <c r="I52" s="4" t="s">
        <v>359</v>
      </c>
    </row>
    <row r="53" hidden="1">
      <c r="A53" s="67" t="str">
        <f t="shared" si="1"/>
        <v>Thu</v>
      </c>
      <c r="B53" s="69">
        <v>43482.0</v>
      </c>
      <c r="D53" s="161">
        <v>679.0</v>
      </c>
      <c r="E53" s="4" t="s">
        <v>222</v>
      </c>
      <c r="F53" s="4" t="s">
        <v>1274</v>
      </c>
      <c r="I53" s="4" t="s">
        <v>359</v>
      </c>
    </row>
    <row r="54" hidden="1">
      <c r="A54" s="67" t="str">
        <f t="shared" si="1"/>
        <v>Fri</v>
      </c>
      <c r="B54" s="69">
        <v>43483.0</v>
      </c>
      <c r="D54" s="161">
        <v>700.0</v>
      </c>
      <c r="E54" s="4" t="s">
        <v>337</v>
      </c>
      <c r="F54" s="4" t="s">
        <v>1281</v>
      </c>
      <c r="G54" s="4" t="s">
        <v>1281</v>
      </c>
      <c r="H54" s="4" t="s">
        <v>1274</v>
      </c>
      <c r="I54" s="4" t="s">
        <v>395</v>
      </c>
      <c r="K54" s="4"/>
      <c r="L54" s="4" t="s">
        <v>293</v>
      </c>
      <c r="M54" s="4" t="s">
        <v>226</v>
      </c>
      <c r="N54" s="4" t="s">
        <v>232</v>
      </c>
      <c r="O54" s="4" t="s">
        <v>264</v>
      </c>
      <c r="R54" s="167" t="s">
        <v>1282</v>
      </c>
      <c r="S54" s="4"/>
    </row>
    <row r="55" hidden="1">
      <c r="A55" s="67" t="str">
        <f t="shared" si="1"/>
        <v>Sat</v>
      </c>
      <c r="B55" s="69">
        <v>43484.0</v>
      </c>
      <c r="D55" s="161">
        <v>800.0</v>
      </c>
      <c r="E55" s="4" t="s">
        <v>337</v>
      </c>
      <c r="F55" s="4" t="s">
        <v>1283</v>
      </c>
      <c r="G55" s="4" t="s">
        <v>1283</v>
      </c>
      <c r="H55" s="4" t="s">
        <v>1281</v>
      </c>
      <c r="I55" s="4" t="s">
        <v>395</v>
      </c>
      <c r="K55" s="4"/>
      <c r="L55" s="4" t="s">
        <v>293</v>
      </c>
      <c r="M55" s="4" t="s">
        <v>1284</v>
      </c>
      <c r="N55" s="4" t="s">
        <v>1283</v>
      </c>
    </row>
    <row r="56" hidden="1">
      <c r="A56" s="67" t="str">
        <f t="shared" si="1"/>
        <v>Sun</v>
      </c>
      <c r="B56" s="69">
        <v>43485.0</v>
      </c>
      <c r="D56" s="161">
        <v>800.0</v>
      </c>
      <c r="E56" s="4" t="s">
        <v>337</v>
      </c>
      <c r="F56" s="4" t="s">
        <v>1283</v>
      </c>
      <c r="I56" s="4" t="s">
        <v>395</v>
      </c>
    </row>
    <row r="57" hidden="1">
      <c r="A57" s="67" t="str">
        <f t="shared" si="1"/>
        <v>Mon</v>
      </c>
      <c r="B57" s="69">
        <v>43486.0</v>
      </c>
      <c r="D57" s="161">
        <v>800.0</v>
      </c>
      <c r="E57" s="4" t="s">
        <v>337</v>
      </c>
      <c r="F57" s="4" t="s">
        <v>1283</v>
      </c>
      <c r="I57" s="4" t="s">
        <v>395</v>
      </c>
    </row>
    <row r="58" hidden="1">
      <c r="A58" s="67" t="str">
        <f t="shared" si="1"/>
        <v>Tue</v>
      </c>
      <c r="B58" s="69">
        <v>43487.0</v>
      </c>
      <c r="D58" s="161">
        <v>800.0</v>
      </c>
      <c r="E58" s="4" t="s">
        <v>337</v>
      </c>
      <c r="F58" s="4" t="s">
        <v>1283</v>
      </c>
      <c r="I58" s="4" t="s">
        <v>395</v>
      </c>
    </row>
    <row r="59" hidden="1">
      <c r="A59" s="67" t="str">
        <f t="shared" si="1"/>
        <v>Wed</v>
      </c>
      <c r="B59" s="69">
        <v>43488.0</v>
      </c>
      <c r="D59" s="161">
        <v>436.5</v>
      </c>
      <c r="E59" s="4" t="s">
        <v>222</v>
      </c>
      <c r="F59" s="4" t="s">
        <v>1285</v>
      </c>
      <c r="G59" s="4" t="s">
        <v>1285</v>
      </c>
      <c r="H59" s="4" t="s">
        <v>1283</v>
      </c>
      <c r="I59" s="4" t="s">
        <v>359</v>
      </c>
      <c r="K59" s="4"/>
      <c r="L59" s="4" t="s">
        <v>293</v>
      </c>
      <c r="M59" s="4" t="s">
        <v>226</v>
      </c>
      <c r="N59" s="4" t="s">
        <v>232</v>
      </c>
      <c r="O59" s="4" t="s">
        <v>264</v>
      </c>
    </row>
    <row r="60" hidden="1">
      <c r="A60" s="67" t="str">
        <f t="shared" si="1"/>
        <v>Thu</v>
      </c>
      <c r="B60" s="69">
        <v>43489.0</v>
      </c>
      <c r="D60" s="161">
        <v>436.5</v>
      </c>
      <c r="E60" s="4" t="s">
        <v>222</v>
      </c>
      <c r="F60" s="4" t="s">
        <v>1285</v>
      </c>
      <c r="I60" s="4" t="s">
        <v>359</v>
      </c>
      <c r="K60" s="4"/>
      <c r="L60" s="4"/>
    </row>
    <row r="61" hidden="1">
      <c r="A61" s="67" t="str">
        <f t="shared" si="1"/>
        <v>Fri</v>
      </c>
      <c r="B61" s="69">
        <v>43490.0</v>
      </c>
      <c r="D61" s="4">
        <v>890.0</v>
      </c>
      <c r="E61" s="4" t="s">
        <v>337</v>
      </c>
      <c r="F61" s="4" t="s">
        <v>1286</v>
      </c>
      <c r="G61" s="228" t="s">
        <v>1286</v>
      </c>
      <c r="H61" s="4" t="s">
        <v>1285</v>
      </c>
      <c r="I61" s="4" t="s">
        <v>359</v>
      </c>
      <c r="J61" s="4" t="s">
        <v>1287</v>
      </c>
      <c r="K61" s="4" t="s">
        <v>231</v>
      </c>
      <c r="L61" s="4" t="s">
        <v>293</v>
      </c>
      <c r="M61" s="4" t="s">
        <v>226</v>
      </c>
      <c r="N61" s="4" t="s">
        <v>232</v>
      </c>
      <c r="O61" s="4" t="s">
        <v>264</v>
      </c>
    </row>
    <row r="62" hidden="1">
      <c r="A62" s="67" t="str">
        <f t="shared" si="1"/>
        <v>Sat</v>
      </c>
      <c r="B62" s="69">
        <v>43491.0</v>
      </c>
      <c r="D62" s="161">
        <v>669.3000000000001</v>
      </c>
      <c r="E62" s="4" t="s">
        <v>222</v>
      </c>
      <c r="F62" s="4" t="s">
        <v>1288</v>
      </c>
      <c r="G62" s="4" t="s">
        <v>1288</v>
      </c>
      <c r="H62" s="228" t="s">
        <v>1286</v>
      </c>
      <c r="I62" s="4" t="s">
        <v>359</v>
      </c>
      <c r="K62" s="4"/>
      <c r="L62" s="4" t="s">
        <v>225</v>
      </c>
      <c r="M62" s="4" t="s">
        <v>226</v>
      </c>
      <c r="N62" s="4" t="s">
        <v>232</v>
      </c>
      <c r="O62" s="4" t="s">
        <v>264</v>
      </c>
    </row>
    <row r="63" hidden="1">
      <c r="A63" s="67" t="str">
        <f t="shared" si="1"/>
        <v>Sun</v>
      </c>
      <c r="B63" s="69">
        <v>43492.0</v>
      </c>
      <c r="D63" s="161">
        <v>669.3000000000001</v>
      </c>
      <c r="E63" s="4" t="s">
        <v>222</v>
      </c>
      <c r="F63" s="4" t="s">
        <v>1288</v>
      </c>
      <c r="I63" s="4" t="s">
        <v>359</v>
      </c>
    </row>
    <row r="64" hidden="1">
      <c r="A64" s="67" t="str">
        <f t="shared" si="1"/>
        <v>Mon</v>
      </c>
      <c r="B64" s="69">
        <v>43493.0</v>
      </c>
      <c r="D64" s="161">
        <v>669.3000000000001</v>
      </c>
      <c r="E64" s="4" t="s">
        <v>222</v>
      </c>
      <c r="F64" s="4" t="s">
        <v>1288</v>
      </c>
      <c r="I64" s="4" t="s">
        <v>359</v>
      </c>
    </row>
    <row r="65" hidden="1">
      <c r="A65" s="67" t="str">
        <f t="shared" si="1"/>
        <v>Tue</v>
      </c>
      <c r="B65" s="69">
        <v>43494.0</v>
      </c>
      <c r="D65" s="161">
        <v>669.3000000000001</v>
      </c>
      <c r="E65" s="4" t="s">
        <v>222</v>
      </c>
      <c r="F65" s="4" t="s">
        <v>1288</v>
      </c>
      <c r="I65" s="4" t="s">
        <v>359</v>
      </c>
    </row>
    <row r="66" hidden="1">
      <c r="A66" s="67" t="str">
        <f t="shared" si="1"/>
        <v>Wed</v>
      </c>
      <c r="B66" s="69">
        <v>43495.0</v>
      </c>
      <c r="D66" s="161">
        <v>669.3000000000001</v>
      </c>
      <c r="E66" s="4" t="s">
        <v>222</v>
      </c>
      <c r="F66" s="4" t="s">
        <v>1288</v>
      </c>
      <c r="I66" s="4" t="s">
        <v>359</v>
      </c>
    </row>
    <row r="67" hidden="1">
      <c r="A67" s="67" t="str">
        <f t="shared" si="1"/>
        <v>Thu</v>
      </c>
      <c r="B67" s="69">
        <v>43496.0</v>
      </c>
      <c r="D67" s="161">
        <v>669.3000000000001</v>
      </c>
      <c r="E67" s="4" t="s">
        <v>222</v>
      </c>
      <c r="F67" s="4" t="s">
        <v>1288</v>
      </c>
      <c r="I67" s="4" t="s">
        <v>359</v>
      </c>
    </row>
    <row r="68" hidden="1">
      <c r="A68" s="67" t="str">
        <f t="shared" si="1"/>
        <v>Fri</v>
      </c>
      <c r="B68" s="69">
        <v>43497.0</v>
      </c>
      <c r="D68" s="161">
        <v>577.7777777777778</v>
      </c>
      <c r="E68" s="4" t="s">
        <v>337</v>
      </c>
      <c r="F68" s="4" t="s">
        <v>1289</v>
      </c>
      <c r="G68" s="4" t="s">
        <v>1289</v>
      </c>
      <c r="H68" s="4" t="s">
        <v>1288</v>
      </c>
      <c r="I68" s="4" t="s">
        <v>359</v>
      </c>
      <c r="K68" s="4" t="s">
        <v>231</v>
      </c>
      <c r="L68" s="4" t="s">
        <v>225</v>
      </c>
      <c r="M68" s="4" t="s">
        <v>226</v>
      </c>
      <c r="N68" s="4" t="s">
        <v>232</v>
      </c>
      <c r="O68" s="4" t="s">
        <v>264</v>
      </c>
      <c r="Q68" s="4" t="s">
        <v>1290</v>
      </c>
      <c r="R68" s="4" t="s">
        <v>1291</v>
      </c>
      <c r="S68" s="4"/>
    </row>
    <row r="69" hidden="1">
      <c r="A69" s="67" t="str">
        <f t="shared" si="1"/>
        <v>Sat</v>
      </c>
      <c r="B69" s="69">
        <v>43498.0</v>
      </c>
      <c r="D69" s="161">
        <v>577.7777777777778</v>
      </c>
      <c r="E69" s="4" t="s">
        <v>337</v>
      </c>
      <c r="F69" s="4" t="s">
        <v>1289</v>
      </c>
      <c r="I69" s="4" t="s">
        <v>359</v>
      </c>
    </row>
    <row r="70" hidden="1">
      <c r="A70" s="67" t="str">
        <f t="shared" si="1"/>
        <v>Sun</v>
      </c>
      <c r="B70" s="69">
        <v>43499.0</v>
      </c>
      <c r="D70" s="161">
        <v>577.7777777777778</v>
      </c>
      <c r="E70" s="4" t="s">
        <v>337</v>
      </c>
      <c r="F70" s="4" t="s">
        <v>1289</v>
      </c>
      <c r="I70" s="4" t="s">
        <v>359</v>
      </c>
    </row>
    <row r="71" hidden="1">
      <c r="A71" s="67" t="str">
        <f t="shared" si="1"/>
        <v>Mon</v>
      </c>
      <c r="B71" s="69">
        <v>43500.0</v>
      </c>
      <c r="D71" s="161">
        <v>577.7777777777778</v>
      </c>
      <c r="E71" s="4" t="s">
        <v>337</v>
      </c>
      <c r="F71" s="4" t="s">
        <v>1289</v>
      </c>
      <c r="I71" s="4" t="s">
        <v>359</v>
      </c>
    </row>
    <row r="72" hidden="1">
      <c r="A72" s="67" t="str">
        <f t="shared" si="1"/>
        <v>Tue</v>
      </c>
      <c r="B72" s="69">
        <v>43501.0</v>
      </c>
      <c r="D72" s="161">
        <v>577.7777777777778</v>
      </c>
      <c r="E72" s="4" t="s">
        <v>337</v>
      </c>
      <c r="F72" s="4" t="s">
        <v>1289</v>
      </c>
      <c r="I72" s="4" t="s">
        <v>359</v>
      </c>
    </row>
    <row r="73" hidden="1">
      <c r="A73" s="67" t="str">
        <f t="shared" si="1"/>
        <v>Wed</v>
      </c>
      <c r="B73" s="69">
        <v>43502.0</v>
      </c>
      <c r="D73" s="161">
        <v>577.7777777777778</v>
      </c>
      <c r="E73" s="4" t="s">
        <v>337</v>
      </c>
      <c r="F73" s="4" t="s">
        <v>1289</v>
      </c>
      <c r="I73" s="4" t="s">
        <v>359</v>
      </c>
    </row>
    <row r="74" hidden="1">
      <c r="A74" s="67" t="str">
        <f t="shared" si="1"/>
        <v>Thu</v>
      </c>
      <c r="B74" s="69">
        <v>43503.0</v>
      </c>
      <c r="D74" s="161">
        <v>577.7777777777778</v>
      </c>
      <c r="E74" s="4" t="s">
        <v>337</v>
      </c>
      <c r="F74" s="4" t="s">
        <v>1289</v>
      </c>
      <c r="I74" s="4" t="s">
        <v>359</v>
      </c>
    </row>
    <row r="75" hidden="1">
      <c r="A75" s="67" t="str">
        <f t="shared" si="1"/>
        <v>Fri</v>
      </c>
      <c r="B75" s="69">
        <v>43504.0</v>
      </c>
      <c r="D75" s="161">
        <v>577.7777777777778</v>
      </c>
      <c r="E75" s="4" t="s">
        <v>337</v>
      </c>
      <c r="F75" s="4" t="s">
        <v>1289</v>
      </c>
      <c r="I75" s="4" t="s">
        <v>359</v>
      </c>
    </row>
    <row r="76" hidden="1">
      <c r="A76" s="67" t="str">
        <f t="shared" si="1"/>
        <v>Sat</v>
      </c>
      <c r="B76" s="69">
        <v>43505.0</v>
      </c>
      <c r="D76" s="161">
        <v>577.7777777777778</v>
      </c>
      <c r="E76" s="4" t="s">
        <v>337</v>
      </c>
      <c r="F76" s="4" t="s">
        <v>1289</v>
      </c>
      <c r="I76" s="4" t="s">
        <v>359</v>
      </c>
    </row>
    <row r="77" hidden="1">
      <c r="A77" s="67" t="str">
        <f t="shared" si="1"/>
        <v>Sun</v>
      </c>
      <c r="B77" s="69">
        <v>43506.0</v>
      </c>
      <c r="D77" s="161">
        <v>580.0</v>
      </c>
      <c r="E77" s="4" t="s">
        <v>337</v>
      </c>
      <c r="F77" s="4" t="s">
        <v>1294</v>
      </c>
      <c r="G77" s="4" t="s">
        <v>1294</v>
      </c>
      <c r="H77" s="4" t="s">
        <v>1289</v>
      </c>
      <c r="I77" s="4" t="s">
        <v>359</v>
      </c>
      <c r="K77" s="4" t="s">
        <v>231</v>
      </c>
      <c r="L77" s="4" t="s">
        <v>225</v>
      </c>
      <c r="M77" s="4" t="s">
        <v>1295</v>
      </c>
      <c r="Q77" s="4" t="s">
        <v>1296</v>
      </c>
      <c r="R77" s="4"/>
      <c r="S77" s="4"/>
    </row>
    <row r="78" hidden="1">
      <c r="A78" s="67" t="str">
        <f t="shared" si="1"/>
        <v>Mon</v>
      </c>
      <c r="B78" s="69">
        <v>43507.0</v>
      </c>
      <c r="D78" s="161">
        <v>580.0</v>
      </c>
      <c r="E78" s="4" t="s">
        <v>337</v>
      </c>
      <c r="F78" s="4" t="s">
        <v>1294</v>
      </c>
      <c r="I78" s="4" t="s">
        <v>359</v>
      </c>
    </row>
    <row r="79" hidden="1">
      <c r="A79" s="67" t="str">
        <f t="shared" si="1"/>
        <v>Tue</v>
      </c>
      <c r="B79" s="69">
        <v>43508.0</v>
      </c>
      <c r="D79" s="161">
        <v>580.0</v>
      </c>
      <c r="E79" s="4" t="s">
        <v>337</v>
      </c>
      <c r="F79" s="4" t="s">
        <v>1294</v>
      </c>
      <c r="I79" s="4" t="s">
        <v>359</v>
      </c>
    </row>
    <row r="80" hidden="1">
      <c r="A80" s="67" t="str">
        <f t="shared" si="1"/>
        <v>Wed</v>
      </c>
      <c r="B80" s="69">
        <v>43509.0</v>
      </c>
      <c r="D80" s="161">
        <v>580.0</v>
      </c>
      <c r="E80" s="4" t="s">
        <v>337</v>
      </c>
      <c r="F80" s="4" t="s">
        <v>1294</v>
      </c>
      <c r="I80" s="4" t="s">
        <v>359</v>
      </c>
    </row>
    <row r="81" hidden="1">
      <c r="A81" s="67" t="str">
        <f t="shared" si="1"/>
        <v>Thu</v>
      </c>
      <c r="B81" s="69">
        <v>43510.0</v>
      </c>
      <c r="D81" s="161">
        <v>580.0</v>
      </c>
      <c r="E81" s="4" t="s">
        <v>337</v>
      </c>
      <c r="F81" s="4" t="s">
        <v>1294</v>
      </c>
      <c r="I81" s="4" t="s">
        <v>359</v>
      </c>
    </row>
    <row r="82" hidden="1">
      <c r="A82" s="67" t="str">
        <f t="shared" si="1"/>
        <v>Fri</v>
      </c>
      <c r="B82" s="69">
        <v>43511.0</v>
      </c>
      <c r="D82" s="161">
        <f t="shared" ref="D82:D83" si="2">1164/2</f>
        <v>582</v>
      </c>
      <c r="E82" s="4" t="s">
        <v>222</v>
      </c>
      <c r="F82" s="4" t="s">
        <v>1298</v>
      </c>
      <c r="G82" s="4" t="s">
        <v>1298</v>
      </c>
      <c r="H82" s="4" t="s">
        <v>1294</v>
      </c>
      <c r="I82" s="4" t="s">
        <v>359</v>
      </c>
      <c r="K82" s="4" t="s">
        <v>231</v>
      </c>
      <c r="L82" s="4" t="s">
        <v>225</v>
      </c>
      <c r="M82" s="178" t="s">
        <v>1299</v>
      </c>
      <c r="N82" s="4"/>
      <c r="O82" s="4"/>
      <c r="Q82" s="4" t="s">
        <v>1300</v>
      </c>
      <c r="R82" s="4" t="s">
        <v>1301</v>
      </c>
      <c r="S82" s="4"/>
    </row>
    <row r="83" hidden="1">
      <c r="A83" s="67" t="str">
        <f t="shared" si="1"/>
        <v>Sat</v>
      </c>
      <c r="B83" s="69">
        <v>43512.0</v>
      </c>
      <c r="D83">
        <f t="shared" si="2"/>
        <v>582</v>
      </c>
      <c r="E83" s="4" t="s">
        <v>222</v>
      </c>
      <c r="F83" s="4" t="s">
        <v>1298</v>
      </c>
      <c r="I83" s="4" t="s">
        <v>359</v>
      </c>
    </row>
    <row r="84" hidden="1">
      <c r="A84" s="67" t="str">
        <f t="shared" si="1"/>
        <v>Sun</v>
      </c>
      <c r="B84" s="69">
        <v>43513.0</v>
      </c>
      <c r="D84" s="161">
        <v>582.0</v>
      </c>
      <c r="E84" s="4" t="s">
        <v>222</v>
      </c>
      <c r="F84" s="4" t="s">
        <v>1302</v>
      </c>
      <c r="G84" s="4" t="s">
        <v>1302</v>
      </c>
      <c r="H84" s="4" t="s">
        <v>1298</v>
      </c>
      <c r="I84" s="4" t="s">
        <v>359</v>
      </c>
      <c r="K84" s="4" t="s">
        <v>231</v>
      </c>
      <c r="L84" s="4" t="s">
        <v>225</v>
      </c>
      <c r="M84" s="4" t="s">
        <v>226</v>
      </c>
      <c r="N84" s="4" t="s">
        <v>232</v>
      </c>
      <c r="O84" s="4" t="s">
        <v>264</v>
      </c>
    </row>
    <row r="85" hidden="1">
      <c r="A85" s="67" t="str">
        <f t="shared" si="1"/>
        <v>Mon</v>
      </c>
      <c r="B85" s="69">
        <v>43514.0</v>
      </c>
      <c r="D85" s="161">
        <v>582.0</v>
      </c>
      <c r="E85" s="4" t="s">
        <v>222</v>
      </c>
      <c r="F85" s="4" t="s">
        <v>1302</v>
      </c>
      <c r="I85" s="4" t="s">
        <v>359</v>
      </c>
    </row>
    <row r="86" hidden="1">
      <c r="A86" s="67" t="str">
        <f t="shared" si="1"/>
        <v>Tue</v>
      </c>
      <c r="B86" s="69">
        <v>43515.0</v>
      </c>
      <c r="D86" s="161">
        <v>582.0</v>
      </c>
      <c r="E86" s="4" t="s">
        <v>222</v>
      </c>
      <c r="F86" s="4" t="s">
        <v>1302</v>
      </c>
      <c r="I86" s="4" t="s">
        <v>359</v>
      </c>
    </row>
    <row r="87" hidden="1">
      <c r="A87" s="67" t="str">
        <f t="shared" si="1"/>
        <v>Wed</v>
      </c>
      <c r="B87" s="69">
        <v>43516.0</v>
      </c>
      <c r="D87" s="161">
        <v>582.0</v>
      </c>
      <c r="E87" s="4" t="s">
        <v>222</v>
      </c>
      <c r="F87" s="4" t="s">
        <v>1302</v>
      </c>
      <c r="I87" s="4" t="s">
        <v>359</v>
      </c>
    </row>
    <row r="88" hidden="1">
      <c r="A88" s="67" t="str">
        <f t="shared" si="1"/>
        <v>Thu</v>
      </c>
      <c r="B88" s="69">
        <v>43517.0</v>
      </c>
      <c r="D88" s="161">
        <v>582.0</v>
      </c>
      <c r="E88" s="4" t="s">
        <v>222</v>
      </c>
      <c r="F88" s="4" t="s">
        <v>1302</v>
      </c>
      <c r="I88" s="4" t="s">
        <v>359</v>
      </c>
    </row>
    <row r="89" hidden="1">
      <c r="A89" s="67" t="str">
        <f t="shared" si="1"/>
        <v>Fri</v>
      </c>
      <c r="B89" s="69">
        <v>43518.0</v>
      </c>
      <c r="D89">
        <f>1823.6/3</f>
        <v>607.8666667</v>
      </c>
      <c r="E89" s="4" t="s">
        <v>222</v>
      </c>
      <c r="F89" s="4" t="s">
        <v>1304</v>
      </c>
      <c r="G89" s="4" t="s">
        <v>1304</v>
      </c>
      <c r="H89" s="4" t="s">
        <v>1302</v>
      </c>
      <c r="I89" s="4" t="s">
        <v>359</v>
      </c>
      <c r="L89" s="4" t="s">
        <v>225</v>
      </c>
      <c r="M89" s="4" t="s">
        <v>1305</v>
      </c>
      <c r="N89" s="4" t="s">
        <v>232</v>
      </c>
      <c r="O89" s="4" t="s">
        <v>264</v>
      </c>
    </row>
    <row r="90" hidden="1">
      <c r="A90" s="67" t="str">
        <f t="shared" si="1"/>
        <v>Sat</v>
      </c>
      <c r="B90" s="69">
        <v>43519.0</v>
      </c>
      <c r="D90">
        <f t="shared" ref="D90:D91" si="3">D89</f>
        <v>607.8666667</v>
      </c>
      <c r="E90" s="4" t="s">
        <v>222</v>
      </c>
      <c r="F90" s="4" t="s">
        <v>1304</v>
      </c>
      <c r="G90" s="4"/>
      <c r="I90" s="4" t="s">
        <v>359</v>
      </c>
      <c r="M90" s="4"/>
      <c r="N90" s="4"/>
      <c r="O90" s="4"/>
    </row>
    <row r="91" hidden="1">
      <c r="A91" s="67" t="str">
        <f t="shared" si="1"/>
        <v>Sun</v>
      </c>
      <c r="B91" s="69">
        <v>43520.0</v>
      </c>
      <c r="D91">
        <f t="shared" si="3"/>
        <v>607.8666667</v>
      </c>
      <c r="E91" s="4" t="s">
        <v>222</v>
      </c>
      <c r="F91" s="4" t="s">
        <v>1304</v>
      </c>
      <c r="H91" s="4"/>
      <c r="I91" s="4" t="s">
        <v>359</v>
      </c>
    </row>
    <row r="92" hidden="1">
      <c r="A92" s="67" t="str">
        <f t="shared" si="1"/>
        <v>Mon</v>
      </c>
      <c r="B92" s="69">
        <v>43521.0</v>
      </c>
      <c r="H92" s="4" t="s">
        <v>1304</v>
      </c>
    </row>
    <row r="93" hidden="1">
      <c r="A93" s="67" t="str">
        <f t="shared" si="1"/>
        <v>Tue</v>
      </c>
      <c r="B93" s="69">
        <v>43522.0</v>
      </c>
      <c r="M93" s="4"/>
      <c r="N93" s="4"/>
      <c r="O93" s="4"/>
    </row>
    <row r="94" hidden="1">
      <c r="A94" s="67" t="str">
        <f t="shared" si="1"/>
        <v>Wed</v>
      </c>
      <c r="B94" s="69">
        <v>43523.0</v>
      </c>
      <c r="H94" s="4"/>
    </row>
    <row r="95" hidden="1">
      <c r="A95" s="67" t="str">
        <f t="shared" si="1"/>
        <v>Thu</v>
      </c>
      <c r="B95" s="69">
        <v>43524.0</v>
      </c>
      <c r="D95" s="161">
        <v>368.6</v>
      </c>
      <c r="E95" s="4" t="s">
        <v>222</v>
      </c>
      <c r="F95" s="4" t="s">
        <v>1306</v>
      </c>
      <c r="G95" s="4" t="s">
        <v>1306</v>
      </c>
      <c r="I95" s="4" t="s">
        <v>359</v>
      </c>
      <c r="J95" s="4"/>
      <c r="K95" s="4" t="s">
        <v>231</v>
      </c>
      <c r="L95" s="4" t="s">
        <v>225</v>
      </c>
      <c r="M95" s="4" t="s">
        <v>1308</v>
      </c>
      <c r="Q95" s="4" t="s">
        <v>1310</v>
      </c>
      <c r="R95" s="4" t="s">
        <v>1311</v>
      </c>
      <c r="S95" s="161">
        <v>8.2129150004E10</v>
      </c>
    </row>
    <row r="96" hidden="1">
      <c r="A96" s="67" t="str">
        <f t="shared" si="1"/>
        <v>Fri</v>
      </c>
      <c r="B96" s="69">
        <v>43525.0</v>
      </c>
      <c r="D96" s="161">
        <v>1066.612</v>
      </c>
      <c r="E96" s="4" t="s">
        <v>222</v>
      </c>
      <c r="F96" s="4" t="s">
        <v>1312</v>
      </c>
      <c r="G96" s="4" t="s">
        <v>1312</v>
      </c>
      <c r="H96" s="4" t="s">
        <v>1306</v>
      </c>
      <c r="I96" s="4" t="s">
        <v>359</v>
      </c>
      <c r="K96" s="4" t="s">
        <v>231</v>
      </c>
      <c r="L96" s="4" t="s">
        <v>225</v>
      </c>
      <c r="M96" s="4" t="s">
        <v>1313</v>
      </c>
      <c r="Q96" s="4" t="s">
        <v>1314</v>
      </c>
      <c r="R96" s="4" t="s">
        <v>1315</v>
      </c>
      <c r="S96" s="4"/>
    </row>
    <row r="97" hidden="1">
      <c r="A97" s="67" t="str">
        <f t="shared" si="1"/>
        <v>Sat</v>
      </c>
      <c r="B97" s="69">
        <v>43526.0</v>
      </c>
      <c r="D97" s="161">
        <v>1066.612</v>
      </c>
      <c r="E97" s="4" t="s">
        <v>222</v>
      </c>
      <c r="F97" s="4" t="s">
        <v>1312</v>
      </c>
      <c r="I97" s="4" t="s">
        <v>359</v>
      </c>
    </row>
    <row r="98" hidden="1">
      <c r="A98" s="67" t="str">
        <f t="shared" si="1"/>
        <v>Sun</v>
      </c>
      <c r="B98" s="69">
        <v>43527.0</v>
      </c>
      <c r="D98" s="161">
        <v>1066.612</v>
      </c>
      <c r="E98" s="4" t="s">
        <v>222</v>
      </c>
      <c r="F98" s="4" t="s">
        <v>1312</v>
      </c>
      <c r="I98" s="4" t="s">
        <v>359</v>
      </c>
    </row>
    <row r="99" hidden="1">
      <c r="A99" s="67" t="str">
        <f t="shared" si="1"/>
        <v>Mon</v>
      </c>
      <c r="B99" s="69">
        <v>43528.0</v>
      </c>
      <c r="D99" s="161">
        <v>1066.612</v>
      </c>
      <c r="E99" s="4" t="s">
        <v>222</v>
      </c>
      <c r="F99" s="4" t="s">
        <v>1312</v>
      </c>
      <c r="I99" s="4" t="s">
        <v>359</v>
      </c>
    </row>
    <row r="100" hidden="1">
      <c r="A100" s="67" t="str">
        <f t="shared" si="1"/>
        <v>Tue</v>
      </c>
      <c r="B100" s="69">
        <v>43529.0</v>
      </c>
      <c r="D100" s="161">
        <v>1066.612</v>
      </c>
      <c r="E100" s="4" t="s">
        <v>222</v>
      </c>
      <c r="F100" s="4" t="s">
        <v>1312</v>
      </c>
      <c r="I100" s="4" t="s">
        <v>359</v>
      </c>
    </row>
    <row r="101" hidden="1">
      <c r="A101" s="67" t="str">
        <f t="shared" si="1"/>
        <v>Wed</v>
      </c>
      <c r="B101" s="69">
        <v>43530.0</v>
      </c>
      <c r="D101" s="161">
        <v>339.5</v>
      </c>
      <c r="E101" s="4" t="s">
        <v>222</v>
      </c>
      <c r="F101" s="4" t="s">
        <v>1317</v>
      </c>
      <c r="G101" s="4" t="s">
        <v>1317</v>
      </c>
      <c r="H101" s="4" t="s">
        <v>1312</v>
      </c>
      <c r="I101" s="4" t="s">
        <v>359</v>
      </c>
      <c r="K101" s="4" t="s">
        <v>231</v>
      </c>
      <c r="L101" s="4" t="s">
        <v>225</v>
      </c>
      <c r="M101" s="4" t="s">
        <v>1318</v>
      </c>
      <c r="N101" s="4" t="s">
        <v>1319</v>
      </c>
      <c r="O101" s="4" t="s">
        <v>1320</v>
      </c>
    </row>
    <row r="102" hidden="1">
      <c r="A102" s="67" t="str">
        <f t="shared" si="1"/>
        <v>Thu</v>
      </c>
      <c r="B102" s="69">
        <v>43531.0</v>
      </c>
      <c r="D102" s="161">
        <v>339.5</v>
      </c>
      <c r="E102" s="4" t="s">
        <v>222</v>
      </c>
      <c r="F102" s="4" t="s">
        <v>1317</v>
      </c>
      <c r="I102" s="4" t="s">
        <v>359</v>
      </c>
    </row>
    <row r="103" hidden="1">
      <c r="A103" s="67" t="str">
        <f t="shared" si="1"/>
        <v>Fri</v>
      </c>
      <c r="B103" s="69">
        <v>43532.0</v>
      </c>
      <c r="D103" s="161">
        <v>339.5</v>
      </c>
      <c r="E103" s="4" t="s">
        <v>222</v>
      </c>
      <c r="F103" s="4" t="s">
        <v>1317</v>
      </c>
      <c r="I103" s="4" t="s">
        <v>359</v>
      </c>
    </row>
    <row r="104" hidden="1">
      <c r="A104" s="67" t="str">
        <f t="shared" si="1"/>
        <v>Sat</v>
      </c>
      <c r="B104" s="69">
        <v>43533.0</v>
      </c>
      <c r="D104" s="161">
        <v>339.5</v>
      </c>
      <c r="E104" s="4" t="s">
        <v>222</v>
      </c>
      <c r="F104" s="4" t="s">
        <v>1317</v>
      </c>
      <c r="I104" s="4" t="s">
        <v>359</v>
      </c>
    </row>
    <row r="105" hidden="1">
      <c r="A105" s="67" t="str">
        <f t="shared" si="1"/>
        <v>Sun</v>
      </c>
      <c r="B105" s="69">
        <v>43534.0</v>
      </c>
      <c r="D105" s="161">
        <v>312.34000000000003</v>
      </c>
      <c r="E105" s="4" t="s">
        <v>222</v>
      </c>
      <c r="F105" s="4" t="s">
        <v>1321</v>
      </c>
      <c r="G105" s="4" t="s">
        <v>1321</v>
      </c>
      <c r="H105" s="4" t="s">
        <v>1317</v>
      </c>
      <c r="I105" s="4" t="s">
        <v>359</v>
      </c>
      <c r="K105" s="4"/>
      <c r="L105" s="4" t="s">
        <v>225</v>
      </c>
      <c r="M105" s="4" t="s">
        <v>1322</v>
      </c>
      <c r="N105" s="4" t="s">
        <v>1323</v>
      </c>
      <c r="Q105" s="4" t="s">
        <v>1324</v>
      </c>
      <c r="R105" s="4" t="s">
        <v>1325</v>
      </c>
      <c r="S105" s="4"/>
    </row>
    <row r="106" hidden="1">
      <c r="A106" s="67" t="str">
        <f t="shared" si="1"/>
        <v>Mon</v>
      </c>
      <c r="B106" s="69">
        <v>43535.0</v>
      </c>
      <c r="D106" s="161">
        <v>312.34000000000003</v>
      </c>
      <c r="E106" s="4" t="s">
        <v>222</v>
      </c>
      <c r="F106" s="4" t="s">
        <v>1321</v>
      </c>
      <c r="I106" s="4" t="s">
        <v>359</v>
      </c>
    </row>
    <row r="107" hidden="1">
      <c r="A107" s="67" t="str">
        <f t="shared" si="1"/>
        <v>Tue</v>
      </c>
      <c r="B107" s="69">
        <v>43536.0</v>
      </c>
      <c r="D107" s="161">
        <v>312.34000000000003</v>
      </c>
      <c r="E107" s="4" t="s">
        <v>222</v>
      </c>
      <c r="F107" s="4" t="s">
        <v>1321</v>
      </c>
      <c r="I107" s="4" t="s">
        <v>359</v>
      </c>
    </row>
    <row r="108" hidden="1">
      <c r="A108" s="67" t="str">
        <f t="shared" si="1"/>
        <v>Wed</v>
      </c>
      <c r="B108" s="69">
        <v>43537.0</v>
      </c>
      <c r="D108" s="161">
        <v>312.34000000000003</v>
      </c>
      <c r="E108" s="4" t="s">
        <v>222</v>
      </c>
      <c r="F108" s="4" t="s">
        <v>1321</v>
      </c>
      <c r="I108" s="4" t="s">
        <v>359</v>
      </c>
    </row>
    <row r="109" hidden="1">
      <c r="A109" s="67" t="str">
        <f t="shared" si="1"/>
        <v>Thu</v>
      </c>
      <c r="B109" s="69">
        <v>43538.0</v>
      </c>
      <c r="D109" s="161">
        <v>312.34000000000003</v>
      </c>
      <c r="E109" s="4" t="s">
        <v>222</v>
      </c>
      <c r="F109" s="4" t="s">
        <v>1321</v>
      </c>
      <c r="I109" s="4" t="s">
        <v>359</v>
      </c>
    </row>
    <row r="110" hidden="1">
      <c r="A110" s="67" t="str">
        <f t="shared" si="1"/>
        <v>Fri</v>
      </c>
      <c r="B110" s="69">
        <v>43539.0</v>
      </c>
      <c r="D110" s="161">
        <v>312.34000000000003</v>
      </c>
      <c r="E110" s="4" t="s">
        <v>222</v>
      </c>
      <c r="F110" s="4" t="s">
        <v>1321</v>
      </c>
      <c r="I110" s="4" t="s">
        <v>359</v>
      </c>
    </row>
    <row r="111" hidden="1">
      <c r="A111" s="67" t="str">
        <f t="shared" si="1"/>
        <v>Sat</v>
      </c>
      <c r="B111" s="69">
        <v>43540.0</v>
      </c>
      <c r="D111" s="161">
        <v>312.34000000000003</v>
      </c>
      <c r="E111" s="4" t="s">
        <v>222</v>
      </c>
      <c r="F111" s="4" t="s">
        <v>1321</v>
      </c>
      <c r="I111" s="4" t="s">
        <v>359</v>
      </c>
    </row>
    <row r="112" hidden="1">
      <c r="A112" s="67" t="str">
        <f t="shared" si="1"/>
        <v>Sun</v>
      </c>
      <c r="B112" s="69">
        <v>43541.0</v>
      </c>
      <c r="D112" s="161">
        <v>242.5</v>
      </c>
      <c r="E112" s="4" t="s">
        <v>222</v>
      </c>
      <c r="F112" s="4" t="s">
        <v>1326</v>
      </c>
      <c r="G112" s="4" t="s">
        <v>1326</v>
      </c>
      <c r="H112" s="4" t="s">
        <v>1321</v>
      </c>
      <c r="I112" s="4" t="s">
        <v>224</v>
      </c>
      <c r="K112" s="4" t="s">
        <v>231</v>
      </c>
      <c r="L112" s="4" t="s">
        <v>225</v>
      </c>
      <c r="M112" s="4" t="s">
        <v>1327</v>
      </c>
      <c r="Q112" s="4" t="s">
        <v>1328</v>
      </c>
      <c r="R112" s="4">
        <v>4.1988739748E10</v>
      </c>
      <c r="S112" s="4">
        <v>7.514517979E9</v>
      </c>
    </row>
    <row r="113" hidden="1">
      <c r="A113" s="67" t="str">
        <f t="shared" si="1"/>
        <v>Mon</v>
      </c>
      <c r="B113" s="69">
        <v>43542.0</v>
      </c>
      <c r="D113" s="161">
        <v>242.5</v>
      </c>
      <c r="E113" s="4" t="s">
        <v>222</v>
      </c>
      <c r="F113" s="4" t="s">
        <v>1326</v>
      </c>
      <c r="I113" s="4" t="s">
        <v>224</v>
      </c>
    </row>
    <row r="114" hidden="1">
      <c r="A114" s="67" t="str">
        <f t="shared" si="1"/>
        <v>Tue</v>
      </c>
      <c r="B114" s="69">
        <v>43543.0</v>
      </c>
      <c r="D114" s="161">
        <v>295.5266666666667</v>
      </c>
      <c r="E114" s="4" t="s">
        <v>222</v>
      </c>
      <c r="F114" s="4" t="s">
        <v>1330</v>
      </c>
      <c r="G114" s="4" t="s">
        <v>1330</v>
      </c>
      <c r="H114" s="4" t="s">
        <v>1326</v>
      </c>
      <c r="I114" s="4" t="s">
        <v>359</v>
      </c>
      <c r="K114" s="4" t="s">
        <v>231</v>
      </c>
      <c r="L114" s="4" t="s">
        <v>225</v>
      </c>
      <c r="M114" s="4" t="s">
        <v>226</v>
      </c>
      <c r="N114" s="4" t="s">
        <v>232</v>
      </c>
      <c r="O114" s="4" t="s">
        <v>264</v>
      </c>
    </row>
    <row r="115" hidden="1">
      <c r="A115" s="67" t="str">
        <f t="shared" si="1"/>
        <v>Wed</v>
      </c>
      <c r="B115" s="69">
        <v>43544.0</v>
      </c>
      <c r="D115" s="161">
        <v>295.5266666666667</v>
      </c>
      <c r="E115" s="4" t="s">
        <v>222</v>
      </c>
      <c r="F115" s="4" t="s">
        <v>1330</v>
      </c>
      <c r="I115" s="4" t="s">
        <v>359</v>
      </c>
    </row>
    <row r="116" hidden="1">
      <c r="A116" s="67" t="str">
        <f t="shared" si="1"/>
        <v>Thu</v>
      </c>
      <c r="B116" s="69">
        <v>43545.0</v>
      </c>
      <c r="D116" s="161">
        <v>295.5266666666667</v>
      </c>
      <c r="E116" s="4" t="s">
        <v>222</v>
      </c>
      <c r="F116" s="4" t="s">
        <v>1330</v>
      </c>
      <c r="I116" s="4" t="s">
        <v>359</v>
      </c>
    </row>
    <row r="117" hidden="1">
      <c r="A117" s="67" t="str">
        <f t="shared" si="1"/>
        <v>Fri</v>
      </c>
      <c r="B117" s="69">
        <v>43546.0</v>
      </c>
      <c r="D117" s="161">
        <v>295.5266666666667</v>
      </c>
      <c r="E117" s="4" t="s">
        <v>222</v>
      </c>
      <c r="F117" s="4" t="s">
        <v>1330</v>
      </c>
      <c r="I117" s="4" t="s">
        <v>359</v>
      </c>
    </row>
    <row r="118" hidden="1">
      <c r="A118" s="67" t="str">
        <f t="shared" si="1"/>
        <v>Sat</v>
      </c>
      <c r="B118" s="69">
        <v>43547.0</v>
      </c>
      <c r="D118" s="161">
        <v>295.5266666666667</v>
      </c>
      <c r="E118" s="4" t="s">
        <v>222</v>
      </c>
      <c r="F118" s="4" t="s">
        <v>1330</v>
      </c>
      <c r="I118" s="4" t="s">
        <v>359</v>
      </c>
    </row>
    <row r="119" hidden="1">
      <c r="A119" s="67" t="str">
        <f t="shared" si="1"/>
        <v>Sun</v>
      </c>
      <c r="B119" s="69">
        <v>43548.0</v>
      </c>
      <c r="D119" s="161">
        <v>295.5266666666667</v>
      </c>
      <c r="E119" s="4" t="s">
        <v>222</v>
      </c>
      <c r="F119" s="4" t="s">
        <v>1330</v>
      </c>
      <c r="I119" s="4" t="s">
        <v>359</v>
      </c>
    </row>
    <row r="120" hidden="1">
      <c r="A120" s="67" t="str">
        <f t="shared" si="1"/>
        <v>Mon</v>
      </c>
      <c r="B120" s="69">
        <v>43549.0</v>
      </c>
      <c r="D120" s="194">
        <v>242.5</v>
      </c>
      <c r="E120" s="4" t="s">
        <v>222</v>
      </c>
      <c r="F120" s="4" t="s">
        <v>1331</v>
      </c>
      <c r="G120" s="4" t="s">
        <v>1331</v>
      </c>
      <c r="H120" s="4" t="s">
        <v>1330</v>
      </c>
      <c r="I120" s="4" t="s">
        <v>224</v>
      </c>
      <c r="J120" s="4" t="s">
        <v>1332</v>
      </c>
      <c r="K120" s="4" t="s">
        <v>231</v>
      </c>
      <c r="L120" s="4" t="s">
        <v>225</v>
      </c>
      <c r="M120" s="4" t="s">
        <v>1333</v>
      </c>
      <c r="N120" s="4" t="s">
        <v>1334</v>
      </c>
      <c r="Q120" s="4" t="s">
        <v>1336</v>
      </c>
      <c r="R120" s="4" t="s">
        <v>1337</v>
      </c>
      <c r="S120" s="161">
        <v>8.1581165072E10</v>
      </c>
    </row>
    <row r="121" hidden="1">
      <c r="A121" s="67" t="str">
        <f t="shared" si="1"/>
        <v>Tue</v>
      </c>
      <c r="B121" s="69">
        <v>43550.0</v>
      </c>
      <c r="D121" s="194">
        <v>242.5</v>
      </c>
      <c r="E121" s="4" t="s">
        <v>222</v>
      </c>
      <c r="F121" s="4" t="s">
        <v>1331</v>
      </c>
      <c r="I121" s="4" t="s">
        <v>224</v>
      </c>
    </row>
    <row r="122" hidden="1">
      <c r="A122" s="67" t="str">
        <f t="shared" si="1"/>
        <v>Wed</v>
      </c>
      <c r="B122" s="69">
        <v>43551.0</v>
      </c>
      <c r="D122" s="194">
        <v>242.5</v>
      </c>
      <c r="E122" s="4" t="s">
        <v>222</v>
      </c>
      <c r="F122" s="4" t="s">
        <v>1331</v>
      </c>
      <c r="I122" s="4" t="s">
        <v>224</v>
      </c>
    </row>
    <row r="123" hidden="1">
      <c r="A123" s="67" t="str">
        <f t="shared" si="1"/>
        <v>Thu</v>
      </c>
      <c r="B123" s="69">
        <v>43552.0</v>
      </c>
      <c r="D123" s="194">
        <v>242.5</v>
      </c>
      <c r="E123" s="4" t="s">
        <v>222</v>
      </c>
      <c r="F123" s="4" t="s">
        <v>1331</v>
      </c>
      <c r="I123" s="4" t="s">
        <v>224</v>
      </c>
    </row>
    <row r="124" hidden="1">
      <c r="A124" s="67" t="str">
        <f t="shared" si="1"/>
        <v>Fri</v>
      </c>
      <c r="B124" s="69">
        <v>43553.0</v>
      </c>
      <c r="D124" s="194">
        <v>242.5</v>
      </c>
      <c r="E124" s="4" t="s">
        <v>222</v>
      </c>
      <c r="F124" s="4" t="s">
        <v>1331</v>
      </c>
      <c r="I124" s="4" t="s">
        <v>224</v>
      </c>
    </row>
    <row r="125" hidden="1">
      <c r="A125" s="67" t="str">
        <f t="shared" si="1"/>
        <v>Sat</v>
      </c>
      <c r="B125" s="69">
        <v>43554.0</v>
      </c>
      <c r="D125" s="161">
        <v>300.0</v>
      </c>
      <c r="E125" s="4" t="s">
        <v>337</v>
      </c>
      <c r="F125" s="4" t="s">
        <v>1316</v>
      </c>
      <c r="G125" s="4" t="s">
        <v>1316</v>
      </c>
      <c r="H125" s="4" t="s">
        <v>1331</v>
      </c>
      <c r="I125" s="4" t="s">
        <v>395</v>
      </c>
      <c r="J125" s="4" t="s">
        <v>1339</v>
      </c>
      <c r="K125" s="4" t="s">
        <v>231</v>
      </c>
      <c r="L125" s="4" t="s">
        <v>229</v>
      </c>
      <c r="M125" s="4" t="s">
        <v>226</v>
      </c>
      <c r="N125" s="4" t="s">
        <v>232</v>
      </c>
      <c r="O125" s="4" t="s">
        <v>264</v>
      </c>
      <c r="Q125" s="4" t="s">
        <v>1340</v>
      </c>
      <c r="R125" s="167" t="s">
        <v>1341</v>
      </c>
      <c r="S125" s="4"/>
    </row>
    <row r="126" hidden="1">
      <c r="A126" s="67" t="str">
        <f t="shared" si="1"/>
        <v>Sun</v>
      </c>
      <c r="B126" s="69">
        <v>43555.0</v>
      </c>
      <c r="D126" s="4">
        <v>600.0</v>
      </c>
      <c r="E126" s="4" t="s">
        <v>337</v>
      </c>
      <c r="F126" s="4" t="s">
        <v>1316</v>
      </c>
      <c r="I126" s="4" t="s">
        <v>395</v>
      </c>
      <c r="J126" s="4" t="s">
        <v>1339</v>
      </c>
    </row>
    <row r="127">
      <c r="A127" s="67" t="str">
        <f t="shared" si="1"/>
        <v>Mon</v>
      </c>
      <c r="B127" s="69">
        <v>43556.0</v>
      </c>
      <c r="D127" s="4">
        <v>0.0</v>
      </c>
      <c r="E127" s="4" t="s">
        <v>337</v>
      </c>
      <c r="F127" s="4" t="s">
        <v>1316</v>
      </c>
      <c r="I127" s="4" t="s">
        <v>395</v>
      </c>
      <c r="J127" s="4" t="s">
        <v>1339</v>
      </c>
    </row>
    <row r="128">
      <c r="A128" s="67" t="str">
        <f t="shared" si="1"/>
        <v>Tue</v>
      </c>
      <c r="B128" s="69">
        <v>43557.0</v>
      </c>
      <c r="D128" s="161">
        <v>277.74333333333334</v>
      </c>
      <c r="E128" s="4" t="s">
        <v>222</v>
      </c>
      <c r="F128" s="4" t="s">
        <v>1343</v>
      </c>
      <c r="G128" s="4" t="s">
        <v>1343</v>
      </c>
      <c r="H128" s="4" t="s">
        <v>1316</v>
      </c>
      <c r="I128" s="4" t="s">
        <v>359</v>
      </c>
      <c r="J128" s="4" t="s">
        <v>1344</v>
      </c>
      <c r="K128" s="4" t="s">
        <v>231</v>
      </c>
      <c r="L128" s="4" t="s">
        <v>225</v>
      </c>
    </row>
    <row r="129">
      <c r="A129" s="67" t="str">
        <f t="shared" si="1"/>
        <v>Wed</v>
      </c>
      <c r="B129" s="69">
        <v>43558.0</v>
      </c>
      <c r="D129" s="161">
        <v>277.74333333333334</v>
      </c>
      <c r="E129" s="4" t="s">
        <v>222</v>
      </c>
      <c r="F129" s="4" t="s">
        <v>1343</v>
      </c>
      <c r="I129" s="4" t="s">
        <v>359</v>
      </c>
    </row>
    <row r="130">
      <c r="A130" s="67" t="str">
        <f t="shared" si="1"/>
        <v>Thu</v>
      </c>
      <c r="B130" s="69">
        <v>43559.0</v>
      </c>
      <c r="D130" s="161">
        <v>277.74333333333334</v>
      </c>
      <c r="E130" s="4" t="s">
        <v>222</v>
      </c>
      <c r="F130" s="4" t="s">
        <v>1343</v>
      </c>
      <c r="I130" s="4" t="s">
        <v>359</v>
      </c>
    </row>
    <row r="131">
      <c r="A131" s="67" t="str">
        <f t="shared" si="1"/>
        <v>Fri</v>
      </c>
      <c r="B131" s="69">
        <v>43560.0</v>
      </c>
      <c r="D131" s="161">
        <v>277.74333333333334</v>
      </c>
      <c r="E131" s="4" t="s">
        <v>222</v>
      </c>
      <c r="F131" s="4" t="s">
        <v>1343</v>
      </c>
      <c r="I131" s="4" t="s">
        <v>359</v>
      </c>
    </row>
    <row r="132">
      <c r="A132" s="67" t="str">
        <f t="shared" si="1"/>
        <v>Sat</v>
      </c>
      <c r="B132" s="69">
        <v>43561.0</v>
      </c>
      <c r="D132" s="161">
        <v>277.74333333333334</v>
      </c>
      <c r="E132" s="4" t="s">
        <v>222</v>
      </c>
      <c r="F132" s="4" t="s">
        <v>1343</v>
      </c>
      <c r="I132" s="4" t="s">
        <v>359</v>
      </c>
    </row>
    <row r="133">
      <c r="A133" s="67" t="str">
        <f t="shared" si="1"/>
        <v>Sun</v>
      </c>
      <c r="B133" s="69">
        <v>43562.0</v>
      </c>
      <c r="D133" s="161">
        <v>277.74333333333334</v>
      </c>
      <c r="E133" s="4" t="s">
        <v>222</v>
      </c>
      <c r="F133" s="4" t="s">
        <v>1343</v>
      </c>
      <c r="I133" s="4" t="s">
        <v>359</v>
      </c>
    </row>
    <row r="134">
      <c r="A134" s="67" t="str">
        <f t="shared" si="1"/>
        <v>Mon</v>
      </c>
      <c r="B134" s="69">
        <v>43563.0</v>
      </c>
      <c r="H134" s="4" t="s">
        <v>1343</v>
      </c>
    </row>
    <row r="135">
      <c r="A135" s="67" t="str">
        <f t="shared" si="1"/>
        <v>Tue</v>
      </c>
      <c r="B135" s="69">
        <v>43564.0</v>
      </c>
      <c r="D135" s="4">
        <v>242.5</v>
      </c>
      <c r="E135" s="4" t="s">
        <v>222</v>
      </c>
      <c r="F135" s="4" t="s">
        <v>1347</v>
      </c>
      <c r="G135" s="4" t="s">
        <v>1347</v>
      </c>
      <c r="I135" s="4" t="s">
        <v>224</v>
      </c>
      <c r="K135" s="4" t="s">
        <v>231</v>
      </c>
      <c r="L135" s="4" t="s">
        <v>229</v>
      </c>
      <c r="M135" s="4" t="s">
        <v>1348</v>
      </c>
      <c r="N135" s="4" t="s">
        <v>232</v>
      </c>
      <c r="O135" s="4" t="s">
        <v>264</v>
      </c>
      <c r="Q135" s="4" t="s">
        <v>1349</v>
      </c>
      <c r="R135" s="4" t="s">
        <v>1350</v>
      </c>
      <c r="S135" s="4" t="s">
        <v>1351</v>
      </c>
    </row>
    <row r="136">
      <c r="A136" s="67" t="str">
        <f t="shared" si="1"/>
        <v>Wed</v>
      </c>
      <c r="B136" s="69">
        <v>43565.0</v>
      </c>
      <c r="D136" s="161">
        <v>275.47999999999996</v>
      </c>
      <c r="E136" s="4" t="s">
        <v>222</v>
      </c>
      <c r="F136" s="4" t="s">
        <v>1352</v>
      </c>
      <c r="G136" s="4" t="s">
        <v>1352</v>
      </c>
      <c r="H136" s="4" t="s">
        <v>1347</v>
      </c>
      <c r="I136" s="4" t="s">
        <v>359</v>
      </c>
      <c r="K136" s="4" t="s">
        <v>231</v>
      </c>
      <c r="L136" s="4" t="s">
        <v>225</v>
      </c>
      <c r="M136" s="4" t="s">
        <v>226</v>
      </c>
      <c r="N136" s="4" t="s">
        <v>232</v>
      </c>
      <c r="O136" s="4" t="s">
        <v>264</v>
      </c>
    </row>
    <row r="137">
      <c r="A137" s="67" t="str">
        <f t="shared" si="1"/>
        <v>Thu</v>
      </c>
      <c r="B137" s="69">
        <v>43566.0</v>
      </c>
      <c r="D137" s="161">
        <v>275.47999999999996</v>
      </c>
      <c r="E137" s="4" t="s">
        <v>222</v>
      </c>
      <c r="F137" s="4" t="s">
        <v>1352</v>
      </c>
      <c r="I137" s="4" t="s">
        <v>359</v>
      </c>
    </row>
    <row r="138">
      <c r="A138" s="67" t="str">
        <f t="shared" si="1"/>
        <v>Fri</v>
      </c>
      <c r="B138" s="69">
        <v>43567.0</v>
      </c>
      <c r="D138" s="161">
        <v>275.47999999999996</v>
      </c>
      <c r="E138" s="4" t="s">
        <v>222</v>
      </c>
      <c r="F138" s="4" t="s">
        <v>1352</v>
      </c>
      <c r="I138" s="4" t="s">
        <v>359</v>
      </c>
    </row>
    <row r="139">
      <c r="A139" s="67" t="str">
        <f t="shared" si="1"/>
        <v>Sat</v>
      </c>
      <c r="B139" s="69">
        <v>43568.0</v>
      </c>
      <c r="D139" s="161">
        <v>275.47999999999996</v>
      </c>
      <c r="E139" s="4" t="s">
        <v>222</v>
      </c>
      <c r="F139" s="4" t="s">
        <v>1352</v>
      </c>
      <c r="I139" s="4" t="s">
        <v>359</v>
      </c>
    </row>
    <row r="140">
      <c r="A140" s="67" t="str">
        <f t="shared" si="1"/>
        <v>Sun</v>
      </c>
      <c r="B140" s="69">
        <v>43569.0</v>
      </c>
      <c r="D140" s="161">
        <v>275.47999999999996</v>
      </c>
      <c r="E140" s="4" t="s">
        <v>222</v>
      </c>
      <c r="F140" s="4" t="s">
        <v>1352</v>
      </c>
      <c r="I140" s="4" t="s">
        <v>359</v>
      </c>
    </row>
    <row r="141">
      <c r="A141" s="67" t="str">
        <f t="shared" si="1"/>
        <v>Mon</v>
      </c>
      <c r="B141" s="69">
        <v>43570.0</v>
      </c>
      <c r="D141" s="161">
        <v>275.47999999999996</v>
      </c>
      <c r="E141" s="4" t="s">
        <v>222</v>
      </c>
      <c r="F141" s="4" t="s">
        <v>1352</v>
      </c>
      <c r="I141" s="4" t="s">
        <v>359</v>
      </c>
    </row>
    <row r="142">
      <c r="A142" s="67" t="str">
        <f t="shared" si="1"/>
        <v>Tue</v>
      </c>
      <c r="B142" s="69">
        <v>43571.0</v>
      </c>
      <c r="D142" s="161">
        <v>275.47999999999996</v>
      </c>
      <c r="E142" s="4" t="s">
        <v>222</v>
      </c>
      <c r="F142" s="4" t="s">
        <v>1352</v>
      </c>
      <c r="I142" s="4" t="s">
        <v>359</v>
      </c>
    </row>
    <row r="143">
      <c r="A143" s="67" t="str">
        <f t="shared" si="1"/>
        <v>Wed</v>
      </c>
      <c r="B143" s="69">
        <v>43572.0</v>
      </c>
      <c r="D143" s="161">
        <v>250.0</v>
      </c>
      <c r="E143" s="4" t="s">
        <v>337</v>
      </c>
      <c r="F143" s="4" t="s">
        <v>1354</v>
      </c>
      <c r="G143" s="4" t="s">
        <v>1354</v>
      </c>
      <c r="H143" s="4" t="s">
        <v>1352</v>
      </c>
      <c r="I143" s="4" t="s">
        <v>224</v>
      </c>
      <c r="K143" s="4" t="s">
        <v>231</v>
      </c>
      <c r="L143" s="4" t="s">
        <v>225</v>
      </c>
      <c r="M143" s="4" t="s">
        <v>226</v>
      </c>
      <c r="N143" s="4" t="s">
        <v>232</v>
      </c>
      <c r="O143" s="4" t="s">
        <v>264</v>
      </c>
      <c r="Q143" s="4" t="s">
        <v>1355</v>
      </c>
      <c r="R143" s="4" t="s">
        <v>1356</v>
      </c>
      <c r="S143" s="161">
        <v>6.3572788587E10</v>
      </c>
    </row>
    <row r="144">
      <c r="A144" s="67" t="str">
        <f t="shared" si="1"/>
        <v>Thu</v>
      </c>
      <c r="B144" s="69">
        <v>43573.0</v>
      </c>
      <c r="D144" s="161">
        <v>399.1125</v>
      </c>
      <c r="E144" s="4" t="s">
        <v>169</v>
      </c>
      <c r="F144" s="4" t="s">
        <v>1357</v>
      </c>
      <c r="G144" s="4" t="s">
        <v>1357</v>
      </c>
      <c r="H144" s="4" t="s">
        <v>1354</v>
      </c>
      <c r="I144" s="4" t="s">
        <v>224</v>
      </c>
      <c r="K144" s="4" t="s">
        <v>231</v>
      </c>
      <c r="L144" s="4" t="s">
        <v>225</v>
      </c>
      <c r="M144" s="4" t="s">
        <v>1358</v>
      </c>
      <c r="N144" s="4" t="s">
        <v>1359</v>
      </c>
      <c r="O144" s="4" t="s">
        <v>264</v>
      </c>
      <c r="Q144" s="4" t="s">
        <v>1360</v>
      </c>
      <c r="R144" s="4" t="s">
        <v>1361</v>
      </c>
      <c r="S144" s="4" t="s">
        <v>1362</v>
      </c>
    </row>
    <row r="145">
      <c r="A145" s="67" t="str">
        <f t="shared" si="1"/>
        <v>Fri</v>
      </c>
      <c r="B145" s="69">
        <v>43574.0</v>
      </c>
      <c r="D145" s="161">
        <v>399.1125</v>
      </c>
      <c r="E145" s="4" t="s">
        <v>169</v>
      </c>
      <c r="F145" s="4" t="s">
        <v>1357</v>
      </c>
      <c r="I145" s="4" t="s">
        <v>224</v>
      </c>
    </row>
    <row r="146">
      <c r="A146" s="67" t="str">
        <f t="shared" si="1"/>
        <v>Sat</v>
      </c>
      <c r="B146" s="69">
        <v>43575.0</v>
      </c>
      <c r="D146" s="161">
        <v>399.1125</v>
      </c>
      <c r="E146" s="4" t="s">
        <v>169</v>
      </c>
      <c r="F146" s="4" t="s">
        <v>1357</v>
      </c>
      <c r="I146" s="4" t="s">
        <v>224</v>
      </c>
    </row>
    <row r="147">
      <c r="A147" s="67" t="str">
        <f t="shared" si="1"/>
        <v>Sun</v>
      </c>
      <c r="B147" s="69">
        <v>43576.0</v>
      </c>
      <c r="D147" s="161">
        <v>399.1125</v>
      </c>
      <c r="E147" s="4" t="s">
        <v>169</v>
      </c>
      <c r="F147" s="4" t="s">
        <v>1357</v>
      </c>
      <c r="I147" s="4" t="s">
        <v>224</v>
      </c>
    </row>
    <row r="148">
      <c r="A148" s="67" t="str">
        <f t="shared" si="1"/>
        <v>Mon</v>
      </c>
      <c r="B148" s="69">
        <v>43577.0</v>
      </c>
      <c r="D148" s="161">
        <v>250.0</v>
      </c>
      <c r="E148" s="4" t="s">
        <v>337</v>
      </c>
      <c r="F148" s="4" t="s">
        <v>1364</v>
      </c>
      <c r="G148" s="4" t="s">
        <v>1364</v>
      </c>
      <c r="H148" s="4" t="s">
        <v>1357</v>
      </c>
      <c r="I148" s="4" t="s">
        <v>224</v>
      </c>
      <c r="K148" s="4" t="s">
        <v>231</v>
      </c>
      <c r="L148" s="4" t="s">
        <v>225</v>
      </c>
      <c r="M148" s="4" t="s">
        <v>226</v>
      </c>
      <c r="N148" s="4" t="s">
        <v>232</v>
      </c>
      <c r="O148" s="4" t="s">
        <v>264</v>
      </c>
      <c r="Q148" s="4" t="s">
        <v>1355</v>
      </c>
      <c r="R148" s="4" t="s">
        <v>1356</v>
      </c>
      <c r="S148" s="161">
        <v>6.3572788587E10</v>
      </c>
    </row>
    <row r="149">
      <c r="A149" s="67" t="str">
        <f t="shared" si="1"/>
        <v>Tue</v>
      </c>
      <c r="B149" s="69">
        <v>43578.0</v>
      </c>
      <c r="H149" s="4" t="s">
        <v>1364</v>
      </c>
    </row>
    <row r="150">
      <c r="A150" s="67" t="str">
        <f t="shared" si="1"/>
        <v>Wed</v>
      </c>
      <c r="B150" s="69">
        <v>43579.0</v>
      </c>
    </row>
    <row r="151">
      <c r="A151" s="67" t="str">
        <f t="shared" si="1"/>
        <v>Thu</v>
      </c>
      <c r="B151" s="69">
        <v>43580.0</v>
      </c>
    </row>
    <row r="152">
      <c r="A152" s="67" t="str">
        <f t="shared" si="1"/>
        <v>Fri</v>
      </c>
      <c r="B152" s="69">
        <v>43581.0</v>
      </c>
      <c r="D152" s="4">
        <v>989.4</v>
      </c>
      <c r="E152" s="4" t="s">
        <v>222</v>
      </c>
      <c r="F152" s="4" t="s">
        <v>1367</v>
      </c>
      <c r="G152" s="4" t="s">
        <v>1367</v>
      </c>
      <c r="I152" s="4" t="s">
        <v>224</v>
      </c>
      <c r="J152" s="4" t="s">
        <v>1368</v>
      </c>
      <c r="K152" s="4" t="s">
        <v>231</v>
      </c>
      <c r="L152" s="4" t="s">
        <v>229</v>
      </c>
      <c r="M152" s="4" t="s">
        <v>226</v>
      </c>
      <c r="N152" s="4" t="s">
        <v>232</v>
      </c>
      <c r="O152" s="4" t="s">
        <v>264</v>
      </c>
      <c r="R152" s="4" t="s">
        <v>1369</v>
      </c>
    </row>
    <row r="153">
      <c r="A153" s="67" t="str">
        <f t="shared" si="1"/>
        <v>Sat</v>
      </c>
      <c r="B153" s="69">
        <v>43582.0</v>
      </c>
      <c r="D153" s="4">
        <v>223.1</v>
      </c>
      <c r="E153" s="4" t="s">
        <v>222</v>
      </c>
      <c r="F153" s="4" t="s">
        <v>1370</v>
      </c>
      <c r="G153" s="4" t="s">
        <v>1371</v>
      </c>
      <c r="I153" s="4" t="s">
        <v>224</v>
      </c>
      <c r="K153" s="4" t="s">
        <v>231</v>
      </c>
      <c r="L153" s="4" t="s">
        <v>225</v>
      </c>
      <c r="M153" s="4" t="s">
        <v>1372</v>
      </c>
      <c r="N153" s="4" t="s">
        <v>232</v>
      </c>
      <c r="R153" s="4" t="s">
        <v>1373</v>
      </c>
    </row>
    <row r="154">
      <c r="A154" s="67" t="str">
        <f t="shared" si="1"/>
        <v>Sun</v>
      </c>
      <c r="B154" s="69">
        <v>43583.0</v>
      </c>
      <c r="D154" s="4">
        <v>223.1</v>
      </c>
      <c r="E154" s="4" t="s">
        <v>222</v>
      </c>
      <c r="F154" s="4" t="s">
        <v>1370</v>
      </c>
      <c r="I154" s="4" t="s">
        <v>224</v>
      </c>
    </row>
    <row r="155">
      <c r="A155" s="67" t="str">
        <f t="shared" si="1"/>
        <v>Mon</v>
      </c>
      <c r="B155" s="69">
        <v>43584.0</v>
      </c>
      <c r="E155" s="4" t="s">
        <v>267</v>
      </c>
      <c r="F155" s="4"/>
      <c r="G155" s="4"/>
      <c r="H155" s="4" t="s">
        <v>1370</v>
      </c>
      <c r="I155" s="4" t="s">
        <v>224</v>
      </c>
      <c r="M155" s="4"/>
      <c r="N155" s="4"/>
      <c r="O155" s="4"/>
    </row>
    <row r="156">
      <c r="A156" s="67" t="str">
        <f t="shared" si="1"/>
        <v>Tue</v>
      </c>
      <c r="B156" s="69">
        <v>43585.0</v>
      </c>
      <c r="E156" s="4" t="s">
        <v>267</v>
      </c>
      <c r="F156" s="4"/>
    </row>
    <row r="157">
      <c r="A157" s="67" t="str">
        <f t="shared" si="1"/>
        <v>Wed</v>
      </c>
      <c r="B157" s="69">
        <v>43586.0</v>
      </c>
      <c r="D157" s="4">
        <v>223.1</v>
      </c>
      <c r="E157" s="4" t="s">
        <v>222</v>
      </c>
      <c r="F157" s="4" t="s">
        <v>1182</v>
      </c>
      <c r="G157" s="4" t="s">
        <v>1182</v>
      </c>
      <c r="H157" s="4"/>
      <c r="I157" s="4" t="s">
        <v>224</v>
      </c>
      <c r="K157" s="4" t="s">
        <v>231</v>
      </c>
      <c r="L157" s="4" t="s">
        <v>225</v>
      </c>
      <c r="M157" s="4"/>
      <c r="N157" s="4"/>
      <c r="O157" s="4"/>
    </row>
    <row r="158">
      <c r="A158" s="67" t="str">
        <f t="shared" si="1"/>
        <v>Thu</v>
      </c>
      <c r="B158" s="69">
        <v>43587.0</v>
      </c>
      <c r="D158" s="4">
        <v>223.1</v>
      </c>
      <c r="E158" s="4" t="s">
        <v>222</v>
      </c>
      <c r="F158" s="4" t="s">
        <v>1182</v>
      </c>
      <c r="I158" s="4" t="s">
        <v>224</v>
      </c>
    </row>
    <row r="159">
      <c r="A159" s="67" t="str">
        <f t="shared" si="1"/>
        <v>Fri</v>
      </c>
      <c r="B159" s="69">
        <v>43588.0</v>
      </c>
      <c r="D159" s="161">
        <v>242.5</v>
      </c>
      <c r="E159" s="4" t="s">
        <v>222</v>
      </c>
      <c r="F159" s="4" t="s">
        <v>1375</v>
      </c>
      <c r="G159" s="4" t="s">
        <v>1375</v>
      </c>
      <c r="H159" s="4" t="s">
        <v>1182</v>
      </c>
      <c r="I159" s="4" t="s">
        <v>224</v>
      </c>
      <c r="K159" s="4" t="s">
        <v>231</v>
      </c>
      <c r="L159" s="4" t="s">
        <v>225</v>
      </c>
      <c r="M159" s="4" t="s">
        <v>226</v>
      </c>
      <c r="N159" s="4" t="s">
        <v>232</v>
      </c>
      <c r="O159" s="4" t="s">
        <v>264</v>
      </c>
      <c r="R159" s="4" t="s">
        <v>1376</v>
      </c>
    </row>
    <row r="160">
      <c r="A160" s="67" t="str">
        <f t="shared" si="1"/>
        <v>Sat</v>
      </c>
      <c r="B160" s="69">
        <v>43589.0</v>
      </c>
      <c r="D160" s="161">
        <v>242.5</v>
      </c>
      <c r="E160" s="4" t="s">
        <v>222</v>
      </c>
      <c r="F160" s="4" t="s">
        <v>1375</v>
      </c>
      <c r="I160" s="4" t="s">
        <v>224</v>
      </c>
    </row>
    <row r="161">
      <c r="A161" s="67" t="str">
        <f t="shared" si="1"/>
        <v>Sun</v>
      </c>
      <c r="B161" s="69">
        <v>43590.0</v>
      </c>
      <c r="D161" s="161">
        <v>242.5</v>
      </c>
      <c r="E161" s="4" t="s">
        <v>222</v>
      </c>
      <c r="F161" s="4" t="s">
        <v>1375</v>
      </c>
      <c r="I161" s="4" t="s">
        <v>224</v>
      </c>
    </row>
    <row r="162">
      <c r="A162" s="67" t="str">
        <f t="shared" si="1"/>
        <v>Mon</v>
      </c>
      <c r="B162" s="69">
        <v>43591.0</v>
      </c>
      <c r="D162" s="161">
        <v>242.5</v>
      </c>
      <c r="E162" s="4" t="s">
        <v>222</v>
      </c>
      <c r="F162" s="4" t="s">
        <v>1375</v>
      </c>
      <c r="I162" s="4" t="s">
        <v>224</v>
      </c>
    </row>
    <row r="163">
      <c r="A163" s="67" t="str">
        <f t="shared" si="1"/>
        <v>Tue</v>
      </c>
      <c r="B163" s="69">
        <v>43592.0</v>
      </c>
      <c r="D163" s="161">
        <v>242.5</v>
      </c>
      <c r="E163" s="4" t="s">
        <v>222</v>
      </c>
      <c r="F163" s="4" t="s">
        <v>1375</v>
      </c>
      <c r="I163" s="4" t="s">
        <v>224</v>
      </c>
    </row>
    <row r="164">
      <c r="A164" s="67" t="str">
        <f t="shared" si="1"/>
        <v>Wed</v>
      </c>
      <c r="B164" s="69">
        <v>43593.0</v>
      </c>
      <c r="F164" s="4"/>
      <c r="G164" s="4"/>
      <c r="H164" s="4" t="s">
        <v>1375</v>
      </c>
      <c r="N164" s="4"/>
      <c r="O164" s="4"/>
    </row>
    <row r="165">
      <c r="A165" s="67" t="str">
        <f t="shared" si="1"/>
        <v>Thu</v>
      </c>
      <c r="B165" s="69">
        <v>43594.0</v>
      </c>
      <c r="F165" s="4"/>
    </row>
    <row r="166">
      <c r="A166" s="67" t="str">
        <f t="shared" si="1"/>
        <v>Fri</v>
      </c>
      <c r="B166" s="69">
        <v>43595.0</v>
      </c>
      <c r="F166" s="4"/>
      <c r="G166" s="4"/>
      <c r="H166" s="4"/>
      <c r="N166" s="4"/>
      <c r="O166" s="4"/>
    </row>
    <row r="167">
      <c r="A167" s="67" t="str">
        <f t="shared" si="1"/>
        <v>Sat</v>
      </c>
      <c r="B167" s="69">
        <v>43596.0</v>
      </c>
      <c r="F167" s="4"/>
    </row>
    <row r="168">
      <c r="A168" s="67" t="str">
        <f t="shared" si="1"/>
        <v>Sun</v>
      </c>
      <c r="B168" s="69">
        <v>43597.0</v>
      </c>
      <c r="F168" s="4"/>
      <c r="G168" s="4"/>
      <c r="H168" s="4"/>
      <c r="N168" s="4"/>
      <c r="O168" s="4"/>
    </row>
    <row r="169">
      <c r="A169" s="67" t="str">
        <f t="shared" si="1"/>
        <v>Mon</v>
      </c>
      <c r="B169" s="69">
        <v>43598.0</v>
      </c>
      <c r="F169" s="4"/>
    </row>
    <row r="170">
      <c r="A170" s="67" t="str">
        <f t="shared" si="1"/>
        <v>Tue</v>
      </c>
      <c r="B170" s="69">
        <v>43599.0</v>
      </c>
      <c r="F170" s="170"/>
      <c r="G170" s="4"/>
      <c r="H170" s="4"/>
      <c r="N170" s="4"/>
      <c r="O170" s="4"/>
    </row>
    <row r="171">
      <c r="A171" s="67" t="str">
        <f t="shared" si="1"/>
        <v>Wed</v>
      </c>
      <c r="B171" s="69">
        <v>43600.0</v>
      </c>
      <c r="F171" s="4"/>
    </row>
    <row r="172">
      <c r="A172" s="67" t="str">
        <f t="shared" si="1"/>
        <v>Thu</v>
      </c>
      <c r="B172" s="69">
        <v>43601.0</v>
      </c>
      <c r="D172" s="161">
        <v>229.5666666666667</v>
      </c>
      <c r="E172" s="4" t="s">
        <v>222</v>
      </c>
      <c r="F172" s="4" t="s">
        <v>1378</v>
      </c>
      <c r="G172" s="4" t="s">
        <v>1378</v>
      </c>
      <c r="H172" s="4"/>
      <c r="I172" s="4" t="s">
        <v>224</v>
      </c>
      <c r="K172" s="4" t="s">
        <v>231</v>
      </c>
      <c r="L172" s="4" t="s">
        <v>225</v>
      </c>
      <c r="M172" s="4" t="s">
        <v>226</v>
      </c>
      <c r="N172" s="4" t="s">
        <v>232</v>
      </c>
      <c r="O172" s="4" t="s">
        <v>264</v>
      </c>
      <c r="R172" s="4" t="s">
        <v>1379</v>
      </c>
    </row>
    <row r="173">
      <c r="A173" s="67" t="str">
        <f t="shared" si="1"/>
        <v>Fri</v>
      </c>
      <c r="B173" s="69">
        <v>43602.0</v>
      </c>
      <c r="D173" s="161">
        <v>229.5666666666667</v>
      </c>
      <c r="E173" s="4" t="s">
        <v>222</v>
      </c>
      <c r="F173" s="4" t="s">
        <v>1378</v>
      </c>
      <c r="I173" s="4" t="s">
        <v>224</v>
      </c>
    </row>
    <row r="174">
      <c r="A174" s="67" t="str">
        <f t="shared" si="1"/>
        <v>Sat</v>
      </c>
      <c r="B174" s="69">
        <v>43603.0</v>
      </c>
      <c r="D174" s="161">
        <v>229.5666666666667</v>
      </c>
      <c r="E174" s="4" t="s">
        <v>222</v>
      </c>
      <c r="F174" s="4" t="s">
        <v>1378</v>
      </c>
      <c r="I174" s="4" t="s">
        <v>224</v>
      </c>
    </row>
    <row r="175">
      <c r="A175" s="67" t="str">
        <f t="shared" si="1"/>
        <v>Sun</v>
      </c>
      <c r="B175" s="69">
        <v>43604.0</v>
      </c>
      <c r="H175" s="4" t="s">
        <v>1378</v>
      </c>
      <c r="I175" s="4" t="s">
        <v>224</v>
      </c>
    </row>
    <row r="176">
      <c r="A176" s="67" t="str">
        <f t="shared" si="1"/>
        <v>Mon</v>
      </c>
      <c r="B176" s="69">
        <v>43605.0</v>
      </c>
    </row>
    <row r="177">
      <c r="A177" s="67" t="str">
        <f t="shared" si="1"/>
        <v>Tue</v>
      </c>
      <c r="B177" s="69">
        <v>43606.0</v>
      </c>
      <c r="D177" s="161">
        <v>242.5</v>
      </c>
      <c r="E177" s="4" t="s">
        <v>222</v>
      </c>
      <c r="F177" s="4" t="s">
        <v>1380</v>
      </c>
      <c r="G177" s="4" t="s">
        <v>1380</v>
      </c>
      <c r="H177" s="4" t="s">
        <v>1381</v>
      </c>
      <c r="I177" s="4" t="s">
        <v>224</v>
      </c>
      <c r="K177" s="4" t="s">
        <v>231</v>
      </c>
      <c r="L177" s="4" t="s">
        <v>225</v>
      </c>
      <c r="M177" s="4" t="s">
        <v>226</v>
      </c>
      <c r="N177" s="4" t="s">
        <v>232</v>
      </c>
      <c r="O177" s="4" t="s">
        <v>264</v>
      </c>
      <c r="Q177" s="229" t="s">
        <v>1382</v>
      </c>
      <c r="R177" s="4" t="s">
        <v>1385</v>
      </c>
      <c r="S177" s="179" t="s">
        <v>1386</v>
      </c>
    </row>
    <row r="178">
      <c r="A178" s="67" t="str">
        <f t="shared" si="1"/>
        <v>Wed</v>
      </c>
      <c r="B178" s="69">
        <v>43607.0</v>
      </c>
      <c r="D178" s="161">
        <v>242.5</v>
      </c>
      <c r="E178" s="4" t="s">
        <v>222</v>
      </c>
      <c r="F178" s="4" t="s">
        <v>1380</v>
      </c>
      <c r="I178" s="4" t="s">
        <v>224</v>
      </c>
    </row>
    <row r="179">
      <c r="A179" s="67" t="str">
        <f t="shared" si="1"/>
        <v>Thu</v>
      </c>
      <c r="B179" s="69">
        <v>43608.0</v>
      </c>
      <c r="D179" s="161">
        <v>800.0</v>
      </c>
      <c r="E179" s="4" t="s">
        <v>337</v>
      </c>
      <c r="F179" s="4" t="s">
        <v>1387</v>
      </c>
      <c r="G179" s="4" t="s">
        <v>1387</v>
      </c>
      <c r="H179" s="4" t="s">
        <v>1380</v>
      </c>
      <c r="I179" s="4" t="s">
        <v>224</v>
      </c>
      <c r="J179" s="4" t="s">
        <v>1388</v>
      </c>
      <c r="K179" s="4" t="s">
        <v>958</v>
      </c>
      <c r="L179" s="4" t="s">
        <v>225</v>
      </c>
      <c r="M179" s="4" t="s">
        <v>1389</v>
      </c>
      <c r="P179" s="230"/>
      <c r="Q179" s="190" t="s">
        <v>741</v>
      </c>
      <c r="R179" s="191" t="s">
        <v>743</v>
      </c>
      <c r="S179" s="230"/>
    </row>
    <row r="180">
      <c r="A180" s="67" t="str">
        <f t="shared" si="1"/>
        <v>Fri</v>
      </c>
      <c r="B180" s="69">
        <v>43609.0</v>
      </c>
      <c r="D180" s="161">
        <v>800.0</v>
      </c>
      <c r="E180" s="4" t="s">
        <v>337</v>
      </c>
      <c r="F180" s="4" t="s">
        <v>1387</v>
      </c>
      <c r="I180" s="4" t="s">
        <v>224</v>
      </c>
      <c r="J180" s="4" t="s">
        <v>1388</v>
      </c>
    </row>
    <row r="181">
      <c r="A181" s="67" t="str">
        <f t="shared" si="1"/>
        <v>Sat</v>
      </c>
      <c r="B181" s="69">
        <v>43610.0</v>
      </c>
      <c r="D181" s="161">
        <v>800.0</v>
      </c>
      <c r="E181" s="4" t="s">
        <v>337</v>
      </c>
      <c r="F181" s="4" t="s">
        <v>1387</v>
      </c>
      <c r="I181" s="4" t="s">
        <v>224</v>
      </c>
      <c r="J181" s="4" t="s">
        <v>1388</v>
      </c>
    </row>
    <row r="182">
      <c r="A182" s="67" t="str">
        <f t="shared" si="1"/>
        <v>Sun</v>
      </c>
      <c r="B182" s="69">
        <v>43611.0</v>
      </c>
      <c r="D182" s="161">
        <v>800.0</v>
      </c>
      <c r="E182" s="4" t="s">
        <v>337</v>
      </c>
      <c r="F182" s="4" t="s">
        <v>1387</v>
      </c>
      <c r="I182" s="4" t="s">
        <v>224</v>
      </c>
      <c r="J182" s="4" t="s">
        <v>1388</v>
      </c>
    </row>
    <row r="183">
      <c r="A183" s="67" t="str">
        <f t="shared" si="1"/>
        <v>Mon</v>
      </c>
      <c r="B183" s="69">
        <v>43612.0</v>
      </c>
      <c r="F183" s="4"/>
      <c r="G183" s="4"/>
      <c r="H183" s="4" t="s">
        <v>1387</v>
      </c>
      <c r="J183" s="4" t="s">
        <v>228</v>
      </c>
      <c r="L183" s="4" t="s">
        <v>229</v>
      </c>
      <c r="M183" s="4"/>
      <c r="N183" s="4"/>
      <c r="O183" s="4"/>
    </row>
    <row r="184">
      <c r="A184" s="67" t="str">
        <f t="shared" si="1"/>
        <v>Tue</v>
      </c>
      <c r="B184" s="69">
        <v>43613.0</v>
      </c>
      <c r="F184" s="4"/>
      <c r="J184" s="4" t="s">
        <v>228</v>
      </c>
    </row>
    <row r="185">
      <c r="A185" s="67" t="str">
        <f t="shared" si="1"/>
        <v>Wed</v>
      </c>
      <c r="B185" s="69">
        <v>43614.0</v>
      </c>
      <c r="F185" s="4"/>
      <c r="G185" s="4"/>
      <c r="H185" s="4"/>
      <c r="J185" s="4" t="s">
        <v>228</v>
      </c>
      <c r="L185" s="4" t="s">
        <v>229</v>
      </c>
      <c r="M185" s="4"/>
      <c r="N185" s="4"/>
      <c r="O185" s="4"/>
    </row>
    <row r="186">
      <c r="A186" s="67" t="str">
        <f t="shared" si="1"/>
        <v>Thu</v>
      </c>
      <c r="B186" s="69">
        <v>43615.0</v>
      </c>
      <c r="F186" s="4"/>
      <c r="J186" s="4" t="s">
        <v>228</v>
      </c>
    </row>
    <row r="187">
      <c r="A187" s="67" t="str">
        <f t="shared" si="1"/>
        <v>Fri</v>
      </c>
      <c r="B187" s="69">
        <v>43616.0</v>
      </c>
      <c r="D187" s="161">
        <v>242.5</v>
      </c>
      <c r="E187" s="4" t="s">
        <v>222</v>
      </c>
      <c r="F187" s="4" t="s">
        <v>1393</v>
      </c>
      <c r="G187" s="4" t="s">
        <v>1393</v>
      </c>
      <c r="H187" s="4"/>
      <c r="I187" s="4" t="s">
        <v>224</v>
      </c>
      <c r="K187" s="4" t="s">
        <v>231</v>
      </c>
      <c r="L187" s="4" t="s">
        <v>225</v>
      </c>
      <c r="M187" s="4" t="s">
        <v>1394</v>
      </c>
      <c r="N187" s="4" t="s">
        <v>232</v>
      </c>
      <c r="O187" s="4" t="s">
        <v>264</v>
      </c>
      <c r="Q187" s="4" t="s">
        <v>1395</v>
      </c>
      <c r="R187" s="4" t="s">
        <v>1396</v>
      </c>
      <c r="S187" s="4" t="s">
        <v>1397</v>
      </c>
    </row>
    <row r="188">
      <c r="A188" s="67" t="str">
        <f t="shared" si="1"/>
        <v>Sat</v>
      </c>
      <c r="B188" s="69">
        <v>43617.0</v>
      </c>
      <c r="D188" s="161">
        <v>242.5</v>
      </c>
      <c r="E188" s="4" t="s">
        <v>222</v>
      </c>
      <c r="F188" s="4" t="s">
        <v>1393</v>
      </c>
      <c r="I188" s="4" t="s">
        <v>224</v>
      </c>
    </row>
    <row r="189">
      <c r="A189" s="67" t="str">
        <f t="shared" si="1"/>
        <v>Sun</v>
      </c>
      <c r="B189" s="69">
        <v>43618.0</v>
      </c>
      <c r="H189" s="4" t="s">
        <v>1393</v>
      </c>
    </row>
    <row r="190">
      <c r="A190" s="67" t="str">
        <f t="shared" si="1"/>
        <v>Mon</v>
      </c>
      <c r="B190" s="69">
        <v>43619.0</v>
      </c>
    </row>
    <row r="191">
      <c r="A191" s="67" t="str">
        <f t="shared" si="1"/>
        <v>Tue</v>
      </c>
      <c r="B191" s="69">
        <v>43620.0</v>
      </c>
    </row>
    <row r="192">
      <c r="A192" s="67" t="str">
        <f t="shared" si="1"/>
        <v>Wed</v>
      </c>
      <c r="B192" s="69">
        <v>43621.0</v>
      </c>
    </row>
    <row r="193">
      <c r="A193" s="67" t="str">
        <f t="shared" si="1"/>
        <v>Thu</v>
      </c>
      <c r="B193" s="69">
        <v>43622.0</v>
      </c>
    </row>
    <row r="194">
      <c r="A194" s="67" t="str">
        <f t="shared" si="1"/>
        <v>Fri</v>
      </c>
      <c r="B194" s="69">
        <v>43623.0</v>
      </c>
    </row>
    <row r="195">
      <c r="A195" s="67" t="str">
        <f t="shared" si="1"/>
        <v>Sat</v>
      </c>
      <c r="B195" s="69">
        <v>43624.0</v>
      </c>
    </row>
    <row r="196">
      <c r="A196" s="67" t="str">
        <f t="shared" si="1"/>
        <v>Sun</v>
      </c>
      <c r="B196" s="69">
        <v>43625.0</v>
      </c>
    </row>
    <row r="197">
      <c r="A197" s="67" t="str">
        <f t="shared" si="1"/>
        <v>Mon</v>
      </c>
      <c r="B197" s="69">
        <v>43626.0</v>
      </c>
    </row>
    <row r="198">
      <c r="A198" s="67" t="str">
        <f t="shared" si="1"/>
        <v>Tue</v>
      </c>
      <c r="B198" s="69">
        <v>43627.0</v>
      </c>
    </row>
    <row r="199">
      <c r="A199" s="67" t="str">
        <f t="shared" si="1"/>
        <v>Wed</v>
      </c>
      <c r="B199" s="69">
        <v>43628.0</v>
      </c>
    </row>
    <row r="200">
      <c r="A200" s="67" t="str">
        <f t="shared" si="1"/>
        <v>Thu</v>
      </c>
      <c r="B200" s="69">
        <v>43629.0</v>
      </c>
    </row>
    <row r="201">
      <c r="A201" s="67" t="str">
        <f t="shared" si="1"/>
        <v>Fri</v>
      </c>
      <c r="B201" s="69">
        <v>43630.0</v>
      </c>
      <c r="D201" s="161">
        <v>250.0</v>
      </c>
      <c r="E201" s="4" t="s">
        <v>337</v>
      </c>
      <c r="F201" s="4" t="s">
        <v>1399</v>
      </c>
      <c r="G201" s="4" t="s">
        <v>1399</v>
      </c>
      <c r="I201" s="4" t="s">
        <v>224</v>
      </c>
      <c r="K201" s="4" t="s">
        <v>481</v>
      </c>
      <c r="L201" s="4" t="s">
        <v>229</v>
      </c>
      <c r="M201" s="4" t="s">
        <v>1400</v>
      </c>
      <c r="Q201" s="4" t="s">
        <v>1401</v>
      </c>
      <c r="R201" s="4" t="s">
        <v>1402</v>
      </c>
      <c r="S201" s="4">
        <v>4.69139986E8</v>
      </c>
    </row>
    <row r="202">
      <c r="A202" s="67" t="str">
        <f t="shared" si="1"/>
        <v>Sat</v>
      </c>
      <c r="B202" s="69">
        <v>43631.0</v>
      </c>
      <c r="D202" s="161">
        <v>250.0</v>
      </c>
      <c r="E202" s="4" t="s">
        <v>337</v>
      </c>
      <c r="F202" s="4" t="s">
        <v>1399</v>
      </c>
      <c r="I202" s="4" t="s">
        <v>224</v>
      </c>
    </row>
    <row r="203">
      <c r="A203" s="67" t="str">
        <f t="shared" si="1"/>
        <v>Sun</v>
      </c>
      <c r="B203" s="69">
        <v>43632.0</v>
      </c>
      <c r="H203" s="4" t="s">
        <v>1399</v>
      </c>
    </row>
    <row r="204">
      <c r="A204" s="67" t="str">
        <f t="shared" si="1"/>
        <v>Mon</v>
      </c>
      <c r="B204" s="69">
        <v>43633.0</v>
      </c>
    </row>
    <row r="205">
      <c r="A205" s="67" t="str">
        <f t="shared" si="1"/>
        <v>Tue</v>
      </c>
      <c r="B205" s="69">
        <v>43634.0</v>
      </c>
    </row>
    <row r="206">
      <c r="A206" s="67" t="str">
        <f t="shared" si="1"/>
        <v>Wed</v>
      </c>
      <c r="B206" s="69">
        <v>43635.0</v>
      </c>
    </row>
    <row r="207">
      <c r="A207" s="67" t="str">
        <f t="shared" si="1"/>
        <v>Thu</v>
      </c>
      <c r="B207" s="69">
        <v>43636.0</v>
      </c>
    </row>
    <row r="208">
      <c r="A208" s="67" t="str">
        <f t="shared" si="1"/>
        <v>Fri</v>
      </c>
      <c r="B208" s="69">
        <v>43637.0</v>
      </c>
    </row>
    <row r="209">
      <c r="A209" s="67" t="str">
        <f t="shared" si="1"/>
        <v>Sat</v>
      </c>
      <c r="B209" s="69">
        <v>43638.0</v>
      </c>
    </row>
    <row r="210">
      <c r="A210" s="67" t="str">
        <f t="shared" si="1"/>
        <v>Sun</v>
      </c>
      <c r="B210" s="69">
        <v>43639.0</v>
      </c>
    </row>
    <row r="211">
      <c r="A211" s="67" t="str">
        <f t="shared" si="1"/>
        <v>Mon</v>
      </c>
      <c r="B211" s="69">
        <v>43640.0</v>
      </c>
    </row>
    <row r="212">
      <c r="A212" s="67" t="str">
        <f t="shared" si="1"/>
        <v>Tue</v>
      </c>
      <c r="B212" s="69">
        <v>43641.0</v>
      </c>
    </row>
    <row r="213">
      <c r="A213" s="67" t="str">
        <f t="shared" si="1"/>
        <v>Wed</v>
      </c>
      <c r="B213" s="69">
        <v>43642.0</v>
      </c>
    </row>
    <row r="214">
      <c r="A214" s="67" t="str">
        <f t="shared" si="1"/>
        <v>Thu</v>
      </c>
      <c r="B214" s="69">
        <v>43643.0</v>
      </c>
    </row>
    <row r="215">
      <c r="A215" s="67" t="str">
        <f t="shared" si="1"/>
        <v>Fri</v>
      </c>
      <c r="B215" s="69">
        <v>43644.0</v>
      </c>
    </row>
    <row r="216">
      <c r="A216" s="67" t="str">
        <f t="shared" si="1"/>
        <v>Sat</v>
      </c>
      <c r="B216" s="69">
        <v>43645.0</v>
      </c>
    </row>
    <row r="217">
      <c r="A217" s="67" t="str">
        <f t="shared" si="1"/>
        <v>Sun</v>
      </c>
      <c r="B217" s="69">
        <v>43646.0</v>
      </c>
    </row>
    <row r="218">
      <c r="A218" s="67" t="str">
        <f t="shared" si="1"/>
        <v>Mon</v>
      </c>
      <c r="B218" s="69">
        <v>43647.0</v>
      </c>
    </row>
    <row r="219">
      <c r="A219" s="67" t="str">
        <f t="shared" si="1"/>
        <v>Tue</v>
      </c>
      <c r="B219" s="69">
        <v>43648.0</v>
      </c>
    </row>
    <row r="220">
      <c r="A220" s="67" t="str">
        <f t="shared" si="1"/>
        <v>Wed</v>
      </c>
      <c r="B220" s="69">
        <v>43649.0</v>
      </c>
    </row>
    <row r="221">
      <c r="A221" s="67" t="str">
        <f t="shared" si="1"/>
        <v>Thu</v>
      </c>
      <c r="B221" s="69">
        <v>43650.0</v>
      </c>
    </row>
    <row r="222">
      <c r="A222" s="67" t="str">
        <f t="shared" si="1"/>
        <v>Fri</v>
      </c>
      <c r="B222" s="69">
        <v>43651.0</v>
      </c>
    </row>
    <row r="223">
      <c r="A223" s="67" t="str">
        <f t="shared" si="1"/>
        <v>Sat</v>
      </c>
      <c r="B223" s="69">
        <v>43652.0</v>
      </c>
    </row>
    <row r="224">
      <c r="A224" s="67" t="str">
        <f t="shared" si="1"/>
        <v>Sun</v>
      </c>
      <c r="B224" s="69">
        <v>43653.0</v>
      </c>
    </row>
    <row r="225">
      <c r="A225" s="67" t="str">
        <f t="shared" si="1"/>
        <v>Mon</v>
      </c>
      <c r="B225" s="69">
        <v>43654.0</v>
      </c>
    </row>
    <row r="226">
      <c r="A226" s="67" t="str">
        <f t="shared" si="1"/>
        <v>Tue</v>
      </c>
      <c r="B226" s="69">
        <v>43655.0</v>
      </c>
    </row>
    <row r="227">
      <c r="A227" s="67" t="str">
        <f t="shared" si="1"/>
        <v>Wed</v>
      </c>
      <c r="B227" s="69">
        <v>43656.0</v>
      </c>
    </row>
    <row r="228">
      <c r="A228" s="67" t="str">
        <f t="shared" si="1"/>
        <v>Thu</v>
      </c>
      <c r="B228" s="69">
        <v>43657.0</v>
      </c>
    </row>
    <row r="229">
      <c r="A229" s="67" t="str">
        <f t="shared" si="1"/>
        <v>Fri</v>
      </c>
      <c r="B229" s="69">
        <v>43658.0</v>
      </c>
    </row>
    <row r="230">
      <c r="A230" s="67" t="str">
        <f t="shared" si="1"/>
        <v>Sat</v>
      </c>
      <c r="B230" s="69">
        <v>43659.0</v>
      </c>
    </row>
    <row r="231">
      <c r="A231" s="67" t="str">
        <f t="shared" si="1"/>
        <v>Sun</v>
      </c>
      <c r="B231" s="69">
        <v>43660.0</v>
      </c>
    </row>
    <row r="232">
      <c r="A232" s="67" t="str">
        <f t="shared" si="1"/>
        <v>Mon</v>
      </c>
      <c r="B232" s="69">
        <v>43661.0</v>
      </c>
    </row>
    <row r="233">
      <c r="A233" s="67" t="str">
        <f t="shared" si="1"/>
        <v>Tue</v>
      </c>
      <c r="B233" s="69">
        <v>43662.0</v>
      </c>
    </row>
    <row r="234">
      <c r="A234" s="67" t="str">
        <f t="shared" si="1"/>
        <v>Wed</v>
      </c>
      <c r="B234" s="69">
        <v>43663.0</v>
      </c>
    </row>
    <row r="235">
      <c r="A235" s="67" t="str">
        <f t="shared" si="1"/>
        <v>Thu</v>
      </c>
      <c r="B235" s="69">
        <v>43664.0</v>
      </c>
    </row>
    <row r="236">
      <c r="A236" s="67" t="str">
        <f t="shared" si="1"/>
        <v>Fri</v>
      </c>
      <c r="B236" s="69">
        <v>43665.0</v>
      </c>
    </row>
    <row r="237">
      <c r="A237" s="67" t="str">
        <f t="shared" si="1"/>
        <v>Sat</v>
      </c>
      <c r="B237" s="69">
        <v>43666.0</v>
      </c>
    </row>
    <row r="238">
      <c r="A238" s="67" t="str">
        <f t="shared" si="1"/>
        <v>Sun</v>
      </c>
      <c r="B238" s="69">
        <v>43667.0</v>
      </c>
    </row>
    <row r="239">
      <c r="A239" s="67" t="str">
        <f t="shared" si="1"/>
        <v>Mon</v>
      </c>
      <c r="B239" s="69">
        <v>43668.0</v>
      </c>
    </row>
    <row r="240">
      <c r="A240" s="67" t="str">
        <f t="shared" si="1"/>
        <v>Tue</v>
      </c>
      <c r="B240" s="69">
        <v>43669.0</v>
      </c>
    </row>
    <row r="241">
      <c r="A241" s="67" t="str">
        <f t="shared" si="1"/>
        <v>Wed</v>
      </c>
      <c r="B241" s="69">
        <v>43670.0</v>
      </c>
    </row>
    <row r="242">
      <c r="A242" s="67" t="str">
        <f t="shared" si="1"/>
        <v>Thu</v>
      </c>
      <c r="B242" s="69">
        <v>43671.0</v>
      </c>
    </row>
    <row r="243">
      <c r="A243" s="67" t="str">
        <f t="shared" si="1"/>
        <v>Fri</v>
      </c>
      <c r="B243" s="69">
        <v>43672.0</v>
      </c>
    </row>
    <row r="244">
      <c r="A244" s="67" t="str">
        <f t="shared" si="1"/>
        <v>Sat</v>
      </c>
      <c r="B244" s="69">
        <v>43673.0</v>
      </c>
    </row>
    <row r="245">
      <c r="A245" s="67" t="str">
        <f t="shared" si="1"/>
        <v>Sun</v>
      </c>
      <c r="B245" s="69">
        <v>43674.0</v>
      </c>
    </row>
    <row r="246">
      <c r="A246" s="67" t="str">
        <f t="shared" si="1"/>
        <v>Mon</v>
      </c>
      <c r="B246" s="69">
        <v>43675.0</v>
      </c>
    </row>
    <row r="247">
      <c r="A247" s="67" t="str">
        <f t="shared" si="1"/>
        <v>Tue</v>
      </c>
      <c r="B247" s="69">
        <v>43676.0</v>
      </c>
    </row>
    <row r="248">
      <c r="A248" s="67" t="str">
        <f t="shared" si="1"/>
        <v>Wed</v>
      </c>
      <c r="B248" s="69">
        <v>43677.0</v>
      </c>
    </row>
    <row r="249">
      <c r="A249" s="67" t="str">
        <f t="shared" si="1"/>
        <v>Thu</v>
      </c>
      <c r="B249" s="69">
        <v>43678.0</v>
      </c>
    </row>
    <row r="250">
      <c r="A250" s="67" t="str">
        <f t="shared" si="1"/>
        <v>Fri</v>
      </c>
      <c r="B250" s="69">
        <v>43679.0</v>
      </c>
    </row>
    <row r="251">
      <c r="A251" s="67" t="str">
        <f t="shared" si="1"/>
        <v>Sat</v>
      </c>
      <c r="B251" s="69">
        <v>43680.0</v>
      </c>
      <c r="U251" s="30"/>
      <c r="V251" s="30"/>
    </row>
    <row r="252">
      <c r="A252" s="67" t="str">
        <f t="shared" si="1"/>
        <v>Sun</v>
      </c>
      <c r="B252" s="69">
        <v>43681.0</v>
      </c>
    </row>
    <row r="253">
      <c r="A253" s="67" t="str">
        <f t="shared" si="1"/>
        <v>Mon</v>
      </c>
      <c r="B253" s="69">
        <v>43682.0</v>
      </c>
    </row>
    <row r="254">
      <c r="A254" s="67" t="str">
        <f t="shared" si="1"/>
        <v>Tue</v>
      </c>
      <c r="B254" s="69">
        <v>43683.0</v>
      </c>
    </row>
    <row r="255">
      <c r="A255" s="67" t="str">
        <f t="shared" si="1"/>
        <v>Wed</v>
      </c>
      <c r="B255" s="69">
        <v>43684.0</v>
      </c>
    </row>
    <row r="256">
      <c r="A256" s="67" t="str">
        <f t="shared" si="1"/>
        <v>Thu</v>
      </c>
      <c r="B256" s="69">
        <v>43685.0</v>
      </c>
    </row>
    <row r="257">
      <c r="A257" s="67" t="str">
        <f t="shared" si="1"/>
        <v>Fri</v>
      </c>
      <c r="B257" s="69">
        <v>43686.0</v>
      </c>
    </row>
    <row r="258">
      <c r="A258" s="67" t="str">
        <f t="shared" si="1"/>
        <v>Sat</v>
      </c>
      <c r="B258" s="69">
        <v>43687.0</v>
      </c>
    </row>
    <row r="259">
      <c r="A259" s="67" t="str">
        <f t="shared" si="1"/>
        <v>Sun</v>
      </c>
      <c r="B259" s="69">
        <v>43688.0</v>
      </c>
    </row>
    <row r="260">
      <c r="A260" s="67" t="str">
        <f t="shared" si="1"/>
        <v>Mon</v>
      </c>
      <c r="B260" s="69">
        <v>43689.0</v>
      </c>
    </row>
    <row r="261">
      <c r="A261" s="67" t="str">
        <f t="shared" si="1"/>
        <v>Tue</v>
      </c>
      <c r="B261" s="69">
        <v>43690.0</v>
      </c>
    </row>
    <row r="262">
      <c r="A262" s="67" t="str">
        <f t="shared" si="1"/>
        <v>Wed</v>
      </c>
      <c r="B262" s="69">
        <v>43691.0</v>
      </c>
    </row>
    <row r="263">
      <c r="A263" s="67" t="str">
        <f t="shared" si="1"/>
        <v>Thu</v>
      </c>
      <c r="B263" s="69">
        <v>43692.0</v>
      </c>
    </row>
    <row r="264">
      <c r="A264" s="67" t="str">
        <f t="shared" si="1"/>
        <v>Fri</v>
      </c>
      <c r="B264" s="69">
        <v>43693.0</v>
      </c>
    </row>
    <row r="265">
      <c r="A265" s="67" t="str">
        <f t="shared" si="1"/>
        <v>Sat</v>
      </c>
      <c r="B265" s="69">
        <v>43694.0</v>
      </c>
    </row>
    <row r="266">
      <c r="A266" s="67" t="str">
        <f t="shared" si="1"/>
        <v>Sun</v>
      </c>
      <c r="B266" s="69">
        <v>43695.0</v>
      </c>
    </row>
    <row r="267">
      <c r="A267" s="67" t="str">
        <f t="shared" si="1"/>
        <v>Mon</v>
      </c>
      <c r="B267" s="69">
        <v>43696.0</v>
      </c>
    </row>
    <row r="268">
      <c r="A268" s="67" t="str">
        <f t="shared" si="1"/>
        <v>Tue</v>
      </c>
      <c r="B268" s="69">
        <v>43697.0</v>
      </c>
    </row>
    <row r="269">
      <c r="A269" s="67" t="str">
        <f t="shared" si="1"/>
        <v>Wed</v>
      </c>
      <c r="B269" s="69">
        <v>43698.0</v>
      </c>
    </row>
    <row r="270">
      <c r="A270" s="67" t="str">
        <f t="shared" si="1"/>
        <v>Thu</v>
      </c>
      <c r="B270" s="69">
        <v>43699.0</v>
      </c>
    </row>
    <row r="271">
      <c r="A271" s="67" t="str">
        <f t="shared" si="1"/>
        <v>Fri</v>
      </c>
      <c r="B271" s="69">
        <v>43700.0</v>
      </c>
    </row>
    <row r="272">
      <c r="A272" s="67" t="str">
        <f t="shared" si="1"/>
        <v>Sat</v>
      </c>
      <c r="B272" s="69">
        <v>43701.0</v>
      </c>
      <c r="D272" s="4">
        <v>270.0</v>
      </c>
      <c r="E272" s="4" t="s">
        <v>337</v>
      </c>
      <c r="F272" s="4"/>
      <c r="G272" s="4"/>
      <c r="I272" s="4" t="s">
        <v>224</v>
      </c>
      <c r="J272" s="4" t="s">
        <v>1412</v>
      </c>
      <c r="K272" s="4" t="s">
        <v>339</v>
      </c>
      <c r="L272" s="4" t="s">
        <v>229</v>
      </c>
      <c r="M272" s="4"/>
      <c r="N272" s="4"/>
      <c r="O272" s="4"/>
      <c r="Q272" s="4" t="s">
        <v>709</v>
      </c>
      <c r="R272" s="4" t="s">
        <v>1413</v>
      </c>
      <c r="S272" s="4" t="s">
        <v>1414</v>
      </c>
    </row>
    <row r="273">
      <c r="A273" s="67" t="str">
        <f t="shared" si="1"/>
        <v>Sun</v>
      </c>
      <c r="B273" s="69">
        <v>43702.0</v>
      </c>
      <c r="D273" s="4">
        <v>270.0</v>
      </c>
      <c r="E273" s="4" t="s">
        <v>337</v>
      </c>
      <c r="F273" s="4"/>
      <c r="I273" s="4" t="s">
        <v>224</v>
      </c>
    </row>
    <row r="274">
      <c r="A274" s="67" t="str">
        <f t="shared" si="1"/>
        <v>Mon</v>
      </c>
      <c r="B274" s="69">
        <v>43703.0</v>
      </c>
      <c r="H274" s="4"/>
    </row>
    <row r="275">
      <c r="A275" s="67" t="str">
        <f t="shared" si="1"/>
        <v>Tue</v>
      </c>
      <c r="B275" s="69">
        <v>43704.0</v>
      </c>
    </row>
    <row r="276">
      <c r="A276" s="67" t="str">
        <f t="shared" si="1"/>
        <v>Wed</v>
      </c>
      <c r="B276" s="69">
        <v>43705.0</v>
      </c>
    </row>
    <row r="277">
      <c r="A277" s="67" t="str">
        <f t="shared" si="1"/>
        <v>Thu</v>
      </c>
      <c r="B277" s="69">
        <v>43706.0</v>
      </c>
    </row>
    <row r="278">
      <c r="A278" s="67" t="str">
        <f t="shared" si="1"/>
        <v>Fri</v>
      </c>
      <c r="B278" s="69">
        <v>43707.0</v>
      </c>
    </row>
    <row r="279">
      <c r="A279" s="67" t="str">
        <f t="shared" si="1"/>
        <v>Sat</v>
      </c>
      <c r="B279" s="69">
        <v>43708.0</v>
      </c>
    </row>
    <row r="280">
      <c r="A280" s="67" t="str">
        <f t="shared" si="1"/>
        <v>Sun</v>
      </c>
      <c r="B280" s="69">
        <v>43709.0</v>
      </c>
    </row>
    <row r="281">
      <c r="A281" s="67" t="str">
        <f t="shared" si="1"/>
        <v>Mon</v>
      </c>
      <c r="B281" s="69">
        <v>43710.0</v>
      </c>
      <c r="U281" s="30"/>
      <c r="V281" s="30"/>
    </row>
    <row r="282">
      <c r="A282" s="67" t="str">
        <f t="shared" si="1"/>
        <v>Tue</v>
      </c>
      <c r="B282" s="69">
        <v>43711.0</v>
      </c>
    </row>
    <row r="283">
      <c r="A283" s="67" t="str">
        <f t="shared" si="1"/>
        <v>Wed</v>
      </c>
      <c r="B283" s="69">
        <v>43712.0</v>
      </c>
    </row>
    <row r="284">
      <c r="A284" s="67" t="str">
        <f t="shared" si="1"/>
        <v>Thu</v>
      </c>
      <c r="B284" s="69">
        <v>43713.0</v>
      </c>
    </row>
    <row r="285">
      <c r="A285" s="67" t="str">
        <f t="shared" si="1"/>
        <v>Fri</v>
      </c>
      <c r="B285" s="69">
        <v>43714.0</v>
      </c>
    </row>
    <row r="286">
      <c r="A286" s="67" t="str">
        <f t="shared" si="1"/>
        <v>Sat</v>
      </c>
      <c r="B286" s="69">
        <v>43715.0</v>
      </c>
    </row>
    <row r="287">
      <c r="A287" s="67" t="str">
        <f t="shared" si="1"/>
        <v>Sun</v>
      </c>
      <c r="B287" s="69">
        <v>43716.0</v>
      </c>
    </row>
    <row r="288">
      <c r="A288" s="67" t="str">
        <f t="shared" si="1"/>
        <v>Mon</v>
      </c>
      <c r="B288" s="69">
        <v>43717.0</v>
      </c>
    </row>
    <row r="289">
      <c r="A289" s="67" t="str">
        <f t="shared" si="1"/>
        <v>Tue</v>
      </c>
      <c r="B289" s="69">
        <v>43718.0</v>
      </c>
    </row>
    <row r="290">
      <c r="A290" s="67" t="str">
        <f t="shared" si="1"/>
        <v>Wed</v>
      </c>
      <c r="B290" s="69">
        <v>43719.0</v>
      </c>
    </row>
    <row r="291">
      <c r="A291" s="67" t="str">
        <f t="shared" si="1"/>
        <v>Thu</v>
      </c>
      <c r="B291" s="69">
        <v>43720.0</v>
      </c>
    </row>
    <row r="292">
      <c r="A292" s="67" t="str">
        <f t="shared" si="1"/>
        <v>Fri</v>
      </c>
      <c r="B292" s="69">
        <v>43721.0</v>
      </c>
      <c r="D292" s="161">
        <v>300.7</v>
      </c>
      <c r="E292" s="4" t="s">
        <v>222</v>
      </c>
      <c r="F292" s="4" t="s">
        <v>1418</v>
      </c>
      <c r="G292" s="4" t="s">
        <v>1418</v>
      </c>
      <c r="I292" s="4" t="s">
        <v>224</v>
      </c>
      <c r="K292" s="4" t="s">
        <v>231</v>
      </c>
      <c r="L292" s="4" t="s">
        <v>240</v>
      </c>
      <c r="M292" s="4" t="s">
        <v>226</v>
      </c>
      <c r="N292" s="4" t="s">
        <v>232</v>
      </c>
      <c r="O292" s="4" t="s">
        <v>264</v>
      </c>
      <c r="R292" s="4" t="s">
        <v>1419</v>
      </c>
    </row>
    <row r="293">
      <c r="A293" s="67" t="str">
        <f t="shared" si="1"/>
        <v>Sat</v>
      </c>
      <c r="B293" s="69">
        <v>43722.0</v>
      </c>
      <c r="D293" s="161">
        <v>300.7</v>
      </c>
      <c r="E293" s="4" t="s">
        <v>222</v>
      </c>
      <c r="F293" s="4" t="s">
        <v>1418</v>
      </c>
      <c r="I293" s="4" t="s">
        <v>224</v>
      </c>
    </row>
    <row r="294">
      <c r="A294" s="67" t="str">
        <f t="shared" si="1"/>
        <v>Sun</v>
      </c>
      <c r="B294" s="69">
        <v>43723.0</v>
      </c>
      <c r="H294" s="4" t="s">
        <v>1418</v>
      </c>
    </row>
    <row r="295">
      <c r="A295" s="67" t="str">
        <f t="shared" si="1"/>
        <v>Mon</v>
      </c>
      <c r="B295" s="69">
        <v>43724.0</v>
      </c>
    </row>
    <row r="296">
      <c r="A296" s="67" t="str">
        <f t="shared" si="1"/>
        <v>Tue</v>
      </c>
      <c r="B296" s="69">
        <v>43725.0</v>
      </c>
    </row>
    <row r="297">
      <c r="A297" s="67" t="str">
        <f t="shared" si="1"/>
        <v>Wed</v>
      </c>
      <c r="B297" s="69">
        <v>43726.0</v>
      </c>
    </row>
    <row r="298">
      <c r="A298" s="67" t="str">
        <f t="shared" si="1"/>
        <v>Thu</v>
      </c>
      <c r="B298" s="69">
        <v>43727.0</v>
      </c>
    </row>
    <row r="299">
      <c r="A299" s="67" t="str">
        <f t="shared" si="1"/>
        <v>Fri</v>
      </c>
      <c r="B299" s="69">
        <v>43728.0</v>
      </c>
    </row>
    <row r="300">
      <c r="A300" s="67" t="str">
        <f t="shared" si="1"/>
        <v>Sat</v>
      </c>
      <c r="B300" s="69">
        <v>43729.0</v>
      </c>
    </row>
    <row r="301">
      <c r="A301" s="67" t="str">
        <f t="shared" si="1"/>
        <v>Sun</v>
      </c>
      <c r="B301" s="69">
        <v>43730.0</v>
      </c>
    </row>
    <row r="302">
      <c r="A302" s="67" t="str">
        <f t="shared" si="1"/>
        <v>Mon</v>
      </c>
      <c r="B302" s="69">
        <v>43731.0</v>
      </c>
    </row>
    <row r="303">
      <c r="A303" s="67" t="str">
        <f t="shared" si="1"/>
        <v>Tue</v>
      </c>
      <c r="B303" s="69">
        <v>43732.0</v>
      </c>
    </row>
    <row r="304">
      <c r="A304" s="67" t="str">
        <f t="shared" si="1"/>
        <v>Wed</v>
      </c>
      <c r="B304" s="69">
        <v>43733.0</v>
      </c>
    </row>
    <row r="305">
      <c r="A305" s="67" t="str">
        <f t="shared" si="1"/>
        <v>Thu</v>
      </c>
      <c r="B305" s="69">
        <v>43734.0</v>
      </c>
    </row>
    <row r="306">
      <c r="A306" s="67" t="str">
        <f t="shared" si="1"/>
        <v>Fri</v>
      </c>
      <c r="B306" s="69">
        <v>43735.0</v>
      </c>
    </row>
    <row r="307">
      <c r="A307" s="67" t="str">
        <f t="shared" si="1"/>
        <v>Sat</v>
      </c>
      <c r="B307" s="69">
        <v>43736.0</v>
      </c>
    </row>
    <row r="308">
      <c r="A308" s="67" t="str">
        <f t="shared" si="1"/>
        <v>Sun</v>
      </c>
      <c r="B308" s="69">
        <v>43737.0</v>
      </c>
    </row>
    <row r="309">
      <c r="A309" s="67" t="str">
        <f t="shared" si="1"/>
        <v>Mon</v>
      </c>
      <c r="B309" s="69">
        <v>43738.0</v>
      </c>
    </row>
    <row r="310">
      <c r="A310" s="67" t="str">
        <f t="shared" si="1"/>
        <v>Tue</v>
      </c>
      <c r="B310" s="69">
        <v>43739.0</v>
      </c>
    </row>
    <row r="311">
      <c r="A311" s="67" t="str">
        <f t="shared" si="1"/>
        <v>Wed</v>
      </c>
      <c r="B311" s="69">
        <v>43740.0</v>
      </c>
    </row>
    <row r="312">
      <c r="A312" s="67" t="str">
        <f t="shared" si="1"/>
        <v>Thu</v>
      </c>
      <c r="B312" s="69">
        <v>43741.0</v>
      </c>
    </row>
    <row r="313">
      <c r="A313" s="67" t="str">
        <f t="shared" si="1"/>
        <v>Fri</v>
      </c>
      <c r="B313" s="69">
        <v>43742.0</v>
      </c>
    </row>
    <row r="314">
      <c r="A314" s="67" t="str">
        <f t="shared" si="1"/>
        <v>Sat</v>
      </c>
      <c r="B314" s="69">
        <v>43743.0</v>
      </c>
    </row>
    <row r="315">
      <c r="A315" s="67" t="str">
        <f t="shared" si="1"/>
        <v>Sun</v>
      </c>
      <c r="B315" s="69">
        <v>43744.0</v>
      </c>
    </row>
    <row r="316">
      <c r="A316" s="67" t="str">
        <f t="shared" si="1"/>
        <v>Mon</v>
      </c>
      <c r="B316" s="69">
        <v>43745.0</v>
      </c>
    </row>
    <row r="317">
      <c r="A317" s="67" t="str">
        <f t="shared" si="1"/>
        <v>Tue</v>
      </c>
      <c r="B317" s="69">
        <v>43746.0</v>
      </c>
    </row>
    <row r="318">
      <c r="A318" s="67" t="str">
        <f t="shared" si="1"/>
        <v>Wed</v>
      </c>
      <c r="B318" s="69">
        <v>43747.0</v>
      </c>
    </row>
    <row r="319">
      <c r="A319" s="67" t="str">
        <f t="shared" si="1"/>
        <v>Thu</v>
      </c>
      <c r="B319" s="69">
        <v>43748.0</v>
      </c>
    </row>
    <row r="320">
      <c r="A320" s="67" t="str">
        <f t="shared" si="1"/>
        <v>Fri</v>
      </c>
      <c r="B320" s="69">
        <v>43749.0</v>
      </c>
    </row>
    <row r="321">
      <c r="A321" s="67" t="str">
        <f t="shared" si="1"/>
        <v>Sat</v>
      </c>
      <c r="B321" s="69">
        <v>43750.0</v>
      </c>
    </row>
    <row r="322">
      <c r="A322" s="67" t="str">
        <f t="shared" si="1"/>
        <v>Sun</v>
      </c>
      <c r="B322" s="69">
        <v>43751.0</v>
      </c>
    </row>
    <row r="323">
      <c r="A323" s="67" t="str">
        <f t="shared" si="1"/>
        <v>Mon</v>
      </c>
      <c r="B323" s="69">
        <v>43752.0</v>
      </c>
    </row>
    <row r="324">
      <c r="A324" s="67" t="str">
        <f t="shared" si="1"/>
        <v>Tue</v>
      </c>
      <c r="B324" s="69">
        <v>43753.0</v>
      </c>
    </row>
    <row r="325">
      <c r="A325" s="67" t="str">
        <f t="shared" si="1"/>
        <v>Wed</v>
      </c>
      <c r="B325" s="69">
        <v>43754.0</v>
      </c>
    </row>
    <row r="326">
      <c r="A326" s="67" t="str">
        <f t="shared" si="1"/>
        <v>Thu</v>
      </c>
      <c r="B326" s="69">
        <v>43755.0</v>
      </c>
    </row>
    <row r="327">
      <c r="A327" s="67" t="str">
        <f t="shared" si="1"/>
        <v>Fri</v>
      </c>
      <c r="B327" s="69">
        <v>43756.0</v>
      </c>
    </row>
    <row r="328">
      <c r="A328" s="67" t="str">
        <f t="shared" si="1"/>
        <v>Sat</v>
      </c>
      <c r="B328" s="69">
        <v>43757.0</v>
      </c>
    </row>
    <row r="329">
      <c r="A329" s="67" t="str">
        <f t="shared" si="1"/>
        <v>Sun</v>
      </c>
      <c r="B329" s="69">
        <v>43758.0</v>
      </c>
    </row>
    <row r="330">
      <c r="A330" s="67" t="str">
        <f t="shared" si="1"/>
        <v>Mon</v>
      </c>
      <c r="B330" s="69">
        <v>43759.0</v>
      </c>
    </row>
    <row r="331">
      <c r="A331" s="67" t="str">
        <f t="shared" si="1"/>
        <v>Tue</v>
      </c>
      <c r="B331" s="69">
        <v>43760.0</v>
      </c>
    </row>
    <row r="332">
      <c r="A332" s="67" t="str">
        <f t="shared" si="1"/>
        <v>Wed</v>
      </c>
      <c r="B332" s="69">
        <v>43761.0</v>
      </c>
    </row>
    <row r="333">
      <c r="A333" s="67" t="str">
        <f t="shared" si="1"/>
        <v>Thu</v>
      </c>
      <c r="B333" s="69">
        <v>43762.0</v>
      </c>
    </row>
    <row r="334">
      <c r="A334" s="67" t="str">
        <f t="shared" si="1"/>
        <v>Fri</v>
      </c>
      <c r="B334" s="69">
        <v>43763.0</v>
      </c>
    </row>
    <row r="335">
      <c r="A335" s="67" t="str">
        <f t="shared" si="1"/>
        <v>Sat</v>
      </c>
      <c r="B335" s="69">
        <v>43764.0</v>
      </c>
    </row>
    <row r="336">
      <c r="A336" s="67" t="str">
        <f t="shared" si="1"/>
        <v>Sun</v>
      </c>
      <c r="B336" s="69">
        <v>43765.0</v>
      </c>
    </row>
    <row r="337">
      <c r="A337" s="67" t="str">
        <f t="shared" si="1"/>
        <v>Mon</v>
      </c>
      <c r="B337" s="69">
        <v>43766.0</v>
      </c>
    </row>
    <row r="338">
      <c r="A338" s="67" t="str">
        <f t="shared" si="1"/>
        <v>Tue</v>
      </c>
      <c r="B338" s="69">
        <v>43767.0</v>
      </c>
    </row>
    <row r="339">
      <c r="A339" s="67" t="str">
        <f t="shared" si="1"/>
        <v>Wed</v>
      </c>
      <c r="B339" s="69">
        <v>43768.0</v>
      </c>
    </row>
    <row r="340">
      <c r="A340" s="67" t="str">
        <f t="shared" si="1"/>
        <v>Thu</v>
      </c>
      <c r="B340" s="69">
        <v>43769.0</v>
      </c>
    </row>
    <row r="341">
      <c r="A341" s="67" t="str">
        <f t="shared" si="1"/>
        <v>Fri</v>
      </c>
      <c r="B341" s="69">
        <v>43770.0</v>
      </c>
    </row>
    <row r="342">
      <c r="A342" s="67" t="str">
        <f t="shared" si="1"/>
        <v>Sat</v>
      </c>
      <c r="B342" s="69">
        <v>43771.0</v>
      </c>
    </row>
    <row r="343">
      <c r="A343" s="67" t="str">
        <f t="shared" si="1"/>
        <v>Sun</v>
      </c>
      <c r="B343" s="69">
        <v>43772.0</v>
      </c>
    </row>
    <row r="344">
      <c r="A344" s="67" t="str">
        <f t="shared" si="1"/>
        <v>Mon</v>
      </c>
      <c r="B344" s="69">
        <v>43773.0</v>
      </c>
    </row>
    <row r="345">
      <c r="A345" s="67" t="str">
        <f t="shared" si="1"/>
        <v>Tue</v>
      </c>
      <c r="B345" s="69">
        <v>43774.0</v>
      </c>
    </row>
    <row r="346">
      <c r="A346" s="67" t="str">
        <f t="shared" si="1"/>
        <v>Wed</v>
      </c>
      <c r="B346" s="69">
        <v>43775.0</v>
      </c>
    </row>
    <row r="347">
      <c r="A347" s="67" t="str">
        <f t="shared" si="1"/>
        <v>Thu</v>
      </c>
      <c r="B347" s="69">
        <v>43776.0</v>
      </c>
    </row>
    <row r="348">
      <c r="A348" s="67" t="str">
        <f t="shared" si="1"/>
        <v>Fri</v>
      </c>
      <c r="B348" s="69">
        <v>43777.0</v>
      </c>
    </row>
    <row r="349">
      <c r="A349" s="67" t="str">
        <f t="shared" si="1"/>
        <v>Sat</v>
      </c>
      <c r="B349" s="69">
        <v>43778.0</v>
      </c>
    </row>
    <row r="350">
      <c r="A350" s="67" t="str">
        <f t="shared" si="1"/>
        <v>Sun</v>
      </c>
      <c r="B350" s="69">
        <v>43779.0</v>
      </c>
    </row>
    <row r="351">
      <c r="A351" s="67" t="str">
        <f t="shared" si="1"/>
        <v>Mon</v>
      </c>
      <c r="B351" s="69">
        <v>43780.0</v>
      </c>
    </row>
    <row r="352">
      <c r="A352" s="67" t="str">
        <f t="shared" si="1"/>
        <v>Tue</v>
      </c>
      <c r="B352" s="69">
        <v>43781.0</v>
      </c>
    </row>
    <row r="353">
      <c r="A353" s="67" t="str">
        <f t="shared" si="1"/>
        <v>Wed</v>
      </c>
      <c r="B353" s="69">
        <v>43782.0</v>
      </c>
    </row>
    <row r="354">
      <c r="A354" s="67" t="str">
        <f t="shared" si="1"/>
        <v>Thu</v>
      </c>
      <c r="B354" s="69">
        <v>43783.0</v>
      </c>
    </row>
    <row r="355">
      <c r="A355" s="67" t="str">
        <f t="shared" si="1"/>
        <v>Fri</v>
      </c>
      <c r="B355" s="69">
        <v>43784.0</v>
      </c>
    </row>
    <row r="356">
      <c r="A356" s="67" t="str">
        <f t="shared" si="1"/>
        <v>Sat</v>
      </c>
      <c r="B356" s="69">
        <v>43785.0</v>
      </c>
    </row>
    <row r="357">
      <c r="A357" s="67" t="str">
        <f t="shared" si="1"/>
        <v>Sun</v>
      </c>
      <c r="B357" s="69">
        <v>43786.0</v>
      </c>
    </row>
    <row r="358">
      <c r="A358" s="67" t="str">
        <f t="shared" si="1"/>
        <v>Mon</v>
      </c>
      <c r="B358" s="69">
        <v>43787.0</v>
      </c>
    </row>
    <row r="359">
      <c r="A359" s="67" t="str">
        <f t="shared" si="1"/>
        <v>Tue</v>
      </c>
      <c r="B359" s="69">
        <v>43788.0</v>
      </c>
    </row>
    <row r="360">
      <c r="A360" s="67" t="str">
        <f t="shared" si="1"/>
        <v>Wed</v>
      </c>
      <c r="B360" s="69">
        <v>43789.0</v>
      </c>
    </row>
    <row r="361">
      <c r="A361" s="67" t="str">
        <f t="shared" si="1"/>
        <v>Thu</v>
      </c>
      <c r="B361" s="69">
        <v>43790.0</v>
      </c>
    </row>
    <row r="362">
      <c r="A362" s="67" t="str">
        <f t="shared" si="1"/>
        <v>Fri</v>
      </c>
      <c r="B362" s="69">
        <v>43791.0</v>
      </c>
    </row>
    <row r="363">
      <c r="A363" s="67" t="str">
        <f t="shared" si="1"/>
        <v>Sat</v>
      </c>
      <c r="B363" s="69">
        <v>43792.0</v>
      </c>
    </row>
    <row r="364">
      <c r="A364" s="67" t="str">
        <f t="shared" si="1"/>
        <v>Sun</v>
      </c>
      <c r="B364" s="69">
        <v>43793.0</v>
      </c>
    </row>
    <row r="365">
      <c r="A365" s="67" t="str">
        <f t="shared" si="1"/>
        <v>Mon</v>
      </c>
      <c r="B365" s="69">
        <v>43794.0</v>
      </c>
    </row>
    <row r="366">
      <c r="A366" s="67" t="str">
        <f t="shared" si="1"/>
        <v>Tue</v>
      </c>
      <c r="B366" s="69">
        <v>43795.0</v>
      </c>
    </row>
    <row r="367">
      <c r="A367" s="67" t="str">
        <f t="shared" si="1"/>
        <v>Wed</v>
      </c>
      <c r="B367" s="69">
        <v>43796.0</v>
      </c>
    </row>
    <row r="368">
      <c r="A368" s="67" t="str">
        <f t="shared" si="1"/>
        <v>Thu</v>
      </c>
      <c r="B368" s="69">
        <v>43797.0</v>
      </c>
    </row>
    <row r="369">
      <c r="A369" s="67" t="str">
        <f t="shared" si="1"/>
        <v>Fri</v>
      </c>
      <c r="B369" s="69">
        <v>43798.0</v>
      </c>
    </row>
    <row r="370">
      <c r="A370" s="67" t="str">
        <f t="shared" si="1"/>
        <v>Sat</v>
      </c>
      <c r="B370" s="69">
        <v>43799.0</v>
      </c>
    </row>
    <row r="371">
      <c r="A371" s="67" t="str">
        <f t="shared" si="1"/>
        <v>Sun</v>
      </c>
      <c r="B371" s="69">
        <v>43800.0</v>
      </c>
    </row>
    <row r="372">
      <c r="A372" s="67" t="str">
        <f t="shared" si="1"/>
        <v>Mon</v>
      </c>
      <c r="B372" s="69">
        <v>43801.0</v>
      </c>
    </row>
    <row r="373">
      <c r="A373" s="67" t="str">
        <f t="shared" si="1"/>
        <v>Tue</v>
      </c>
      <c r="B373" s="69">
        <v>43802.0</v>
      </c>
    </row>
    <row r="374">
      <c r="A374" s="67" t="str">
        <f t="shared" si="1"/>
        <v>Wed</v>
      </c>
      <c r="B374" s="69">
        <v>43803.0</v>
      </c>
    </row>
    <row r="375">
      <c r="A375" s="67" t="str">
        <f t="shared" si="1"/>
        <v>Thu</v>
      </c>
      <c r="B375" s="69">
        <v>43804.0</v>
      </c>
    </row>
    <row r="376">
      <c r="A376" s="67" t="str">
        <f t="shared" si="1"/>
        <v>Fri</v>
      </c>
      <c r="B376" s="69">
        <v>43805.0</v>
      </c>
    </row>
    <row r="377">
      <c r="A377" s="67" t="str">
        <f t="shared" si="1"/>
        <v>Sat</v>
      </c>
      <c r="B377" s="69">
        <v>43806.0</v>
      </c>
    </row>
    <row r="378">
      <c r="A378" s="67" t="str">
        <f t="shared" si="1"/>
        <v>Sun</v>
      </c>
      <c r="B378" s="69">
        <v>43807.0</v>
      </c>
    </row>
    <row r="379">
      <c r="A379" s="67" t="str">
        <f t="shared" si="1"/>
        <v>Mon</v>
      </c>
      <c r="B379" s="69">
        <v>43808.0</v>
      </c>
    </row>
    <row r="380">
      <c r="A380" s="67" t="str">
        <f t="shared" si="1"/>
        <v>Tue</v>
      </c>
      <c r="B380" s="69">
        <v>43809.0</v>
      </c>
    </row>
    <row r="381">
      <c r="A381" s="67" t="str">
        <f t="shared" si="1"/>
        <v>Wed</v>
      </c>
      <c r="B381" s="69">
        <v>43810.0</v>
      </c>
    </row>
    <row r="382">
      <c r="A382" s="67" t="str">
        <f t="shared" si="1"/>
        <v>Thu</v>
      </c>
      <c r="B382" s="69">
        <v>43811.0</v>
      </c>
    </row>
    <row r="383">
      <c r="A383" s="67" t="str">
        <f t="shared" si="1"/>
        <v>Fri</v>
      </c>
      <c r="B383" s="69">
        <v>43812.0</v>
      </c>
    </row>
    <row r="384">
      <c r="A384" s="67" t="str">
        <f t="shared" si="1"/>
        <v>Sat</v>
      </c>
      <c r="B384" s="69">
        <v>43813.0</v>
      </c>
    </row>
    <row r="385">
      <c r="A385" s="67" t="str">
        <f t="shared" si="1"/>
        <v>Sun</v>
      </c>
      <c r="B385" s="69">
        <v>43814.0</v>
      </c>
    </row>
    <row r="386">
      <c r="A386" s="67" t="str">
        <f t="shared" si="1"/>
        <v>Mon</v>
      </c>
      <c r="B386" s="69">
        <v>43815.0</v>
      </c>
    </row>
    <row r="387">
      <c r="A387" s="67" t="str">
        <f t="shared" si="1"/>
        <v>Tue</v>
      </c>
      <c r="B387" s="69">
        <v>43816.0</v>
      </c>
    </row>
    <row r="388">
      <c r="A388" s="67" t="str">
        <f t="shared" si="1"/>
        <v>Wed</v>
      </c>
      <c r="B388" s="69">
        <v>43817.0</v>
      </c>
    </row>
    <row r="389">
      <c r="A389" s="67" t="str">
        <f t="shared" si="1"/>
        <v>Thu</v>
      </c>
      <c r="B389" s="69">
        <v>43818.0</v>
      </c>
    </row>
    <row r="390">
      <c r="A390" s="67" t="str">
        <f t="shared" si="1"/>
        <v>Fri</v>
      </c>
      <c r="B390" s="69">
        <v>43819.0</v>
      </c>
    </row>
    <row r="391">
      <c r="A391" s="67" t="str">
        <f t="shared" si="1"/>
        <v>Sat</v>
      </c>
      <c r="B391" s="69">
        <v>43820.0</v>
      </c>
    </row>
    <row r="392">
      <c r="A392" s="67" t="str">
        <f t="shared" si="1"/>
        <v>Sun</v>
      </c>
      <c r="B392" s="69">
        <v>43821.0</v>
      </c>
    </row>
    <row r="393">
      <c r="A393" s="67" t="str">
        <f t="shared" si="1"/>
        <v>Mon</v>
      </c>
      <c r="B393" s="69">
        <v>43822.0</v>
      </c>
    </row>
    <row r="394">
      <c r="A394" s="67" t="str">
        <f t="shared" si="1"/>
        <v>Tue</v>
      </c>
      <c r="B394" s="69">
        <v>43823.0</v>
      </c>
    </row>
    <row r="395">
      <c r="A395" s="67" t="str">
        <f t="shared" si="1"/>
        <v>Wed</v>
      </c>
      <c r="B395" s="69">
        <v>43824.0</v>
      </c>
    </row>
    <row r="396">
      <c r="A396" s="67" t="str">
        <f t="shared" si="1"/>
        <v>Thu</v>
      </c>
      <c r="B396" s="69">
        <v>43825.0</v>
      </c>
    </row>
    <row r="397">
      <c r="A397" s="67" t="str">
        <f t="shared" si="1"/>
        <v>Fri</v>
      </c>
      <c r="B397" s="69">
        <v>43826.0</v>
      </c>
    </row>
    <row r="398">
      <c r="A398" s="67" t="str">
        <f t="shared" si="1"/>
        <v>Sat</v>
      </c>
      <c r="B398" s="69">
        <v>43827.0</v>
      </c>
    </row>
    <row r="399">
      <c r="A399" s="67" t="str">
        <f t="shared" si="1"/>
        <v>Sun</v>
      </c>
      <c r="B399" s="69">
        <v>43828.0</v>
      </c>
    </row>
    <row r="400">
      <c r="A400" s="67" t="str">
        <f t="shared" si="1"/>
        <v>Mon</v>
      </c>
      <c r="B400" s="69">
        <v>43829.0</v>
      </c>
    </row>
    <row r="401">
      <c r="A401" s="225" t="str">
        <f t="shared" si="1"/>
        <v>Tue</v>
      </c>
      <c r="B401" s="226">
        <v>43830.0</v>
      </c>
      <c r="C401" s="19"/>
      <c r="D401" s="19"/>
      <c r="E401" s="19"/>
      <c r="F401" s="19"/>
      <c r="G401" s="19"/>
      <c r="H401" s="19"/>
      <c r="I401" s="19"/>
      <c r="J401" s="22"/>
    </row>
  </sheetData>
  <mergeCells count="4">
    <mergeCell ref="E1:F1"/>
    <mergeCell ref="E2:F2"/>
    <mergeCell ref="E3:F3"/>
    <mergeCell ref="G1:S3"/>
  </mergeCells>
  <conditionalFormatting sqref="K4:L401">
    <cfRule type="cellIs" dxfId="0" priority="1" operator="equal">
      <formula>"Enviar email para hotel"</formula>
    </cfRule>
  </conditionalFormatting>
  <dataValidations>
    <dataValidation type="list" allowBlank="1" sqref="L37:L401">
      <formula1>"Enviar email para hotel,Enviado para o hotel,Código de reserva enviado para hóspede,Verificar dados com o hóspede,URGENTE,Fechado"</formula1>
    </dataValidation>
    <dataValidation type="list" allowBlank="1" sqref="K6:L36">
      <formula1>"Enviar email para hotel,Enviado para o hotel,Código de reserva enviado para hóspede,Fechado"</formula1>
    </dataValidation>
    <dataValidation type="list" allowBlank="1" sqref="K37:K401">
      <formula1>"A PAGAR,PARCIALMENTE PAGO,PAGO"</formula1>
    </dataValidation>
  </dataValidations>
  <hyperlinks>
    <hyperlink display="Sumario" location="Sumario!A1" ref="A4"/>
    <hyperlink r:id="rId1" ref="Q177"/>
    <hyperlink r:id="rId2" ref="Q179"/>
  </hyperlinks>
  <drawing r:id="rId3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13.57"/>
    <col customWidth="1" min="4" max="4" width="17.0"/>
  </cols>
  <sheetData>
    <row r="1">
      <c r="A1" s="1"/>
      <c r="B1" s="7"/>
      <c r="C1" s="8"/>
      <c r="D1" s="11" t="s">
        <v>198</v>
      </c>
      <c r="E1" s="153" t="s">
        <v>199</v>
      </c>
      <c r="F1" s="3"/>
      <c r="G1" s="154" t="s">
        <v>1280</v>
      </c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155"/>
    </row>
    <row r="2">
      <c r="A2" s="16"/>
      <c r="B2" s="18"/>
      <c r="C2" s="20"/>
      <c r="D2" s="9" t="s">
        <v>201</v>
      </c>
      <c r="E2" s="156">
        <v>2413.0</v>
      </c>
      <c r="F2" s="15"/>
      <c r="R2" s="15"/>
      <c r="S2" s="155"/>
    </row>
    <row r="3">
      <c r="A3" s="23"/>
      <c r="B3" s="25"/>
      <c r="C3" s="27"/>
      <c r="D3" s="26" t="s">
        <v>202</v>
      </c>
      <c r="E3" s="157" t="s">
        <v>1094</v>
      </c>
      <c r="F3" s="21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21"/>
      <c r="S3" s="155"/>
    </row>
    <row r="4">
      <c r="A4" s="158" t="s">
        <v>203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O4" s="30"/>
      <c r="P4" s="30"/>
      <c r="Q4" s="30"/>
      <c r="R4" s="30"/>
      <c r="S4" s="30"/>
      <c r="T4" s="30"/>
      <c r="U4" s="30"/>
      <c r="V4" s="30"/>
      <c r="W4" s="30"/>
    </row>
    <row r="5">
      <c r="A5" s="42" t="s">
        <v>204</v>
      </c>
      <c r="B5" s="45" t="s">
        <v>33</v>
      </c>
      <c r="C5" s="45" t="s">
        <v>205</v>
      </c>
      <c r="D5" s="45" t="s">
        <v>206</v>
      </c>
      <c r="E5" s="45" t="s">
        <v>207</v>
      </c>
      <c r="F5" s="45" t="s">
        <v>208</v>
      </c>
      <c r="G5" s="45" t="s">
        <v>209</v>
      </c>
      <c r="H5" s="45" t="s">
        <v>210</v>
      </c>
      <c r="I5" s="45" t="s">
        <v>211</v>
      </c>
      <c r="J5" s="45" t="s">
        <v>212</v>
      </c>
      <c r="K5" s="45" t="s">
        <v>213</v>
      </c>
      <c r="L5" s="45" t="s">
        <v>214</v>
      </c>
      <c r="M5" s="45" t="s">
        <v>215</v>
      </c>
      <c r="N5" s="45" t="s">
        <v>216</v>
      </c>
      <c r="O5" s="45" t="s">
        <v>217</v>
      </c>
      <c r="P5" s="45" t="s">
        <v>218</v>
      </c>
      <c r="Q5" s="45" t="s">
        <v>219</v>
      </c>
      <c r="R5" s="160" t="s">
        <v>220</v>
      </c>
      <c r="S5" s="160" t="s">
        <v>221</v>
      </c>
    </row>
    <row r="6" hidden="1">
      <c r="A6" s="67" t="str">
        <f t="shared" ref="A6:A899" si="1">CHOOSE(weekday(B6),"Sun","Mon","Tue","Wed","Thu","Fri","Sat")</f>
        <v>Thu</v>
      </c>
      <c r="B6" s="69">
        <v>42999.0</v>
      </c>
      <c r="D6" s="171"/>
      <c r="M6" s="166"/>
      <c r="N6" s="166"/>
      <c r="O6" s="166"/>
      <c r="P6" s="166"/>
      <c r="Q6" s="166"/>
      <c r="R6" s="166"/>
      <c r="S6" s="166"/>
    </row>
    <row r="7" hidden="1">
      <c r="A7" s="67" t="str">
        <f t="shared" si="1"/>
        <v>Fri</v>
      </c>
      <c r="B7" s="69">
        <v>43000.0</v>
      </c>
      <c r="D7" s="171"/>
    </row>
    <row r="8" hidden="1">
      <c r="A8" s="67" t="str">
        <f t="shared" si="1"/>
        <v>Sat</v>
      </c>
      <c r="B8" s="69">
        <v>43001.0</v>
      </c>
      <c r="D8" s="171"/>
      <c r="M8" s="166"/>
      <c r="N8" s="166"/>
      <c r="O8" s="166"/>
      <c r="P8" s="166"/>
      <c r="Q8" s="166"/>
      <c r="R8" s="166"/>
      <c r="S8" s="166"/>
    </row>
    <row r="9" hidden="1">
      <c r="A9" s="67" t="str">
        <f t="shared" si="1"/>
        <v>Sun</v>
      </c>
      <c r="B9" s="69">
        <v>43002.0</v>
      </c>
      <c r="D9" s="171"/>
    </row>
    <row r="10" hidden="1">
      <c r="A10" s="67" t="str">
        <f t="shared" si="1"/>
        <v>Mon</v>
      </c>
      <c r="B10" s="69">
        <v>43003.0</v>
      </c>
      <c r="D10" s="171"/>
    </row>
    <row r="11" hidden="1">
      <c r="A11" s="67" t="str">
        <f t="shared" si="1"/>
        <v>Tue</v>
      </c>
      <c r="B11" s="69">
        <v>43004.0</v>
      </c>
      <c r="D11" s="171"/>
      <c r="R11" s="4"/>
      <c r="S11" s="4"/>
    </row>
    <row r="12" hidden="1">
      <c r="A12" s="67" t="str">
        <f t="shared" si="1"/>
        <v>Wed</v>
      </c>
      <c r="B12" s="69">
        <v>43005.0</v>
      </c>
      <c r="D12" s="171"/>
    </row>
    <row r="13" hidden="1">
      <c r="A13" s="67" t="str">
        <f t="shared" si="1"/>
        <v>Thu</v>
      </c>
      <c r="B13" s="69">
        <v>43006.0</v>
      </c>
      <c r="D13" s="171"/>
    </row>
    <row r="14" hidden="1">
      <c r="A14" s="67" t="str">
        <f t="shared" si="1"/>
        <v>Fri</v>
      </c>
      <c r="B14" s="69">
        <v>43007.0</v>
      </c>
      <c r="D14" s="176">
        <v>339.5</v>
      </c>
      <c r="E14" s="4" t="s">
        <v>222</v>
      </c>
      <c r="F14" s="4" t="s">
        <v>1292</v>
      </c>
      <c r="G14" s="4" t="s">
        <v>1292</v>
      </c>
      <c r="I14" s="4" t="s">
        <v>395</v>
      </c>
      <c r="J14" s="4" t="s">
        <v>1293</v>
      </c>
      <c r="K14" s="4"/>
      <c r="L14" s="4" t="s">
        <v>293</v>
      </c>
    </row>
    <row r="15" hidden="1">
      <c r="A15" s="67" t="str">
        <f t="shared" si="1"/>
        <v>Sat</v>
      </c>
      <c r="B15" s="69">
        <v>43008.0</v>
      </c>
      <c r="D15" s="176">
        <v>339.5</v>
      </c>
      <c r="E15" s="4" t="s">
        <v>222</v>
      </c>
      <c r="F15" s="4" t="s">
        <v>1292</v>
      </c>
      <c r="I15" s="4" t="s">
        <v>395</v>
      </c>
      <c r="J15" s="4" t="s">
        <v>1293</v>
      </c>
      <c r="K15" s="4"/>
      <c r="L15" s="4" t="s">
        <v>293</v>
      </c>
    </row>
    <row r="16" hidden="1">
      <c r="A16" s="67" t="str">
        <f t="shared" si="1"/>
        <v>Sun</v>
      </c>
      <c r="B16" s="69">
        <v>43009.0</v>
      </c>
      <c r="D16" s="171"/>
      <c r="H16" s="4" t="s">
        <v>1292</v>
      </c>
    </row>
    <row r="17" hidden="1">
      <c r="A17" s="67" t="str">
        <f t="shared" si="1"/>
        <v>Mon</v>
      </c>
      <c r="B17" s="69">
        <v>43010.0</v>
      </c>
      <c r="D17" s="171"/>
    </row>
    <row r="18" hidden="1">
      <c r="A18" s="67" t="str">
        <f t="shared" si="1"/>
        <v>Tue</v>
      </c>
      <c r="B18" s="69">
        <v>43011.0</v>
      </c>
      <c r="D18" s="171"/>
    </row>
    <row r="19" hidden="1">
      <c r="A19" s="67" t="str">
        <f t="shared" si="1"/>
        <v>Wed</v>
      </c>
      <c r="B19" s="69">
        <v>43012.0</v>
      </c>
      <c r="D19" s="171"/>
    </row>
    <row r="20" hidden="1">
      <c r="A20" s="67" t="str">
        <f t="shared" si="1"/>
        <v>Thu</v>
      </c>
      <c r="B20" s="69">
        <v>43013.0</v>
      </c>
      <c r="D20" s="171"/>
    </row>
    <row r="21" hidden="1">
      <c r="A21" s="67" t="str">
        <f t="shared" si="1"/>
        <v>Fri</v>
      </c>
      <c r="B21" s="69">
        <v>43014.0</v>
      </c>
      <c r="D21" s="171"/>
      <c r="M21" s="166"/>
      <c r="N21" s="166"/>
      <c r="O21" s="166"/>
      <c r="P21" s="166"/>
      <c r="Q21" s="166"/>
      <c r="R21" s="166"/>
      <c r="S21" s="166"/>
    </row>
    <row r="22" hidden="1">
      <c r="A22" s="67" t="str">
        <f t="shared" si="1"/>
        <v>Sat</v>
      </c>
      <c r="B22" s="69">
        <v>43015.0</v>
      </c>
      <c r="D22" s="176">
        <v>242.5</v>
      </c>
      <c r="E22" s="4" t="s">
        <v>222</v>
      </c>
      <c r="F22" s="4" t="s">
        <v>1297</v>
      </c>
      <c r="G22" s="4" t="s">
        <v>1297</v>
      </c>
      <c r="I22" s="4" t="s">
        <v>395</v>
      </c>
      <c r="K22" s="4"/>
      <c r="L22" s="4" t="s">
        <v>293</v>
      </c>
    </row>
    <row r="23" hidden="1">
      <c r="A23" s="67" t="str">
        <f t="shared" si="1"/>
        <v>Sun</v>
      </c>
      <c r="B23" s="69">
        <v>43016.0</v>
      </c>
      <c r="D23" s="176">
        <v>242.5</v>
      </c>
      <c r="E23" s="4" t="s">
        <v>222</v>
      </c>
      <c r="F23" s="4" t="s">
        <v>1297</v>
      </c>
      <c r="I23" s="4" t="s">
        <v>395</v>
      </c>
      <c r="K23" s="4"/>
      <c r="L23" s="4" t="s">
        <v>293</v>
      </c>
    </row>
    <row r="24" hidden="1">
      <c r="A24" s="67" t="str">
        <f t="shared" si="1"/>
        <v>Mon</v>
      </c>
      <c r="B24" s="69">
        <v>43017.0</v>
      </c>
      <c r="D24" s="176">
        <v>242.5</v>
      </c>
      <c r="E24" s="4" t="s">
        <v>222</v>
      </c>
      <c r="F24" s="4" t="s">
        <v>1297</v>
      </c>
      <c r="I24" s="4" t="s">
        <v>395</v>
      </c>
      <c r="K24" s="4"/>
      <c r="L24" s="4" t="s">
        <v>293</v>
      </c>
    </row>
    <row r="25" hidden="1">
      <c r="A25" s="67" t="str">
        <f t="shared" si="1"/>
        <v>Tue</v>
      </c>
      <c r="B25" s="69">
        <v>43018.0</v>
      </c>
      <c r="D25" s="176">
        <v>242.5</v>
      </c>
      <c r="E25" s="4" t="s">
        <v>222</v>
      </c>
      <c r="F25" s="4" t="s">
        <v>1297</v>
      </c>
      <c r="I25" s="4" t="s">
        <v>395</v>
      </c>
      <c r="K25" s="4"/>
      <c r="L25" s="4" t="s">
        <v>293</v>
      </c>
    </row>
    <row r="26" hidden="1">
      <c r="A26" s="67" t="str">
        <f t="shared" si="1"/>
        <v>Wed</v>
      </c>
      <c r="B26" s="69">
        <v>43019.0</v>
      </c>
      <c r="D26" s="176">
        <v>242.5</v>
      </c>
      <c r="E26" s="4" t="s">
        <v>222</v>
      </c>
      <c r="F26" s="4" t="s">
        <v>1297</v>
      </c>
      <c r="I26" s="4" t="s">
        <v>395</v>
      </c>
      <c r="K26" s="4"/>
      <c r="L26" s="4" t="s">
        <v>293</v>
      </c>
    </row>
    <row r="27" hidden="1">
      <c r="A27" s="67" t="str">
        <f t="shared" si="1"/>
        <v>Thu</v>
      </c>
      <c r="B27" s="69">
        <v>43020.0</v>
      </c>
      <c r="C27" s="4" t="s">
        <v>638</v>
      </c>
      <c r="D27" s="176">
        <v>329.8</v>
      </c>
      <c r="E27" s="4" t="s">
        <v>222</v>
      </c>
      <c r="F27" s="4" t="s">
        <v>1303</v>
      </c>
      <c r="G27" s="4" t="s">
        <v>1303</v>
      </c>
      <c r="H27" s="4" t="s">
        <v>1297</v>
      </c>
      <c r="I27" s="4" t="s">
        <v>395</v>
      </c>
      <c r="K27" s="4"/>
      <c r="L27" s="4" t="s">
        <v>293</v>
      </c>
    </row>
    <row r="28" hidden="1">
      <c r="A28" s="67" t="str">
        <f t="shared" si="1"/>
        <v>Fri</v>
      </c>
      <c r="B28" s="69">
        <v>43021.0</v>
      </c>
      <c r="D28" s="176">
        <v>329.8</v>
      </c>
      <c r="E28" s="4" t="s">
        <v>222</v>
      </c>
      <c r="F28" s="4" t="s">
        <v>1303</v>
      </c>
      <c r="I28" s="4" t="s">
        <v>395</v>
      </c>
      <c r="K28" s="4"/>
      <c r="L28" s="4" t="s">
        <v>293</v>
      </c>
    </row>
    <row r="29" hidden="1">
      <c r="A29" s="67" t="str">
        <f t="shared" si="1"/>
        <v>Sat</v>
      </c>
      <c r="B29" s="69">
        <v>43022.0</v>
      </c>
      <c r="D29" s="176">
        <v>329.8</v>
      </c>
      <c r="E29" s="4" t="s">
        <v>222</v>
      </c>
      <c r="F29" s="4" t="s">
        <v>1303</v>
      </c>
      <c r="I29" s="4" t="s">
        <v>395</v>
      </c>
      <c r="K29" s="4"/>
      <c r="L29" s="4" t="s">
        <v>293</v>
      </c>
    </row>
    <row r="30" hidden="1">
      <c r="A30" s="67" t="str">
        <f t="shared" si="1"/>
        <v>Sun</v>
      </c>
      <c r="B30" s="69">
        <v>43023.0</v>
      </c>
      <c r="D30" s="171"/>
      <c r="H30" s="4" t="s">
        <v>1303</v>
      </c>
    </row>
    <row r="31" hidden="1">
      <c r="A31" s="67" t="str">
        <f t="shared" si="1"/>
        <v>Mon</v>
      </c>
      <c r="B31" s="69">
        <v>43024.0</v>
      </c>
      <c r="D31" s="171"/>
    </row>
    <row r="32" hidden="1">
      <c r="A32" s="67" t="str">
        <f t="shared" si="1"/>
        <v>Tue</v>
      </c>
      <c r="B32" s="69">
        <v>43025.0</v>
      </c>
      <c r="D32" s="171"/>
    </row>
    <row r="33" hidden="1">
      <c r="A33" s="67" t="str">
        <f t="shared" si="1"/>
        <v>Wed</v>
      </c>
      <c r="B33" s="69">
        <v>43026.0</v>
      </c>
      <c r="D33" s="171"/>
    </row>
    <row r="34" hidden="1">
      <c r="A34" s="67" t="str">
        <f t="shared" si="1"/>
        <v>Thu</v>
      </c>
      <c r="B34" s="69">
        <v>43027.0</v>
      </c>
      <c r="D34" s="171"/>
    </row>
    <row r="35" hidden="1">
      <c r="A35" s="67" t="str">
        <f t="shared" si="1"/>
        <v>Fri</v>
      </c>
      <c r="B35" s="69">
        <v>43028.0</v>
      </c>
      <c r="D35" s="171"/>
    </row>
    <row r="36" hidden="1">
      <c r="A36" s="67" t="str">
        <f t="shared" si="1"/>
        <v>Sat</v>
      </c>
      <c r="B36" s="69">
        <v>43029.0</v>
      </c>
      <c r="D36" s="171"/>
    </row>
    <row r="37" hidden="1">
      <c r="A37" s="67" t="str">
        <f t="shared" si="1"/>
        <v>Sun</v>
      </c>
      <c r="B37" s="69">
        <v>43030.0</v>
      </c>
      <c r="C37" s="4"/>
      <c r="D37" s="171"/>
    </row>
    <row r="38" hidden="1">
      <c r="A38" s="67" t="str">
        <f t="shared" si="1"/>
        <v>Mon</v>
      </c>
      <c r="B38" s="69">
        <v>43031.0</v>
      </c>
      <c r="D38" s="171"/>
    </row>
    <row r="39" hidden="1">
      <c r="A39" s="67" t="str">
        <f t="shared" si="1"/>
        <v>Tue</v>
      </c>
      <c r="B39" s="69">
        <v>43032.0</v>
      </c>
      <c r="D39" s="171"/>
    </row>
    <row r="40" hidden="1">
      <c r="A40" s="67" t="str">
        <f t="shared" si="1"/>
        <v>Wed</v>
      </c>
      <c r="B40" s="69">
        <v>43033.0</v>
      </c>
      <c r="D40" s="171"/>
    </row>
    <row r="41" hidden="1">
      <c r="A41" s="67" t="str">
        <f t="shared" si="1"/>
        <v>Thu</v>
      </c>
      <c r="B41" s="69">
        <v>43034.0</v>
      </c>
      <c r="D41" s="171"/>
    </row>
    <row r="42" hidden="1">
      <c r="A42" s="67" t="str">
        <f t="shared" si="1"/>
        <v>Fri</v>
      </c>
      <c r="B42" s="69">
        <v>43035.0</v>
      </c>
      <c r="D42" s="176">
        <v>242.5</v>
      </c>
      <c r="E42" s="4" t="s">
        <v>222</v>
      </c>
      <c r="F42" s="4" t="s">
        <v>1307</v>
      </c>
      <c r="G42" s="4" t="s">
        <v>1307</v>
      </c>
      <c r="I42" s="4" t="s">
        <v>395</v>
      </c>
      <c r="J42" s="4" t="s">
        <v>1309</v>
      </c>
      <c r="K42" s="4"/>
      <c r="L42" s="4" t="s">
        <v>293</v>
      </c>
    </row>
    <row r="43" hidden="1">
      <c r="A43" s="67" t="str">
        <f t="shared" si="1"/>
        <v>Sat</v>
      </c>
      <c r="B43" s="69">
        <v>43036.0</v>
      </c>
      <c r="D43" s="176">
        <v>242.5</v>
      </c>
      <c r="E43" s="4" t="s">
        <v>222</v>
      </c>
      <c r="F43" s="4" t="s">
        <v>1307</v>
      </c>
      <c r="I43" s="4" t="s">
        <v>395</v>
      </c>
      <c r="J43" s="4" t="s">
        <v>1309</v>
      </c>
      <c r="K43" s="4"/>
      <c r="L43" s="4" t="s">
        <v>293</v>
      </c>
    </row>
    <row r="44" hidden="1">
      <c r="A44" s="67" t="str">
        <f t="shared" si="1"/>
        <v>Sun</v>
      </c>
      <c r="B44" s="69">
        <v>43037.0</v>
      </c>
      <c r="D44" s="176">
        <v>242.5</v>
      </c>
      <c r="E44" s="4" t="s">
        <v>222</v>
      </c>
      <c r="F44" s="4" t="s">
        <v>1316</v>
      </c>
      <c r="G44" s="4" t="s">
        <v>1316</v>
      </c>
      <c r="H44" s="4" t="s">
        <v>1307</v>
      </c>
      <c r="I44" s="4" t="s">
        <v>395</v>
      </c>
      <c r="K44" s="4"/>
      <c r="L44" s="4" t="s">
        <v>293</v>
      </c>
    </row>
    <row r="45" hidden="1">
      <c r="A45" s="67" t="str">
        <f t="shared" si="1"/>
        <v>Mon</v>
      </c>
      <c r="B45" s="69">
        <v>43038.0</v>
      </c>
      <c r="D45" s="176">
        <v>242.5</v>
      </c>
      <c r="E45" s="4" t="s">
        <v>222</v>
      </c>
      <c r="F45" s="4" t="s">
        <v>1316</v>
      </c>
      <c r="I45" s="4" t="s">
        <v>395</v>
      </c>
      <c r="K45" s="4"/>
      <c r="L45" s="4" t="s">
        <v>293</v>
      </c>
    </row>
    <row r="46" hidden="1">
      <c r="A46" s="67" t="str">
        <f t="shared" si="1"/>
        <v>Tue</v>
      </c>
      <c r="B46" s="69">
        <v>43039.0</v>
      </c>
      <c r="D46" s="176">
        <v>242.5</v>
      </c>
      <c r="E46" s="4" t="s">
        <v>222</v>
      </c>
      <c r="F46" s="4" t="s">
        <v>1316</v>
      </c>
      <c r="I46" s="4" t="s">
        <v>395</v>
      </c>
      <c r="K46" s="4"/>
      <c r="L46" s="4" t="s">
        <v>293</v>
      </c>
    </row>
    <row r="47" hidden="1">
      <c r="A47" s="67" t="str">
        <f t="shared" si="1"/>
        <v>Wed</v>
      </c>
      <c r="B47" s="69">
        <v>43040.0</v>
      </c>
      <c r="D47" s="171"/>
      <c r="H47" s="4" t="s">
        <v>1316</v>
      </c>
    </row>
    <row r="48" hidden="1">
      <c r="A48" s="67" t="str">
        <f t="shared" si="1"/>
        <v>Thu</v>
      </c>
      <c r="B48" s="69">
        <v>43041.0</v>
      </c>
      <c r="C48" s="4" t="s">
        <v>638</v>
      </c>
      <c r="D48" s="171"/>
    </row>
    <row r="49" hidden="1">
      <c r="A49" s="67" t="str">
        <f t="shared" si="1"/>
        <v>Fri</v>
      </c>
      <c r="B49" s="69">
        <v>43042.0</v>
      </c>
      <c r="D49" s="171"/>
    </row>
    <row r="50" hidden="1">
      <c r="A50" s="67" t="str">
        <f t="shared" si="1"/>
        <v>Sat</v>
      </c>
      <c r="B50" s="69">
        <v>43043.0</v>
      </c>
      <c r="D50" s="171"/>
    </row>
    <row r="51" hidden="1">
      <c r="A51" s="67" t="str">
        <f t="shared" si="1"/>
        <v>Sun</v>
      </c>
      <c r="B51" s="69">
        <v>43044.0</v>
      </c>
      <c r="D51" s="171"/>
    </row>
    <row r="52" hidden="1">
      <c r="A52" s="67" t="str">
        <f t="shared" si="1"/>
        <v>Mon</v>
      </c>
      <c r="B52" s="69">
        <v>43045.0</v>
      </c>
      <c r="D52" s="171"/>
    </row>
    <row r="53" hidden="1">
      <c r="A53" s="67" t="str">
        <f t="shared" si="1"/>
        <v>Tue</v>
      </c>
      <c r="B53" s="69">
        <v>43046.0</v>
      </c>
      <c r="D53" s="171"/>
    </row>
    <row r="54" hidden="1">
      <c r="A54" s="67" t="str">
        <f t="shared" si="1"/>
        <v>Wed</v>
      </c>
      <c r="B54" s="69">
        <v>43047.0</v>
      </c>
      <c r="D54" s="171"/>
    </row>
    <row r="55" hidden="1">
      <c r="A55" s="67" t="str">
        <f t="shared" si="1"/>
        <v>Thu</v>
      </c>
      <c r="B55" s="69">
        <v>43048.0</v>
      </c>
      <c r="D55" s="171"/>
    </row>
    <row r="56" hidden="1">
      <c r="A56" s="67" t="str">
        <f t="shared" si="1"/>
        <v>Fri</v>
      </c>
      <c r="B56" s="69">
        <v>43049.0</v>
      </c>
      <c r="D56" s="171"/>
    </row>
    <row r="57" hidden="1">
      <c r="A57" s="67" t="str">
        <f t="shared" si="1"/>
        <v>Sat</v>
      </c>
      <c r="B57" s="69">
        <v>43050.0</v>
      </c>
      <c r="D57" s="172">
        <v>339.5</v>
      </c>
      <c r="E57" s="4" t="s">
        <v>222</v>
      </c>
      <c r="F57" s="4" t="s">
        <v>659</v>
      </c>
      <c r="G57" s="4" t="s">
        <v>659</v>
      </c>
      <c r="I57" s="4" t="s">
        <v>395</v>
      </c>
    </row>
    <row r="58" hidden="1">
      <c r="A58" s="67" t="str">
        <f t="shared" si="1"/>
        <v>Sun</v>
      </c>
      <c r="B58" s="69">
        <v>43051.0</v>
      </c>
      <c r="C58" s="4"/>
      <c r="D58" s="172">
        <v>339.5</v>
      </c>
      <c r="E58" s="4" t="s">
        <v>222</v>
      </c>
      <c r="F58" s="4" t="s">
        <v>659</v>
      </c>
      <c r="I58" s="4" t="s">
        <v>395</v>
      </c>
    </row>
    <row r="59" hidden="1">
      <c r="A59" s="67" t="str">
        <f t="shared" si="1"/>
        <v>Mon</v>
      </c>
      <c r="B59" s="69">
        <v>43052.0</v>
      </c>
      <c r="D59" s="172">
        <v>339.5</v>
      </c>
      <c r="E59" s="4" t="s">
        <v>222</v>
      </c>
      <c r="F59" s="4" t="s">
        <v>659</v>
      </c>
      <c r="I59" s="4" t="s">
        <v>395</v>
      </c>
    </row>
    <row r="60" hidden="1">
      <c r="A60" s="67" t="str">
        <f t="shared" si="1"/>
        <v>Tue</v>
      </c>
      <c r="B60" s="69">
        <v>43053.0</v>
      </c>
      <c r="D60" s="172">
        <v>339.5</v>
      </c>
      <c r="E60" s="4" t="s">
        <v>222</v>
      </c>
      <c r="F60" s="4" t="s">
        <v>659</v>
      </c>
      <c r="I60" s="4" t="s">
        <v>395</v>
      </c>
    </row>
    <row r="61" hidden="1">
      <c r="A61" s="67" t="str">
        <f t="shared" si="1"/>
        <v>Wed</v>
      </c>
      <c r="B61" s="69">
        <v>43054.0</v>
      </c>
      <c r="C61" s="4" t="s">
        <v>638</v>
      </c>
      <c r="D61" s="171"/>
      <c r="H61" s="4" t="s">
        <v>659</v>
      </c>
    </row>
    <row r="62" hidden="1">
      <c r="A62" s="67" t="str">
        <f t="shared" si="1"/>
        <v>Thu</v>
      </c>
      <c r="B62" s="69">
        <v>43055.0</v>
      </c>
      <c r="D62" s="171"/>
    </row>
    <row r="63" hidden="1">
      <c r="A63" s="67" t="str">
        <f t="shared" si="1"/>
        <v>Fri</v>
      </c>
      <c r="B63" s="69">
        <v>43056.0</v>
      </c>
      <c r="D63" s="176">
        <v>305.55</v>
      </c>
      <c r="E63" s="4" t="s">
        <v>222</v>
      </c>
      <c r="F63" s="4" t="s">
        <v>1329</v>
      </c>
      <c r="G63" s="4" t="s">
        <v>1329</v>
      </c>
      <c r="I63" s="4" t="s">
        <v>395</v>
      </c>
      <c r="K63" s="4"/>
      <c r="L63" s="4" t="s">
        <v>293</v>
      </c>
    </row>
    <row r="64" hidden="1">
      <c r="A64" s="67" t="str">
        <f t="shared" si="1"/>
        <v>Sat</v>
      </c>
      <c r="B64" s="69">
        <v>43057.0</v>
      </c>
      <c r="D64" s="176">
        <v>305.55</v>
      </c>
      <c r="E64" s="4" t="s">
        <v>222</v>
      </c>
      <c r="F64" s="4" t="s">
        <v>1329</v>
      </c>
      <c r="I64" s="4" t="s">
        <v>395</v>
      </c>
      <c r="K64" s="4"/>
      <c r="L64" s="4" t="s">
        <v>293</v>
      </c>
    </row>
    <row r="65" hidden="1">
      <c r="A65" s="67" t="str">
        <f t="shared" si="1"/>
        <v>Sun</v>
      </c>
      <c r="B65" s="69">
        <v>43058.0</v>
      </c>
      <c r="D65" s="176">
        <v>305.55</v>
      </c>
      <c r="E65" s="4" t="s">
        <v>222</v>
      </c>
      <c r="F65" s="4" t="s">
        <v>1329</v>
      </c>
      <c r="I65" s="4" t="s">
        <v>395</v>
      </c>
      <c r="K65" s="4"/>
      <c r="L65" s="4" t="s">
        <v>293</v>
      </c>
    </row>
    <row r="66" hidden="1">
      <c r="A66" s="67" t="str">
        <f t="shared" si="1"/>
        <v>Mon</v>
      </c>
      <c r="B66" s="69">
        <v>43059.0</v>
      </c>
      <c r="D66" s="171"/>
      <c r="H66" s="4" t="s">
        <v>1329</v>
      </c>
    </row>
    <row r="67" hidden="1">
      <c r="A67" s="67" t="str">
        <f t="shared" si="1"/>
        <v>Tue</v>
      </c>
      <c r="B67" s="69">
        <v>43060.0</v>
      </c>
      <c r="D67" s="171"/>
    </row>
    <row r="68" hidden="1">
      <c r="A68" s="67" t="str">
        <f t="shared" si="1"/>
        <v>Wed</v>
      </c>
      <c r="B68" s="69">
        <v>43061.0</v>
      </c>
      <c r="D68" s="171"/>
    </row>
    <row r="69" hidden="1">
      <c r="A69" s="67" t="str">
        <f t="shared" si="1"/>
        <v>Thu</v>
      </c>
      <c r="B69" s="69">
        <v>43062.0</v>
      </c>
      <c r="D69" s="171"/>
    </row>
    <row r="70" hidden="1">
      <c r="A70" s="67" t="str">
        <f t="shared" si="1"/>
        <v>Fri</v>
      </c>
      <c r="B70" s="69">
        <v>43063.0</v>
      </c>
      <c r="D70" s="176">
        <v>305.55</v>
      </c>
      <c r="E70" s="4" t="s">
        <v>222</v>
      </c>
      <c r="F70" s="4" t="s">
        <v>1335</v>
      </c>
      <c r="G70" s="4" t="s">
        <v>1335</v>
      </c>
      <c r="I70" s="4" t="s">
        <v>395</v>
      </c>
      <c r="K70" s="4"/>
      <c r="L70" s="4" t="s">
        <v>293</v>
      </c>
    </row>
    <row r="71" hidden="1">
      <c r="A71" s="67" t="str">
        <f t="shared" si="1"/>
        <v>Sat</v>
      </c>
      <c r="B71" s="69">
        <v>43064.0</v>
      </c>
      <c r="C71" s="4"/>
      <c r="D71" s="176">
        <v>305.55</v>
      </c>
      <c r="E71" s="4" t="s">
        <v>222</v>
      </c>
      <c r="F71" s="4" t="s">
        <v>1335</v>
      </c>
      <c r="I71" s="4" t="s">
        <v>395</v>
      </c>
      <c r="K71" s="4"/>
      <c r="L71" s="4" t="s">
        <v>293</v>
      </c>
    </row>
    <row r="72" hidden="1">
      <c r="A72" s="67" t="str">
        <f t="shared" si="1"/>
        <v>Sun</v>
      </c>
      <c r="B72" s="69">
        <v>43065.0</v>
      </c>
      <c r="D72" s="176">
        <v>305.55</v>
      </c>
      <c r="E72" s="4" t="s">
        <v>222</v>
      </c>
      <c r="F72" s="4" t="s">
        <v>1335</v>
      </c>
      <c r="I72" s="4" t="s">
        <v>395</v>
      </c>
      <c r="K72" s="4"/>
      <c r="L72" s="4" t="s">
        <v>293</v>
      </c>
    </row>
    <row r="73" hidden="1">
      <c r="A73" s="67" t="str">
        <f t="shared" si="1"/>
        <v>Mon</v>
      </c>
      <c r="B73" s="69">
        <v>43066.0</v>
      </c>
      <c r="D73" s="171"/>
      <c r="H73" s="4" t="s">
        <v>1335</v>
      </c>
    </row>
    <row r="74" hidden="1">
      <c r="A74" s="67" t="str">
        <f t="shared" si="1"/>
        <v>Tue</v>
      </c>
      <c r="B74" s="69">
        <v>43067.0</v>
      </c>
      <c r="D74" s="171"/>
    </row>
    <row r="75" hidden="1">
      <c r="A75" s="67" t="str">
        <f t="shared" si="1"/>
        <v>Wed</v>
      </c>
      <c r="B75" s="69">
        <v>43068.0</v>
      </c>
      <c r="D75" s="176">
        <v>145.5</v>
      </c>
      <c r="E75" s="4" t="s">
        <v>222</v>
      </c>
      <c r="F75" s="4" t="s">
        <v>1338</v>
      </c>
      <c r="G75" s="4" t="s">
        <v>1338</v>
      </c>
      <c r="I75" s="4" t="s">
        <v>395</v>
      </c>
      <c r="K75" s="4"/>
      <c r="L75" s="4" t="s">
        <v>293</v>
      </c>
    </row>
    <row r="76" hidden="1">
      <c r="A76" s="67" t="str">
        <f t="shared" si="1"/>
        <v>Thu</v>
      </c>
      <c r="B76" s="69">
        <v>43069.0</v>
      </c>
      <c r="D76" s="176">
        <v>145.5</v>
      </c>
      <c r="E76" s="4" t="s">
        <v>222</v>
      </c>
      <c r="F76" s="4" t="s">
        <v>1338</v>
      </c>
      <c r="I76" s="4" t="s">
        <v>395</v>
      </c>
      <c r="K76" s="4"/>
      <c r="L76" s="4" t="s">
        <v>293</v>
      </c>
    </row>
    <row r="77" hidden="1">
      <c r="A77" s="67" t="str">
        <f t="shared" si="1"/>
        <v>Fri</v>
      </c>
      <c r="B77" s="69">
        <v>43070.0</v>
      </c>
      <c r="D77" s="176">
        <v>436.5</v>
      </c>
      <c r="E77" s="4" t="s">
        <v>222</v>
      </c>
      <c r="F77" s="4" t="s">
        <v>1342</v>
      </c>
      <c r="G77" s="4" t="s">
        <v>1342</v>
      </c>
      <c r="H77" s="4" t="s">
        <v>1338</v>
      </c>
      <c r="I77" s="4" t="s">
        <v>395</v>
      </c>
      <c r="K77" s="4"/>
      <c r="L77" s="4" t="s">
        <v>293</v>
      </c>
    </row>
    <row r="78" hidden="1">
      <c r="A78" s="67" t="str">
        <f t="shared" si="1"/>
        <v>Sat</v>
      </c>
      <c r="B78" s="69">
        <v>43071.0</v>
      </c>
      <c r="D78" s="176">
        <v>436.5</v>
      </c>
      <c r="E78" s="4" t="s">
        <v>222</v>
      </c>
      <c r="F78" s="4" t="s">
        <v>1342</v>
      </c>
      <c r="I78" s="4" t="s">
        <v>395</v>
      </c>
      <c r="K78" s="4"/>
      <c r="L78" s="4" t="s">
        <v>293</v>
      </c>
    </row>
    <row r="79" hidden="1">
      <c r="A79" s="67" t="str">
        <f t="shared" si="1"/>
        <v>Sun</v>
      </c>
      <c r="B79" s="69">
        <v>43072.0</v>
      </c>
      <c r="D79" s="176">
        <v>436.5</v>
      </c>
      <c r="E79" s="4" t="s">
        <v>222</v>
      </c>
      <c r="F79" s="4" t="s">
        <v>1342</v>
      </c>
      <c r="I79" s="4" t="s">
        <v>395</v>
      </c>
      <c r="K79" s="4"/>
      <c r="L79" s="4" t="s">
        <v>293</v>
      </c>
    </row>
    <row r="80" hidden="1">
      <c r="A80" s="67" t="str">
        <f t="shared" si="1"/>
        <v>Mon</v>
      </c>
      <c r="B80" s="69">
        <v>43073.0</v>
      </c>
      <c r="D80" s="176">
        <v>194.0</v>
      </c>
      <c r="E80" s="4" t="s">
        <v>222</v>
      </c>
      <c r="F80" s="4" t="s">
        <v>1345</v>
      </c>
      <c r="G80" s="4" t="s">
        <v>1345</v>
      </c>
      <c r="H80" s="4" t="s">
        <v>1342</v>
      </c>
      <c r="I80" s="4" t="s">
        <v>395</v>
      </c>
      <c r="K80" s="4"/>
      <c r="L80" s="4" t="s">
        <v>293</v>
      </c>
    </row>
    <row r="81" hidden="1">
      <c r="A81" s="67" t="str">
        <f t="shared" si="1"/>
        <v>Tue</v>
      </c>
      <c r="B81" s="69">
        <v>43074.0</v>
      </c>
      <c r="D81" s="176">
        <v>194.0</v>
      </c>
      <c r="E81" s="4" t="s">
        <v>222</v>
      </c>
      <c r="F81" s="4" t="s">
        <v>1345</v>
      </c>
      <c r="I81" s="4" t="s">
        <v>395</v>
      </c>
      <c r="K81" s="4"/>
      <c r="L81" s="4" t="s">
        <v>293</v>
      </c>
    </row>
    <row r="82" hidden="1">
      <c r="A82" s="67" t="str">
        <f t="shared" si="1"/>
        <v>Wed</v>
      </c>
      <c r="B82" s="69">
        <v>43075.0</v>
      </c>
      <c r="D82" s="176">
        <v>194.0</v>
      </c>
      <c r="E82" s="4" t="s">
        <v>222</v>
      </c>
      <c r="F82" s="4" t="s">
        <v>1345</v>
      </c>
      <c r="I82" s="4" t="s">
        <v>395</v>
      </c>
      <c r="K82" s="4"/>
      <c r="L82" s="4" t="s">
        <v>293</v>
      </c>
    </row>
    <row r="83" hidden="1">
      <c r="A83" s="67" t="str">
        <f t="shared" si="1"/>
        <v>Thu</v>
      </c>
      <c r="B83" s="69">
        <v>43076.0</v>
      </c>
      <c r="D83" s="175">
        <v>400.125</v>
      </c>
      <c r="E83" s="4" t="s">
        <v>222</v>
      </c>
      <c r="F83" s="4" t="s">
        <v>1346</v>
      </c>
      <c r="G83" s="4" t="s">
        <v>1346</v>
      </c>
      <c r="H83" s="4" t="s">
        <v>1345</v>
      </c>
      <c r="I83" s="4" t="s">
        <v>395</v>
      </c>
      <c r="K83" s="4"/>
      <c r="L83" s="4" t="s">
        <v>293</v>
      </c>
    </row>
    <row r="84" hidden="1">
      <c r="A84" s="67" t="str">
        <f t="shared" si="1"/>
        <v>Fri</v>
      </c>
      <c r="B84" s="69">
        <v>43077.0</v>
      </c>
      <c r="D84" s="175">
        <v>400.125</v>
      </c>
      <c r="E84" s="4" t="s">
        <v>222</v>
      </c>
      <c r="F84" s="4" t="s">
        <v>1346</v>
      </c>
      <c r="I84" s="4" t="s">
        <v>395</v>
      </c>
      <c r="K84" s="4"/>
      <c r="L84" s="4" t="s">
        <v>293</v>
      </c>
    </row>
    <row r="85" hidden="1">
      <c r="A85" s="67" t="str">
        <f t="shared" si="1"/>
        <v>Sat</v>
      </c>
      <c r="B85" s="69">
        <v>43078.0</v>
      </c>
      <c r="D85" s="175">
        <v>400.125</v>
      </c>
      <c r="E85" s="4" t="s">
        <v>222</v>
      </c>
      <c r="F85" s="4" t="s">
        <v>1346</v>
      </c>
      <c r="I85" s="4" t="s">
        <v>395</v>
      </c>
      <c r="K85" s="4"/>
      <c r="L85" s="4" t="s">
        <v>293</v>
      </c>
    </row>
    <row r="86" hidden="1">
      <c r="A86" s="67" t="str">
        <f t="shared" si="1"/>
        <v>Sun</v>
      </c>
      <c r="B86" s="69">
        <v>43079.0</v>
      </c>
      <c r="D86" s="175">
        <v>400.125</v>
      </c>
      <c r="E86" s="4" t="s">
        <v>222</v>
      </c>
      <c r="F86" s="4" t="s">
        <v>1346</v>
      </c>
      <c r="I86" s="4" t="s">
        <v>395</v>
      </c>
      <c r="K86" s="4"/>
      <c r="L86" s="4" t="s">
        <v>293</v>
      </c>
    </row>
    <row r="87" hidden="1">
      <c r="A87" s="67" t="str">
        <f t="shared" si="1"/>
        <v>Mon</v>
      </c>
      <c r="B87" s="69">
        <v>43080.0</v>
      </c>
      <c r="D87" s="175">
        <v>242.7688888888889</v>
      </c>
      <c r="E87" s="4" t="s">
        <v>222</v>
      </c>
      <c r="F87" s="4" t="s">
        <v>1353</v>
      </c>
      <c r="G87" s="4" t="s">
        <v>1353</v>
      </c>
      <c r="H87" s="4" t="s">
        <v>1346</v>
      </c>
      <c r="I87" s="4" t="s">
        <v>395</v>
      </c>
      <c r="K87" s="4"/>
      <c r="L87" s="4" t="s">
        <v>293</v>
      </c>
    </row>
    <row r="88" hidden="1">
      <c r="A88" s="67" t="str">
        <f t="shared" si="1"/>
        <v>Tue</v>
      </c>
      <c r="B88" s="69">
        <v>43081.0</v>
      </c>
      <c r="D88" s="175">
        <v>242.7688888888889</v>
      </c>
      <c r="E88" s="4" t="s">
        <v>222</v>
      </c>
      <c r="F88" s="4" t="s">
        <v>1353</v>
      </c>
      <c r="I88" s="4" t="s">
        <v>395</v>
      </c>
      <c r="K88" s="4"/>
      <c r="L88" s="4" t="s">
        <v>293</v>
      </c>
    </row>
    <row r="89" hidden="1">
      <c r="A89" s="67" t="str">
        <f t="shared" si="1"/>
        <v>Wed</v>
      </c>
      <c r="B89" s="69">
        <v>43082.0</v>
      </c>
      <c r="D89" s="175">
        <v>242.7688888888889</v>
      </c>
      <c r="E89" s="4" t="s">
        <v>222</v>
      </c>
      <c r="F89" s="4" t="s">
        <v>1353</v>
      </c>
      <c r="I89" s="4" t="s">
        <v>395</v>
      </c>
      <c r="K89" s="4"/>
      <c r="L89" s="4" t="s">
        <v>293</v>
      </c>
    </row>
    <row r="90" hidden="1">
      <c r="A90" s="67" t="str">
        <f t="shared" si="1"/>
        <v>Thu</v>
      </c>
      <c r="B90" s="69">
        <v>43083.0</v>
      </c>
      <c r="D90" s="175">
        <v>242.7688888888889</v>
      </c>
      <c r="E90" s="4" t="s">
        <v>222</v>
      </c>
      <c r="F90" s="4" t="s">
        <v>1353</v>
      </c>
      <c r="I90" s="4" t="s">
        <v>395</v>
      </c>
      <c r="K90" s="4"/>
      <c r="L90" s="4" t="s">
        <v>293</v>
      </c>
    </row>
    <row r="91" hidden="1">
      <c r="A91" s="67" t="str">
        <f t="shared" si="1"/>
        <v>Fri</v>
      </c>
      <c r="B91" s="69">
        <v>43084.0</v>
      </c>
      <c r="D91" s="175">
        <v>242.7688888888889</v>
      </c>
      <c r="E91" s="4" t="s">
        <v>222</v>
      </c>
      <c r="F91" s="4" t="s">
        <v>1353</v>
      </c>
      <c r="I91" s="4" t="s">
        <v>395</v>
      </c>
      <c r="K91" s="4"/>
      <c r="L91" s="4" t="s">
        <v>293</v>
      </c>
    </row>
    <row r="92" hidden="1">
      <c r="A92" s="67" t="str">
        <f t="shared" si="1"/>
        <v>Sat</v>
      </c>
      <c r="B92" s="69">
        <v>43085.0</v>
      </c>
      <c r="D92" s="175">
        <v>242.7688888888889</v>
      </c>
      <c r="E92" s="4" t="s">
        <v>222</v>
      </c>
      <c r="F92" s="4" t="s">
        <v>1353</v>
      </c>
      <c r="I92" s="4" t="s">
        <v>395</v>
      </c>
      <c r="K92" s="4"/>
      <c r="L92" s="4" t="s">
        <v>293</v>
      </c>
    </row>
    <row r="93" hidden="1">
      <c r="A93" s="67" t="str">
        <f t="shared" si="1"/>
        <v>Sun</v>
      </c>
      <c r="B93" s="69">
        <v>43086.0</v>
      </c>
      <c r="D93" s="175">
        <v>242.7688888888889</v>
      </c>
      <c r="E93" s="4" t="s">
        <v>222</v>
      </c>
      <c r="F93" s="4" t="s">
        <v>1353</v>
      </c>
      <c r="I93" s="4" t="s">
        <v>395</v>
      </c>
      <c r="K93" s="4"/>
      <c r="L93" s="4" t="s">
        <v>293</v>
      </c>
    </row>
    <row r="94" hidden="1">
      <c r="A94" s="67" t="str">
        <f t="shared" si="1"/>
        <v>Mon</v>
      </c>
      <c r="B94" s="69">
        <v>43087.0</v>
      </c>
      <c r="D94" s="175">
        <v>242.7688888888889</v>
      </c>
      <c r="E94" s="4" t="s">
        <v>222</v>
      </c>
      <c r="F94" s="4" t="s">
        <v>1353</v>
      </c>
      <c r="I94" s="4" t="s">
        <v>395</v>
      </c>
      <c r="K94" s="4"/>
      <c r="L94" s="4" t="s">
        <v>293</v>
      </c>
    </row>
    <row r="95" hidden="1">
      <c r="A95" s="67" t="str">
        <f t="shared" si="1"/>
        <v>Tue</v>
      </c>
      <c r="B95" s="69">
        <v>43088.0</v>
      </c>
      <c r="D95" s="175">
        <v>242.7688888888889</v>
      </c>
      <c r="E95" s="4" t="s">
        <v>222</v>
      </c>
      <c r="F95" s="4" t="s">
        <v>1353</v>
      </c>
      <c r="I95" s="4" t="s">
        <v>395</v>
      </c>
      <c r="K95" s="4"/>
      <c r="L95" s="4" t="s">
        <v>293</v>
      </c>
    </row>
    <row r="96" hidden="1">
      <c r="A96" s="67" t="str">
        <f t="shared" si="1"/>
        <v>Wed</v>
      </c>
      <c r="B96" s="69">
        <v>43089.0</v>
      </c>
      <c r="D96" s="176">
        <v>194.0</v>
      </c>
      <c r="E96" s="4" t="s">
        <v>222</v>
      </c>
      <c r="F96" s="4" t="s">
        <v>1363</v>
      </c>
      <c r="G96" s="4" t="s">
        <v>1363</v>
      </c>
      <c r="H96" s="4" t="s">
        <v>1353</v>
      </c>
      <c r="I96" s="4" t="s">
        <v>395</v>
      </c>
      <c r="K96" s="4"/>
      <c r="L96" s="4" t="s">
        <v>293</v>
      </c>
    </row>
    <row r="97" hidden="1">
      <c r="A97" s="67" t="str">
        <f t="shared" si="1"/>
        <v>Thu</v>
      </c>
      <c r="B97" s="69">
        <v>43090.0</v>
      </c>
      <c r="D97" s="176">
        <v>194.0</v>
      </c>
      <c r="E97" s="4" t="s">
        <v>222</v>
      </c>
      <c r="F97" s="4" t="s">
        <v>1363</v>
      </c>
      <c r="I97" s="4" t="s">
        <v>395</v>
      </c>
      <c r="K97" s="4"/>
      <c r="L97" s="4" t="s">
        <v>293</v>
      </c>
    </row>
    <row r="98" hidden="1">
      <c r="A98" s="67" t="str">
        <f t="shared" si="1"/>
        <v>Fri</v>
      </c>
      <c r="B98" s="69">
        <v>43091.0</v>
      </c>
      <c r="D98" s="175">
        <v>468.8333333333333</v>
      </c>
      <c r="E98" s="4" t="s">
        <v>222</v>
      </c>
      <c r="F98" s="4" t="s">
        <v>1365</v>
      </c>
      <c r="G98" s="4" t="s">
        <v>1365</v>
      </c>
      <c r="H98" s="4" t="s">
        <v>1363</v>
      </c>
      <c r="I98" s="4" t="s">
        <v>395</v>
      </c>
      <c r="K98" s="4"/>
      <c r="L98" s="4" t="s">
        <v>293</v>
      </c>
    </row>
    <row r="99" hidden="1">
      <c r="A99" s="67" t="str">
        <f t="shared" si="1"/>
        <v>Sat</v>
      </c>
      <c r="B99" s="69">
        <v>43092.0</v>
      </c>
      <c r="D99" s="175">
        <v>468.8333333333333</v>
      </c>
      <c r="E99" s="4" t="s">
        <v>222</v>
      </c>
      <c r="F99" s="4" t="s">
        <v>1365</v>
      </c>
      <c r="I99" s="4" t="s">
        <v>395</v>
      </c>
      <c r="K99" s="4"/>
      <c r="L99" s="4" t="s">
        <v>293</v>
      </c>
    </row>
    <row r="100" hidden="1">
      <c r="A100" s="67" t="str">
        <f t="shared" si="1"/>
        <v>Sun</v>
      </c>
      <c r="B100" s="69">
        <v>43093.0</v>
      </c>
      <c r="D100" s="175">
        <v>468.8333333333333</v>
      </c>
      <c r="E100" s="4" t="s">
        <v>222</v>
      </c>
      <c r="F100" s="4" t="s">
        <v>1365</v>
      </c>
      <c r="I100" s="4" t="s">
        <v>395</v>
      </c>
      <c r="K100" s="4"/>
      <c r="L100" s="4" t="s">
        <v>293</v>
      </c>
    </row>
    <row r="101" hidden="1">
      <c r="A101" s="67" t="str">
        <f t="shared" si="1"/>
        <v>Mon</v>
      </c>
      <c r="B101" s="69">
        <v>43094.0</v>
      </c>
      <c r="D101" s="176">
        <v>688.7</v>
      </c>
      <c r="E101" s="4" t="s">
        <v>222</v>
      </c>
      <c r="F101" s="4" t="s">
        <v>1366</v>
      </c>
      <c r="G101" s="4" t="s">
        <v>1366</v>
      </c>
      <c r="H101" s="4" t="s">
        <v>1365</v>
      </c>
      <c r="I101" s="4" t="s">
        <v>395</v>
      </c>
      <c r="K101" s="4"/>
      <c r="L101" s="4" t="s">
        <v>293</v>
      </c>
    </row>
    <row r="102" hidden="1">
      <c r="A102" s="67" t="str">
        <f t="shared" si="1"/>
        <v>Tue</v>
      </c>
      <c r="B102" s="69">
        <v>43095.0</v>
      </c>
      <c r="D102" s="176">
        <v>688.7</v>
      </c>
      <c r="E102" s="4" t="s">
        <v>222</v>
      </c>
      <c r="F102" s="4" t="s">
        <v>1366</v>
      </c>
      <c r="I102" s="4" t="s">
        <v>395</v>
      </c>
      <c r="K102" s="4"/>
      <c r="L102" s="4" t="s">
        <v>293</v>
      </c>
    </row>
    <row r="103" hidden="1">
      <c r="A103" s="67" t="str">
        <f t="shared" si="1"/>
        <v>Wed</v>
      </c>
      <c r="B103" s="69">
        <v>43096.0</v>
      </c>
      <c r="D103" s="176">
        <v>688.7</v>
      </c>
      <c r="E103" s="4" t="s">
        <v>222</v>
      </c>
      <c r="F103" s="4" t="s">
        <v>1366</v>
      </c>
      <c r="I103" s="4" t="s">
        <v>395</v>
      </c>
      <c r="K103" s="4"/>
      <c r="L103" s="4" t="s">
        <v>293</v>
      </c>
    </row>
    <row r="104" hidden="1">
      <c r="A104" s="67" t="str">
        <f t="shared" si="1"/>
        <v>Thu</v>
      </c>
      <c r="B104" s="69">
        <v>43097.0</v>
      </c>
      <c r="D104" s="176">
        <v>688.7</v>
      </c>
      <c r="E104" s="4" t="s">
        <v>222</v>
      </c>
      <c r="F104" s="4" t="s">
        <v>1366</v>
      </c>
      <c r="I104" s="4" t="s">
        <v>395</v>
      </c>
      <c r="K104" s="4"/>
      <c r="L104" s="4" t="s">
        <v>293</v>
      </c>
    </row>
    <row r="105" hidden="1">
      <c r="A105" s="67" t="str">
        <f t="shared" si="1"/>
        <v>Fri</v>
      </c>
      <c r="B105" s="69">
        <v>43098.0</v>
      </c>
      <c r="C105" s="4" t="s">
        <v>638</v>
      </c>
      <c r="D105" s="176">
        <v>688.7</v>
      </c>
      <c r="E105" s="4" t="s">
        <v>222</v>
      </c>
      <c r="F105" s="4" t="s">
        <v>1366</v>
      </c>
      <c r="I105" s="4" t="s">
        <v>395</v>
      </c>
      <c r="K105" s="4"/>
      <c r="L105" s="4" t="s">
        <v>293</v>
      </c>
    </row>
    <row r="106" hidden="1">
      <c r="A106" s="67" t="str">
        <f t="shared" si="1"/>
        <v>Sat</v>
      </c>
      <c r="B106" s="69">
        <v>43099.0</v>
      </c>
      <c r="C106" s="4" t="s">
        <v>638</v>
      </c>
      <c r="D106" s="171"/>
      <c r="H106" s="4" t="s">
        <v>1366</v>
      </c>
    </row>
    <row r="107" hidden="1">
      <c r="A107" s="67" t="str">
        <f t="shared" si="1"/>
        <v>Sun</v>
      </c>
      <c r="B107" s="69">
        <v>43100.0</v>
      </c>
      <c r="C107" s="4" t="s">
        <v>638</v>
      </c>
      <c r="D107" s="176">
        <v>1455.0</v>
      </c>
      <c r="E107" s="4" t="s">
        <v>222</v>
      </c>
      <c r="F107" s="4" t="s">
        <v>1374</v>
      </c>
      <c r="G107" s="4" t="s">
        <v>1374</v>
      </c>
      <c r="I107" s="4" t="s">
        <v>395</v>
      </c>
      <c r="K107" s="4"/>
      <c r="L107" s="4" t="s">
        <v>293</v>
      </c>
    </row>
    <row r="108" hidden="1">
      <c r="A108" s="67" t="str">
        <f t="shared" si="1"/>
        <v>Mon</v>
      </c>
      <c r="B108" s="69">
        <v>43101.0</v>
      </c>
      <c r="C108" s="4" t="s">
        <v>638</v>
      </c>
      <c r="D108" s="176">
        <v>1455.0</v>
      </c>
      <c r="E108" s="4" t="s">
        <v>222</v>
      </c>
      <c r="F108" s="4" t="s">
        <v>1374</v>
      </c>
      <c r="I108" s="4" t="s">
        <v>395</v>
      </c>
      <c r="K108" s="4"/>
      <c r="L108" s="4" t="s">
        <v>293</v>
      </c>
    </row>
    <row r="109" hidden="1">
      <c r="A109" s="67" t="str">
        <f t="shared" si="1"/>
        <v>Tue</v>
      </c>
      <c r="B109" s="69">
        <v>43102.0</v>
      </c>
      <c r="D109" s="176">
        <v>1455.0</v>
      </c>
      <c r="E109" s="4" t="s">
        <v>222</v>
      </c>
      <c r="F109" s="4" t="s">
        <v>1374</v>
      </c>
      <c r="I109" s="4" t="s">
        <v>395</v>
      </c>
      <c r="K109" s="4"/>
      <c r="L109" s="4" t="s">
        <v>293</v>
      </c>
    </row>
    <row r="110" hidden="1">
      <c r="A110" s="67" t="str">
        <f t="shared" si="1"/>
        <v>Wed</v>
      </c>
      <c r="B110" s="69">
        <v>43103.0</v>
      </c>
      <c r="D110" s="176">
        <v>1455.0</v>
      </c>
      <c r="E110" s="4" t="s">
        <v>222</v>
      </c>
      <c r="F110" s="4" t="s">
        <v>1374</v>
      </c>
      <c r="I110" s="4" t="s">
        <v>395</v>
      </c>
      <c r="K110" s="4"/>
      <c r="L110" s="4" t="s">
        <v>293</v>
      </c>
    </row>
    <row r="111" hidden="1">
      <c r="A111" s="67" t="str">
        <f t="shared" si="1"/>
        <v>Thu</v>
      </c>
      <c r="B111" s="69">
        <v>43104.0</v>
      </c>
      <c r="D111" s="171"/>
      <c r="H111" s="4" t="s">
        <v>1374</v>
      </c>
    </row>
    <row r="112" hidden="1">
      <c r="A112" s="67" t="str">
        <f t="shared" si="1"/>
        <v>Fri</v>
      </c>
      <c r="B112" s="69">
        <v>43105.0</v>
      </c>
      <c r="D112" s="176">
        <v>760.0</v>
      </c>
      <c r="E112" s="4" t="s">
        <v>337</v>
      </c>
      <c r="F112" s="4" t="s">
        <v>1377</v>
      </c>
      <c r="G112" s="4" t="s">
        <v>1377</v>
      </c>
      <c r="I112" s="4" t="s">
        <v>395</v>
      </c>
      <c r="J112" s="4" t="s">
        <v>495</v>
      </c>
      <c r="K112" s="4"/>
      <c r="L112" s="4" t="s">
        <v>293</v>
      </c>
    </row>
    <row r="113" hidden="1">
      <c r="A113" s="67" t="str">
        <f t="shared" si="1"/>
        <v>Sat</v>
      </c>
      <c r="B113" s="69">
        <v>43106.0</v>
      </c>
      <c r="D113" s="176">
        <v>760.0</v>
      </c>
      <c r="F113" s="4" t="s">
        <v>1377</v>
      </c>
      <c r="I113" s="4" t="s">
        <v>395</v>
      </c>
      <c r="J113" s="4" t="s">
        <v>495</v>
      </c>
      <c r="K113" s="4"/>
      <c r="L113" s="4" t="s">
        <v>293</v>
      </c>
    </row>
    <row r="114" hidden="1">
      <c r="A114" s="67" t="str">
        <f t="shared" si="1"/>
        <v>Sun</v>
      </c>
      <c r="B114" s="69">
        <v>43107.0</v>
      </c>
      <c r="D114" s="176">
        <v>760.0</v>
      </c>
      <c r="F114" s="4" t="s">
        <v>1377</v>
      </c>
      <c r="I114" s="4" t="s">
        <v>395</v>
      </c>
      <c r="J114" s="4" t="s">
        <v>495</v>
      </c>
      <c r="K114" s="4"/>
      <c r="L114" s="4" t="s">
        <v>293</v>
      </c>
    </row>
    <row r="115" hidden="1">
      <c r="A115" s="67" t="str">
        <f t="shared" si="1"/>
        <v>Mon</v>
      </c>
      <c r="B115" s="69">
        <v>43108.0</v>
      </c>
      <c r="C115" s="4"/>
      <c r="D115" s="176">
        <v>760.0</v>
      </c>
      <c r="F115" s="4" t="s">
        <v>1377</v>
      </c>
      <c r="I115" s="4" t="s">
        <v>395</v>
      </c>
      <c r="J115" s="4" t="s">
        <v>495</v>
      </c>
      <c r="K115" s="4"/>
      <c r="L115" s="4" t="s">
        <v>293</v>
      </c>
    </row>
    <row r="116" hidden="1">
      <c r="A116" s="67" t="str">
        <f t="shared" si="1"/>
        <v>Tue</v>
      </c>
      <c r="B116" s="69">
        <v>43109.0</v>
      </c>
      <c r="C116" s="4"/>
      <c r="D116" s="176">
        <v>760.0</v>
      </c>
      <c r="F116" s="4" t="s">
        <v>1377</v>
      </c>
      <c r="I116" s="4" t="s">
        <v>395</v>
      </c>
      <c r="J116" s="4" t="s">
        <v>495</v>
      </c>
      <c r="K116" s="4"/>
      <c r="L116" s="4" t="s">
        <v>293</v>
      </c>
    </row>
    <row r="117" hidden="1">
      <c r="A117" s="67" t="str">
        <f t="shared" si="1"/>
        <v>Wed</v>
      </c>
      <c r="B117" s="69">
        <v>43110.0</v>
      </c>
      <c r="C117" s="4"/>
      <c r="D117" s="176">
        <v>760.0</v>
      </c>
      <c r="F117" s="4" t="s">
        <v>1377</v>
      </c>
      <c r="I117" s="4" t="s">
        <v>395</v>
      </c>
      <c r="J117" s="4" t="s">
        <v>495</v>
      </c>
      <c r="K117" s="4"/>
      <c r="L117" s="4" t="s">
        <v>293</v>
      </c>
    </row>
    <row r="118" hidden="1">
      <c r="A118" s="67" t="str">
        <f t="shared" si="1"/>
        <v>Thu</v>
      </c>
      <c r="B118" s="69">
        <v>43111.0</v>
      </c>
      <c r="C118" s="4"/>
      <c r="D118" s="176">
        <v>760.0</v>
      </c>
      <c r="F118" s="4" t="s">
        <v>1377</v>
      </c>
      <c r="I118" s="4" t="s">
        <v>395</v>
      </c>
      <c r="J118" s="4" t="s">
        <v>495</v>
      </c>
      <c r="K118" s="4"/>
      <c r="L118" s="4" t="s">
        <v>293</v>
      </c>
    </row>
    <row r="119" hidden="1">
      <c r="A119" s="67" t="str">
        <f t="shared" si="1"/>
        <v>Fri</v>
      </c>
      <c r="B119" s="69">
        <v>43112.0</v>
      </c>
      <c r="D119" s="176">
        <v>760.0</v>
      </c>
      <c r="F119" s="4" t="s">
        <v>1377</v>
      </c>
      <c r="I119" s="4" t="s">
        <v>395</v>
      </c>
      <c r="J119" s="4" t="s">
        <v>495</v>
      </c>
      <c r="K119" s="4"/>
      <c r="L119" s="4" t="s">
        <v>293</v>
      </c>
    </row>
    <row r="120" hidden="1">
      <c r="A120" s="67" t="str">
        <f t="shared" si="1"/>
        <v>Sat</v>
      </c>
      <c r="B120" s="69">
        <v>43113.0</v>
      </c>
      <c r="D120" s="176">
        <v>760.0</v>
      </c>
      <c r="F120" s="4" t="s">
        <v>1377</v>
      </c>
      <c r="I120" s="4" t="s">
        <v>395</v>
      </c>
      <c r="J120" s="4" t="s">
        <v>495</v>
      </c>
      <c r="K120" s="4"/>
      <c r="L120" s="4" t="s">
        <v>293</v>
      </c>
    </row>
    <row r="121" hidden="1">
      <c r="A121" s="67" t="str">
        <f t="shared" si="1"/>
        <v>Sun</v>
      </c>
      <c r="B121" s="69">
        <v>43114.0</v>
      </c>
      <c r="D121" s="176">
        <v>760.0</v>
      </c>
      <c r="F121" s="4" t="s">
        <v>1377</v>
      </c>
      <c r="I121" s="4" t="s">
        <v>395</v>
      </c>
      <c r="J121" s="4" t="s">
        <v>495</v>
      </c>
      <c r="K121" s="4"/>
      <c r="L121" s="4" t="s">
        <v>293</v>
      </c>
    </row>
    <row r="122" hidden="1">
      <c r="A122" s="67" t="str">
        <f t="shared" si="1"/>
        <v>Mon</v>
      </c>
      <c r="B122" s="69">
        <v>43115.0</v>
      </c>
      <c r="D122" s="176">
        <v>760.0</v>
      </c>
      <c r="F122" s="4" t="s">
        <v>1377</v>
      </c>
      <c r="I122" s="4" t="s">
        <v>395</v>
      </c>
      <c r="J122" s="4" t="s">
        <v>495</v>
      </c>
      <c r="K122" s="4"/>
      <c r="L122" s="4" t="s">
        <v>293</v>
      </c>
    </row>
    <row r="123" hidden="1">
      <c r="A123" s="67" t="str">
        <f t="shared" si="1"/>
        <v>Tue</v>
      </c>
      <c r="B123" s="69">
        <v>43116.0</v>
      </c>
      <c r="D123" s="176">
        <v>760.0</v>
      </c>
      <c r="F123" s="4" t="s">
        <v>1377</v>
      </c>
      <c r="I123" s="4" t="s">
        <v>395</v>
      </c>
      <c r="J123" s="4" t="s">
        <v>495</v>
      </c>
      <c r="K123" s="4"/>
      <c r="L123" s="4" t="s">
        <v>293</v>
      </c>
    </row>
    <row r="124" hidden="1">
      <c r="A124" s="67" t="str">
        <f t="shared" si="1"/>
        <v>Wed</v>
      </c>
      <c r="B124" s="69">
        <v>43117.0</v>
      </c>
      <c r="D124" s="176">
        <v>760.0</v>
      </c>
      <c r="F124" s="4" t="s">
        <v>1377</v>
      </c>
      <c r="I124" s="4" t="s">
        <v>395</v>
      </c>
      <c r="J124" s="4" t="s">
        <v>495</v>
      </c>
      <c r="K124" s="4"/>
      <c r="L124" s="4" t="s">
        <v>293</v>
      </c>
    </row>
    <row r="125" hidden="1">
      <c r="A125" s="67" t="str">
        <f t="shared" si="1"/>
        <v>Thu</v>
      </c>
      <c r="B125" s="69">
        <v>43118.0</v>
      </c>
      <c r="D125" s="176">
        <v>760.0</v>
      </c>
      <c r="F125" s="4" t="s">
        <v>1377</v>
      </c>
      <c r="I125" s="4" t="s">
        <v>395</v>
      </c>
      <c r="J125" s="4" t="s">
        <v>495</v>
      </c>
      <c r="K125" s="4"/>
      <c r="L125" s="4" t="s">
        <v>293</v>
      </c>
    </row>
    <row r="126" hidden="1">
      <c r="A126" s="67" t="str">
        <f t="shared" si="1"/>
        <v>Fri</v>
      </c>
      <c r="B126" s="69">
        <v>43119.0</v>
      </c>
      <c r="D126" s="176">
        <v>760.0</v>
      </c>
      <c r="F126" s="4" t="s">
        <v>1377</v>
      </c>
      <c r="I126" s="4" t="s">
        <v>395</v>
      </c>
      <c r="J126" s="4" t="s">
        <v>495</v>
      </c>
      <c r="K126" s="4"/>
      <c r="L126" s="4" t="s">
        <v>293</v>
      </c>
    </row>
    <row r="127" hidden="1">
      <c r="A127" s="67" t="str">
        <f t="shared" si="1"/>
        <v>Sat</v>
      </c>
      <c r="B127" s="69">
        <v>43120.0</v>
      </c>
      <c r="D127" s="176">
        <v>760.0</v>
      </c>
      <c r="F127" s="4" t="s">
        <v>1377</v>
      </c>
      <c r="I127" s="4" t="s">
        <v>395</v>
      </c>
      <c r="J127" s="4" t="s">
        <v>495</v>
      </c>
      <c r="K127" s="4"/>
      <c r="L127" s="4" t="s">
        <v>293</v>
      </c>
    </row>
    <row r="128" hidden="1">
      <c r="A128" s="67" t="str">
        <f t="shared" si="1"/>
        <v>Sun</v>
      </c>
      <c r="B128" s="69">
        <v>43121.0</v>
      </c>
      <c r="D128" s="176">
        <v>760.0</v>
      </c>
      <c r="F128" s="4" t="s">
        <v>1377</v>
      </c>
      <c r="I128" s="4" t="s">
        <v>395</v>
      </c>
      <c r="J128" s="4" t="s">
        <v>495</v>
      </c>
      <c r="K128" s="4"/>
      <c r="L128" s="4" t="s">
        <v>293</v>
      </c>
    </row>
    <row r="129" hidden="1">
      <c r="A129" s="67" t="str">
        <f t="shared" si="1"/>
        <v>Mon</v>
      </c>
      <c r="B129" s="69">
        <v>43122.0</v>
      </c>
      <c r="D129" s="176">
        <v>760.0</v>
      </c>
      <c r="F129" s="4" t="s">
        <v>1377</v>
      </c>
      <c r="I129" s="4" t="s">
        <v>395</v>
      </c>
      <c r="J129" s="4" t="s">
        <v>495</v>
      </c>
      <c r="K129" s="4"/>
      <c r="L129" s="4" t="s">
        <v>293</v>
      </c>
    </row>
    <row r="130" hidden="1">
      <c r="A130" s="67" t="str">
        <f t="shared" si="1"/>
        <v>Tue</v>
      </c>
      <c r="B130" s="69">
        <v>43123.0</v>
      </c>
      <c r="D130" s="176">
        <v>760.0</v>
      </c>
      <c r="F130" s="4" t="s">
        <v>1377</v>
      </c>
      <c r="I130" s="4" t="s">
        <v>395</v>
      </c>
      <c r="J130" s="4" t="s">
        <v>495</v>
      </c>
      <c r="K130" s="4"/>
      <c r="L130" s="4" t="s">
        <v>293</v>
      </c>
    </row>
    <row r="131" hidden="1">
      <c r="A131" s="67" t="str">
        <f t="shared" si="1"/>
        <v>Wed</v>
      </c>
      <c r="B131" s="69">
        <v>43124.0</v>
      </c>
      <c r="D131" s="176">
        <v>760.0</v>
      </c>
      <c r="F131" s="4" t="s">
        <v>1377</v>
      </c>
      <c r="I131" s="4" t="s">
        <v>395</v>
      </c>
      <c r="J131" s="4" t="s">
        <v>495</v>
      </c>
      <c r="K131" s="4"/>
      <c r="L131" s="4" t="s">
        <v>293</v>
      </c>
    </row>
    <row r="132" hidden="1">
      <c r="A132" s="67" t="str">
        <f t="shared" si="1"/>
        <v>Thu</v>
      </c>
      <c r="B132" s="69">
        <v>43125.0</v>
      </c>
      <c r="D132" s="176">
        <v>760.0</v>
      </c>
      <c r="F132" s="4" t="s">
        <v>1377</v>
      </c>
      <c r="I132" s="4" t="s">
        <v>395</v>
      </c>
      <c r="J132" s="4" t="s">
        <v>495</v>
      </c>
      <c r="K132" s="4"/>
      <c r="L132" s="4" t="s">
        <v>293</v>
      </c>
    </row>
    <row r="133" hidden="1">
      <c r="A133" s="67" t="str">
        <f t="shared" si="1"/>
        <v>Fri</v>
      </c>
      <c r="B133" s="69">
        <v>43126.0</v>
      </c>
      <c r="D133" s="171"/>
      <c r="F133" s="4" t="s">
        <v>1383</v>
      </c>
      <c r="G133" s="4" t="s">
        <v>1383</v>
      </c>
      <c r="H133" s="4" t="s">
        <v>1377</v>
      </c>
      <c r="K133" s="4"/>
      <c r="L133" s="4" t="s">
        <v>293</v>
      </c>
    </row>
    <row r="134" hidden="1">
      <c r="A134" s="67" t="str">
        <f t="shared" si="1"/>
        <v>Sat</v>
      </c>
      <c r="B134" s="69">
        <v>43127.0</v>
      </c>
      <c r="D134" s="176">
        <v>400.0</v>
      </c>
      <c r="E134" s="4" t="s">
        <v>337</v>
      </c>
      <c r="F134" s="4" t="s">
        <v>1383</v>
      </c>
      <c r="I134" s="4" t="s">
        <v>395</v>
      </c>
      <c r="J134" s="4" t="s">
        <v>1384</v>
      </c>
      <c r="K134" s="4"/>
      <c r="L134" s="4" t="s">
        <v>293</v>
      </c>
    </row>
    <row r="135" hidden="1">
      <c r="A135" s="67" t="str">
        <f t="shared" si="1"/>
        <v>Sun</v>
      </c>
      <c r="B135" s="69">
        <v>43128.0</v>
      </c>
      <c r="D135" s="176">
        <v>400.0</v>
      </c>
      <c r="E135" s="4" t="s">
        <v>337</v>
      </c>
      <c r="F135" s="4" t="s">
        <v>1383</v>
      </c>
      <c r="I135" s="4" t="s">
        <v>395</v>
      </c>
      <c r="J135" s="4" t="s">
        <v>1384</v>
      </c>
      <c r="K135" s="4"/>
      <c r="L135" s="4" t="s">
        <v>293</v>
      </c>
    </row>
    <row r="136" hidden="1">
      <c r="A136" s="67" t="str">
        <f t="shared" si="1"/>
        <v>Mon</v>
      </c>
      <c r="B136" s="69">
        <v>43129.0</v>
      </c>
      <c r="D136" s="176">
        <v>400.0</v>
      </c>
      <c r="E136" s="4" t="s">
        <v>337</v>
      </c>
      <c r="F136" s="4" t="s">
        <v>1383</v>
      </c>
      <c r="I136" s="4" t="s">
        <v>395</v>
      </c>
      <c r="J136" s="4" t="s">
        <v>1384</v>
      </c>
      <c r="K136" s="4"/>
      <c r="L136" s="4" t="s">
        <v>293</v>
      </c>
    </row>
    <row r="137" hidden="1">
      <c r="A137" s="67" t="str">
        <f t="shared" si="1"/>
        <v>Tue</v>
      </c>
      <c r="B137" s="69">
        <v>43130.0</v>
      </c>
      <c r="D137" s="176">
        <v>400.0</v>
      </c>
      <c r="E137" s="4" t="s">
        <v>337</v>
      </c>
      <c r="F137" s="4" t="s">
        <v>1383</v>
      </c>
      <c r="I137" s="4" t="s">
        <v>395</v>
      </c>
      <c r="J137" s="4" t="s">
        <v>1384</v>
      </c>
      <c r="K137" s="4"/>
      <c r="L137" s="4" t="s">
        <v>293</v>
      </c>
    </row>
    <row r="138" hidden="1">
      <c r="A138" s="67" t="str">
        <f t="shared" si="1"/>
        <v>Wed</v>
      </c>
      <c r="B138" s="69">
        <v>43131.0</v>
      </c>
      <c r="D138" s="176">
        <v>400.0</v>
      </c>
      <c r="E138" s="4" t="s">
        <v>337</v>
      </c>
      <c r="F138" s="4" t="s">
        <v>1383</v>
      </c>
      <c r="I138" s="4" t="s">
        <v>395</v>
      </c>
      <c r="J138" s="4" t="s">
        <v>1384</v>
      </c>
      <c r="K138" s="4"/>
      <c r="L138" s="4" t="s">
        <v>293</v>
      </c>
    </row>
    <row r="139" hidden="1">
      <c r="A139" s="67" t="str">
        <f t="shared" si="1"/>
        <v>Thu</v>
      </c>
      <c r="B139" s="69">
        <v>43132.0</v>
      </c>
      <c r="D139" s="176">
        <v>400.0</v>
      </c>
      <c r="E139" s="4" t="s">
        <v>337</v>
      </c>
      <c r="F139" s="4" t="s">
        <v>1383</v>
      </c>
      <c r="I139" s="4" t="s">
        <v>395</v>
      </c>
      <c r="J139" s="4" t="s">
        <v>1384</v>
      </c>
      <c r="K139" s="4"/>
      <c r="L139" s="4" t="s">
        <v>293</v>
      </c>
    </row>
    <row r="140" hidden="1">
      <c r="A140" s="67" t="str">
        <f t="shared" si="1"/>
        <v>Fri</v>
      </c>
      <c r="B140" s="69">
        <v>43133.0</v>
      </c>
      <c r="D140" s="176">
        <v>400.0</v>
      </c>
      <c r="E140" s="4" t="s">
        <v>337</v>
      </c>
      <c r="F140" s="4" t="s">
        <v>1383</v>
      </c>
      <c r="I140" s="4" t="s">
        <v>395</v>
      </c>
      <c r="J140" s="4" t="s">
        <v>1384</v>
      </c>
      <c r="K140" s="4"/>
      <c r="L140" s="4" t="s">
        <v>293</v>
      </c>
    </row>
    <row r="141" hidden="1">
      <c r="A141" s="67" t="str">
        <f t="shared" si="1"/>
        <v>Sat</v>
      </c>
      <c r="B141" s="69">
        <v>43134.0</v>
      </c>
      <c r="D141" s="176">
        <v>400.0</v>
      </c>
      <c r="E141" s="4" t="s">
        <v>337</v>
      </c>
      <c r="F141" s="4" t="s">
        <v>1383</v>
      </c>
      <c r="I141" s="4" t="s">
        <v>395</v>
      </c>
      <c r="J141" s="4" t="s">
        <v>1384</v>
      </c>
      <c r="K141" s="4"/>
      <c r="L141" s="4" t="s">
        <v>293</v>
      </c>
    </row>
    <row r="142" hidden="1">
      <c r="A142" s="67" t="str">
        <f t="shared" si="1"/>
        <v>Sun</v>
      </c>
      <c r="B142" s="69">
        <v>43135.0</v>
      </c>
      <c r="D142" s="176">
        <v>400.0</v>
      </c>
      <c r="E142" s="4" t="s">
        <v>337</v>
      </c>
      <c r="F142" s="4" t="s">
        <v>1383</v>
      </c>
      <c r="I142" s="4" t="s">
        <v>395</v>
      </c>
      <c r="J142" s="4" t="s">
        <v>1384</v>
      </c>
      <c r="K142" s="4"/>
      <c r="L142" s="4" t="s">
        <v>293</v>
      </c>
    </row>
    <row r="143" hidden="1">
      <c r="A143" s="67" t="str">
        <f t="shared" si="1"/>
        <v>Mon</v>
      </c>
      <c r="B143" s="69">
        <v>43136.0</v>
      </c>
      <c r="D143" s="176">
        <v>339.5</v>
      </c>
      <c r="F143" s="4" t="s">
        <v>1390</v>
      </c>
      <c r="H143" s="4" t="s">
        <v>1383</v>
      </c>
      <c r="I143" s="4" t="s">
        <v>395</v>
      </c>
      <c r="K143" s="4"/>
      <c r="L143" s="4" t="s">
        <v>293</v>
      </c>
    </row>
    <row r="144" hidden="1">
      <c r="A144" s="67" t="str">
        <f t="shared" si="1"/>
        <v>Tue</v>
      </c>
      <c r="B144" s="69">
        <v>43137.0</v>
      </c>
      <c r="D144" s="176">
        <v>339.5</v>
      </c>
      <c r="F144" s="4" t="s">
        <v>1390</v>
      </c>
      <c r="I144" s="4" t="s">
        <v>395</v>
      </c>
      <c r="K144" s="4"/>
      <c r="L144" s="4" t="s">
        <v>293</v>
      </c>
    </row>
    <row r="145" hidden="1">
      <c r="A145" s="67" t="str">
        <f t="shared" si="1"/>
        <v>Wed</v>
      </c>
      <c r="B145" s="69">
        <v>43138.0</v>
      </c>
      <c r="D145" s="176">
        <v>0.0</v>
      </c>
      <c r="F145" s="4" t="s">
        <v>998</v>
      </c>
      <c r="H145" s="4" t="s">
        <v>1390</v>
      </c>
    </row>
    <row r="146" hidden="1">
      <c r="A146" s="67" t="str">
        <f t="shared" si="1"/>
        <v>Thu</v>
      </c>
      <c r="B146" s="69">
        <v>43139.0</v>
      </c>
      <c r="D146" s="176">
        <v>0.0</v>
      </c>
      <c r="F146" s="4" t="s">
        <v>998</v>
      </c>
    </row>
    <row r="147" hidden="1">
      <c r="A147" s="67" t="str">
        <f t="shared" si="1"/>
        <v>Fri</v>
      </c>
      <c r="B147" s="69">
        <v>43140.0</v>
      </c>
      <c r="C147" s="4" t="s">
        <v>572</v>
      </c>
      <c r="D147" s="176">
        <v>900.0</v>
      </c>
      <c r="E147" s="4" t="s">
        <v>337</v>
      </c>
      <c r="F147" s="4" t="s">
        <v>523</v>
      </c>
      <c r="G147" s="4" t="s">
        <v>523</v>
      </c>
      <c r="H147" s="4" t="s">
        <v>998</v>
      </c>
      <c r="I147" s="4" t="s">
        <v>395</v>
      </c>
      <c r="J147" s="4" t="s">
        <v>495</v>
      </c>
      <c r="K147" s="4"/>
      <c r="L147" s="4" t="s">
        <v>293</v>
      </c>
    </row>
    <row r="148" hidden="1">
      <c r="A148" s="67" t="str">
        <f t="shared" si="1"/>
        <v>Sat</v>
      </c>
      <c r="B148" s="69">
        <v>43141.0</v>
      </c>
      <c r="C148" s="4" t="s">
        <v>572</v>
      </c>
      <c r="D148" s="176">
        <v>900.0</v>
      </c>
      <c r="E148" s="4" t="s">
        <v>337</v>
      </c>
      <c r="F148" s="4" t="s">
        <v>523</v>
      </c>
      <c r="I148" s="4" t="s">
        <v>395</v>
      </c>
      <c r="J148" s="4" t="s">
        <v>495</v>
      </c>
      <c r="K148" s="4"/>
      <c r="L148" s="4" t="s">
        <v>293</v>
      </c>
    </row>
    <row r="149" hidden="1">
      <c r="A149" s="67" t="str">
        <f t="shared" si="1"/>
        <v>Sun</v>
      </c>
      <c r="B149" s="69">
        <v>43142.0</v>
      </c>
      <c r="C149" s="4" t="s">
        <v>572</v>
      </c>
      <c r="D149" s="176">
        <v>900.0</v>
      </c>
      <c r="E149" s="4" t="s">
        <v>337</v>
      </c>
      <c r="F149" s="4" t="s">
        <v>523</v>
      </c>
      <c r="I149" s="4" t="s">
        <v>395</v>
      </c>
      <c r="J149" s="4" t="s">
        <v>495</v>
      </c>
      <c r="K149" s="4"/>
      <c r="L149" s="4" t="s">
        <v>293</v>
      </c>
    </row>
    <row r="150" hidden="1">
      <c r="A150" s="67" t="str">
        <f t="shared" si="1"/>
        <v>Mon</v>
      </c>
      <c r="B150" s="69">
        <v>43143.0</v>
      </c>
      <c r="C150" s="4" t="s">
        <v>572</v>
      </c>
      <c r="D150" s="176">
        <v>900.0</v>
      </c>
      <c r="E150" s="4" t="s">
        <v>337</v>
      </c>
      <c r="F150" s="4" t="s">
        <v>523</v>
      </c>
      <c r="I150" s="4" t="s">
        <v>395</v>
      </c>
      <c r="J150" s="4" t="s">
        <v>495</v>
      </c>
      <c r="K150" s="4"/>
      <c r="L150" s="4" t="s">
        <v>293</v>
      </c>
    </row>
    <row r="151" hidden="1">
      <c r="A151" s="67" t="str">
        <f t="shared" si="1"/>
        <v>Tue</v>
      </c>
      <c r="B151" s="69">
        <v>43144.0</v>
      </c>
      <c r="C151" s="4" t="s">
        <v>572</v>
      </c>
      <c r="D151" s="176">
        <v>900.0</v>
      </c>
      <c r="E151" s="4" t="s">
        <v>337</v>
      </c>
      <c r="F151" s="4" t="s">
        <v>523</v>
      </c>
      <c r="I151" s="4" t="s">
        <v>395</v>
      </c>
      <c r="J151" s="4" t="s">
        <v>495</v>
      </c>
      <c r="K151" s="4"/>
      <c r="L151" s="4" t="s">
        <v>293</v>
      </c>
    </row>
    <row r="152" hidden="1">
      <c r="A152" s="67" t="str">
        <f t="shared" si="1"/>
        <v>Wed</v>
      </c>
      <c r="B152" s="69">
        <v>43145.0</v>
      </c>
      <c r="C152" s="4" t="s">
        <v>572</v>
      </c>
      <c r="D152" s="176">
        <v>900.0</v>
      </c>
      <c r="E152" s="4" t="s">
        <v>337</v>
      </c>
      <c r="F152" s="4" t="s">
        <v>523</v>
      </c>
      <c r="I152" s="4" t="s">
        <v>395</v>
      </c>
      <c r="J152" s="4" t="s">
        <v>495</v>
      </c>
      <c r="K152" s="4"/>
      <c r="L152" s="4" t="s">
        <v>293</v>
      </c>
    </row>
    <row r="153" hidden="1">
      <c r="A153" s="67" t="str">
        <f t="shared" si="1"/>
        <v>Thu</v>
      </c>
      <c r="B153" s="69">
        <v>43146.0</v>
      </c>
      <c r="D153" s="171"/>
      <c r="H153" s="4" t="s">
        <v>523</v>
      </c>
    </row>
    <row r="154" hidden="1">
      <c r="A154" s="67" t="str">
        <f t="shared" si="1"/>
        <v>Fri</v>
      </c>
      <c r="B154" s="69">
        <v>43147.0</v>
      </c>
      <c r="D154" s="176">
        <v>388.0</v>
      </c>
      <c r="E154" s="4" t="s">
        <v>222</v>
      </c>
      <c r="F154" s="4" t="s">
        <v>1391</v>
      </c>
      <c r="G154" s="4" t="s">
        <v>1391</v>
      </c>
      <c r="I154" s="4" t="s">
        <v>395</v>
      </c>
      <c r="K154" s="4"/>
      <c r="L154" s="4" t="s">
        <v>293</v>
      </c>
    </row>
    <row r="155" hidden="1">
      <c r="A155" s="67" t="str">
        <f t="shared" si="1"/>
        <v>Sat</v>
      </c>
      <c r="B155" s="69">
        <v>43148.0</v>
      </c>
      <c r="D155" s="176">
        <v>388.0</v>
      </c>
      <c r="E155" s="4" t="s">
        <v>222</v>
      </c>
      <c r="F155" s="4" t="s">
        <v>1391</v>
      </c>
      <c r="I155" s="4" t="s">
        <v>395</v>
      </c>
      <c r="K155" s="4"/>
      <c r="L155" s="4" t="s">
        <v>293</v>
      </c>
    </row>
    <row r="156" hidden="1">
      <c r="A156" s="67" t="str">
        <f t="shared" si="1"/>
        <v>Sun</v>
      </c>
      <c r="B156" s="69">
        <v>43149.0</v>
      </c>
      <c r="D156" s="176">
        <v>388.0</v>
      </c>
      <c r="E156" s="4" t="s">
        <v>222</v>
      </c>
      <c r="F156" s="4" t="s">
        <v>1391</v>
      </c>
      <c r="I156" s="4" t="s">
        <v>395</v>
      </c>
      <c r="K156" s="4"/>
      <c r="L156" s="4" t="s">
        <v>293</v>
      </c>
    </row>
    <row r="157" hidden="1">
      <c r="A157" s="67" t="str">
        <f t="shared" si="1"/>
        <v>Mon</v>
      </c>
      <c r="B157" s="69">
        <v>43150.0</v>
      </c>
      <c r="C157" s="4"/>
      <c r="D157" s="176">
        <v>382.18</v>
      </c>
      <c r="E157" s="4" t="s">
        <v>222</v>
      </c>
      <c r="F157" s="4" t="s">
        <v>1392</v>
      </c>
      <c r="G157" s="4" t="s">
        <v>1392</v>
      </c>
      <c r="H157" s="4" t="s">
        <v>1391</v>
      </c>
      <c r="I157" s="4" t="s">
        <v>395</v>
      </c>
      <c r="K157" s="4"/>
      <c r="L157" s="4" t="s">
        <v>293</v>
      </c>
    </row>
    <row r="158" hidden="1">
      <c r="A158" s="67" t="str">
        <f t="shared" si="1"/>
        <v>Tue</v>
      </c>
      <c r="B158" s="69">
        <v>43151.0</v>
      </c>
      <c r="C158" s="4"/>
      <c r="D158" s="176">
        <v>382.18</v>
      </c>
      <c r="E158" s="4" t="s">
        <v>222</v>
      </c>
      <c r="F158" s="4" t="s">
        <v>1392</v>
      </c>
      <c r="I158" s="4" t="s">
        <v>395</v>
      </c>
      <c r="K158" s="4"/>
      <c r="L158" s="4" t="s">
        <v>293</v>
      </c>
    </row>
    <row r="159" hidden="1">
      <c r="A159" s="67" t="str">
        <f t="shared" si="1"/>
        <v>Wed</v>
      </c>
      <c r="B159" s="69">
        <v>43152.0</v>
      </c>
      <c r="C159" s="4"/>
      <c r="D159" s="176">
        <v>382.18</v>
      </c>
      <c r="E159" s="4" t="s">
        <v>222</v>
      </c>
      <c r="F159" s="4" t="s">
        <v>1392</v>
      </c>
      <c r="I159" s="4" t="s">
        <v>395</v>
      </c>
      <c r="K159" s="4"/>
      <c r="L159" s="4" t="s">
        <v>293</v>
      </c>
    </row>
    <row r="160" hidden="1">
      <c r="A160" s="67" t="str">
        <f t="shared" si="1"/>
        <v>Thu</v>
      </c>
      <c r="B160" s="69">
        <v>43153.0</v>
      </c>
      <c r="C160" s="4"/>
      <c r="D160" s="176">
        <v>382.18</v>
      </c>
      <c r="E160" s="4" t="s">
        <v>222</v>
      </c>
      <c r="F160" s="4" t="s">
        <v>1392</v>
      </c>
      <c r="I160" s="4" t="s">
        <v>395</v>
      </c>
      <c r="K160" s="4"/>
      <c r="L160" s="4" t="s">
        <v>293</v>
      </c>
    </row>
    <row r="161" hidden="1">
      <c r="A161" s="67" t="str">
        <f t="shared" si="1"/>
        <v>Fri</v>
      </c>
      <c r="B161" s="69">
        <v>43154.0</v>
      </c>
      <c r="C161" s="4"/>
      <c r="D161" s="176">
        <v>382.18</v>
      </c>
      <c r="E161" s="4" t="s">
        <v>222</v>
      </c>
      <c r="F161" s="4" t="s">
        <v>1392</v>
      </c>
      <c r="I161" s="4" t="s">
        <v>395</v>
      </c>
      <c r="K161" s="4"/>
      <c r="L161" s="4" t="s">
        <v>293</v>
      </c>
    </row>
    <row r="162" hidden="1">
      <c r="A162" s="67" t="str">
        <f t="shared" si="1"/>
        <v>Sat</v>
      </c>
      <c r="B162" s="69">
        <v>43155.0</v>
      </c>
      <c r="C162" s="4"/>
      <c r="D162" s="176">
        <v>382.18</v>
      </c>
      <c r="E162" s="4" t="s">
        <v>222</v>
      </c>
      <c r="F162" s="4" t="s">
        <v>1392</v>
      </c>
      <c r="I162" s="4" t="s">
        <v>395</v>
      </c>
      <c r="K162" s="4"/>
      <c r="L162" s="4" t="s">
        <v>293</v>
      </c>
    </row>
    <row r="163" hidden="1">
      <c r="A163" s="67" t="str">
        <f t="shared" si="1"/>
        <v>Sun</v>
      </c>
      <c r="B163" s="69">
        <v>43156.0</v>
      </c>
      <c r="D163" s="176">
        <v>382.18</v>
      </c>
      <c r="E163" s="4" t="s">
        <v>222</v>
      </c>
      <c r="F163" s="4" t="s">
        <v>1392</v>
      </c>
      <c r="I163" s="4" t="s">
        <v>395</v>
      </c>
      <c r="K163" s="4"/>
      <c r="L163" s="4" t="s">
        <v>293</v>
      </c>
    </row>
    <row r="164" hidden="1">
      <c r="A164" s="67" t="str">
        <f t="shared" si="1"/>
        <v>Mon</v>
      </c>
      <c r="B164" s="69">
        <v>43157.0</v>
      </c>
      <c r="D164" s="176">
        <v>382.18</v>
      </c>
      <c r="E164" s="4" t="s">
        <v>222</v>
      </c>
      <c r="F164" s="4" t="s">
        <v>1392</v>
      </c>
      <c r="I164" s="4" t="s">
        <v>395</v>
      </c>
      <c r="K164" s="4"/>
      <c r="L164" s="4" t="s">
        <v>293</v>
      </c>
    </row>
    <row r="165" hidden="1">
      <c r="A165" s="67" t="str">
        <f t="shared" si="1"/>
        <v>Tue</v>
      </c>
      <c r="B165" s="69">
        <v>43158.0</v>
      </c>
      <c r="D165" s="176">
        <v>382.18</v>
      </c>
      <c r="E165" s="4" t="s">
        <v>222</v>
      </c>
      <c r="F165" s="4" t="s">
        <v>1392</v>
      </c>
      <c r="I165" s="4" t="s">
        <v>395</v>
      </c>
      <c r="K165" s="4"/>
      <c r="L165" s="4" t="s">
        <v>293</v>
      </c>
    </row>
    <row r="166" hidden="1">
      <c r="A166" s="67" t="str">
        <f t="shared" si="1"/>
        <v>Wed</v>
      </c>
      <c r="B166" s="69">
        <v>43159.0</v>
      </c>
      <c r="D166" s="176">
        <v>382.18</v>
      </c>
      <c r="E166" s="4" t="s">
        <v>222</v>
      </c>
      <c r="F166" s="4" t="s">
        <v>1392</v>
      </c>
      <c r="I166" s="4" t="s">
        <v>395</v>
      </c>
      <c r="K166" s="4"/>
      <c r="L166" s="4" t="s">
        <v>293</v>
      </c>
    </row>
    <row r="167" hidden="1">
      <c r="A167" s="67" t="str">
        <f t="shared" si="1"/>
        <v>Thu</v>
      </c>
      <c r="B167" s="69">
        <v>43160.0</v>
      </c>
      <c r="D167" s="171"/>
      <c r="H167" s="4" t="s">
        <v>1392</v>
      </c>
    </row>
    <row r="168" hidden="1">
      <c r="A168" s="67" t="str">
        <f t="shared" si="1"/>
        <v>Fri</v>
      </c>
      <c r="B168" s="69">
        <v>43161.0</v>
      </c>
      <c r="D168" s="171"/>
    </row>
    <row r="169" hidden="1">
      <c r="A169" s="67" t="str">
        <f t="shared" si="1"/>
        <v>Sat</v>
      </c>
      <c r="B169" s="69">
        <v>43162.0</v>
      </c>
      <c r="D169" s="171"/>
    </row>
    <row r="170" hidden="1">
      <c r="A170" s="67" t="str">
        <f t="shared" si="1"/>
        <v>Sun</v>
      </c>
      <c r="B170" s="69">
        <v>43163.0</v>
      </c>
      <c r="D170" s="176">
        <v>388.0</v>
      </c>
      <c r="E170" s="4" t="s">
        <v>222</v>
      </c>
      <c r="F170" s="4" t="s">
        <v>1398</v>
      </c>
      <c r="G170" s="4" t="s">
        <v>1398</v>
      </c>
      <c r="I170" s="4" t="s">
        <v>395</v>
      </c>
      <c r="K170" s="4"/>
      <c r="L170" s="4" t="s">
        <v>293</v>
      </c>
    </row>
    <row r="171" hidden="1">
      <c r="A171" s="67" t="str">
        <f t="shared" si="1"/>
        <v>Mon</v>
      </c>
      <c r="B171" s="69">
        <v>43164.0</v>
      </c>
      <c r="D171" s="176">
        <v>388.0</v>
      </c>
      <c r="E171" s="4" t="s">
        <v>222</v>
      </c>
      <c r="F171" s="4" t="s">
        <v>1398</v>
      </c>
      <c r="I171" s="4" t="s">
        <v>395</v>
      </c>
      <c r="K171" s="4"/>
      <c r="L171" s="4" t="s">
        <v>293</v>
      </c>
    </row>
    <row r="172" hidden="1">
      <c r="A172" s="67" t="str">
        <f t="shared" si="1"/>
        <v>Tue</v>
      </c>
      <c r="B172" s="69">
        <v>43165.0</v>
      </c>
      <c r="D172" s="176">
        <v>388.0</v>
      </c>
      <c r="E172" s="4" t="s">
        <v>222</v>
      </c>
      <c r="F172" s="4" t="s">
        <v>1398</v>
      </c>
      <c r="I172" s="4" t="s">
        <v>395</v>
      </c>
      <c r="K172" s="4"/>
      <c r="L172" s="4" t="s">
        <v>293</v>
      </c>
    </row>
    <row r="173" hidden="1">
      <c r="A173" s="67" t="str">
        <f t="shared" si="1"/>
        <v>Wed</v>
      </c>
      <c r="B173" s="69">
        <v>43166.0</v>
      </c>
      <c r="D173" s="176">
        <v>388.0</v>
      </c>
      <c r="E173" s="4" t="s">
        <v>222</v>
      </c>
      <c r="F173" s="4" t="s">
        <v>1398</v>
      </c>
      <c r="I173" s="4" t="s">
        <v>395</v>
      </c>
      <c r="K173" s="4"/>
      <c r="L173" s="4" t="s">
        <v>293</v>
      </c>
    </row>
    <row r="174" hidden="1">
      <c r="A174" s="67" t="str">
        <f t="shared" si="1"/>
        <v>Thu</v>
      </c>
      <c r="B174" s="69">
        <v>43167.0</v>
      </c>
      <c r="D174" s="176">
        <v>388.0</v>
      </c>
      <c r="E174" s="4" t="s">
        <v>222</v>
      </c>
      <c r="F174" s="4" t="s">
        <v>1398</v>
      </c>
      <c r="I174" s="4" t="s">
        <v>395</v>
      </c>
      <c r="K174" s="4"/>
      <c r="L174" s="4" t="s">
        <v>293</v>
      </c>
    </row>
    <row r="175" hidden="1">
      <c r="A175" s="67" t="str">
        <f t="shared" si="1"/>
        <v>Fri</v>
      </c>
      <c r="B175" s="69">
        <v>43168.0</v>
      </c>
      <c r="D175" s="176">
        <v>388.0</v>
      </c>
      <c r="E175" s="4" t="s">
        <v>222</v>
      </c>
      <c r="F175" s="4" t="s">
        <v>1398</v>
      </c>
      <c r="I175" s="4" t="s">
        <v>395</v>
      </c>
      <c r="K175" s="4"/>
      <c r="L175" s="4" t="s">
        <v>293</v>
      </c>
    </row>
    <row r="176" hidden="1">
      <c r="A176" s="67" t="str">
        <f t="shared" si="1"/>
        <v>Sat</v>
      </c>
      <c r="B176" s="69">
        <v>43169.0</v>
      </c>
      <c r="D176" s="171"/>
      <c r="H176" s="4" t="s">
        <v>1398</v>
      </c>
    </row>
    <row r="177" hidden="1">
      <c r="A177" s="67" t="str">
        <f t="shared" si="1"/>
        <v>Sun</v>
      </c>
      <c r="B177" s="69">
        <v>43170.0</v>
      </c>
      <c r="D177" s="171"/>
    </row>
    <row r="178" hidden="1">
      <c r="A178" s="67" t="str">
        <f t="shared" si="1"/>
        <v>Mon</v>
      </c>
      <c r="B178" s="69">
        <v>43171.0</v>
      </c>
      <c r="D178" s="176">
        <v>291.0</v>
      </c>
      <c r="E178" s="4" t="s">
        <v>222</v>
      </c>
      <c r="F178" s="4" t="s">
        <v>1403</v>
      </c>
      <c r="G178" s="4" t="s">
        <v>1403</v>
      </c>
      <c r="I178" s="4" t="s">
        <v>395</v>
      </c>
      <c r="K178" s="4"/>
      <c r="L178" s="4" t="s">
        <v>293</v>
      </c>
    </row>
    <row r="179" hidden="1">
      <c r="A179" s="67" t="str">
        <f t="shared" si="1"/>
        <v>Tue</v>
      </c>
      <c r="B179" s="69">
        <v>43172.0</v>
      </c>
      <c r="D179" s="176">
        <v>291.0</v>
      </c>
      <c r="E179" s="4" t="s">
        <v>222</v>
      </c>
      <c r="F179" s="4" t="s">
        <v>1403</v>
      </c>
      <c r="I179" s="4" t="s">
        <v>395</v>
      </c>
      <c r="K179" s="4"/>
      <c r="L179" s="4" t="s">
        <v>293</v>
      </c>
    </row>
    <row r="180" hidden="1">
      <c r="A180" s="67" t="str">
        <f t="shared" si="1"/>
        <v>Wed</v>
      </c>
      <c r="B180" s="69">
        <v>43173.0</v>
      </c>
      <c r="D180" s="176">
        <v>291.0</v>
      </c>
      <c r="E180" s="4" t="s">
        <v>222</v>
      </c>
      <c r="F180" s="4" t="s">
        <v>1403</v>
      </c>
      <c r="I180" s="4" t="s">
        <v>395</v>
      </c>
      <c r="K180" s="4"/>
      <c r="L180" s="4" t="s">
        <v>293</v>
      </c>
    </row>
    <row r="181" hidden="1">
      <c r="A181" s="67" t="str">
        <f t="shared" si="1"/>
        <v>Thu</v>
      </c>
      <c r="B181" s="69">
        <v>43174.0</v>
      </c>
      <c r="D181" s="176">
        <v>291.0</v>
      </c>
      <c r="E181" s="4" t="s">
        <v>222</v>
      </c>
      <c r="F181" s="4" t="s">
        <v>1403</v>
      </c>
      <c r="I181" s="4" t="s">
        <v>395</v>
      </c>
      <c r="K181" s="4"/>
      <c r="L181" s="4" t="s">
        <v>293</v>
      </c>
    </row>
    <row r="182" hidden="1">
      <c r="A182" s="67" t="str">
        <f t="shared" si="1"/>
        <v>Fri</v>
      </c>
      <c r="B182" s="69">
        <v>43175.0</v>
      </c>
      <c r="D182" s="176">
        <v>291.0</v>
      </c>
      <c r="E182" s="4" t="s">
        <v>222</v>
      </c>
      <c r="F182" s="4" t="s">
        <v>1403</v>
      </c>
      <c r="I182" s="4" t="s">
        <v>395</v>
      </c>
      <c r="K182" s="4"/>
      <c r="L182" s="4" t="s">
        <v>293</v>
      </c>
    </row>
    <row r="183" hidden="1">
      <c r="A183" s="67" t="str">
        <f t="shared" si="1"/>
        <v>Sat</v>
      </c>
      <c r="B183" s="69">
        <v>43176.0</v>
      </c>
      <c r="D183" s="176">
        <v>339.5</v>
      </c>
      <c r="E183" s="4" t="s">
        <v>222</v>
      </c>
      <c r="F183" s="4" t="s">
        <v>1404</v>
      </c>
      <c r="G183" s="4" t="s">
        <v>1404</v>
      </c>
      <c r="H183" s="4" t="s">
        <v>1403</v>
      </c>
      <c r="I183" s="4" t="s">
        <v>395</v>
      </c>
      <c r="J183" s="4" t="s">
        <v>1405</v>
      </c>
      <c r="K183" s="4"/>
      <c r="L183" s="4" t="s">
        <v>293</v>
      </c>
    </row>
    <row r="184" hidden="1">
      <c r="A184" s="67" t="str">
        <f t="shared" si="1"/>
        <v>Sun</v>
      </c>
      <c r="B184" s="69">
        <v>43177.0</v>
      </c>
      <c r="D184" s="176">
        <v>242.5</v>
      </c>
      <c r="E184" s="4" t="s">
        <v>222</v>
      </c>
      <c r="F184" s="4" t="s">
        <v>642</v>
      </c>
      <c r="H184" s="4" t="s">
        <v>1404</v>
      </c>
      <c r="I184" s="4" t="s">
        <v>395</v>
      </c>
      <c r="K184" s="4"/>
      <c r="L184" s="4" t="s">
        <v>293</v>
      </c>
    </row>
    <row r="185" hidden="1">
      <c r="A185" s="67" t="str">
        <f t="shared" si="1"/>
        <v>Mon</v>
      </c>
      <c r="B185" s="69">
        <v>43178.0</v>
      </c>
      <c r="D185" s="176">
        <v>242.5</v>
      </c>
      <c r="E185" s="4" t="s">
        <v>222</v>
      </c>
      <c r="F185" s="4" t="s">
        <v>642</v>
      </c>
      <c r="I185" s="4" t="s">
        <v>395</v>
      </c>
      <c r="K185" s="4"/>
      <c r="L185" s="4" t="s">
        <v>293</v>
      </c>
    </row>
    <row r="186" hidden="1">
      <c r="A186" s="67" t="str">
        <f t="shared" si="1"/>
        <v>Tue</v>
      </c>
      <c r="B186" s="69">
        <v>43179.0</v>
      </c>
      <c r="D186" s="176">
        <v>242.5</v>
      </c>
      <c r="E186" s="4" t="s">
        <v>222</v>
      </c>
      <c r="F186" s="4" t="s">
        <v>642</v>
      </c>
      <c r="I186" s="4" t="s">
        <v>395</v>
      </c>
      <c r="K186" s="4"/>
      <c r="L186" s="4" t="s">
        <v>293</v>
      </c>
    </row>
    <row r="187" hidden="1">
      <c r="A187" s="67" t="str">
        <f t="shared" si="1"/>
        <v>Wed</v>
      </c>
      <c r="B187" s="69">
        <v>43180.0</v>
      </c>
      <c r="D187" s="176">
        <v>242.5</v>
      </c>
      <c r="E187" s="4" t="s">
        <v>222</v>
      </c>
      <c r="F187" s="4" t="s">
        <v>642</v>
      </c>
      <c r="I187" s="4" t="s">
        <v>395</v>
      </c>
      <c r="K187" s="4"/>
      <c r="L187" s="4" t="s">
        <v>293</v>
      </c>
    </row>
    <row r="188" hidden="1">
      <c r="A188" s="67" t="str">
        <f t="shared" si="1"/>
        <v>Thu</v>
      </c>
      <c r="B188" s="69">
        <v>43181.0</v>
      </c>
      <c r="D188" s="176">
        <v>291.0</v>
      </c>
      <c r="E188" s="4" t="s">
        <v>222</v>
      </c>
      <c r="F188" s="4" t="s">
        <v>1406</v>
      </c>
      <c r="G188" s="4" t="s">
        <v>1406</v>
      </c>
      <c r="H188" s="4" t="s">
        <v>642</v>
      </c>
      <c r="I188" s="4" t="s">
        <v>395</v>
      </c>
      <c r="K188" s="4"/>
      <c r="L188" s="4" t="s">
        <v>293</v>
      </c>
    </row>
    <row r="189" hidden="1">
      <c r="A189" s="67" t="str">
        <f t="shared" si="1"/>
        <v>Fri</v>
      </c>
      <c r="B189" s="69">
        <v>43182.0</v>
      </c>
      <c r="D189" s="176">
        <v>291.0</v>
      </c>
      <c r="E189" s="4" t="s">
        <v>222</v>
      </c>
      <c r="F189" s="4" t="s">
        <v>1406</v>
      </c>
      <c r="I189" s="4" t="s">
        <v>395</v>
      </c>
      <c r="K189" s="4"/>
      <c r="L189" s="4" t="s">
        <v>293</v>
      </c>
    </row>
    <row r="190" hidden="1">
      <c r="A190" s="67" t="str">
        <f t="shared" si="1"/>
        <v>Sat</v>
      </c>
      <c r="B190" s="69">
        <v>43183.0</v>
      </c>
      <c r="D190" s="176">
        <v>291.0</v>
      </c>
      <c r="E190" s="4" t="s">
        <v>222</v>
      </c>
      <c r="F190" s="4" t="s">
        <v>1406</v>
      </c>
      <c r="I190" s="4" t="s">
        <v>395</v>
      </c>
      <c r="K190" s="4"/>
      <c r="L190" s="4" t="s">
        <v>293</v>
      </c>
    </row>
    <row r="191" hidden="1">
      <c r="A191" s="67" t="str">
        <f t="shared" si="1"/>
        <v>Sun</v>
      </c>
      <c r="B191" s="69">
        <v>43184.0</v>
      </c>
      <c r="D191" s="176">
        <v>291.0</v>
      </c>
      <c r="E191" s="4" t="s">
        <v>222</v>
      </c>
      <c r="F191" s="4" t="s">
        <v>1407</v>
      </c>
      <c r="G191" s="4" t="s">
        <v>1407</v>
      </c>
      <c r="H191" s="4" t="s">
        <v>1406</v>
      </c>
      <c r="I191" s="4" t="s">
        <v>395</v>
      </c>
      <c r="K191" s="4"/>
      <c r="L191" s="4" t="s">
        <v>293</v>
      </c>
    </row>
    <row r="192" hidden="1">
      <c r="A192" s="67" t="str">
        <f t="shared" si="1"/>
        <v>Mon</v>
      </c>
      <c r="B192" s="69">
        <v>43185.0</v>
      </c>
      <c r="D192" s="176">
        <v>291.0</v>
      </c>
      <c r="E192" s="4" t="s">
        <v>222</v>
      </c>
      <c r="F192" s="4" t="s">
        <v>1407</v>
      </c>
      <c r="I192" s="4" t="s">
        <v>395</v>
      </c>
      <c r="K192" s="4"/>
      <c r="L192" s="4" t="s">
        <v>293</v>
      </c>
    </row>
    <row r="193" hidden="1">
      <c r="A193" s="67" t="str">
        <f t="shared" si="1"/>
        <v>Tue</v>
      </c>
      <c r="B193" s="69">
        <v>43186.0</v>
      </c>
      <c r="D193" s="176">
        <v>291.0</v>
      </c>
      <c r="E193" s="4" t="s">
        <v>222</v>
      </c>
      <c r="F193" s="4" t="s">
        <v>1407</v>
      </c>
      <c r="I193" s="4" t="s">
        <v>395</v>
      </c>
      <c r="K193" s="4"/>
      <c r="L193" s="4" t="s">
        <v>293</v>
      </c>
    </row>
    <row r="194" hidden="1">
      <c r="A194" s="67" t="str">
        <f t="shared" si="1"/>
        <v>Wed</v>
      </c>
      <c r="B194" s="69">
        <v>43187.0</v>
      </c>
      <c r="D194" s="176">
        <v>291.0</v>
      </c>
      <c r="E194" s="4" t="s">
        <v>222</v>
      </c>
      <c r="F194" s="4" t="s">
        <v>1407</v>
      </c>
      <c r="I194" s="4" t="s">
        <v>395</v>
      </c>
      <c r="K194" s="4"/>
      <c r="L194" s="4" t="s">
        <v>293</v>
      </c>
    </row>
    <row r="195" hidden="1">
      <c r="A195" s="67" t="str">
        <f t="shared" si="1"/>
        <v>Thu</v>
      </c>
      <c r="B195" s="69">
        <v>43188.0</v>
      </c>
      <c r="C195" s="4" t="s">
        <v>638</v>
      </c>
      <c r="D195" s="176">
        <v>291.0</v>
      </c>
      <c r="E195" s="4" t="s">
        <v>222</v>
      </c>
      <c r="F195" s="4" t="s">
        <v>1407</v>
      </c>
      <c r="I195" s="4" t="s">
        <v>395</v>
      </c>
      <c r="K195" s="4"/>
      <c r="L195" s="4" t="s">
        <v>293</v>
      </c>
    </row>
    <row r="196" hidden="1">
      <c r="A196" s="67" t="str">
        <f t="shared" si="1"/>
        <v>Fri</v>
      </c>
      <c r="B196" s="69">
        <v>43189.0</v>
      </c>
      <c r="C196" s="4" t="s">
        <v>638</v>
      </c>
      <c r="D196" s="176">
        <v>291.0</v>
      </c>
      <c r="E196" s="4" t="s">
        <v>222</v>
      </c>
      <c r="F196" s="4" t="s">
        <v>1407</v>
      </c>
      <c r="I196" s="4" t="s">
        <v>395</v>
      </c>
      <c r="K196" s="4"/>
      <c r="L196" s="4" t="s">
        <v>293</v>
      </c>
    </row>
    <row r="197" hidden="1">
      <c r="A197" s="67" t="str">
        <f t="shared" si="1"/>
        <v>Sat</v>
      </c>
      <c r="B197" s="69">
        <v>43190.0</v>
      </c>
      <c r="C197" s="4" t="s">
        <v>638</v>
      </c>
      <c r="D197" s="175">
        <v>274.8333333333333</v>
      </c>
      <c r="E197" s="4" t="s">
        <v>222</v>
      </c>
      <c r="F197" s="4" t="s">
        <v>1408</v>
      </c>
      <c r="G197" s="4" t="s">
        <v>1408</v>
      </c>
      <c r="H197" s="4" t="s">
        <v>1407</v>
      </c>
      <c r="I197" s="4" t="s">
        <v>395</v>
      </c>
      <c r="K197" s="4"/>
      <c r="L197" s="4" t="s">
        <v>293</v>
      </c>
    </row>
    <row r="198" hidden="1">
      <c r="A198" s="67" t="str">
        <f t="shared" si="1"/>
        <v>Sun</v>
      </c>
      <c r="B198" s="69">
        <v>43191.0</v>
      </c>
      <c r="D198" s="175">
        <v>274.8333333333333</v>
      </c>
      <c r="E198" s="4" t="s">
        <v>222</v>
      </c>
      <c r="F198" s="4" t="s">
        <v>1408</v>
      </c>
      <c r="I198" s="4" t="s">
        <v>395</v>
      </c>
      <c r="K198" s="4"/>
      <c r="L198" s="4" t="s">
        <v>293</v>
      </c>
    </row>
    <row r="199" hidden="1">
      <c r="A199" s="67" t="str">
        <f t="shared" si="1"/>
        <v>Mon</v>
      </c>
      <c r="B199" s="69">
        <v>43192.0</v>
      </c>
      <c r="D199" s="175">
        <v>274.8333333333333</v>
      </c>
      <c r="E199" s="4" t="s">
        <v>222</v>
      </c>
      <c r="F199" s="4" t="s">
        <v>1408</v>
      </c>
      <c r="I199" s="4" t="s">
        <v>395</v>
      </c>
      <c r="K199" s="4"/>
      <c r="L199" s="4" t="s">
        <v>293</v>
      </c>
    </row>
    <row r="200" hidden="1">
      <c r="A200" s="67" t="str">
        <f t="shared" si="1"/>
        <v>Tue</v>
      </c>
      <c r="B200" s="69">
        <v>43193.0</v>
      </c>
      <c r="D200" s="175">
        <v>226.33333333333334</v>
      </c>
      <c r="E200" s="4" t="s">
        <v>222</v>
      </c>
      <c r="F200" s="4" t="s">
        <v>1409</v>
      </c>
      <c r="G200" s="4" t="s">
        <v>1409</v>
      </c>
      <c r="H200" s="4" t="s">
        <v>1408</v>
      </c>
      <c r="I200" s="4" t="s">
        <v>395</v>
      </c>
      <c r="K200" s="4"/>
      <c r="L200" s="4" t="s">
        <v>293</v>
      </c>
    </row>
    <row r="201" hidden="1">
      <c r="A201" s="67" t="str">
        <f t="shared" si="1"/>
        <v>Wed</v>
      </c>
      <c r="B201" s="69">
        <v>43194.0</v>
      </c>
      <c r="D201" s="175">
        <v>226.33333333333334</v>
      </c>
      <c r="E201" s="4" t="s">
        <v>222</v>
      </c>
      <c r="F201" s="4" t="s">
        <v>1409</v>
      </c>
      <c r="I201" s="4" t="s">
        <v>395</v>
      </c>
      <c r="K201" s="4"/>
      <c r="L201" s="4" t="s">
        <v>293</v>
      </c>
    </row>
    <row r="202" hidden="1">
      <c r="A202" s="67" t="str">
        <f t="shared" si="1"/>
        <v>Thu</v>
      </c>
      <c r="B202" s="69">
        <v>43195.0</v>
      </c>
      <c r="D202" s="175">
        <v>226.33333333333334</v>
      </c>
      <c r="E202" s="4" t="s">
        <v>222</v>
      </c>
      <c r="F202" s="4" t="s">
        <v>1409</v>
      </c>
      <c r="I202" s="4" t="s">
        <v>395</v>
      </c>
      <c r="K202" s="4"/>
      <c r="L202" s="4" t="s">
        <v>293</v>
      </c>
    </row>
    <row r="203" hidden="1">
      <c r="A203" s="67" t="str">
        <f t="shared" si="1"/>
        <v>Fri</v>
      </c>
      <c r="B203" s="69">
        <v>43196.0</v>
      </c>
      <c r="D203" s="175">
        <v>226.33333333333334</v>
      </c>
      <c r="E203" s="4" t="s">
        <v>222</v>
      </c>
      <c r="F203" s="4" t="s">
        <v>1409</v>
      </c>
      <c r="I203" s="4" t="s">
        <v>395</v>
      </c>
      <c r="K203" s="4"/>
      <c r="L203" s="4" t="s">
        <v>293</v>
      </c>
    </row>
    <row r="204" hidden="1">
      <c r="A204" s="67" t="str">
        <f t="shared" si="1"/>
        <v>Sat</v>
      </c>
      <c r="B204" s="69">
        <v>43197.0</v>
      </c>
      <c r="D204" s="175">
        <v>226.33333333333334</v>
      </c>
      <c r="E204" s="4" t="s">
        <v>222</v>
      </c>
      <c r="F204" s="4" t="s">
        <v>1409</v>
      </c>
      <c r="I204" s="4" t="s">
        <v>395</v>
      </c>
      <c r="K204" s="4"/>
      <c r="L204" s="4" t="s">
        <v>293</v>
      </c>
    </row>
    <row r="205" hidden="1">
      <c r="A205" s="67" t="str">
        <f t="shared" si="1"/>
        <v>Sun</v>
      </c>
      <c r="B205" s="69">
        <v>43198.0</v>
      </c>
      <c r="C205" s="4"/>
      <c r="D205" s="175">
        <v>226.33333333333334</v>
      </c>
      <c r="E205" s="4" t="s">
        <v>222</v>
      </c>
      <c r="F205" s="4" t="s">
        <v>1409</v>
      </c>
      <c r="I205" s="4" t="s">
        <v>395</v>
      </c>
      <c r="K205" s="4"/>
      <c r="L205" s="4" t="s">
        <v>293</v>
      </c>
    </row>
    <row r="206" hidden="1">
      <c r="A206" s="67" t="str">
        <f t="shared" si="1"/>
        <v>Mon</v>
      </c>
      <c r="B206" s="69">
        <v>43199.0</v>
      </c>
      <c r="C206" s="4"/>
      <c r="D206" s="176">
        <v>194.0</v>
      </c>
      <c r="E206" s="4" t="s">
        <v>222</v>
      </c>
      <c r="F206" s="4" t="s">
        <v>1410</v>
      </c>
      <c r="G206" s="4" t="s">
        <v>1410</v>
      </c>
      <c r="H206" s="4" t="s">
        <v>1409</v>
      </c>
      <c r="I206" s="4" t="s">
        <v>395</v>
      </c>
      <c r="J206" s="4" t="s">
        <v>1411</v>
      </c>
      <c r="K206" s="4"/>
      <c r="L206" s="4" t="s">
        <v>293</v>
      </c>
    </row>
    <row r="207" hidden="1">
      <c r="A207" s="67" t="str">
        <f t="shared" si="1"/>
        <v>Tue</v>
      </c>
      <c r="B207" s="69">
        <v>43200.0</v>
      </c>
      <c r="C207" s="4"/>
      <c r="D207" s="176">
        <v>194.0</v>
      </c>
      <c r="E207" s="4" t="s">
        <v>222</v>
      </c>
      <c r="F207" s="4" t="s">
        <v>1410</v>
      </c>
      <c r="I207" s="4" t="s">
        <v>395</v>
      </c>
      <c r="J207" s="4" t="s">
        <v>1411</v>
      </c>
      <c r="K207" s="4"/>
      <c r="L207" s="4" t="s">
        <v>293</v>
      </c>
    </row>
    <row r="208" hidden="1">
      <c r="A208" s="67" t="str">
        <f t="shared" si="1"/>
        <v>Wed</v>
      </c>
      <c r="B208" s="69">
        <v>43201.0</v>
      </c>
      <c r="D208" s="171"/>
      <c r="H208" s="4" t="s">
        <v>1410</v>
      </c>
    </row>
    <row r="209" hidden="1">
      <c r="A209" s="67" t="str">
        <f t="shared" si="1"/>
        <v>Thu</v>
      </c>
      <c r="B209" s="69">
        <v>43202.0</v>
      </c>
      <c r="D209" s="176">
        <v>242.5</v>
      </c>
      <c r="E209" s="4" t="s">
        <v>222</v>
      </c>
      <c r="F209" s="4" t="s">
        <v>1415</v>
      </c>
      <c r="G209" s="4" t="s">
        <v>1415</v>
      </c>
      <c r="I209" s="4" t="s">
        <v>395</v>
      </c>
      <c r="K209" s="4"/>
      <c r="L209" s="4" t="s">
        <v>293</v>
      </c>
    </row>
    <row r="210" hidden="1">
      <c r="A210" s="67" t="str">
        <f t="shared" si="1"/>
        <v>Fri</v>
      </c>
      <c r="B210" s="69">
        <v>43203.0</v>
      </c>
      <c r="D210" s="176">
        <v>242.5</v>
      </c>
      <c r="E210" s="4" t="s">
        <v>222</v>
      </c>
      <c r="F210" s="4" t="s">
        <v>1415</v>
      </c>
      <c r="I210" s="4" t="s">
        <v>395</v>
      </c>
      <c r="K210" s="4"/>
      <c r="L210" s="4" t="s">
        <v>293</v>
      </c>
    </row>
    <row r="211" hidden="1">
      <c r="A211" s="67" t="str">
        <f t="shared" si="1"/>
        <v>Sat</v>
      </c>
      <c r="B211" s="69">
        <v>43204.0</v>
      </c>
      <c r="D211" s="176">
        <v>242.5</v>
      </c>
      <c r="E211" s="4" t="s">
        <v>222</v>
      </c>
      <c r="F211" s="4" t="s">
        <v>1415</v>
      </c>
      <c r="I211" s="4" t="s">
        <v>395</v>
      </c>
      <c r="K211" s="4"/>
      <c r="L211" s="4" t="s">
        <v>293</v>
      </c>
    </row>
    <row r="212" hidden="1">
      <c r="A212" s="67" t="str">
        <f t="shared" si="1"/>
        <v>Sun</v>
      </c>
      <c r="B212" s="69">
        <v>43205.0</v>
      </c>
      <c r="D212" s="176">
        <v>242.5</v>
      </c>
      <c r="E212" s="4" t="s">
        <v>222</v>
      </c>
      <c r="F212" s="4" t="s">
        <v>1415</v>
      </c>
      <c r="I212" s="4" t="s">
        <v>395</v>
      </c>
      <c r="K212" s="4"/>
      <c r="L212" s="4" t="s">
        <v>293</v>
      </c>
    </row>
    <row r="213" hidden="1">
      <c r="A213" s="67" t="str">
        <f t="shared" si="1"/>
        <v>Mon</v>
      </c>
      <c r="B213" s="69">
        <v>43206.0</v>
      </c>
      <c r="D213" s="171"/>
      <c r="H213" s="4" t="s">
        <v>1415</v>
      </c>
    </row>
    <row r="214" hidden="1">
      <c r="A214" s="67" t="str">
        <f t="shared" si="1"/>
        <v>Tue</v>
      </c>
      <c r="B214" s="69">
        <v>43207.0</v>
      </c>
      <c r="D214" s="171"/>
    </row>
    <row r="215" hidden="1">
      <c r="A215" s="67" t="str">
        <f t="shared" si="1"/>
        <v>Wed</v>
      </c>
      <c r="B215" s="69">
        <v>43208.0</v>
      </c>
      <c r="D215" s="175">
        <v>226.33333333333334</v>
      </c>
      <c r="E215" s="4" t="s">
        <v>222</v>
      </c>
      <c r="F215" s="4" t="s">
        <v>1416</v>
      </c>
      <c r="G215" s="4" t="s">
        <v>1416</v>
      </c>
      <c r="I215" s="4" t="s">
        <v>395</v>
      </c>
      <c r="K215" s="4"/>
      <c r="L215" s="4" t="s">
        <v>293</v>
      </c>
    </row>
    <row r="216" hidden="1">
      <c r="A216" s="67" t="str">
        <f t="shared" si="1"/>
        <v>Thu</v>
      </c>
      <c r="B216" s="69">
        <v>43209.0</v>
      </c>
      <c r="D216" s="175">
        <v>226.33333333333334</v>
      </c>
      <c r="E216" s="4" t="s">
        <v>222</v>
      </c>
      <c r="F216" s="4" t="s">
        <v>1416</v>
      </c>
      <c r="I216" s="4" t="s">
        <v>395</v>
      </c>
      <c r="K216" s="4"/>
      <c r="L216" s="4" t="s">
        <v>293</v>
      </c>
    </row>
    <row r="217" hidden="1">
      <c r="A217" s="67" t="str">
        <f t="shared" si="1"/>
        <v>Fri</v>
      </c>
      <c r="B217" s="69">
        <v>43210.0</v>
      </c>
      <c r="D217" s="175">
        <v>226.33333333333334</v>
      </c>
      <c r="E217" s="4" t="s">
        <v>222</v>
      </c>
      <c r="F217" s="4" t="s">
        <v>1416</v>
      </c>
      <c r="I217" s="4" t="s">
        <v>395</v>
      </c>
      <c r="K217" s="4"/>
      <c r="L217" s="4" t="s">
        <v>293</v>
      </c>
    </row>
    <row r="218" hidden="1">
      <c r="A218" s="67" t="str">
        <f t="shared" si="1"/>
        <v>Sat</v>
      </c>
      <c r="B218" s="69">
        <v>43211.0</v>
      </c>
      <c r="D218" s="175">
        <v>226.33333333333334</v>
      </c>
      <c r="E218" s="4" t="s">
        <v>222</v>
      </c>
      <c r="F218" s="4" t="s">
        <v>1416</v>
      </c>
      <c r="I218" s="4" t="s">
        <v>395</v>
      </c>
      <c r="K218" s="4"/>
      <c r="L218" s="4" t="s">
        <v>293</v>
      </c>
    </row>
    <row r="219" hidden="1">
      <c r="A219" s="67" t="str">
        <f t="shared" si="1"/>
        <v>Sun</v>
      </c>
      <c r="B219" s="69">
        <v>43212.0</v>
      </c>
      <c r="D219" s="175">
        <v>226.33333333333334</v>
      </c>
      <c r="E219" s="4" t="s">
        <v>222</v>
      </c>
      <c r="F219" s="4" t="s">
        <v>1416</v>
      </c>
      <c r="I219" s="4" t="s">
        <v>395</v>
      </c>
      <c r="K219" s="4"/>
      <c r="L219" s="4" t="s">
        <v>293</v>
      </c>
    </row>
    <row r="220" hidden="1">
      <c r="A220" s="67" t="str">
        <f t="shared" si="1"/>
        <v>Mon</v>
      </c>
      <c r="B220" s="69">
        <v>43213.0</v>
      </c>
      <c r="D220" s="175">
        <v>226.33333333333334</v>
      </c>
      <c r="E220" s="4" t="s">
        <v>222</v>
      </c>
      <c r="F220" s="4" t="s">
        <v>1416</v>
      </c>
      <c r="I220" s="4" t="s">
        <v>395</v>
      </c>
      <c r="K220" s="4"/>
      <c r="L220" s="4" t="s">
        <v>293</v>
      </c>
    </row>
    <row r="221" hidden="1">
      <c r="A221" s="67" t="str">
        <f t="shared" si="1"/>
        <v>Tue</v>
      </c>
      <c r="B221" s="69">
        <v>43214.0</v>
      </c>
      <c r="D221" s="176">
        <v>145.5</v>
      </c>
      <c r="F221" s="4" t="s">
        <v>1417</v>
      </c>
      <c r="G221" s="4" t="s">
        <v>1417</v>
      </c>
      <c r="H221" s="4" t="s">
        <v>1416</v>
      </c>
      <c r="K221" s="4"/>
      <c r="L221" s="4" t="s">
        <v>293</v>
      </c>
    </row>
    <row r="222" hidden="1">
      <c r="A222" s="67" t="str">
        <f t="shared" si="1"/>
        <v>Wed</v>
      </c>
      <c r="B222" s="69">
        <v>43215.0</v>
      </c>
      <c r="D222" s="176">
        <v>232.8</v>
      </c>
      <c r="E222" s="4" t="s">
        <v>222</v>
      </c>
      <c r="F222" s="4" t="s">
        <v>642</v>
      </c>
      <c r="G222" s="4" t="s">
        <v>642</v>
      </c>
      <c r="H222" s="4" t="s">
        <v>1417</v>
      </c>
      <c r="I222" s="4" t="s">
        <v>395</v>
      </c>
      <c r="K222" s="4"/>
      <c r="L222" s="4" t="s">
        <v>293</v>
      </c>
    </row>
    <row r="223" hidden="1">
      <c r="A223" s="67" t="str">
        <f t="shared" si="1"/>
        <v>Thu</v>
      </c>
      <c r="B223" s="69">
        <v>43216.0</v>
      </c>
      <c r="D223" s="176">
        <v>232.8</v>
      </c>
      <c r="E223" s="4" t="s">
        <v>222</v>
      </c>
      <c r="F223" s="4" t="s">
        <v>642</v>
      </c>
      <c r="I223" s="4" t="s">
        <v>395</v>
      </c>
      <c r="K223" s="4"/>
      <c r="L223" s="4" t="s">
        <v>293</v>
      </c>
    </row>
    <row r="224" hidden="1">
      <c r="A224" s="67" t="str">
        <f t="shared" si="1"/>
        <v>Fri</v>
      </c>
      <c r="B224" s="69">
        <v>43217.0</v>
      </c>
      <c r="C224" s="4" t="s">
        <v>638</v>
      </c>
      <c r="D224" s="176">
        <v>232.8</v>
      </c>
      <c r="E224" s="4" t="s">
        <v>222</v>
      </c>
      <c r="F224" s="4" t="s">
        <v>642</v>
      </c>
      <c r="I224" s="4" t="s">
        <v>395</v>
      </c>
      <c r="K224" s="4"/>
      <c r="L224" s="4" t="s">
        <v>293</v>
      </c>
    </row>
    <row r="225" hidden="1">
      <c r="A225" s="67" t="str">
        <f t="shared" si="1"/>
        <v>Sat</v>
      </c>
      <c r="B225" s="69">
        <v>43218.0</v>
      </c>
      <c r="C225" s="4" t="s">
        <v>638</v>
      </c>
      <c r="D225" s="176">
        <v>232.8</v>
      </c>
      <c r="E225" s="4" t="s">
        <v>222</v>
      </c>
      <c r="F225" s="4" t="s">
        <v>642</v>
      </c>
      <c r="I225" s="4" t="s">
        <v>395</v>
      </c>
      <c r="K225" s="4"/>
      <c r="L225" s="4" t="s">
        <v>293</v>
      </c>
    </row>
    <row r="226" hidden="1">
      <c r="A226" s="67" t="str">
        <f t="shared" si="1"/>
        <v>Sun</v>
      </c>
      <c r="B226" s="69">
        <v>43219.0</v>
      </c>
      <c r="C226" s="4" t="s">
        <v>638</v>
      </c>
      <c r="D226" s="176">
        <v>232.8</v>
      </c>
      <c r="E226" s="4" t="s">
        <v>222</v>
      </c>
      <c r="F226" s="4" t="s">
        <v>642</v>
      </c>
      <c r="I226" s="4" t="s">
        <v>395</v>
      </c>
      <c r="K226" s="4"/>
      <c r="L226" s="4" t="s">
        <v>293</v>
      </c>
    </row>
    <row r="227" hidden="1">
      <c r="A227" s="67" t="str">
        <f t="shared" si="1"/>
        <v>Mon</v>
      </c>
      <c r="B227" s="69">
        <v>43220.0</v>
      </c>
      <c r="C227" s="4" t="s">
        <v>638</v>
      </c>
      <c r="D227" s="176">
        <v>145.0</v>
      </c>
      <c r="E227" s="4" t="s">
        <v>222</v>
      </c>
      <c r="F227" s="4" t="s">
        <v>463</v>
      </c>
      <c r="G227" s="4" t="s">
        <v>463</v>
      </c>
      <c r="H227" s="4" t="s">
        <v>642</v>
      </c>
      <c r="I227" s="4" t="s">
        <v>395</v>
      </c>
      <c r="K227" s="4"/>
      <c r="L227" s="4" t="s">
        <v>293</v>
      </c>
    </row>
    <row r="228" hidden="1">
      <c r="A228" s="67" t="str">
        <f t="shared" si="1"/>
        <v>Tue</v>
      </c>
      <c r="B228" s="69">
        <v>43221.0</v>
      </c>
      <c r="C228" s="4" t="s">
        <v>638</v>
      </c>
      <c r="D228" s="176">
        <v>194.0</v>
      </c>
      <c r="E228" s="4" t="s">
        <v>222</v>
      </c>
      <c r="F228" s="4" t="s">
        <v>1420</v>
      </c>
      <c r="G228" s="4" t="s">
        <v>1420</v>
      </c>
      <c r="H228" s="4" t="s">
        <v>463</v>
      </c>
      <c r="I228" s="4" t="s">
        <v>395</v>
      </c>
      <c r="K228" s="4"/>
      <c r="L228" s="4" t="s">
        <v>293</v>
      </c>
    </row>
    <row r="229" hidden="1">
      <c r="A229" s="67" t="str">
        <f t="shared" si="1"/>
        <v>Wed</v>
      </c>
      <c r="B229" s="69">
        <v>43222.0</v>
      </c>
      <c r="D229" s="176">
        <v>194.0</v>
      </c>
      <c r="E229" s="4" t="s">
        <v>222</v>
      </c>
      <c r="F229" s="4" t="s">
        <v>1420</v>
      </c>
      <c r="I229" s="4" t="s">
        <v>395</v>
      </c>
      <c r="K229" s="4"/>
      <c r="L229" s="4" t="s">
        <v>293</v>
      </c>
    </row>
    <row r="230" hidden="1">
      <c r="A230" s="67" t="str">
        <f t="shared" si="1"/>
        <v>Thu</v>
      </c>
      <c r="B230" s="69">
        <v>43223.0</v>
      </c>
      <c r="D230" s="176">
        <v>145.5</v>
      </c>
      <c r="E230" s="4" t="s">
        <v>222</v>
      </c>
      <c r="F230" s="4" t="s">
        <v>1421</v>
      </c>
      <c r="G230" s="4" t="s">
        <v>1421</v>
      </c>
      <c r="H230" s="4" t="s">
        <v>1420</v>
      </c>
      <c r="I230" s="4" t="s">
        <v>395</v>
      </c>
      <c r="J230" s="4" t="s">
        <v>1422</v>
      </c>
      <c r="K230" s="4"/>
      <c r="L230" s="4" t="s">
        <v>293</v>
      </c>
    </row>
    <row r="231" hidden="1">
      <c r="A231" s="67" t="str">
        <f t="shared" si="1"/>
        <v>Fri</v>
      </c>
      <c r="B231" s="69">
        <v>43224.0</v>
      </c>
      <c r="D231" s="176">
        <v>242.5</v>
      </c>
      <c r="E231" s="4" t="s">
        <v>222</v>
      </c>
      <c r="F231" s="4" t="s">
        <v>1423</v>
      </c>
      <c r="G231" s="4" t="s">
        <v>1423</v>
      </c>
      <c r="H231" s="4" t="s">
        <v>1421</v>
      </c>
      <c r="I231" s="4" t="s">
        <v>395</v>
      </c>
      <c r="K231" s="4"/>
      <c r="L231" s="4" t="s">
        <v>293</v>
      </c>
    </row>
    <row r="232" hidden="1">
      <c r="A232" s="67" t="str">
        <f t="shared" si="1"/>
        <v>Sat</v>
      </c>
      <c r="B232" s="69">
        <v>43225.0</v>
      </c>
      <c r="D232" s="176">
        <v>242.5</v>
      </c>
      <c r="E232" s="4" t="s">
        <v>222</v>
      </c>
      <c r="F232" s="4" t="s">
        <v>1423</v>
      </c>
      <c r="I232" s="4" t="s">
        <v>395</v>
      </c>
      <c r="K232" s="4"/>
      <c r="L232" s="4" t="s">
        <v>293</v>
      </c>
    </row>
    <row r="233" hidden="1">
      <c r="A233" s="67" t="str">
        <f t="shared" si="1"/>
        <v>Sun</v>
      </c>
      <c r="B233" s="69">
        <v>43226.0</v>
      </c>
      <c r="D233" s="176">
        <v>194.0</v>
      </c>
      <c r="E233" s="4" t="s">
        <v>222</v>
      </c>
      <c r="F233" s="4" t="s">
        <v>1424</v>
      </c>
      <c r="G233" s="4" t="s">
        <v>1424</v>
      </c>
      <c r="H233" s="4" t="s">
        <v>1423</v>
      </c>
      <c r="I233" s="4" t="s">
        <v>395</v>
      </c>
      <c r="K233" s="4"/>
      <c r="L233" s="4" t="s">
        <v>293</v>
      </c>
    </row>
    <row r="234" hidden="1">
      <c r="A234" s="67" t="str">
        <f t="shared" si="1"/>
        <v>Mon</v>
      </c>
      <c r="B234" s="69">
        <v>43227.0</v>
      </c>
      <c r="C234" s="4"/>
      <c r="D234" s="176">
        <v>194.0</v>
      </c>
      <c r="E234" s="4" t="s">
        <v>222</v>
      </c>
      <c r="F234" s="4" t="s">
        <v>1424</v>
      </c>
      <c r="I234" s="4" t="s">
        <v>395</v>
      </c>
      <c r="K234" s="4"/>
      <c r="L234" s="4" t="s">
        <v>293</v>
      </c>
    </row>
    <row r="235" hidden="1">
      <c r="A235" s="67" t="str">
        <f t="shared" si="1"/>
        <v>Tue</v>
      </c>
      <c r="B235" s="69">
        <v>43228.0</v>
      </c>
      <c r="C235" s="4"/>
      <c r="D235" s="171"/>
      <c r="H235" s="4" t="s">
        <v>1424</v>
      </c>
    </row>
    <row r="236" hidden="1">
      <c r="A236" s="67" t="str">
        <f t="shared" si="1"/>
        <v>Wed</v>
      </c>
      <c r="B236" s="69">
        <v>43229.0</v>
      </c>
      <c r="C236" s="4"/>
      <c r="D236" s="171"/>
    </row>
    <row r="237" hidden="1">
      <c r="A237" s="67" t="str">
        <f t="shared" si="1"/>
        <v>Thu</v>
      </c>
      <c r="B237" s="69">
        <v>43230.0</v>
      </c>
      <c r="C237" s="4"/>
      <c r="D237" s="176">
        <v>242.5</v>
      </c>
      <c r="E237" s="4" t="s">
        <v>222</v>
      </c>
      <c r="F237" s="4" t="s">
        <v>1425</v>
      </c>
      <c r="G237" s="4" t="s">
        <v>1425</v>
      </c>
      <c r="I237" s="4" t="s">
        <v>395</v>
      </c>
      <c r="K237" s="4"/>
      <c r="L237" s="4" t="s">
        <v>293</v>
      </c>
    </row>
    <row r="238" hidden="1">
      <c r="A238" s="67" t="str">
        <f t="shared" si="1"/>
        <v>Fri</v>
      </c>
      <c r="B238" s="69">
        <v>43231.0</v>
      </c>
      <c r="C238" s="4"/>
      <c r="D238" s="176">
        <v>242.5</v>
      </c>
      <c r="E238" s="4" t="s">
        <v>222</v>
      </c>
      <c r="F238" s="4" t="s">
        <v>1425</v>
      </c>
      <c r="I238" s="4" t="s">
        <v>395</v>
      </c>
      <c r="K238" s="4"/>
      <c r="L238" s="4" t="s">
        <v>293</v>
      </c>
    </row>
    <row r="239" hidden="1">
      <c r="A239" s="67" t="str">
        <f t="shared" si="1"/>
        <v>Sat</v>
      </c>
      <c r="B239" s="69">
        <v>43232.0</v>
      </c>
      <c r="D239" s="176">
        <v>242.5</v>
      </c>
      <c r="E239" s="4" t="s">
        <v>222</v>
      </c>
      <c r="F239" s="4" t="s">
        <v>1425</v>
      </c>
      <c r="I239" s="4" t="s">
        <v>395</v>
      </c>
      <c r="K239" s="4"/>
      <c r="L239" s="4" t="s">
        <v>293</v>
      </c>
    </row>
    <row r="240" hidden="1">
      <c r="A240" s="67" t="str">
        <f t="shared" si="1"/>
        <v>Sun</v>
      </c>
      <c r="B240" s="69">
        <v>43233.0</v>
      </c>
      <c r="D240" s="171"/>
      <c r="H240" s="4" t="s">
        <v>1425</v>
      </c>
    </row>
    <row r="241" hidden="1">
      <c r="A241" s="67" t="str">
        <f t="shared" si="1"/>
        <v>Mon</v>
      </c>
      <c r="B241" s="69">
        <v>43234.0</v>
      </c>
      <c r="D241" s="171"/>
    </row>
    <row r="242" hidden="1">
      <c r="A242" s="67" t="str">
        <f t="shared" si="1"/>
        <v>Tue</v>
      </c>
      <c r="B242" s="69">
        <v>43235.0</v>
      </c>
      <c r="D242" s="171"/>
    </row>
    <row r="243" hidden="1">
      <c r="A243" s="67" t="str">
        <f t="shared" si="1"/>
        <v>Wed</v>
      </c>
      <c r="B243" s="69">
        <v>43236.0</v>
      </c>
      <c r="D243" s="171"/>
    </row>
    <row r="244" hidden="1">
      <c r="A244" s="67" t="str">
        <f t="shared" si="1"/>
        <v>Thu</v>
      </c>
      <c r="B244" s="69">
        <v>43237.0</v>
      </c>
      <c r="D244" s="176">
        <v>242.5</v>
      </c>
      <c r="E244" s="4" t="s">
        <v>222</v>
      </c>
      <c r="F244" s="4" t="s">
        <v>999</v>
      </c>
      <c r="G244" s="4" t="s">
        <v>999</v>
      </c>
      <c r="I244" s="4" t="s">
        <v>395</v>
      </c>
      <c r="K244" s="4"/>
      <c r="L244" s="4" t="s">
        <v>293</v>
      </c>
    </row>
    <row r="245" hidden="1">
      <c r="A245" s="67" t="str">
        <f t="shared" si="1"/>
        <v>Fri</v>
      </c>
      <c r="B245" s="69">
        <v>43238.0</v>
      </c>
      <c r="D245" s="176">
        <v>242.5</v>
      </c>
      <c r="E245" s="4" t="s">
        <v>222</v>
      </c>
      <c r="F245" s="4" t="s">
        <v>999</v>
      </c>
      <c r="I245" s="4" t="s">
        <v>395</v>
      </c>
      <c r="K245" s="4"/>
      <c r="L245" s="4" t="s">
        <v>293</v>
      </c>
    </row>
    <row r="246" hidden="1">
      <c r="A246" s="67" t="str">
        <f t="shared" si="1"/>
        <v>Sat</v>
      </c>
      <c r="B246" s="69">
        <v>43239.0</v>
      </c>
      <c r="D246" s="176">
        <v>242.5</v>
      </c>
      <c r="E246" s="4" t="s">
        <v>222</v>
      </c>
      <c r="F246" s="4" t="s">
        <v>999</v>
      </c>
      <c r="I246" s="4" t="s">
        <v>395</v>
      </c>
      <c r="K246" s="4"/>
      <c r="L246" s="4" t="s">
        <v>293</v>
      </c>
    </row>
    <row r="247" hidden="1">
      <c r="A247" s="67" t="str">
        <f t="shared" si="1"/>
        <v>Sun</v>
      </c>
      <c r="B247" s="69">
        <v>43240.0</v>
      </c>
      <c r="D247" s="171"/>
      <c r="H247" s="4" t="s">
        <v>999</v>
      </c>
    </row>
    <row r="248" hidden="1">
      <c r="A248" s="67" t="str">
        <f t="shared" si="1"/>
        <v>Mon</v>
      </c>
      <c r="B248" s="69">
        <v>43241.0</v>
      </c>
      <c r="D248" s="171"/>
    </row>
    <row r="249" hidden="1">
      <c r="A249" s="67" t="str">
        <f t="shared" si="1"/>
        <v>Tue</v>
      </c>
      <c r="B249" s="69">
        <v>43242.0</v>
      </c>
      <c r="D249" s="176">
        <v>194.0</v>
      </c>
      <c r="E249" s="4" t="s">
        <v>222</v>
      </c>
      <c r="F249" s="4" t="s">
        <v>1426</v>
      </c>
      <c r="G249" s="4" t="s">
        <v>1426</v>
      </c>
      <c r="I249" s="4" t="s">
        <v>395</v>
      </c>
      <c r="K249" s="4"/>
      <c r="L249" s="4" t="s">
        <v>293</v>
      </c>
    </row>
    <row r="250" hidden="1">
      <c r="A250" s="67" t="str">
        <f t="shared" si="1"/>
        <v>Wed</v>
      </c>
      <c r="B250" s="69">
        <v>43243.0</v>
      </c>
      <c r="C250" s="4" t="s">
        <v>758</v>
      </c>
      <c r="D250" s="176">
        <v>194.0</v>
      </c>
      <c r="E250" s="4" t="s">
        <v>222</v>
      </c>
      <c r="F250" s="4" t="s">
        <v>1426</v>
      </c>
      <c r="I250" s="4" t="s">
        <v>395</v>
      </c>
      <c r="K250" s="4"/>
      <c r="L250" s="4" t="s">
        <v>293</v>
      </c>
    </row>
    <row r="251" hidden="1">
      <c r="A251" s="67" t="str">
        <f t="shared" si="1"/>
        <v>Thu</v>
      </c>
      <c r="B251" s="69">
        <v>43244.0</v>
      </c>
      <c r="C251" s="4" t="s">
        <v>758</v>
      </c>
      <c r="D251" s="176">
        <v>194.0</v>
      </c>
      <c r="E251" s="4" t="s">
        <v>222</v>
      </c>
      <c r="F251" s="4" t="s">
        <v>1426</v>
      </c>
      <c r="I251" s="4" t="s">
        <v>395</v>
      </c>
      <c r="K251" s="4"/>
      <c r="L251" s="4" t="s">
        <v>293</v>
      </c>
    </row>
    <row r="252" hidden="1">
      <c r="A252" s="67" t="str">
        <f t="shared" si="1"/>
        <v>Fri</v>
      </c>
      <c r="B252" s="69">
        <v>43245.0</v>
      </c>
      <c r="C252" s="4" t="s">
        <v>758</v>
      </c>
      <c r="D252" s="176">
        <v>727.5</v>
      </c>
      <c r="E252" s="4" t="s">
        <v>222</v>
      </c>
      <c r="F252" s="4" t="s">
        <v>1427</v>
      </c>
      <c r="G252" s="4" t="s">
        <v>1427</v>
      </c>
      <c r="H252" s="4" t="s">
        <v>1426</v>
      </c>
      <c r="I252" s="4" t="s">
        <v>395</v>
      </c>
      <c r="K252" s="4"/>
      <c r="L252" s="4" t="s">
        <v>293</v>
      </c>
    </row>
    <row r="253" hidden="1">
      <c r="A253" s="67" t="str">
        <f t="shared" si="1"/>
        <v>Sat</v>
      </c>
      <c r="B253" s="69">
        <v>43246.0</v>
      </c>
      <c r="C253" s="4" t="s">
        <v>758</v>
      </c>
      <c r="D253" s="176">
        <v>727.5</v>
      </c>
      <c r="E253" s="4" t="s">
        <v>222</v>
      </c>
      <c r="F253" s="4" t="s">
        <v>1427</v>
      </c>
      <c r="I253" s="4" t="s">
        <v>395</v>
      </c>
      <c r="K253" s="4"/>
      <c r="L253" s="4" t="s">
        <v>293</v>
      </c>
    </row>
    <row r="254" hidden="1">
      <c r="A254" s="67" t="str">
        <f t="shared" si="1"/>
        <v>Sun</v>
      </c>
      <c r="B254" s="69">
        <v>43247.0</v>
      </c>
      <c r="C254" s="4" t="s">
        <v>758</v>
      </c>
      <c r="D254" s="176">
        <v>727.5</v>
      </c>
      <c r="E254" s="4" t="s">
        <v>222</v>
      </c>
      <c r="F254" s="4" t="s">
        <v>1427</v>
      </c>
      <c r="I254" s="4" t="s">
        <v>395</v>
      </c>
      <c r="K254" s="4"/>
      <c r="L254" s="4" t="s">
        <v>293</v>
      </c>
    </row>
    <row r="255" hidden="1">
      <c r="A255" s="67" t="str">
        <f t="shared" si="1"/>
        <v>Mon</v>
      </c>
      <c r="B255" s="69">
        <v>43248.0</v>
      </c>
      <c r="D255" s="176">
        <v>727.5</v>
      </c>
      <c r="E255" s="4" t="s">
        <v>222</v>
      </c>
      <c r="F255" s="4" t="s">
        <v>1427</v>
      </c>
      <c r="I255" s="4" t="s">
        <v>395</v>
      </c>
      <c r="K255" s="4"/>
      <c r="L255" s="4" t="s">
        <v>293</v>
      </c>
    </row>
    <row r="256" hidden="1">
      <c r="A256" s="67" t="str">
        <f t="shared" si="1"/>
        <v>Tue</v>
      </c>
      <c r="B256" s="69">
        <v>43249.0</v>
      </c>
      <c r="D256" s="176">
        <v>727.5</v>
      </c>
      <c r="E256" s="4" t="s">
        <v>222</v>
      </c>
      <c r="F256" s="4" t="s">
        <v>1427</v>
      </c>
      <c r="I256" s="4" t="s">
        <v>395</v>
      </c>
      <c r="K256" s="4"/>
      <c r="L256" s="4" t="s">
        <v>293</v>
      </c>
    </row>
    <row r="257" hidden="1">
      <c r="A257" s="67" t="str">
        <f t="shared" si="1"/>
        <v>Wed</v>
      </c>
      <c r="B257" s="69">
        <v>43250.0</v>
      </c>
      <c r="C257" s="4" t="s">
        <v>638</v>
      </c>
      <c r="D257" s="176">
        <v>194.0</v>
      </c>
      <c r="E257" s="4" t="s">
        <v>222</v>
      </c>
      <c r="F257" s="4" t="s">
        <v>1428</v>
      </c>
      <c r="G257" s="4" t="s">
        <v>1428</v>
      </c>
      <c r="H257" s="4" t="s">
        <v>1427</v>
      </c>
      <c r="I257" s="4" t="s">
        <v>395</v>
      </c>
      <c r="K257" s="4"/>
      <c r="L257" s="4" t="s">
        <v>293</v>
      </c>
    </row>
    <row r="258" hidden="1">
      <c r="A258" s="67" t="str">
        <f t="shared" si="1"/>
        <v>Thu</v>
      </c>
      <c r="B258" s="69">
        <v>43251.0</v>
      </c>
      <c r="C258" s="4" t="s">
        <v>638</v>
      </c>
      <c r="D258" s="176">
        <v>194.0</v>
      </c>
      <c r="E258" s="4" t="s">
        <v>222</v>
      </c>
      <c r="F258" s="4" t="s">
        <v>1428</v>
      </c>
      <c r="I258" s="4" t="s">
        <v>395</v>
      </c>
      <c r="K258" s="4"/>
      <c r="L258" s="4" t="s">
        <v>293</v>
      </c>
    </row>
    <row r="259" hidden="1">
      <c r="A259" s="67" t="str">
        <f t="shared" si="1"/>
        <v>Fri</v>
      </c>
      <c r="B259" s="69">
        <v>43252.0</v>
      </c>
      <c r="C259" s="4" t="s">
        <v>638</v>
      </c>
      <c r="D259" s="176">
        <v>194.0</v>
      </c>
      <c r="E259" s="4" t="s">
        <v>222</v>
      </c>
      <c r="F259" s="4" t="s">
        <v>1428</v>
      </c>
      <c r="I259" s="4" t="s">
        <v>395</v>
      </c>
      <c r="K259" s="4"/>
      <c r="L259" s="4" t="s">
        <v>293</v>
      </c>
    </row>
    <row r="260" hidden="1">
      <c r="A260" s="67" t="str">
        <f t="shared" si="1"/>
        <v>Sat</v>
      </c>
      <c r="B260" s="69">
        <v>43253.0</v>
      </c>
      <c r="C260" s="4" t="s">
        <v>638</v>
      </c>
      <c r="D260" s="176">
        <v>194.0</v>
      </c>
      <c r="E260" s="4" t="s">
        <v>222</v>
      </c>
      <c r="F260" s="4" t="s">
        <v>1428</v>
      </c>
      <c r="I260" s="4" t="s">
        <v>395</v>
      </c>
      <c r="K260" s="4"/>
      <c r="L260" s="4" t="s">
        <v>293</v>
      </c>
    </row>
    <row r="261" hidden="1">
      <c r="A261" s="67" t="str">
        <f t="shared" si="1"/>
        <v>Sun</v>
      </c>
      <c r="B261" s="69">
        <v>43254.0</v>
      </c>
      <c r="C261" s="4"/>
      <c r="D261" s="176">
        <v>194.0</v>
      </c>
      <c r="E261" s="4" t="s">
        <v>222</v>
      </c>
      <c r="F261" s="4" t="s">
        <v>1428</v>
      </c>
      <c r="I261" s="4" t="s">
        <v>395</v>
      </c>
      <c r="K261" s="4"/>
      <c r="L261" s="4" t="s">
        <v>293</v>
      </c>
    </row>
    <row r="262" hidden="1">
      <c r="A262" s="67" t="str">
        <f t="shared" si="1"/>
        <v>Mon</v>
      </c>
      <c r="B262" s="69">
        <v>43255.0</v>
      </c>
      <c r="C262" s="4"/>
      <c r="D262" s="171"/>
      <c r="H262" s="4" t="s">
        <v>1428</v>
      </c>
    </row>
    <row r="263" hidden="1">
      <c r="A263" s="67" t="str">
        <f t="shared" si="1"/>
        <v>Tue</v>
      </c>
      <c r="B263" s="69">
        <v>43256.0</v>
      </c>
      <c r="C263" s="4"/>
      <c r="D263" s="171"/>
    </row>
    <row r="264" hidden="1">
      <c r="A264" s="67" t="str">
        <f t="shared" si="1"/>
        <v>Wed</v>
      </c>
      <c r="B264" s="69">
        <v>43257.0</v>
      </c>
      <c r="C264" s="4"/>
      <c r="D264" s="171"/>
    </row>
    <row r="265" hidden="1">
      <c r="A265" s="67" t="str">
        <f t="shared" si="1"/>
        <v>Thu</v>
      </c>
      <c r="B265" s="69">
        <v>43258.0</v>
      </c>
      <c r="D265" s="171"/>
    </row>
    <row r="266" hidden="1">
      <c r="A266" s="67" t="str">
        <f t="shared" si="1"/>
        <v>Fri</v>
      </c>
      <c r="B266" s="69">
        <v>43259.0</v>
      </c>
      <c r="C266" s="4" t="s">
        <v>626</v>
      </c>
      <c r="D266" s="176">
        <v>291.0</v>
      </c>
      <c r="E266" s="4" t="s">
        <v>222</v>
      </c>
      <c r="F266" s="4" t="s">
        <v>1429</v>
      </c>
      <c r="G266" s="4" t="s">
        <v>1429</v>
      </c>
      <c r="I266" s="4" t="s">
        <v>395</v>
      </c>
      <c r="K266" s="4"/>
      <c r="L266" s="4" t="s">
        <v>293</v>
      </c>
    </row>
    <row r="267" hidden="1">
      <c r="A267" s="67" t="str">
        <f t="shared" si="1"/>
        <v>Sat</v>
      </c>
      <c r="B267" s="69">
        <v>43260.0</v>
      </c>
      <c r="C267" s="4" t="s">
        <v>626</v>
      </c>
      <c r="D267" s="176">
        <v>291.0</v>
      </c>
      <c r="E267" s="4" t="s">
        <v>222</v>
      </c>
      <c r="F267" s="4" t="s">
        <v>1429</v>
      </c>
      <c r="I267" s="4" t="s">
        <v>395</v>
      </c>
      <c r="K267" s="4"/>
      <c r="L267" s="4" t="s">
        <v>293</v>
      </c>
    </row>
    <row r="268" hidden="1">
      <c r="A268" s="67" t="str">
        <f t="shared" si="1"/>
        <v>Sun</v>
      </c>
      <c r="B268" s="69">
        <v>43261.0</v>
      </c>
      <c r="C268" s="4" t="s">
        <v>626</v>
      </c>
      <c r="D268" s="176">
        <v>220.0</v>
      </c>
      <c r="E268" s="4" t="s">
        <v>337</v>
      </c>
      <c r="F268" s="4" t="s">
        <v>1429</v>
      </c>
      <c r="I268" s="4" t="s">
        <v>395</v>
      </c>
      <c r="J268" s="4" t="s">
        <v>1430</v>
      </c>
      <c r="K268" s="4"/>
      <c r="L268" s="4" t="s">
        <v>293</v>
      </c>
    </row>
    <row r="269" hidden="1">
      <c r="A269" s="67" t="str">
        <f t="shared" si="1"/>
        <v>Mon</v>
      </c>
      <c r="B269" s="69">
        <v>43262.0</v>
      </c>
      <c r="C269" s="4"/>
      <c r="D269" s="171"/>
      <c r="H269" s="4" t="s">
        <v>1429</v>
      </c>
    </row>
    <row r="270" hidden="1">
      <c r="A270" s="67" t="str">
        <f t="shared" si="1"/>
        <v>Tue</v>
      </c>
      <c r="B270" s="69">
        <v>43263.0</v>
      </c>
      <c r="C270" s="4"/>
      <c r="D270" s="171"/>
    </row>
    <row r="271" hidden="1">
      <c r="A271" s="67" t="str">
        <f t="shared" si="1"/>
        <v>Wed</v>
      </c>
      <c r="B271" s="69">
        <v>43264.0</v>
      </c>
      <c r="D271" s="171"/>
    </row>
    <row r="272" hidden="1">
      <c r="A272" s="67" t="str">
        <f t="shared" si="1"/>
        <v>Thu</v>
      </c>
      <c r="B272" s="69">
        <v>43265.0</v>
      </c>
      <c r="D272" s="171"/>
    </row>
    <row r="273" hidden="1">
      <c r="A273" s="67" t="str">
        <f t="shared" si="1"/>
        <v>Fri</v>
      </c>
      <c r="B273" s="69">
        <v>43266.0</v>
      </c>
      <c r="D273" s="171"/>
    </row>
    <row r="274" hidden="1">
      <c r="A274" s="67" t="str">
        <f t="shared" si="1"/>
        <v>Sat</v>
      </c>
      <c r="B274" s="69">
        <v>43267.0</v>
      </c>
      <c r="D274" s="176">
        <v>242.5</v>
      </c>
      <c r="E274" s="4" t="s">
        <v>222</v>
      </c>
      <c r="F274" s="4" t="s">
        <v>1431</v>
      </c>
      <c r="G274" s="4" t="s">
        <v>1431</v>
      </c>
      <c r="I274" s="4" t="s">
        <v>395</v>
      </c>
      <c r="K274" s="4"/>
      <c r="L274" s="4" t="s">
        <v>293</v>
      </c>
    </row>
    <row r="275" hidden="1">
      <c r="A275" s="67" t="str">
        <f t="shared" si="1"/>
        <v>Sun</v>
      </c>
      <c r="B275" s="69">
        <v>43268.0</v>
      </c>
      <c r="D275" s="176">
        <v>242.5</v>
      </c>
      <c r="E275" s="4" t="s">
        <v>222</v>
      </c>
      <c r="F275" s="4" t="s">
        <v>1431</v>
      </c>
      <c r="I275" s="4" t="s">
        <v>395</v>
      </c>
      <c r="K275" s="4"/>
      <c r="L275" s="4" t="s">
        <v>293</v>
      </c>
    </row>
    <row r="276" hidden="1">
      <c r="A276" s="67" t="str">
        <f t="shared" si="1"/>
        <v>Mon</v>
      </c>
      <c r="B276" s="69">
        <v>43269.0</v>
      </c>
      <c r="C276" s="4"/>
      <c r="D276" s="171"/>
      <c r="H276" s="4" t="s">
        <v>1431</v>
      </c>
    </row>
    <row r="277" hidden="1">
      <c r="A277" s="67" t="str">
        <f t="shared" si="1"/>
        <v>Tue</v>
      </c>
      <c r="B277" s="69">
        <v>43270.0</v>
      </c>
      <c r="C277" s="4"/>
      <c r="D277" s="171"/>
    </row>
    <row r="278" hidden="1">
      <c r="A278" s="67" t="str">
        <f t="shared" si="1"/>
        <v>Wed</v>
      </c>
      <c r="B278" s="69">
        <v>43271.0</v>
      </c>
      <c r="C278" s="4"/>
      <c r="D278" s="171"/>
    </row>
    <row r="279" hidden="1">
      <c r="A279" s="67" t="str">
        <f t="shared" si="1"/>
        <v>Thu</v>
      </c>
      <c r="B279" s="69">
        <v>43272.0</v>
      </c>
      <c r="D279" s="171"/>
    </row>
    <row r="280" hidden="1">
      <c r="A280" s="67" t="str">
        <f t="shared" si="1"/>
        <v>Fri</v>
      </c>
      <c r="B280" s="69">
        <v>43273.0</v>
      </c>
      <c r="D280" s="171"/>
    </row>
    <row r="281" hidden="1">
      <c r="A281" s="67" t="str">
        <f t="shared" si="1"/>
        <v>Sat</v>
      </c>
      <c r="B281" s="69">
        <v>43274.0</v>
      </c>
      <c r="D281" s="176">
        <v>242.5</v>
      </c>
      <c r="J281" s="4" t="s">
        <v>1432</v>
      </c>
    </row>
    <row r="282" hidden="1">
      <c r="A282" s="67" t="str">
        <f t="shared" si="1"/>
        <v>Sun</v>
      </c>
      <c r="B282" s="69">
        <v>43275.0</v>
      </c>
      <c r="D282" s="171"/>
    </row>
    <row r="283" hidden="1">
      <c r="A283" s="67" t="str">
        <f t="shared" si="1"/>
        <v>Mon</v>
      </c>
      <c r="B283" s="69">
        <v>43276.0</v>
      </c>
      <c r="D283" s="171"/>
    </row>
    <row r="284" hidden="1">
      <c r="A284" s="67" t="str">
        <f t="shared" si="1"/>
        <v>Tue</v>
      </c>
      <c r="B284" s="69">
        <v>43277.0</v>
      </c>
      <c r="D284" s="171"/>
    </row>
    <row r="285" hidden="1">
      <c r="A285" s="67" t="str">
        <f t="shared" si="1"/>
        <v>Wed</v>
      </c>
      <c r="B285" s="69">
        <v>43278.0</v>
      </c>
      <c r="D285" s="171"/>
    </row>
    <row r="286" hidden="1">
      <c r="A286" s="67" t="str">
        <f t="shared" si="1"/>
        <v>Thu</v>
      </c>
      <c r="B286" s="69">
        <v>43279.0</v>
      </c>
      <c r="D286" s="171"/>
    </row>
    <row r="287" hidden="1">
      <c r="A287" s="67" t="str">
        <f t="shared" si="1"/>
        <v>Fri</v>
      </c>
      <c r="B287" s="69">
        <v>43280.0</v>
      </c>
      <c r="D287" s="176">
        <v>242.5</v>
      </c>
      <c r="E287" s="4" t="s">
        <v>222</v>
      </c>
      <c r="F287" s="4" t="s">
        <v>1433</v>
      </c>
      <c r="G287" s="4" t="s">
        <v>1433</v>
      </c>
      <c r="I287" s="4" t="s">
        <v>395</v>
      </c>
      <c r="J287" s="4" t="s">
        <v>1434</v>
      </c>
      <c r="K287" s="4"/>
      <c r="L287" s="4" t="s">
        <v>293</v>
      </c>
    </row>
    <row r="288" hidden="1">
      <c r="A288" s="67" t="str">
        <f t="shared" si="1"/>
        <v>Sat</v>
      </c>
      <c r="B288" s="69">
        <v>43281.0</v>
      </c>
      <c r="D288" s="176">
        <v>242.5</v>
      </c>
      <c r="E288" s="4" t="s">
        <v>222</v>
      </c>
      <c r="F288" s="4" t="s">
        <v>1433</v>
      </c>
      <c r="I288" s="4" t="s">
        <v>395</v>
      </c>
      <c r="J288" s="4" t="s">
        <v>1434</v>
      </c>
      <c r="K288" s="4"/>
      <c r="L288" s="4" t="s">
        <v>293</v>
      </c>
    </row>
    <row r="289" hidden="1">
      <c r="A289" s="67" t="str">
        <f t="shared" si="1"/>
        <v>Sun</v>
      </c>
      <c r="B289" s="69">
        <v>43282.0</v>
      </c>
      <c r="D289" s="171"/>
      <c r="H289" s="4" t="s">
        <v>1433</v>
      </c>
    </row>
    <row r="290" hidden="1">
      <c r="A290" s="67" t="str">
        <f t="shared" si="1"/>
        <v>Mon</v>
      </c>
      <c r="B290" s="69">
        <v>43283.0</v>
      </c>
      <c r="D290" s="171"/>
    </row>
    <row r="291" hidden="1">
      <c r="A291" s="67" t="str">
        <f t="shared" si="1"/>
        <v>Tue</v>
      </c>
      <c r="B291" s="69">
        <v>43284.0</v>
      </c>
      <c r="D291" s="171"/>
    </row>
    <row r="292" hidden="1">
      <c r="A292" s="67" t="str">
        <f t="shared" si="1"/>
        <v>Wed</v>
      </c>
      <c r="B292" s="69">
        <v>43285.0</v>
      </c>
      <c r="D292" s="171"/>
    </row>
    <row r="293" hidden="1">
      <c r="A293" s="67" t="str">
        <f t="shared" si="1"/>
        <v>Thu</v>
      </c>
      <c r="B293" s="69">
        <v>43286.0</v>
      </c>
      <c r="D293" s="171"/>
    </row>
    <row r="294" hidden="1">
      <c r="A294" s="67" t="str">
        <f t="shared" si="1"/>
        <v>Fri</v>
      </c>
      <c r="B294" s="69">
        <v>43287.0</v>
      </c>
      <c r="D294" s="171"/>
    </row>
    <row r="295" hidden="1">
      <c r="A295" s="67" t="str">
        <f t="shared" si="1"/>
        <v>Sat</v>
      </c>
      <c r="B295" s="69">
        <v>43288.0</v>
      </c>
      <c r="D295" s="171"/>
    </row>
    <row r="296" hidden="1">
      <c r="A296" s="67" t="str">
        <f t="shared" si="1"/>
        <v>Sun</v>
      </c>
      <c r="B296" s="69">
        <v>43289.0</v>
      </c>
      <c r="D296" s="176">
        <v>225.0</v>
      </c>
      <c r="E296" s="4" t="s">
        <v>337</v>
      </c>
      <c r="F296" s="4" t="s">
        <v>765</v>
      </c>
      <c r="G296" s="4" t="s">
        <v>765</v>
      </c>
      <c r="I296" s="4" t="s">
        <v>395</v>
      </c>
      <c r="J296" s="4" t="s">
        <v>767</v>
      </c>
      <c r="K296" s="4"/>
      <c r="L296" s="4" t="s">
        <v>293</v>
      </c>
    </row>
    <row r="297" hidden="1">
      <c r="A297" s="67" t="str">
        <f t="shared" si="1"/>
        <v>Mon</v>
      </c>
      <c r="B297" s="69">
        <v>43290.0</v>
      </c>
      <c r="D297" s="176">
        <v>225.0</v>
      </c>
      <c r="E297" s="4" t="s">
        <v>337</v>
      </c>
      <c r="F297" s="4" t="s">
        <v>765</v>
      </c>
      <c r="I297" s="4" t="s">
        <v>395</v>
      </c>
      <c r="J297" s="4" t="s">
        <v>767</v>
      </c>
      <c r="K297" s="4"/>
      <c r="L297" s="4" t="s">
        <v>293</v>
      </c>
    </row>
    <row r="298" hidden="1">
      <c r="A298" s="67" t="str">
        <f t="shared" si="1"/>
        <v>Tue</v>
      </c>
      <c r="B298" s="69">
        <v>43291.0</v>
      </c>
      <c r="D298" s="176">
        <v>225.0</v>
      </c>
      <c r="E298" s="4" t="s">
        <v>337</v>
      </c>
      <c r="F298" s="4" t="s">
        <v>765</v>
      </c>
      <c r="I298" s="4" t="s">
        <v>395</v>
      </c>
      <c r="J298" s="4" t="s">
        <v>767</v>
      </c>
      <c r="K298" s="4"/>
      <c r="L298" s="4" t="s">
        <v>293</v>
      </c>
    </row>
    <row r="299" hidden="1">
      <c r="A299" s="67" t="str">
        <f t="shared" si="1"/>
        <v>Wed</v>
      </c>
      <c r="B299" s="69">
        <v>43292.0</v>
      </c>
      <c r="D299" s="176">
        <v>225.0</v>
      </c>
      <c r="E299" s="4" t="s">
        <v>337</v>
      </c>
      <c r="F299" s="4" t="s">
        <v>765</v>
      </c>
      <c r="I299" s="4" t="s">
        <v>395</v>
      </c>
      <c r="J299" s="4" t="s">
        <v>767</v>
      </c>
      <c r="K299" s="4"/>
      <c r="L299" s="4" t="s">
        <v>293</v>
      </c>
    </row>
    <row r="300" hidden="1">
      <c r="A300" s="67" t="str">
        <f t="shared" si="1"/>
        <v>Thu</v>
      </c>
      <c r="B300" s="69">
        <v>43293.0</v>
      </c>
      <c r="D300" s="171"/>
      <c r="H300" s="4" t="s">
        <v>765</v>
      </c>
    </row>
    <row r="301" hidden="1">
      <c r="A301" s="67" t="str">
        <f t="shared" si="1"/>
        <v>Fri</v>
      </c>
      <c r="B301" s="69">
        <v>43294.0</v>
      </c>
      <c r="D301" s="176">
        <v>150.0</v>
      </c>
      <c r="E301" s="4" t="s">
        <v>337</v>
      </c>
      <c r="F301" s="4" t="s">
        <v>1333</v>
      </c>
      <c r="G301" s="4" t="s">
        <v>1333</v>
      </c>
      <c r="I301" s="4" t="s">
        <v>395</v>
      </c>
      <c r="J301" s="4" t="s">
        <v>1435</v>
      </c>
      <c r="K301" s="4"/>
      <c r="L301" s="4" t="s">
        <v>293</v>
      </c>
    </row>
    <row r="302" hidden="1">
      <c r="A302" s="67" t="str">
        <f t="shared" si="1"/>
        <v>Sat</v>
      </c>
      <c r="B302" s="69">
        <v>43295.0</v>
      </c>
      <c r="D302" s="176">
        <v>150.0</v>
      </c>
      <c r="E302" s="4" t="s">
        <v>337</v>
      </c>
      <c r="F302" s="4" t="s">
        <v>1333</v>
      </c>
      <c r="I302" s="4" t="s">
        <v>395</v>
      </c>
      <c r="J302" s="4" t="s">
        <v>1435</v>
      </c>
      <c r="K302" s="4"/>
      <c r="L302" s="4" t="s">
        <v>293</v>
      </c>
    </row>
    <row r="303" hidden="1">
      <c r="A303" s="67" t="str">
        <f t="shared" si="1"/>
        <v>Sun</v>
      </c>
      <c r="B303" s="69">
        <v>43296.0</v>
      </c>
      <c r="D303" s="171"/>
      <c r="H303" s="4" t="s">
        <v>1333</v>
      </c>
    </row>
    <row r="304" hidden="1">
      <c r="A304" s="67" t="str">
        <f t="shared" si="1"/>
        <v>Mon</v>
      </c>
      <c r="B304" s="69">
        <v>43297.0</v>
      </c>
      <c r="D304" s="171"/>
    </row>
    <row r="305" hidden="1">
      <c r="A305" s="67" t="str">
        <f t="shared" si="1"/>
        <v>Tue</v>
      </c>
      <c r="B305" s="69">
        <v>43298.0</v>
      </c>
      <c r="D305" s="176">
        <v>194.0</v>
      </c>
      <c r="E305" s="4" t="s">
        <v>222</v>
      </c>
      <c r="F305" s="4" t="s">
        <v>1436</v>
      </c>
      <c r="G305" s="4" t="s">
        <v>1436</v>
      </c>
      <c r="I305" s="4" t="s">
        <v>395</v>
      </c>
      <c r="K305" s="4"/>
      <c r="L305" s="4" t="s">
        <v>293</v>
      </c>
    </row>
    <row r="306" hidden="1">
      <c r="A306" s="67" t="str">
        <f t="shared" si="1"/>
        <v>Wed</v>
      </c>
      <c r="B306" s="69">
        <v>43299.0</v>
      </c>
      <c r="D306" s="176">
        <v>242.5</v>
      </c>
      <c r="E306" s="4" t="s">
        <v>222</v>
      </c>
      <c r="F306" s="4" t="s">
        <v>1437</v>
      </c>
      <c r="G306" s="4" t="s">
        <v>1437</v>
      </c>
      <c r="H306" s="4" t="s">
        <v>1436</v>
      </c>
      <c r="I306" s="4" t="s">
        <v>395</v>
      </c>
      <c r="K306" s="4"/>
      <c r="L306" s="4" t="s">
        <v>293</v>
      </c>
    </row>
    <row r="307" hidden="1">
      <c r="A307" s="67" t="str">
        <f t="shared" si="1"/>
        <v>Thu</v>
      </c>
      <c r="B307" s="69">
        <v>43300.0</v>
      </c>
      <c r="D307" s="176">
        <v>200.0</v>
      </c>
      <c r="E307" s="4" t="s">
        <v>337</v>
      </c>
      <c r="F307" s="4" t="s">
        <v>1438</v>
      </c>
      <c r="H307" s="4" t="s">
        <v>1437</v>
      </c>
      <c r="K307" s="4"/>
      <c r="L307" s="4" t="s">
        <v>293</v>
      </c>
    </row>
    <row r="308" hidden="1">
      <c r="A308" s="67" t="str">
        <f t="shared" si="1"/>
        <v>Fri</v>
      </c>
      <c r="B308" s="69">
        <v>43301.0</v>
      </c>
      <c r="D308" s="176">
        <v>200.0</v>
      </c>
      <c r="E308" s="4" t="s">
        <v>337</v>
      </c>
      <c r="F308" s="4" t="s">
        <v>1438</v>
      </c>
      <c r="H308" s="4" t="s">
        <v>1438</v>
      </c>
      <c r="K308" s="4"/>
      <c r="L308" s="4" t="s">
        <v>293</v>
      </c>
    </row>
    <row r="309" hidden="1">
      <c r="A309" s="67" t="str">
        <f t="shared" si="1"/>
        <v>Sat</v>
      </c>
      <c r="B309" s="69">
        <v>43302.0</v>
      </c>
      <c r="D309" s="176">
        <v>291.0</v>
      </c>
      <c r="E309" s="4" t="s">
        <v>222</v>
      </c>
      <c r="F309" s="4" t="s">
        <v>1439</v>
      </c>
      <c r="G309" s="4" t="s">
        <v>1439</v>
      </c>
      <c r="H309" s="4" t="s">
        <v>1438</v>
      </c>
      <c r="I309" s="4" t="s">
        <v>395</v>
      </c>
      <c r="K309" s="4"/>
      <c r="L309" s="4" t="s">
        <v>293</v>
      </c>
    </row>
    <row r="310" hidden="1">
      <c r="A310" s="67" t="str">
        <f t="shared" si="1"/>
        <v>Sun</v>
      </c>
      <c r="B310" s="69">
        <v>43303.0</v>
      </c>
      <c r="D310" s="176">
        <v>291.0</v>
      </c>
      <c r="E310" s="4" t="s">
        <v>222</v>
      </c>
      <c r="F310" s="4" t="s">
        <v>1439</v>
      </c>
      <c r="I310" s="4" t="s">
        <v>395</v>
      </c>
      <c r="K310" s="4"/>
      <c r="L310" s="4" t="s">
        <v>293</v>
      </c>
    </row>
    <row r="311" hidden="1">
      <c r="A311" s="67" t="str">
        <f t="shared" si="1"/>
        <v>Mon</v>
      </c>
      <c r="B311" s="69">
        <v>43304.0</v>
      </c>
      <c r="D311" s="171"/>
      <c r="H311" s="4" t="s">
        <v>1439</v>
      </c>
    </row>
    <row r="312" hidden="1">
      <c r="A312" s="67" t="str">
        <f t="shared" si="1"/>
        <v>Tue</v>
      </c>
      <c r="B312" s="69">
        <v>43305.0</v>
      </c>
      <c r="D312" s="176">
        <v>194.0</v>
      </c>
      <c r="E312" s="4" t="s">
        <v>222</v>
      </c>
      <c r="F312" s="4" t="s">
        <v>1440</v>
      </c>
      <c r="G312" s="4" t="s">
        <v>1440</v>
      </c>
      <c r="I312" s="4" t="s">
        <v>395</v>
      </c>
      <c r="K312" s="4"/>
      <c r="L312" s="4" t="s">
        <v>293</v>
      </c>
    </row>
    <row r="313" hidden="1">
      <c r="A313" s="67" t="str">
        <f t="shared" si="1"/>
        <v>Wed</v>
      </c>
      <c r="B313" s="69">
        <v>43306.0</v>
      </c>
      <c r="D313" s="176">
        <v>194.0</v>
      </c>
      <c r="E313" s="4" t="s">
        <v>222</v>
      </c>
      <c r="F313" s="4" t="s">
        <v>1440</v>
      </c>
      <c r="I313" s="4" t="s">
        <v>395</v>
      </c>
      <c r="K313" s="4"/>
      <c r="L313" s="4" t="s">
        <v>293</v>
      </c>
    </row>
    <row r="314" hidden="1">
      <c r="A314" s="67" t="str">
        <f t="shared" si="1"/>
        <v>Thu</v>
      </c>
      <c r="B314" s="69">
        <v>43307.0</v>
      </c>
      <c r="D314" s="176">
        <v>194.0</v>
      </c>
      <c r="E314" s="4" t="s">
        <v>222</v>
      </c>
      <c r="F314" s="4" t="s">
        <v>1440</v>
      </c>
      <c r="I314" s="4" t="s">
        <v>395</v>
      </c>
      <c r="K314" s="4"/>
      <c r="L314" s="4" t="s">
        <v>293</v>
      </c>
    </row>
    <row r="315" hidden="1">
      <c r="A315" s="67" t="str">
        <f t="shared" si="1"/>
        <v>Fri</v>
      </c>
      <c r="B315" s="69">
        <v>43308.0</v>
      </c>
      <c r="D315" s="171"/>
      <c r="H315" s="4" t="s">
        <v>1440</v>
      </c>
    </row>
    <row r="316" hidden="1">
      <c r="A316" s="67" t="str">
        <f t="shared" si="1"/>
        <v>Sat</v>
      </c>
      <c r="B316" s="69">
        <v>43309.0</v>
      </c>
      <c r="D316" s="176">
        <v>291.0</v>
      </c>
      <c r="E316" s="4" t="s">
        <v>222</v>
      </c>
      <c r="F316" s="4" t="s">
        <v>1441</v>
      </c>
      <c r="G316" s="4" t="s">
        <v>1441</v>
      </c>
      <c r="I316" s="4" t="s">
        <v>395</v>
      </c>
      <c r="K316" s="4"/>
      <c r="L316" s="4" t="s">
        <v>293</v>
      </c>
    </row>
    <row r="317" hidden="1">
      <c r="A317" s="67" t="str">
        <f t="shared" si="1"/>
        <v>Sun</v>
      </c>
      <c r="B317" s="69">
        <v>43310.0</v>
      </c>
      <c r="D317" s="176">
        <v>291.0</v>
      </c>
      <c r="E317" s="4" t="s">
        <v>222</v>
      </c>
      <c r="F317" s="4" t="s">
        <v>1441</v>
      </c>
      <c r="I317" s="4" t="s">
        <v>395</v>
      </c>
      <c r="K317" s="4"/>
      <c r="L317" s="4" t="s">
        <v>293</v>
      </c>
    </row>
    <row r="318" hidden="1">
      <c r="A318" s="67" t="str">
        <f t="shared" si="1"/>
        <v>Mon</v>
      </c>
      <c r="B318" s="69">
        <v>43311.0</v>
      </c>
      <c r="D318" s="171"/>
      <c r="H318" s="4" t="s">
        <v>1441</v>
      </c>
    </row>
    <row r="319" hidden="1">
      <c r="A319" s="67" t="str">
        <f t="shared" si="1"/>
        <v>Tue</v>
      </c>
      <c r="B319" s="69">
        <v>43312.0</v>
      </c>
      <c r="D319" s="171"/>
    </row>
    <row r="320" hidden="1">
      <c r="A320" s="67" t="str">
        <f t="shared" si="1"/>
        <v>Wed</v>
      </c>
      <c r="B320" s="69">
        <v>43313.0</v>
      </c>
      <c r="D320" s="171"/>
    </row>
    <row r="321" hidden="1">
      <c r="A321" s="67" t="str">
        <f t="shared" si="1"/>
        <v>Thu</v>
      </c>
      <c r="B321" s="69">
        <v>43314.0</v>
      </c>
      <c r="D321" s="171"/>
    </row>
    <row r="322" hidden="1">
      <c r="A322" s="67" t="str">
        <f t="shared" si="1"/>
        <v>Fri</v>
      </c>
      <c r="B322" s="69">
        <v>43315.0</v>
      </c>
      <c r="D322" s="171"/>
    </row>
    <row r="323" hidden="1">
      <c r="A323" s="67" t="str">
        <f t="shared" si="1"/>
        <v>Sat</v>
      </c>
      <c r="B323" s="69">
        <v>43316.0</v>
      </c>
      <c r="D323" s="176">
        <v>250.0</v>
      </c>
      <c r="E323" s="4" t="s">
        <v>337</v>
      </c>
      <c r="F323" s="4" t="s">
        <v>957</v>
      </c>
      <c r="G323" s="4" t="s">
        <v>1442</v>
      </c>
      <c r="I323" s="4" t="s">
        <v>395</v>
      </c>
      <c r="K323" s="4"/>
      <c r="L323" s="4" t="s">
        <v>293</v>
      </c>
    </row>
    <row r="324" hidden="1">
      <c r="A324" s="67" t="str">
        <f t="shared" si="1"/>
        <v>Sun</v>
      </c>
      <c r="B324" s="69">
        <v>43317.0</v>
      </c>
      <c r="D324" s="176">
        <v>250.0</v>
      </c>
      <c r="E324" s="4" t="s">
        <v>337</v>
      </c>
      <c r="F324" s="4" t="s">
        <v>957</v>
      </c>
      <c r="I324" s="4" t="s">
        <v>395</v>
      </c>
      <c r="K324" s="4"/>
      <c r="L324" s="4" t="s">
        <v>293</v>
      </c>
    </row>
    <row r="325" hidden="1">
      <c r="A325" s="67" t="str">
        <f t="shared" si="1"/>
        <v>Mon</v>
      </c>
      <c r="B325" s="69">
        <v>43318.0</v>
      </c>
      <c r="D325" s="176">
        <v>250.0</v>
      </c>
      <c r="E325" s="4" t="s">
        <v>337</v>
      </c>
      <c r="F325" s="4" t="s">
        <v>957</v>
      </c>
      <c r="I325" s="4" t="s">
        <v>395</v>
      </c>
      <c r="J325" s="4" t="s">
        <v>650</v>
      </c>
      <c r="K325" s="4"/>
      <c r="L325" s="4" t="s">
        <v>293</v>
      </c>
    </row>
    <row r="326" hidden="1">
      <c r="A326" s="67" t="str">
        <f t="shared" si="1"/>
        <v>Tue</v>
      </c>
      <c r="B326" s="69">
        <v>43319.0</v>
      </c>
      <c r="D326" s="171"/>
      <c r="H326" s="4" t="s">
        <v>1442</v>
      </c>
    </row>
    <row r="327" hidden="1">
      <c r="A327" s="67" t="str">
        <f t="shared" si="1"/>
        <v>Wed</v>
      </c>
      <c r="B327" s="69">
        <v>43320.0</v>
      </c>
      <c r="D327" s="171"/>
    </row>
    <row r="328" hidden="1">
      <c r="A328" s="67" t="str">
        <f t="shared" si="1"/>
        <v>Thu</v>
      </c>
      <c r="B328" s="69">
        <v>43321.0</v>
      </c>
      <c r="D328" s="171"/>
    </row>
    <row r="329" hidden="1">
      <c r="A329" s="67" t="str">
        <f t="shared" si="1"/>
        <v>Fri</v>
      </c>
      <c r="B329" s="69">
        <v>43322.0</v>
      </c>
      <c r="D329" s="171"/>
    </row>
    <row r="330" hidden="1">
      <c r="A330" s="67" t="str">
        <f t="shared" si="1"/>
        <v>Sat</v>
      </c>
      <c r="B330" s="69">
        <v>43323.0</v>
      </c>
      <c r="D330" s="171"/>
    </row>
    <row r="331" hidden="1">
      <c r="A331" s="67" t="str">
        <f t="shared" si="1"/>
        <v>Sun</v>
      </c>
      <c r="B331" s="69">
        <v>43324.0</v>
      </c>
      <c r="D331" s="171"/>
    </row>
    <row r="332" hidden="1">
      <c r="A332" s="67" t="str">
        <f t="shared" si="1"/>
        <v>Mon</v>
      </c>
      <c r="B332" s="69">
        <v>43325.0</v>
      </c>
      <c r="D332" s="171"/>
    </row>
    <row r="333" hidden="1">
      <c r="A333" s="67" t="str">
        <f t="shared" si="1"/>
        <v>Tue</v>
      </c>
      <c r="B333" s="69">
        <v>43326.0</v>
      </c>
      <c r="D333" s="171"/>
    </row>
    <row r="334" hidden="1">
      <c r="A334" s="67" t="str">
        <f t="shared" si="1"/>
        <v>Wed</v>
      </c>
      <c r="B334" s="69">
        <v>43327.0</v>
      </c>
      <c r="D334" s="176">
        <v>202.44</v>
      </c>
      <c r="E334" s="4" t="s">
        <v>222</v>
      </c>
      <c r="F334" s="4" t="s">
        <v>1443</v>
      </c>
      <c r="G334" s="4" t="s">
        <v>1443</v>
      </c>
      <c r="I334" s="4" t="s">
        <v>395</v>
      </c>
      <c r="K334" s="4"/>
      <c r="L334" s="4" t="s">
        <v>293</v>
      </c>
    </row>
    <row r="335" hidden="1">
      <c r="A335" s="67" t="str">
        <f t="shared" si="1"/>
        <v>Thu</v>
      </c>
      <c r="B335" s="69">
        <v>43328.0</v>
      </c>
      <c r="D335" s="176">
        <v>202.44</v>
      </c>
      <c r="E335" s="4" t="s">
        <v>222</v>
      </c>
      <c r="F335" s="4" t="s">
        <v>1443</v>
      </c>
      <c r="I335" s="4" t="s">
        <v>395</v>
      </c>
      <c r="K335" s="4"/>
      <c r="L335" s="4" t="s">
        <v>293</v>
      </c>
    </row>
    <row r="336" hidden="1">
      <c r="A336" s="67" t="str">
        <f t="shared" si="1"/>
        <v>Fri</v>
      </c>
      <c r="B336" s="69">
        <v>43329.0</v>
      </c>
      <c r="D336" s="176">
        <v>221.72</v>
      </c>
      <c r="E336" s="4" t="s">
        <v>222</v>
      </c>
      <c r="F336" s="4" t="s">
        <v>1444</v>
      </c>
      <c r="G336" s="4" t="s">
        <v>1444</v>
      </c>
      <c r="H336" s="4" t="s">
        <v>1443</v>
      </c>
      <c r="I336" s="4" t="s">
        <v>395</v>
      </c>
      <c r="K336" s="4"/>
      <c r="L336" s="4" t="s">
        <v>293</v>
      </c>
    </row>
    <row r="337" hidden="1">
      <c r="A337" s="67" t="str">
        <f t="shared" si="1"/>
        <v>Sat</v>
      </c>
      <c r="B337" s="69">
        <v>43330.0</v>
      </c>
      <c r="D337" s="176">
        <v>221.72</v>
      </c>
      <c r="E337" s="4" t="s">
        <v>222</v>
      </c>
      <c r="F337" s="4" t="s">
        <v>1444</v>
      </c>
      <c r="I337" s="4" t="s">
        <v>395</v>
      </c>
      <c r="K337" s="4"/>
      <c r="L337" s="4" t="s">
        <v>293</v>
      </c>
    </row>
    <row r="338" hidden="1">
      <c r="A338" s="67" t="str">
        <f t="shared" si="1"/>
        <v>Sun</v>
      </c>
      <c r="B338" s="69">
        <v>43331.0</v>
      </c>
      <c r="D338" s="176">
        <v>202.44</v>
      </c>
      <c r="E338" s="4" t="s">
        <v>222</v>
      </c>
      <c r="F338" s="4" t="s">
        <v>1445</v>
      </c>
      <c r="G338" s="4" t="s">
        <v>1445</v>
      </c>
      <c r="H338" s="4" t="s">
        <v>1444</v>
      </c>
      <c r="I338" s="4" t="s">
        <v>395</v>
      </c>
      <c r="K338" s="4"/>
      <c r="L338" s="4" t="s">
        <v>293</v>
      </c>
    </row>
    <row r="339" hidden="1">
      <c r="A339" s="67" t="str">
        <f t="shared" si="1"/>
        <v>Mon</v>
      </c>
      <c r="B339" s="69">
        <v>43332.0</v>
      </c>
      <c r="D339" s="176">
        <v>200.0</v>
      </c>
      <c r="E339" s="4" t="s">
        <v>222</v>
      </c>
      <c r="F339" s="4" t="s">
        <v>1445</v>
      </c>
      <c r="I339" s="4" t="s">
        <v>395</v>
      </c>
      <c r="K339" s="4"/>
      <c r="L339" s="4" t="s">
        <v>293</v>
      </c>
    </row>
    <row r="340" hidden="1">
      <c r="A340" s="67" t="str">
        <f t="shared" si="1"/>
        <v>Tue</v>
      </c>
      <c r="B340" s="69">
        <v>43333.0</v>
      </c>
      <c r="D340" s="176">
        <v>200.0</v>
      </c>
      <c r="E340" s="4" t="s">
        <v>222</v>
      </c>
      <c r="F340" s="4" t="s">
        <v>1445</v>
      </c>
      <c r="I340" s="4" t="s">
        <v>395</v>
      </c>
      <c r="K340" s="4"/>
      <c r="L340" s="4" t="s">
        <v>293</v>
      </c>
    </row>
    <row r="341" hidden="1">
      <c r="A341" s="67" t="str">
        <f t="shared" si="1"/>
        <v>Wed</v>
      </c>
      <c r="B341" s="69">
        <v>43334.0</v>
      </c>
      <c r="D341" s="171"/>
      <c r="H341" s="4" t="s">
        <v>1445</v>
      </c>
    </row>
    <row r="342" hidden="1">
      <c r="A342" s="67" t="str">
        <f t="shared" si="1"/>
        <v>Thu</v>
      </c>
      <c r="B342" s="69">
        <v>43335.0</v>
      </c>
      <c r="D342" s="171"/>
    </row>
    <row r="343" hidden="1">
      <c r="A343" s="67" t="str">
        <f t="shared" si="1"/>
        <v>Fri</v>
      </c>
      <c r="B343" s="69">
        <v>43336.0</v>
      </c>
      <c r="D343" s="175">
        <v>215.29333333333332</v>
      </c>
      <c r="E343" s="4" t="s">
        <v>222</v>
      </c>
      <c r="F343" s="4" t="s">
        <v>1446</v>
      </c>
      <c r="G343" s="4" t="s">
        <v>1446</v>
      </c>
      <c r="I343" s="4" t="s">
        <v>395</v>
      </c>
      <c r="K343" s="4"/>
      <c r="L343" s="4" t="s">
        <v>293</v>
      </c>
    </row>
    <row r="344" hidden="1">
      <c r="A344" s="67" t="str">
        <f t="shared" si="1"/>
        <v>Sat</v>
      </c>
      <c r="B344" s="69">
        <v>43337.0</v>
      </c>
      <c r="D344" s="175">
        <v>215.29333333333332</v>
      </c>
      <c r="E344" s="4" t="s">
        <v>222</v>
      </c>
      <c r="F344" s="4" t="s">
        <v>1446</v>
      </c>
      <c r="I344" s="4" t="s">
        <v>395</v>
      </c>
      <c r="K344" s="4"/>
      <c r="L344" s="4" t="s">
        <v>293</v>
      </c>
    </row>
    <row r="345" hidden="1">
      <c r="A345" s="67" t="str">
        <f t="shared" si="1"/>
        <v>Sun</v>
      </c>
      <c r="B345" s="69">
        <v>43338.0</v>
      </c>
      <c r="D345" s="175">
        <v>215.29333333333332</v>
      </c>
      <c r="E345" s="4" t="s">
        <v>222</v>
      </c>
      <c r="F345" s="4" t="s">
        <v>1446</v>
      </c>
      <c r="I345" s="4" t="s">
        <v>395</v>
      </c>
      <c r="K345" s="4"/>
      <c r="L345" s="4" t="s">
        <v>293</v>
      </c>
    </row>
    <row r="346" hidden="1">
      <c r="A346" s="67" t="str">
        <f t="shared" si="1"/>
        <v>Mon</v>
      </c>
      <c r="B346" s="69">
        <v>43339.0</v>
      </c>
      <c r="D346" s="176">
        <v>202.44</v>
      </c>
      <c r="E346" s="4" t="s">
        <v>222</v>
      </c>
      <c r="F346" s="4" t="s">
        <v>1448</v>
      </c>
      <c r="H346" s="4" t="s">
        <v>1446</v>
      </c>
      <c r="I346" s="4" t="s">
        <v>395</v>
      </c>
      <c r="K346" s="4"/>
      <c r="L346" s="4" t="s">
        <v>293</v>
      </c>
    </row>
    <row r="347" hidden="1">
      <c r="A347" s="67" t="str">
        <f t="shared" si="1"/>
        <v>Tue</v>
      </c>
      <c r="B347" s="69">
        <v>43340.0</v>
      </c>
      <c r="D347" s="171"/>
      <c r="H347" s="4" t="s">
        <v>1448</v>
      </c>
    </row>
    <row r="348" hidden="1">
      <c r="A348" s="67" t="str">
        <f t="shared" si="1"/>
        <v>Wed</v>
      </c>
      <c r="B348" s="69">
        <v>43341.0</v>
      </c>
      <c r="D348" s="171"/>
    </row>
    <row r="349" hidden="1">
      <c r="A349" s="67" t="str">
        <f t="shared" si="1"/>
        <v>Thu</v>
      </c>
      <c r="B349" s="69">
        <v>43342.0</v>
      </c>
      <c r="D349" s="176">
        <v>200.0</v>
      </c>
      <c r="E349" s="4" t="s">
        <v>337</v>
      </c>
      <c r="F349" s="4" t="s">
        <v>1450</v>
      </c>
      <c r="G349" s="4" t="s">
        <v>1450</v>
      </c>
      <c r="I349" s="4" t="s">
        <v>395</v>
      </c>
      <c r="J349" s="4" t="s">
        <v>293</v>
      </c>
      <c r="K349" s="4"/>
      <c r="L349" s="4" t="s">
        <v>293</v>
      </c>
    </row>
    <row r="350" hidden="1">
      <c r="A350" s="67" t="str">
        <f t="shared" si="1"/>
        <v>Fri</v>
      </c>
      <c r="B350" s="69">
        <v>43343.0</v>
      </c>
      <c r="D350" s="176">
        <v>200.0</v>
      </c>
      <c r="E350" s="4" t="s">
        <v>337</v>
      </c>
      <c r="F350" s="4" t="s">
        <v>1450</v>
      </c>
      <c r="I350" s="4" t="s">
        <v>395</v>
      </c>
      <c r="J350" s="4" t="s">
        <v>293</v>
      </c>
      <c r="K350" s="4"/>
      <c r="L350" s="4" t="s">
        <v>293</v>
      </c>
    </row>
    <row r="351" hidden="1">
      <c r="A351" s="67" t="str">
        <f t="shared" si="1"/>
        <v>Sat</v>
      </c>
      <c r="B351" s="69">
        <v>43344.0</v>
      </c>
      <c r="D351" s="176">
        <v>200.0</v>
      </c>
      <c r="E351" s="4" t="s">
        <v>337</v>
      </c>
      <c r="F351" s="4" t="s">
        <v>1450</v>
      </c>
      <c r="I351" s="4" t="s">
        <v>395</v>
      </c>
      <c r="J351" s="4" t="s">
        <v>293</v>
      </c>
      <c r="K351" s="4"/>
      <c r="L351" s="4" t="s">
        <v>293</v>
      </c>
    </row>
    <row r="352" hidden="1">
      <c r="A352" s="67" t="str">
        <f t="shared" si="1"/>
        <v>Sun</v>
      </c>
      <c r="B352" s="69">
        <v>43345.0</v>
      </c>
      <c r="D352" s="176">
        <v>200.0</v>
      </c>
      <c r="E352" s="4" t="s">
        <v>337</v>
      </c>
      <c r="F352" s="4" t="s">
        <v>1450</v>
      </c>
      <c r="I352" s="4" t="s">
        <v>395</v>
      </c>
      <c r="J352" s="4" t="s">
        <v>293</v>
      </c>
      <c r="K352" s="4"/>
      <c r="L352" s="4" t="s">
        <v>293</v>
      </c>
    </row>
    <row r="353" hidden="1">
      <c r="A353" s="67" t="str">
        <f t="shared" si="1"/>
        <v>Mon</v>
      </c>
      <c r="B353" s="69">
        <v>43346.0</v>
      </c>
      <c r="D353" s="171"/>
      <c r="H353" s="4" t="s">
        <v>1450</v>
      </c>
    </row>
    <row r="354" hidden="1">
      <c r="A354" s="67" t="str">
        <f t="shared" si="1"/>
        <v>Tue</v>
      </c>
      <c r="B354" s="69">
        <v>43347.0</v>
      </c>
      <c r="D354" s="171"/>
    </row>
    <row r="355" hidden="1">
      <c r="A355" s="67" t="str">
        <f t="shared" si="1"/>
        <v>Wed</v>
      </c>
      <c r="B355" s="69">
        <v>43348.0</v>
      </c>
      <c r="D355" s="171"/>
    </row>
    <row r="356" hidden="1">
      <c r="A356" s="67" t="str">
        <f t="shared" si="1"/>
        <v>Thu</v>
      </c>
      <c r="B356" s="69">
        <v>43349.0</v>
      </c>
      <c r="C356" s="4" t="s">
        <v>638</v>
      </c>
      <c r="D356" s="176">
        <v>450.0</v>
      </c>
      <c r="E356" s="4" t="s">
        <v>337</v>
      </c>
      <c r="F356" s="4" t="s">
        <v>1451</v>
      </c>
      <c r="G356" s="4" t="s">
        <v>1451</v>
      </c>
      <c r="J356" s="4" t="s">
        <v>293</v>
      </c>
      <c r="K356" s="4"/>
      <c r="L356" s="4" t="s">
        <v>293</v>
      </c>
    </row>
    <row r="357" hidden="1">
      <c r="A357" s="67" t="str">
        <f t="shared" si="1"/>
        <v>Fri</v>
      </c>
      <c r="B357" s="69">
        <v>43350.0</v>
      </c>
      <c r="C357" s="4" t="s">
        <v>638</v>
      </c>
      <c r="D357" s="176">
        <v>450.0</v>
      </c>
      <c r="E357" s="4" t="s">
        <v>337</v>
      </c>
      <c r="F357" s="4" t="s">
        <v>1451</v>
      </c>
      <c r="J357" s="4" t="s">
        <v>293</v>
      </c>
      <c r="K357" s="4"/>
      <c r="L357" s="4" t="s">
        <v>293</v>
      </c>
    </row>
    <row r="358" hidden="1">
      <c r="A358" s="67" t="str">
        <f t="shared" si="1"/>
        <v>Sat</v>
      </c>
      <c r="B358" s="69">
        <v>43351.0</v>
      </c>
      <c r="C358" s="4" t="s">
        <v>638</v>
      </c>
      <c r="D358" s="176">
        <v>450.0</v>
      </c>
      <c r="E358" s="4" t="s">
        <v>337</v>
      </c>
      <c r="F358" s="4" t="s">
        <v>1451</v>
      </c>
      <c r="J358" s="4" t="s">
        <v>293</v>
      </c>
      <c r="K358" s="4"/>
      <c r="L358" s="4" t="s">
        <v>293</v>
      </c>
    </row>
    <row r="359" hidden="1">
      <c r="A359" s="67" t="str">
        <f t="shared" si="1"/>
        <v>Sun</v>
      </c>
      <c r="B359" s="69">
        <v>43352.0</v>
      </c>
      <c r="D359" s="171"/>
      <c r="H359" s="4" t="s">
        <v>1451</v>
      </c>
    </row>
    <row r="360" hidden="1">
      <c r="A360" s="67" t="str">
        <f t="shared" si="1"/>
        <v>Mon</v>
      </c>
      <c r="B360" s="69">
        <v>43353.0</v>
      </c>
      <c r="D360" s="171"/>
    </row>
    <row r="361" hidden="1">
      <c r="A361" s="67" t="str">
        <f t="shared" si="1"/>
        <v>Tue</v>
      </c>
      <c r="B361" s="69">
        <v>43354.0</v>
      </c>
      <c r="D361" s="171"/>
    </row>
    <row r="362" hidden="1">
      <c r="A362" s="67" t="str">
        <f t="shared" si="1"/>
        <v>Wed</v>
      </c>
      <c r="B362" s="69">
        <v>43355.0</v>
      </c>
      <c r="D362" s="171"/>
    </row>
    <row r="363" hidden="1">
      <c r="A363" s="67" t="str">
        <f t="shared" si="1"/>
        <v>Thu</v>
      </c>
      <c r="B363" s="69">
        <v>43356.0</v>
      </c>
      <c r="D363" s="175">
        <v>263.1933333333333</v>
      </c>
      <c r="E363" s="4" t="s">
        <v>222</v>
      </c>
      <c r="F363" s="4" t="s">
        <v>1452</v>
      </c>
      <c r="G363" s="4" t="s">
        <v>1452</v>
      </c>
      <c r="I363" s="4" t="s">
        <v>395</v>
      </c>
      <c r="K363" s="4"/>
      <c r="L363" s="4" t="s">
        <v>293</v>
      </c>
    </row>
    <row r="364" hidden="1">
      <c r="A364" s="67" t="str">
        <f t="shared" si="1"/>
        <v>Fri</v>
      </c>
      <c r="B364" s="69">
        <v>43357.0</v>
      </c>
      <c r="D364" s="175">
        <v>263.1933333333333</v>
      </c>
      <c r="E364" s="4" t="s">
        <v>222</v>
      </c>
      <c r="F364" s="4" t="s">
        <v>1452</v>
      </c>
      <c r="I364" s="4" t="s">
        <v>395</v>
      </c>
      <c r="K364" s="4"/>
      <c r="L364" s="4" t="s">
        <v>293</v>
      </c>
    </row>
    <row r="365" hidden="1">
      <c r="A365" s="67" t="str">
        <f t="shared" si="1"/>
        <v>Sat</v>
      </c>
      <c r="B365" s="69">
        <v>43358.0</v>
      </c>
      <c r="D365" s="175">
        <v>263.1933333333333</v>
      </c>
      <c r="E365" s="4" t="s">
        <v>222</v>
      </c>
      <c r="F365" s="4" t="s">
        <v>1452</v>
      </c>
      <c r="I365" s="4" t="s">
        <v>395</v>
      </c>
      <c r="K365" s="4"/>
      <c r="L365" s="4" t="s">
        <v>293</v>
      </c>
    </row>
    <row r="366" hidden="1">
      <c r="A366" s="67" t="str">
        <f t="shared" si="1"/>
        <v>Sun</v>
      </c>
      <c r="B366" s="69">
        <v>43359.0</v>
      </c>
      <c r="C366" s="4"/>
      <c r="D366" s="171"/>
      <c r="H366" s="4" t="s">
        <v>1452</v>
      </c>
    </row>
    <row r="367" hidden="1">
      <c r="A367" s="67" t="str">
        <f t="shared" si="1"/>
        <v>Mon</v>
      </c>
      <c r="B367" s="69">
        <v>43360.0</v>
      </c>
      <c r="C367" s="4"/>
      <c r="D367" s="171"/>
    </row>
    <row r="368" hidden="1">
      <c r="A368" s="67" t="str">
        <f t="shared" si="1"/>
        <v>Tue</v>
      </c>
      <c r="B368" s="69">
        <v>43361.0</v>
      </c>
      <c r="C368" s="4"/>
      <c r="D368" s="175">
        <v>215.935</v>
      </c>
      <c r="E368" s="4" t="s">
        <v>222</v>
      </c>
      <c r="F368" s="4" t="s">
        <v>1453</v>
      </c>
      <c r="G368" s="4" t="s">
        <v>1453</v>
      </c>
      <c r="I368" s="4" t="s">
        <v>395</v>
      </c>
      <c r="K368" s="4"/>
      <c r="L368" s="4" t="s">
        <v>293</v>
      </c>
    </row>
    <row r="369" hidden="1">
      <c r="A369" s="67" t="str">
        <f t="shared" si="1"/>
        <v>Wed</v>
      </c>
      <c r="B369" s="69">
        <v>43362.0</v>
      </c>
      <c r="D369" s="175">
        <v>215.935</v>
      </c>
      <c r="E369" s="4" t="s">
        <v>222</v>
      </c>
      <c r="F369" s="4" t="s">
        <v>1453</v>
      </c>
      <c r="I369" s="4" t="s">
        <v>395</v>
      </c>
      <c r="K369" s="4"/>
      <c r="L369" s="4" t="s">
        <v>293</v>
      </c>
    </row>
    <row r="370" hidden="1">
      <c r="A370" s="67" t="str">
        <f t="shared" si="1"/>
        <v>Thu</v>
      </c>
      <c r="B370" s="69">
        <v>43363.0</v>
      </c>
      <c r="D370" s="176">
        <v>242.5</v>
      </c>
      <c r="E370" s="4" t="s">
        <v>222</v>
      </c>
      <c r="F370" s="4" t="s">
        <v>1454</v>
      </c>
      <c r="G370" s="4" t="s">
        <v>1454</v>
      </c>
      <c r="H370" s="4" t="s">
        <v>1453</v>
      </c>
      <c r="I370" s="4" t="s">
        <v>395</v>
      </c>
      <c r="K370" s="4"/>
      <c r="L370" s="4" t="s">
        <v>293</v>
      </c>
    </row>
    <row r="371" hidden="1">
      <c r="A371" s="67" t="str">
        <f t="shared" si="1"/>
        <v>Fri</v>
      </c>
      <c r="B371" s="69">
        <v>43364.0</v>
      </c>
      <c r="D371" s="176">
        <v>242.5</v>
      </c>
      <c r="E371" s="4" t="s">
        <v>222</v>
      </c>
      <c r="F371" s="4" t="s">
        <v>1454</v>
      </c>
      <c r="I371" s="4" t="s">
        <v>395</v>
      </c>
      <c r="K371" s="4"/>
      <c r="L371" s="4" t="s">
        <v>293</v>
      </c>
    </row>
    <row r="372" hidden="1">
      <c r="A372" s="67" t="str">
        <f t="shared" si="1"/>
        <v>Sat</v>
      </c>
      <c r="B372" s="69">
        <v>43365.0</v>
      </c>
      <c r="D372" s="176">
        <v>242.5</v>
      </c>
      <c r="E372" s="4" t="s">
        <v>222</v>
      </c>
      <c r="F372" s="4" t="s">
        <v>1454</v>
      </c>
      <c r="I372" s="4" t="s">
        <v>395</v>
      </c>
      <c r="K372" s="4"/>
      <c r="L372" s="4" t="s">
        <v>293</v>
      </c>
    </row>
    <row r="373" hidden="1">
      <c r="A373" s="67" t="str">
        <f t="shared" si="1"/>
        <v>Sun</v>
      </c>
      <c r="B373" s="69">
        <v>43366.0</v>
      </c>
      <c r="D373" s="171"/>
      <c r="H373" s="4" t="s">
        <v>1454</v>
      </c>
    </row>
    <row r="374" hidden="1">
      <c r="A374" s="67" t="str">
        <f t="shared" si="1"/>
        <v>Mon</v>
      </c>
      <c r="B374" s="69">
        <v>43367.0</v>
      </c>
      <c r="D374" s="171"/>
    </row>
    <row r="375" hidden="1">
      <c r="A375" s="67" t="str">
        <f t="shared" si="1"/>
        <v>Tue</v>
      </c>
      <c r="B375" s="69">
        <v>43368.0</v>
      </c>
      <c r="D375" s="171"/>
    </row>
    <row r="376" hidden="1">
      <c r="A376" s="67" t="str">
        <f t="shared" si="1"/>
        <v>Wed</v>
      </c>
      <c r="B376" s="69">
        <v>43369.0</v>
      </c>
      <c r="D376" s="171"/>
    </row>
    <row r="377" hidden="1">
      <c r="A377" s="67" t="str">
        <f t="shared" si="1"/>
        <v>Thu</v>
      </c>
      <c r="B377" s="69">
        <v>43370.0</v>
      </c>
      <c r="D377" s="171"/>
    </row>
    <row r="378" hidden="1">
      <c r="A378" s="67" t="str">
        <f t="shared" si="1"/>
        <v>Fri</v>
      </c>
      <c r="B378" s="69">
        <v>43371.0</v>
      </c>
      <c r="D378" s="176">
        <v>284.38</v>
      </c>
      <c r="E378" s="4" t="s">
        <v>222</v>
      </c>
      <c r="F378" s="4" t="s">
        <v>1460</v>
      </c>
      <c r="G378" s="4" t="s">
        <v>1460</v>
      </c>
      <c r="I378" s="4" t="s">
        <v>395</v>
      </c>
      <c r="K378" s="4"/>
      <c r="L378" s="4" t="s">
        <v>293</v>
      </c>
    </row>
    <row r="379" hidden="1">
      <c r="A379" s="67" t="str">
        <f t="shared" si="1"/>
        <v>Sat</v>
      </c>
      <c r="B379" s="69">
        <v>43372.0</v>
      </c>
      <c r="D379" s="176">
        <v>284.38</v>
      </c>
      <c r="E379" s="4" t="s">
        <v>222</v>
      </c>
      <c r="F379" s="4" t="s">
        <v>1460</v>
      </c>
      <c r="I379" s="4" t="s">
        <v>395</v>
      </c>
      <c r="K379" s="4"/>
      <c r="L379" s="4" t="s">
        <v>293</v>
      </c>
    </row>
    <row r="380" hidden="1">
      <c r="A380" s="67" t="str">
        <f t="shared" si="1"/>
        <v>Sun</v>
      </c>
      <c r="B380" s="69">
        <v>43373.0</v>
      </c>
      <c r="D380" s="176">
        <v>221.72</v>
      </c>
      <c r="E380" s="4" t="s">
        <v>222</v>
      </c>
      <c r="F380" s="4" t="s">
        <v>1462</v>
      </c>
      <c r="H380" s="4" t="s">
        <v>1460</v>
      </c>
      <c r="I380" s="4" t="s">
        <v>395</v>
      </c>
      <c r="K380" s="4"/>
      <c r="L380" s="4" t="s">
        <v>293</v>
      </c>
    </row>
    <row r="381" hidden="1">
      <c r="A381" s="67" t="str">
        <f t="shared" si="1"/>
        <v>Mon</v>
      </c>
      <c r="B381" s="69">
        <v>43374.0</v>
      </c>
      <c r="D381" s="171"/>
      <c r="H381" s="4" t="s">
        <v>1462</v>
      </c>
    </row>
    <row r="382" hidden="1">
      <c r="A382" s="67" t="str">
        <f t="shared" si="1"/>
        <v>Tue</v>
      </c>
      <c r="B382" s="69">
        <v>43375.0</v>
      </c>
      <c r="D382" s="171"/>
    </row>
    <row r="383" hidden="1">
      <c r="A383" s="67" t="str">
        <f t="shared" si="1"/>
        <v>Wed</v>
      </c>
      <c r="B383" s="69">
        <v>43376.0</v>
      </c>
      <c r="D383" s="171"/>
    </row>
    <row r="384" hidden="1">
      <c r="A384" s="67" t="str">
        <f t="shared" si="1"/>
        <v>Thu</v>
      </c>
      <c r="B384" s="69">
        <v>43377.0</v>
      </c>
      <c r="D384" s="171"/>
    </row>
    <row r="385" hidden="1">
      <c r="A385" s="67" t="str">
        <f t="shared" si="1"/>
        <v>Fri</v>
      </c>
      <c r="B385" s="69">
        <v>43378.0</v>
      </c>
      <c r="D385" s="171"/>
    </row>
    <row r="386" hidden="1">
      <c r="A386" s="67" t="str">
        <f t="shared" si="1"/>
        <v>Sat</v>
      </c>
      <c r="B386" s="69">
        <v>43379.0</v>
      </c>
      <c r="D386" s="171"/>
    </row>
    <row r="387" hidden="1">
      <c r="A387" s="67" t="str">
        <f t="shared" si="1"/>
        <v>Sun</v>
      </c>
      <c r="B387" s="69">
        <v>43380.0</v>
      </c>
      <c r="D387" s="176">
        <v>221.72</v>
      </c>
      <c r="E387" s="4" t="s">
        <v>222</v>
      </c>
      <c r="F387" s="4" t="s">
        <v>1464</v>
      </c>
      <c r="G387" s="4" t="s">
        <v>1464</v>
      </c>
      <c r="I387" s="4" t="s">
        <v>395</v>
      </c>
      <c r="K387" s="4"/>
      <c r="L387" s="4" t="s">
        <v>293</v>
      </c>
    </row>
    <row r="388" hidden="1">
      <c r="A388" s="67" t="str">
        <f t="shared" si="1"/>
        <v>Mon</v>
      </c>
      <c r="B388" s="69">
        <v>43381.0</v>
      </c>
      <c r="D388" s="176">
        <v>174.6</v>
      </c>
      <c r="E388" s="4" t="s">
        <v>222</v>
      </c>
      <c r="F388" s="4" t="s">
        <v>1465</v>
      </c>
      <c r="G388" s="4" t="s">
        <v>1465</v>
      </c>
      <c r="H388" s="4" t="s">
        <v>1464</v>
      </c>
      <c r="K388" s="4"/>
      <c r="L388" s="4" t="s">
        <v>293</v>
      </c>
    </row>
    <row r="389" hidden="1">
      <c r="A389" s="67" t="str">
        <f t="shared" si="1"/>
        <v>Tue</v>
      </c>
      <c r="B389" s="69">
        <v>43382.0</v>
      </c>
      <c r="D389" s="175">
        <v>348.96799999999996</v>
      </c>
      <c r="E389" s="4" t="s">
        <v>222</v>
      </c>
      <c r="F389" s="4" t="s">
        <v>1466</v>
      </c>
      <c r="G389" s="4" t="s">
        <v>1466</v>
      </c>
      <c r="H389" s="4" t="s">
        <v>1465</v>
      </c>
      <c r="I389" s="4" t="s">
        <v>395</v>
      </c>
      <c r="K389" s="4"/>
      <c r="L389" s="4" t="s">
        <v>293</v>
      </c>
    </row>
    <row r="390" hidden="1">
      <c r="A390" s="67" t="str">
        <f t="shared" si="1"/>
        <v>Wed</v>
      </c>
      <c r="B390" s="69">
        <v>43383.0</v>
      </c>
      <c r="D390" s="175">
        <v>1110.528</v>
      </c>
      <c r="E390" s="4" t="s">
        <v>222</v>
      </c>
      <c r="F390" s="4" t="s">
        <v>1466</v>
      </c>
      <c r="I390" s="4" t="s">
        <v>395</v>
      </c>
      <c r="J390" s="4" t="s">
        <v>1467</v>
      </c>
      <c r="K390" s="4"/>
      <c r="L390" s="4" t="s">
        <v>293</v>
      </c>
    </row>
    <row r="391" hidden="1">
      <c r="A391" s="67" t="str">
        <f t="shared" si="1"/>
        <v>Thu</v>
      </c>
      <c r="B391" s="69">
        <v>43384.0</v>
      </c>
      <c r="D391" s="175">
        <v>348.96799999999996</v>
      </c>
      <c r="E391" s="4" t="s">
        <v>222</v>
      </c>
      <c r="F391" s="4" t="s">
        <v>1466</v>
      </c>
      <c r="I391" s="4" t="s">
        <v>395</v>
      </c>
      <c r="K391" s="4"/>
      <c r="L391" s="4" t="s">
        <v>293</v>
      </c>
    </row>
    <row r="392" hidden="1">
      <c r="A392" s="67" t="str">
        <f t="shared" si="1"/>
        <v>Fri</v>
      </c>
      <c r="B392" s="69">
        <v>43385.0</v>
      </c>
      <c r="C392" s="4" t="s">
        <v>185</v>
      </c>
      <c r="D392" s="175">
        <v>348.96799999999996</v>
      </c>
      <c r="E392" s="4" t="s">
        <v>222</v>
      </c>
      <c r="F392" s="4" t="s">
        <v>1466</v>
      </c>
      <c r="I392" s="4" t="s">
        <v>395</v>
      </c>
      <c r="K392" s="4"/>
      <c r="L392" s="4" t="s">
        <v>293</v>
      </c>
    </row>
    <row r="393" hidden="1">
      <c r="A393" s="67" t="str">
        <f t="shared" si="1"/>
        <v>Sat</v>
      </c>
      <c r="B393" s="69">
        <v>43386.0</v>
      </c>
      <c r="C393" s="4" t="s">
        <v>185</v>
      </c>
      <c r="D393" s="175">
        <v>348.96799999999996</v>
      </c>
      <c r="E393" s="4" t="s">
        <v>222</v>
      </c>
      <c r="F393" s="4" t="s">
        <v>1466</v>
      </c>
      <c r="I393" s="4" t="s">
        <v>395</v>
      </c>
      <c r="K393" s="4"/>
      <c r="L393" s="4" t="s">
        <v>293</v>
      </c>
    </row>
    <row r="394" hidden="1">
      <c r="A394" s="67" t="str">
        <f t="shared" si="1"/>
        <v>Sun</v>
      </c>
      <c r="B394" s="69">
        <v>43387.0</v>
      </c>
      <c r="C394" s="4" t="s">
        <v>185</v>
      </c>
      <c r="D394" s="176">
        <v>221.72</v>
      </c>
      <c r="E394" s="4" t="s">
        <v>222</v>
      </c>
      <c r="F394" s="4" t="s">
        <v>1468</v>
      </c>
      <c r="G394" s="4" t="s">
        <v>1468</v>
      </c>
      <c r="H394" s="4" t="s">
        <v>1466</v>
      </c>
      <c r="I394" s="4" t="s">
        <v>395</v>
      </c>
      <c r="K394" s="4"/>
      <c r="L394" s="4" t="s">
        <v>293</v>
      </c>
    </row>
    <row r="395" hidden="1">
      <c r="A395" s="67" t="str">
        <f t="shared" si="1"/>
        <v>Mon</v>
      </c>
      <c r="B395" s="69">
        <v>43388.0</v>
      </c>
      <c r="C395" s="4" t="s">
        <v>185</v>
      </c>
      <c r="D395" s="176">
        <v>221.72</v>
      </c>
      <c r="E395" s="4" t="s">
        <v>222</v>
      </c>
      <c r="F395" s="4" t="s">
        <v>1468</v>
      </c>
      <c r="I395" s="4" t="s">
        <v>395</v>
      </c>
      <c r="K395" s="4"/>
      <c r="L395" s="4" t="s">
        <v>293</v>
      </c>
    </row>
    <row r="396" hidden="1">
      <c r="A396" s="67" t="str">
        <f t="shared" si="1"/>
        <v>Tue</v>
      </c>
      <c r="B396" s="69">
        <v>43389.0</v>
      </c>
      <c r="C396" s="4" t="s">
        <v>185</v>
      </c>
      <c r="D396" s="176">
        <v>221.72</v>
      </c>
      <c r="E396" s="4" t="s">
        <v>222</v>
      </c>
      <c r="F396" s="4" t="s">
        <v>1468</v>
      </c>
      <c r="I396" s="4" t="s">
        <v>395</v>
      </c>
      <c r="K396" s="4"/>
      <c r="L396" s="4" t="s">
        <v>293</v>
      </c>
    </row>
    <row r="397" hidden="1">
      <c r="A397" s="67" t="str">
        <f t="shared" si="1"/>
        <v>Wed</v>
      </c>
      <c r="B397" s="69">
        <v>43390.0</v>
      </c>
      <c r="C397" s="4" t="s">
        <v>185</v>
      </c>
      <c r="D397" s="176">
        <v>221.72</v>
      </c>
      <c r="E397" s="4" t="s">
        <v>222</v>
      </c>
      <c r="F397" s="4" t="s">
        <v>1468</v>
      </c>
      <c r="I397" s="4" t="s">
        <v>395</v>
      </c>
      <c r="K397" s="4"/>
      <c r="L397" s="4" t="s">
        <v>293</v>
      </c>
    </row>
    <row r="398" hidden="1">
      <c r="A398" s="67" t="str">
        <f t="shared" si="1"/>
        <v>Thu</v>
      </c>
      <c r="B398" s="69">
        <v>43391.0</v>
      </c>
      <c r="C398" s="4" t="s">
        <v>185</v>
      </c>
      <c r="D398" s="171"/>
      <c r="H398" s="4" t="s">
        <v>1468</v>
      </c>
    </row>
    <row r="399" hidden="1">
      <c r="A399" s="67" t="str">
        <f t="shared" si="1"/>
        <v>Fri</v>
      </c>
      <c r="B399" s="69">
        <v>43392.0</v>
      </c>
      <c r="C399" s="4" t="s">
        <v>185</v>
      </c>
      <c r="D399" s="171"/>
    </row>
    <row r="400" hidden="1">
      <c r="A400" s="67" t="str">
        <f t="shared" si="1"/>
        <v>Sat</v>
      </c>
      <c r="B400" s="69">
        <v>43393.0</v>
      </c>
      <c r="C400" s="4" t="s">
        <v>185</v>
      </c>
      <c r="D400" s="176">
        <v>327.75</v>
      </c>
      <c r="E400" s="4" t="s">
        <v>222</v>
      </c>
      <c r="F400" s="4" t="s">
        <v>1469</v>
      </c>
      <c r="G400" s="4" t="s">
        <v>1469</v>
      </c>
      <c r="I400" s="4" t="s">
        <v>395</v>
      </c>
      <c r="K400" s="4"/>
      <c r="L400" s="4" t="s">
        <v>293</v>
      </c>
    </row>
    <row r="401" hidden="1">
      <c r="A401" s="67" t="str">
        <f t="shared" si="1"/>
        <v>Sun</v>
      </c>
      <c r="B401" s="69">
        <v>43394.0</v>
      </c>
      <c r="C401" s="4" t="s">
        <v>185</v>
      </c>
      <c r="D401" s="176">
        <v>327.75</v>
      </c>
      <c r="E401" s="4" t="s">
        <v>222</v>
      </c>
      <c r="F401" s="4" t="s">
        <v>1469</v>
      </c>
      <c r="I401" s="4" t="s">
        <v>395</v>
      </c>
      <c r="K401" s="4"/>
      <c r="L401" s="4" t="s">
        <v>293</v>
      </c>
    </row>
    <row r="402" hidden="1">
      <c r="A402" s="67" t="str">
        <f t="shared" si="1"/>
        <v>Mon</v>
      </c>
      <c r="B402" s="69">
        <v>43395.0</v>
      </c>
      <c r="C402" s="4" t="s">
        <v>185</v>
      </c>
      <c r="D402" s="176">
        <v>174.6</v>
      </c>
      <c r="E402" s="4" t="s">
        <v>222</v>
      </c>
      <c r="F402" s="4" t="s">
        <v>1471</v>
      </c>
      <c r="G402" s="4" t="s">
        <v>1471</v>
      </c>
      <c r="H402" s="4" t="s">
        <v>1469</v>
      </c>
      <c r="I402" s="4" t="s">
        <v>395</v>
      </c>
      <c r="K402" s="4"/>
      <c r="L402" s="4" t="s">
        <v>293</v>
      </c>
    </row>
    <row r="403" hidden="1">
      <c r="A403" s="67" t="str">
        <f t="shared" si="1"/>
        <v>Tue</v>
      </c>
      <c r="B403" s="69">
        <v>43396.0</v>
      </c>
      <c r="C403" s="4"/>
      <c r="D403" s="176">
        <v>174.6</v>
      </c>
      <c r="E403" s="4" t="s">
        <v>222</v>
      </c>
      <c r="F403" s="4" t="s">
        <v>1471</v>
      </c>
      <c r="I403" s="4" t="s">
        <v>395</v>
      </c>
      <c r="K403" s="4"/>
      <c r="L403" s="4" t="s">
        <v>293</v>
      </c>
    </row>
    <row r="404" hidden="1">
      <c r="A404" s="67" t="str">
        <f t="shared" si="1"/>
        <v>Wed</v>
      </c>
      <c r="B404" s="69">
        <v>43397.0</v>
      </c>
      <c r="C404" s="4"/>
      <c r="D404" s="175">
        <v>292.41333333333336</v>
      </c>
      <c r="E404" s="4" t="s">
        <v>222</v>
      </c>
      <c r="F404" s="4" t="s">
        <v>1474</v>
      </c>
      <c r="G404" s="4" t="s">
        <v>1474</v>
      </c>
      <c r="H404" s="4" t="s">
        <v>1471</v>
      </c>
      <c r="I404" s="4" t="s">
        <v>395</v>
      </c>
      <c r="K404" s="4"/>
      <c r="L404" s="4" t="s">
        <v>293</v>
      </c>
    </row>
    <row r="405" hidden="1">
      <c r="A405" s="67" t="str">
        <f t="shared" si="1"/>
        <v>Thu</v>
      </c>
      <c r="B405" s="69">
        <v>43398.0</v>
      </c>
      <c r="C405" s="4"/>
      <c r="D405" s="175">
        <v>292.41333333333336</v>
      </c>
      <c r="E405" s="4" t="s">
        <v>222</v>
      </c>
      <c r="F405" s="4" t="s">
        <v>1474</v>
      </c>
      <c r="I405" s="4" t="s">
        <v>395</v>
      </c>
      <c r="K405" s="4"/>
      <c r="L405" s="4" t="s">
        <v>293</v>
      </c>
    </row>
    <row r="406" hidden="1">
      <c r="A406" s="67" t="str">
        <f t="shared" si="1"/>
        <v>Fri</v>
      </c>
      <c r="B406" s="69">
        <v>43399.0</v>
      </c>
      <c r="C406" s="4"/>
      <c r="D406" s="175">
        <v>292.41333333333336</v>
      </c>
      <c r="E406" s="4" t="s">
        <v>222</v>
      </c>
      <c r="F406" s="4" t="s">
        <v>1474</v>
      </c>
      <c r="I406" s="4" t="s">
        <v>395</v>
      </c>
      <c r="K406" s="4"/>
      <c r="L406" s="4" t="s">
        <v>293</v>
      </c>
    </row>
    <row r="407" hidden="1">
      <c r="A407" s="67" t="str">
        <f t="shared" si="1"/>
        <v>Sat</v>
      </c>
      <c r="B407" s="69">
        <v>43400.0</v>
      </c>
      <c r="C407" s="4"/>
      <c r="D407" s="171"/>
      <c r="H407" s="4" t="s">
        <v>1474</v>
      </c>
    </row>
    <row r="408" hidden="1">
      <c r="A408" s="67" t="str">
        <f t="shared" si="1"/>
        <v>Sun</v>
      </c>
      <c r="B408" s="69">
        <v>43401.0</v>
      </c>
      <c r="C408" s="4"/>
      <c r="D408" s="171"/>
    </row>
    <row r="409" hidden="1">
      <c r="A409" s="67" t="str">
        <f t="shared" si="1"/>
        <v>Mon</v>
      </c>
      <c r="B409" s="69">
        <v>43402.0</v>
      </c>
      <c r="C409" s="4"/>
      <c r="D409" s="171"/>
    </row>
    <row r="410" hidden="1">
      <c r="A410" s="67" t="str">
        <f t="shared" si="1"/>
        <v>Tue</v>
      </c>
      <c r="B410" s="69">
        <v>43403.0</v>
      </c>
      <c r="C410" s="4"/>
      <c r="D410" s="171"/>
    </row>
    <row r="411" hidden="1">
      <c r="A411" s="67" t="str">
        <f t="shared" si="1"/>
        <v>Wed</v>
      </c>
      <c r="B411" s="69">
        <v>43404.0</v>
      </c>
      <c r="C411" s="4"/>
      <c r="D411" s="171"/>
    </row>
    <row r="412" hidden="1">
      <c r="A412" s="67" t="str">
        <f t="shared" si="1"/>
        <v>Thu</v>
      </c>
      <c r="B412" s="69">
        <v>43405.0</v>
      </c>
      <c r="C412" s="4" t="s">
        <v>638</v>
      </c>
      <c r="D412" s="171"/>
    </row>
    <row r="413" hidden="1">
      <c r="A413" s="67" t="str">
        <f t="shared" si="1"/>
        <v>Fri</v>
      </c>
      <c r="B413" s="69">
        <v>43406.0</v>
      </c>
      <c r="C413" s="4" t="s">
        <v>638</v>
      </c>
      <c r="D413" s="176">
        <v>465.6</v>
      </c>
      <c r="E413" s="4" t="s">
        <v>222</v>
      </c>
      <c r="F413" s="4" t="s">
        <v>1478</v>
      </c>
      <c r="G413" s="4" t="s">
        <v>1479</v>
      </c>
      <c r="I413" s="4" t="s">
        <v>395</v>
      </c>
      <c r="J413" s="4" t="s">
        <v>1480</v>
      </c>
      <c r="K413" s="4"/>
      <c r="L413" s="4" t="s">
        <v>293</v>
      </c>
    </row>
    <row r="414" hidden="1">
      <c r="A414" s="67" t="str">
        <f t="shared" si="1"/>
        <v>Sat</v>
      </c>
      <c r="B414" s="69">
        <v>43407.0</v>
      </c>
      <c r="C414" s="4" t="s">
        <v>638</v>
      </c>
      <c r="D414" s="176">
        <v>465.6</v>
      </c>
      <c r="E414" s="4" t="s">
        <v>222</v>
      </c>
      <c r="F414" s="4" t="s">
        <v>1479</v>
      </c>
      <c r="I414" s="4" t="s">
        <v>395</v>
      </c>
      <c r="J414" s="4" t="s">
        <v>1480</v>
      </c>
      <c r="K414" s="4"/>
      <c r="L414" s="4" t="s">
        <v>293</v>
      </c>
    </row>
    <row r="415" hidden="1">
      <c r="A415" s="67" t="str">
        <f t="shared" si="1"/>
        <v>Sun</v>
      </c>
      <c r="B415" s="69">
        <v>43408.0</v>
      </c>
      <c r="D415" s="176">
        <v>465.6</v>
      </c>
      <c r="E415" s="4" t="s">
        <v>222</v>
      </c>
      <c r="F415" s="4" t="s">
        <v>1479</v>
      </c>
      <c r="I415" s="4" t="s">
        <v>395</v>
      </c>
      <c r="J415" s="4" t="s">
        <v>1480</v>
      </c>
      <c r="K415" s="4"/>
      <c r="L415" s="4" t="s">
        <v>293</v>
      </c>
    </row>
    <row r="416" hidden="1">
      <c r="A416" s="67" t="str">
        <f t="shared" si="1"/>
        <v>Mon</v>
      </c>
      <c r="B416" s="69">
        <v>43409.0</v>
      </c>
      <c r="D416" s="176">
        <v>465.6</v>
      </c>
      <c r="E416" s="4" t="s">
        <v>222</v>
      </c>
      <c r="F416" s="4" t="s">
        <v>1479</v>
      </c>
      <c r="I416" s="4" t="s">
        <v>395</v>
      </c>
      <c r="J416" s="4" t="s">
        <v>1480</v>
      </c>
      <c r="K416" s="4"/>
      <c r="L416" s="4" t="s">
        <v>293</v>
      </c>
    </row>
    <row r="417" hidden="1">
      <c r="A417" s="67" t="str">
        <f t="shared" si="1"/>
        <v>Tue</v>
      </c>
      <c r="B417" s="69">
        <v>43410.0</v>
      </c>
      <c r="D417" s="176">
        <v>465.6</v>
      </c>
      <c r="E417" s="4" t="s">
        <v>222</v>
      </c>
      <c r="F417" s="4" t="s">
        <v>1479</v>
      </c>
      <c r="I417" s="4" t="s">
        <v>395</v>
      </c>
      <c r="J417" s="4" t="s">
        <v>1480</v>
      </c>
      <c r="K417" s="4"/>
      <c r="L417" s="4" t="s">
        <v>293</v>
      </c>
    </row>
    <row r="418" hidden="1">
      <c r="A418" s="67" t="str">
        <f t="shared" si="1"/>
        <v>Wed</v>
      </c>
      <c r="B418" s="69">
        <v>43411.0</v>
      </c>
      <c r="D418" s="171"/>
      <c r="H418" s="4" t="s">
        <v>1479</v>
      </c>
    </row>
    <row r="419" hidden="1">
      <c r="A419" s="67" t="str">
        <f t="shared" si="1"/>
        <v>Thu</v>
      </c>
      <c r="B419" s="69">
        <v>43412.0</v>
      </c>
      <c r="D419" s="176">
        <v>242.5</v>
      </c>
      <c r="E419" s="4" t="s">
        <v>222</v>
      </c>
      <c r="F419" s="4" t="s">
        <v>799</v>
      </c>
      <c r="G419" s="4" t="s">
        <v>799</v>
      </c>
      <c r="I419" s="4" t="s">
        <v>395</v>
      </c>
      <c r="K419" s="4"/>
      <c r="L419" s="4" t="s">
        <v>293</v>
      </c>
    </row>
    <row r="420" hidden="1">
      <c r="A420" s="67" t="str">
        <f t="shared" si="1"/>
        <v>Fri</v>
      </c>
      <c r="B420" s="69">
        <v>43413.0</v>
      </c>
      <c r="D420" s="176">
        <v>242.5</v>
      </c>
      <c r="E420" s="4" t="s">
        <v>222</v>
      </c>
      <c r="F420" s="4" t="s">
        <v>799</v>
      </c>
      <c r="I420" s="4" t="s">
        <v>395</v>
      </c>
      <c r="K420" s="4"/>
      <c r="L420" s="4" t="s">
        <v>293</v>
      </c>
    </row>
    <row r="421" hidden="1">
      <c r="A421" s="67" t="str">
        <f t="shared" si="1"/>
        <v>Sat</v>
      </c>
      <c r="B421" s="69">
        <v>43414.0</v>
      </c>
      <c r="D421" s="176">
        <v>339.5</v>
      </c>
      <c r="E421" s="4" t="s">
        <v>222</v>
      </c>
      <c r="F421" s="4" t="s">
        <v>1493</v>
      </c>
      <c r="G421" s="4" t="s">
        <v>1493</v>
      </c>
      <c r="H421" s="4" t="s">
        <v>799</v>
      </c>
      <c r="I421" s="4" t="s">
        <v>395</v>
      </c>
      <c r="K421" s="4"/>
      <c r="L421" s="4" t="s">
        <v>293</v>
      </c>
    </row>
    <row r="422" hidden="1">
      <c r="A422" s="67" t="str">
        <f t="shared" si="1"/>
        <v>Sun</v>
      </c>
      <c r="B422" s="69">
        <v>43415.0</v>
      </c>
      <c r="C422" s="4"/>
      <c r="D422" s="176">
        <v>339.5</v>
      </c>
      <c r="E422" s="4" t="s">
        <v>222</v>
      </c>
      <c r="F422" s="4" t="s">
        <v>1493</v>
      </c>
      <c r="I422" s="4" t="s">
        <v>395</v>
      </c>
      <c r="K422" s="4"/>
      <c r="L422" s="4" t="s">
        <v>293</v>
      </c>
    </row>
    <row r="423" hidden="1">
      <c r="A423" s="67" t="str">
        <f t="shared" si="1"/>
        <v>Mon</v>
      </c>
      <c r="B423" s="69">
        <v>43416.0</v>
      </c>
      <c r="C423" s="4"/>
      <c r="D423" s="176">
        <v>339.5</v>
      </c>
      <c r="E423" s="4" t="s">
        <v>222</v>
      </c>
      <c r="F423" s="4" t="s">
        <v>1493</v>
      </c>
      <c r="I423" s="4" t="s">
        <v>395</v>
      </c>
      <c r="K423" s="4"/>
      <c r="L423" s="4" t="s">
        <v>293</v>
      </c>
    </row>
    <row r="424" hidden="1">
      <c r="A424" s="67" t="str">
        <f t="shared" si="1"/>
        <v>Tue</v>
      </c>
      <c r="B424" s="69">
        <v>43417.0</v>
      </c>
      <c r="C424" s="4"/>
      <c r="D424" s="176">
        <v>339.5</v>
      </c>
      <c r="E424" s="4" t="s">
        <v>222</v>
      </c>
      <c r="F424" s="4" t="s">
        <v>1493</v>
      </c>
      <c r="I424" s="4" t="s">
        <v>395</v>
      </c>
      <c r="K424" s="4"/>
      <c r="L424" s="4" t="s">
        <v>293</v>
      </c>
    </row>
    <row r="425" hidden="1">
      <c r="A425" s="67" t="str">
        <f t="shared" si="1"/>
        <v>Wed</v>
      </c>
      <c r="B425" s="69">
        <v>43418.0</v>
      </c>
      <c r="C425" s="4" t="s">
        <v>638</v>
      </c>
      <c r="D425" s="176">
        <v>339.5</v>
      </c>
      <c r="E425" s="4" t="s">
        <v>222</v>
      </c>
      <c r="F425" s="4" t="s">
        <v>1493</v>
      </c>
      <c r="I425" s="4" t="s">
        <v>395</v>
      </c>
      <c r="K425" s="4"/>
      <c r="L425" s="4" t="s">
        <v>293</v>
      </c>
    </row>
    <row r="426" hidden="1">
      <c r="A426" s="67" t="str">
        <f t="shared" si="1"/>
        <v>Thu</v>
      </c>
      <c r="B426" s="69">
        <v>43419.0</v>
      </c>
      <c r="C426" s="4" t="s">
        <v>638</v>
      </c>
      <c r="D426" s="176">
        <v>339.5</v>
      </c>
      <c r="E426" s="4" t="s">
        <v>222</v>
      </c>
      <c r="F426" s="4" t="s">
        <v>1493</v>
      </c>
      <c r="I426" s="4" t="s">
        <v>395</v>
      </c>
      <c r="K426" s="4"/>
      <c r="L426" s="4" t="s">
        <v>293</v>
      </c>
    </row>
    <row r="427" hidden="1">
      <c r="A427" s="67" t="str">
        <f t="shared" si="1"/>
        <v>Fri</v>
      </c>
      <c r="B427" s="69">
        <v>43420.0</v>
      </c>
      <c r="C427" s="4" t="s">
        <v>638</v>
      </c>
      <c r="D427" s="176">
        <v>339.5</v>
      </c>
      <c r="E427" s="4" t="s">
        <v>222</v>
      </c>
      <c r="F427" s="4" t="s">
        <v>1493</v>
      </c>
      <c r="I427" s="4" t="s">
        <v>395</v>
      </c>
      <c r="K427" s="4"/>
      <c r="L427" s="4" t="s">
        <v>293</v>
      </c>
    </row>
    <row r="428" hidden="1">
      <c r="A428" s="67" t="str">
        <f t="shared" si="1"/>
        <v>Sat</v>
      </c>
      <c r="B428" s="69">
        <v>43421.0</v>
      </c>
      <c r="C428" s="4" t="s">
        <v>638</v>
      </c>
      <c r="D428" s="175">
        <v>401.6666666666667</v>
      </c>
      <c r="E428" s="4" t="s">
        <v>222</v>
      </c>
      <c r="F428" s="4" t="s">
        <v>1495</v>
      </c>
      <c r="G428" s="4" t="s">
        <v>1495</v>
      </c>
      <c r="H428" s="4" t="s">
        <v>1493</v>
      </c>
      <c r="I428" s="4" t="s">
        <v>395</v>
      </c>
      <c r="K428" s="4"/>
      <c r="L428" s="4" t="s">
        <v>293</v>
      </c>
    </row>
    <row r="429" hidden="1">
      <c r="A429" s="67" t="str">
        <f t="shared" si="1"/>
        <v>Sun</v>
      </c>
      <c r="B429" s="69">
        <v>43422.0</v>
      </c>
      <c r="D429" s="175">
        <v>401.6666666666667</v>
      </c>
      <c r="E429" s="4" t="s">
        <v>222</v>
      </c>
      <c r="F429" s="4" t="s">
        <v>1495</v>
      </c>
      <c r="I429" s="4" t="s">
        <v>395</v>
      </c>
      <c r="K429" s="4"/>
      <c r="L429" s="4" t="s">
        <v>293</v>
      </c>
    </row>
    <row r="430" hidden="1">
      <c r="A430" s="67" t="str">
        <f t="shared" si="1"/>
        <v>Mon</v>
      </c>
      <c r="B430" s="69">
        <v>43423.0</v>
      </c>
      <c r="D430" s="175">
        <v>401.6666666666667</v>
      </c>
      <c r="E430" s="4" t="s">
        <v>222</v>
      </c>
      <c r="F430" s="4" t="s">
        <v>1495</v>
      </c>
      <c r="I430" s="4" t="s">
        <v>395</v>
      </c>
      <c r="K430" s="4"/>
      <c r="L430" s="4" t="s">
        <v>293</v>
      </c>
    </row>
    <row r="431" hidden="1">
      <c r="A431" s="67" t="str">
        <f t="shared" si="1"/>
        <v>Tue</v>
      </c>
      <c r="B431" s="69">
        <v>43424.0</v>
      </c>
      <c r="D431" s="171"/>
      <c r="H431" s="4" t="s">
        <v>1495</v>
      </c>
    </row>
    <row r="432" hidden="1">
      <c r="A432" s="67" t="str">
        <f t="shared" si="1"/>
        <v>Wed</v>
      </c>
      <c r="B432" s="69">
        <v>43425.0</v>
      </c>
      <c r="D432" s="171"/>
    </row>
    <row r="433" hidden="1">
      <c r="A433" s="67" t="str">
        <f t="shared" si="1"/>
        <v>Thu</v>
      </c>
      <c r="B433" s="69">
        <v>43426.0</v>
      </c>
      <c r="D433" s="176">
        <v>194.0</v>
      </c>
      <c r="E433" s="4" t="s">
        <v>222</v>
      </c>
      <c r="F433" s="4" t="s">
        <v>1496</v>
      </c>
      <c r="K433" s="4"/>
      <c r="L433" s="4" t="s">
        <v>293</v>
      </c>
    </row>
    <row r="434" hidden="1">
      <c r="A434" s="67" t="str">
        <f t="shared" si="1"/>
        <v>Fri</v>
      </c>
      <c r="B434" s="69">
        <v>43427.0</v>
      </c>
      <c r="D434" s="175">
        <v>307.1666666666667</v>
      </c>
      <c r="E434" s="4" t="s">
        <v>222</v>
      </c>
      <c r="F434" s="4" t="s">
        <v>1497</v>
      </c>
      <c r="G434" s="4" t="s">
        <v>1497</v>
      </c>
      <c r="H434" s="4" t="s">
        <v>1496</v>
      </c>
      <c r="I434" s="4" t="s">
        <v>395</v>
      </c>
      <c r="K434" s="4"/>
      <c r="L434" s="4" t="s">
        <v>293</v>
      </c>
    </row>
    <row r="435" hidden="1">
      <c r="A435" s="67" t="str">
        <f t="shared" si="1"/>
        <v>Sat</v>
      </c>
      <c r="B435" s="69">
        <v>43428.0</v>
      </c>
      <c r="C435" s="4"/>
      <c r="D435" s="175">
        <v>307.1666666666667</v>
      </c>
      <c r="E435" s="4" t="s">
        <v>222</v>
      </c>
      <c r="F435" s="4" t="s">
        <v>1497</v>
      </c>
      <c r="I435" s="4" t="s">
        <v>395</v>
      </c>
      <c r="K435" s="4"/>
      <c r="L435" s="4" t="s">
        <v>293</v>
      </c>
    </row>
    <row r="436" hidden="1">
      <c r="A436" s="67" t="str">
        <f t="shared" si="1"/>
        <v>Sun</v>
      </c>
      <c r="B436" s="69">
        <v>43429.0</v>
      </c>
      <c r="C436" s="4"/>
      <c r="D436" s="175">
        <v>307.1666666666667</v>
      </c>
      <c r="E436" s="4" t="s">
        <v>222</v>
      </c>
      <c r="F436" s="4" t="s">
        <v>1497</v>
      </c>
      <c r="I436" s="4" t="s">
        <v>395</v>
      </c>
      <c r="K436" s="4"/>
      <c r="L436" s="4" t="s">
        <v>293</v>
      </c>
    </row>
    <row r="437" hidden="1">
      <c r="A437" s="67" t="str">
        <f t="shared" si="1"/>
        <v>Mon</v>
      </c>
      <c r="B437" s="69">
        <v>43430.0</v>
      </c>
      <c r="C437" s="4"/>
      <c r="D437" s="171"/>
      <c r="H437" s="4" t="s">
        <v>1497</v>
      </c>
    </row>
    <row r="438" hidden="1">
      <c r="A438" s="67" t="str">
        <f t="shared" si="1"/>
        <v>Tue</v>
      </c>
      <c r="B438" s="69">
        <v>43431.0</v>
      </c>
      <c r="C438" s="4"/>
      <c r="D438" s="171"/>
    </row>
    <row r="439" hidden="1">
      <c r="A439" s="67" t="str">
        <f t="shared" si="1"/>
        <v>Wed</v>
      </c>
      <c r="B439" s="69">
        <v>43432.0</v>
      </c>
      <c r="D439" s="176">
        <v>340.0</v>
      </c>
      <c r="E439" s="4" t="s">
        <v>337</v>
      </c>
      <c r="F439" s="4" t="s">
        <v>1248</v>
      </c>
      <c r="G439" s="4" t="s">
        <v>1248</v>
      </c>
      <c r="I439" s="4" t="s">
        <v>395</v>
      </c>
      <c r="J439" s="4" t="s">
        <v>1498</v>
      </c>
      <c r="K439" s="4"/>
      <c r="L439" s="4" t="s">
        <v>293</v>
      </c>
    </row>
    <row r="440" hidden="1">
      <c r="A440" s="67" t="str">
        <f t="shared" si="1"/>
        <v>Thu</v>
      </c>
      <c r="B440" s="69">
        <v>43433.0</v>
      </c>
      <c r="D440" s="176">
        <v>340.0</v>
      </c>
      <c r="E440" s="4" t="s">
        <v>337</v>
      </c>
      <c r="F440" s="4" t="s">
        <v>1248</v>
      </c>
      <c r="I440" s="4" t="s">
        <v>395</v>
      </c>
      <c r="J440" s="4" t="s">
        <v>1498</v>
      </c>
      <c r="K440" s="4"/>
      <c r="L440" s="4" t="s">
        <v>293</v>
      </c>
    </row>
    <row r="441" hidden="1">
      <c r="A441" s="67" t="str">
        <f t="shared" si="1"/>
        <v>Fri</v>
      </c>
      <c r="B441" s="69">
        <v>43434.0</v>
      </c>
      <c r="D441" s="176">
        <v>340.0</v>
      </c>
      <c r="E441" s="4" t="s">
        <v>337</v>
      </c>
      <c r="F441" s="4" t="s">
        <v>1248</v>
      </c>
      <c r="I441" s="4" t="s">
        <v>395</v>
      </c>
      <c r="J441" s="4" t="s">
        <v>1498</v>
      </c>
      <c r="K441" s="4"/>
      <c r="L441" s="4" t="s">
        <v>293</v>
      </c>
    </row>
    <row r="442" hidden="1">
      <c r="A442" s="67" t="str">
        <f t="shared" si="1"/>
        <v>Sat</v>
      </c>
      <c r="B442" s="69">
        <v>43435.0</v>
      </c>
      <c r="D442" s="176">
        <v>340.0</v>
      </c>
      <c r="E442" s="4" t="s">
        <v>337</v>
      </c>
      <c r="F442" s="4" t="s">
        <v>1248</v>
      </c>
      <c r="I442" s="4" t="s">
        <v>395</v>
      </c>
      <c r="J442" s="4" t="s">
        <v>1498</v>
      </c>
      <c r="K442" s="4"/>
      <c r="L442" s="4" t="s">
        <v>293</v>
      </c>
    </row>
    <row r="443" hidden="1">
      <c r="A443" s="67" t="str">
        <f t="shared" si="1"/>
        <v>Sun</v>
      </c>
      <c r="B443" s="69">
        <v>43436.0</v>
      </c>
      <c r="D443" s="176">
        <v>340.0</v>
      </c>
      <c r="E443" s="4" t="s">
        <v>337</v>
      </c>
      <c r="F443" s="4" t="s">
        <v>1248</v>
      </c>
      <c r="I443" s="4" t="s">
        <v>395</v>
      </c>
      <c r="J443" s="4" t="s">
        <v>1498</v>
      </c>
      <c r="K443" s="4"/>
      <c r="L443" s="4" t="s">
        <v>293</v>
      </c>
    </row>
    <row r="444" hidden="1">
      <c r="A444" s="67" t="str">
        <f t="shared" si="1"/>
        <v>Mon</v>
      </c>
      <c r="B444" s="69">
        <v>43437.0</v>
      </c>
      <c r="D444" s="176">
        <v>340.0</v>
      </c>
      <c r="E444" s="4" t="s">
        <v>337</v>
      </c>
      <c r="F444" s="4" t="s">
        <v>1248</v>
      </c>
      <c r="I444" s="4" t="s">
        <v>395</v>
      </c>
      <c r="J444" s="4" t="s">
        <v>1498</v>
      </c>
      <c r="K444" s="4"/>
      <c r="L444" s="4" t="s">
        <v>293</v>
      </c>
    </row>
    <row r="445" hidden="1">
      <c r="A445" s="67" t="str">
        <f t="shared" si="1"/>
        <v>Tue</v>
      </c>
      <c r="B445" s="69">
        <v>43438.0</v>
      </c>
      <c r="D445" s="176">
        <v>340.0</v>
      </c>
      <c r="E445" s="4" t="s">
        <v>337</v>
      </c>
      <c r="F445" s="4" t="s">
        <v>1248</v>
      </c>
      <c r="I445" s="4" t="s">
        <v>395</v>
      </c>
      <c r="J445" s="4" t="s">
        <v>1498</v>
      </c>
      <c r="K445" s="4"/>
      <c r="L445" s="4" t="s">
        <v>293</v>
      </c>
    </row>
    <row r="446" hidden="1">
      <c r="A446" s="67" t="str">
        <f t="shared" si="1"/>
        <v>Wed</v>
      </c>
      <c r="B446" s="69">
        <v>43439.0</v>
      </c>
      <c r="D446" s="176">
        <v>340.0</v>
      </c>
      <c r="E446" s="4" t="s">
        <v>337</v>
      </c>
      <c r="F446" s="4" t="s">
        <v>1248</v>
      </c>
      <c r="I446" s="4" t="s">
        <v>395</v>
      </c>
      <c r="J446" s="4" t="s">
        <v>1498</v>
      </c>
      <c r="K446" s="4"/>
      <c r="L446" s="4" t="s">
        <v>293</v>
      </c>
    </row>
    <row r="447" hidden="1">
      <c r="A447" s="67" t="str">
        <f t="shared" si="1"/>
        <v>Thu</v>
      </c>
      <c r="B447" s="69">
        <v>43440.0</v>
      </c>
      <c r="D447" s="176">
        <v>340.0</v>
      </c>
      <c r="E447" s="4" t="s">
        <v>337</v>
      </c>
      <c r="F447" s="4" t="s">
        <v>1248</v>
      </c>
      <c r="I447" s="4" t="s">
        <v>395</v>
      </c>
      <c r="J447" s="4" t="s">
        <v>1498</v>
      </c>
      <c r="K447" s="4"/>
      <c r="L447" s="4" t="s">
        <v>293</v>
      </c>
    </row>
    <row r="448" hidden="1">
      <c r="A448" s="67" t="str">
        <f t="shared" si="1"/>
        <v>Fri</v>
      </c>
      <c r="B448" s="69">
        <v>43441.0</v>
      </c>
      <c r="D448" s="176">
        <v>340.0</v>
      </c>
      <c r="E448" s="4" t="s">
        <v>337</v>
      </c>
      <c r="F448" s="4" t="s">
        <v>1248</v>
      </c>
      <c r="I448" s="4" t="s">
        <v>395</v>
      </c>
      <c r="J448" s="4" t="s">
        <v>1498</v>
      </c>
      <c r="K448" s="4"/>
      <c r="L448" s="4" t="s">
        <v>293</v>
      </c>
    </row>
    <row r="449" hidden="1">
      <c r="A449" s="67" t="str">
        <f t="shared" si="1"/>
        <v>Sat</v>
      </c>
      <c r="B449" s="69">
        <v>43442.0</v>
      </c>
      <c r="D449" s="176">
        <v>340.0</v>
      </c>
      <c r="E449" s="4" t="s">
        <v>337</v>
      </c>
      <c r="F449" s="4" t="s">
        <v>1248</v>
      </c>
      <c r="I449" s="4" t="s">
        <v>395</v>
      </c>
      <c r="J449" s="4" t="s">
        <v>1498</v>
      </c>
      <c r="K449" s="4"/>
      <c r="L449" s="4" t="s">
        <v>293</v>
      </c>
    </row>
    <row r="450" hidden="1">
      <c r="A450" s="67" t="str">
        <f t="shared" si="1"/>
        <v>Sun</v>
      </c>
      <c r="B450" s="69">
        <v>43443.0</v>
      </c>
      <c r="D450" s="176">
        <v>340.0</v>
      </c>
      <c r="E450" s="4" t="s">
        <v>337</v>
      </c>
      <c r="F450" s="4" t="s">
        <v>1248</v>
      </c>
      <c r="I450" s="4" t="s">
        <v>395</v>
      </c>
      <c r="J450" s="4" t="s">
        <v>1498</v>
      </c>
      <c r="K450" s="4"/>
      <c r="L450" s="4" t="s">
        <v>293</v>
      </c>
    </row>
    <row r="451" hidden="1">
      <c r="A451" s="67" t="str">
        <f t="shared" si="1"/>
        <v>Mon</v>
      </c>
      <c r="B451" s="69">
        <v>43444.0</v>
      </c>
      <c r="D451" s="176">
        <v>340.0</v>
      </c>
      <c r="E451" s="4" t="s">
        <v>337</v>
      </c>
      <c r="F451" s="4" t="s">
        <v>1248</v>
      </c>
      <c r="I451" s="4" t="s">
        <v>395</v>
      </c>
      <c r="J451" s="4" t="s">
        <v>1498</v>
      </c>
      <c r="K451" s="4"/>
      <c r="L451" s="4" t="s">
        <v>293</v>
      </c>
    </row>
    <row r="452" hidden="1">
      <c r="A452" s="67" t="str">
        <f t="shared" si="1"/>
        <v>Tue</v>
      </c>
      <c r="B452" s="69">
        <v>43445.0</v>
      </c>
      <c r="D452" s="176">
        <v>340.0</v>
      </c>
      <c r="E452" s="4" t="s">
        <v>337</v>
      </c>
      <c r="F452" s="4" t="s">
        <v>1248</v>
      </c>
      <c r="I452" s="4" t="s">
        <v>395</v>
      </c>
      <c r="J452" s="4" t="s">
        <v>1498</v>
      </c>
      <c r="K452" s="4"/>
      <c r="L452" s="4" t="s">
        <v>293</v>
      </c>
    </row>
    <row r="453" hidden="1">
      <c r="A453" s="67" t="str">
        <f t="shared" si="1"/>
        <v>Wed</v>
      </c>
      <c r="B453" s="69">
        <v>43446.0</v>
      </c>
      <c r="D453" s="176">
        <v>340.0</v>
      </c>
      <c r="E453" s="4" t="s">
        <v>337</v>
      </c>
      <c r="F453" s="4" t="s">
        <v>1248</v>
      </c>
      <c r="I453" s="4" t="s">
        <v>395</v>
      </c>
      <c r="J453" s="4" t="s">
        <v>1498</v>
      </c>
      <c r="K453" s="4"/>
      <c r="L453" s="4" t="s">
        <v>293</v>
      </c>
    </row>
    <row r="454" hidden="1">
      <c r="A454" s="67" t="str">
        <f t="shared" si="1"/>
        <v>Thu</v>
      </c>
      <c r="B454" s="69">
        <v>43447.0</v>
      </c>
      <c r="D454" s="175">
        <v>339.4642857142857</v>
      </c>
      <c r="E454" s="4" t="s">
        <v>222</v>
      </c>
      <c r="F454" s="4" t="s">
        <v>1507</v>
      </c>
      <c r="G454" s="4" t="s">
        <v>1507</v>
      </c>
      <c r="H454" s="4" t="s">
        <v>1248</v>
      </c>
      <c r="I454" s="4" t="s">
        <v>395</v>
      </c>
      <c r="K454" s="4"/>
      <c r="L454" s="4" t="s">
        <v>225</v>
      </c>
    </row>
    <row r="455" hidden="1">
      <c r="A455" s="67" t="str">
        <f t="shared" si="1"/>
        <v>Fri</v>
      </c>
      <c r="B455" s="69">
        <v>43448.0</v>
      </c>
      <c r="D455" s="175">
        <v>339.4642857142857</v>
      </c>
      <c r="E455" s="4" t="s">
        <v>222</v>
      </c>
      <c r="F455" s="4" t="s">
        <v>1507</v>
      </c>
      <c r="I455" s="4" t="s">
        <v>395</v>
      </c>
    </row>
    <row r="456" hidden="1">
      <c r="A456" s="67" t="str">
        <f t="shared" si="1"/>
        <v>Sat</v>
      </c>
      <c r="B456" s="69">
        <v>43449.0</v>
      </c>
      <c r="D456" s="175">
        <v>339.4642857142857</v>
      </c>
      <c r="E456" s="4" t="s">
        <v>222</v>
      </c>
      <c r="F456" s="4" t="s">
        <v>1507</v>
      </c>
      <c r="I456" s="4" t="s">
        <v>395</v>
      </c>
    </row>
    <row r="457" hidden="1">
      <c r="A457" s="67" t="str">
        <f t="shared" si="1"/>
        <v>Sun</v>
      </c>
      <c r="B457" s="69">
        <v>43450.0</v>
      </c>
      <c r="D457" s="175">
        <v>339.4642857142857</v>
      </c>
      <c r="E457" s="4" t="s">
        <v>222</v>
      </c>
      <c r="F457" s="4" t="s">
        <v>1507</v>
      </c>
      <c r="I457" s="4" t="s">
        <v>395</v>
      </c>
    </row>
    <row r="458" hidden="1">
      <c r="A458" s="67" t="str">
        <f t="shared" si="1"/>
        <v>Mon</v>
      </c>
      <c r="B458" s="69">
        <v>43451.0</v>
      </c>
      <c r="D458" s="175">
        <v>339.4642857142857</v>
      </c>
      <c r="E458" s="4" t="s">
        <v>222</v>
      </c>
      <c r="F458" s="4" t="s">
        <v>1507</v>
      </c>
      <c r="I458" s="4" t="s">
        <v>395</v>
      </c>
    </row>
    <row r="459" hidden="1">
      <c r="A459" s="67" t="str">
        <f t="shared" si="1"/>
        <v>Tue</v>
      </c>
      <c r="B459" s="69">
        <v>43452.0</v>
      </c>
      <c r="D459" s="175">
        <v>339.4642857142857</v>
      </c>
      <c r="E459" s="4" t="s">
        <v>222</v>
      </c>
      <c r="F459" s="4" t="s">
        <v>1507</v>
      </c>
      <c r="I459" s="4" t="s">
        <v>395</v>
      </c>
    </row>
    <row r="460" hidden="1">
      <c r="A460" s="67" t="str">
        <f t="shared" si="1"/>
        <v>Wed</v>
      </c>
      <c r="B460" s="69">
        <v>43453.0</v>
      </c>
      <c r="D460" s="175">
        <v>339.4642857142857</v>
      </c>
      <c r="E460" s="4" t="s">
        <v>222</v>
      </c>
      <c r="F460" s="4" t="s">
        <v>1507</v>
      </c>
      <c r="I460" s="4" t="s">
        <v>395</v>
      </c>
    </row>
    <row r="461" hidden="1">
      <c r="A461" s="67" t="str">
        <f t="shared" si="1"/>
        <v>Thu</v>
      </c>
      <c r="B461" s="69">
        <v>43454.0</v>
      </c>
      <c r="D461" s="176">
        <v>242.5</v>
      </c>
      <c r="E461" s="4" t="s">
        <v>222</v>
      </c>
      <c r="F461" s="4" t="s">
        <v>1508</v>
      </c>
      <c r="G461" s="4" t="s">
        <v>1508</v>
      </c>
      <c r="H461" s="4" t="s">
        <v>1507</v>
      </c>
      <c r="I461" s="4" t="s">
        <v>395</v>
      </c>
      <c r="K461" s="4"/>
      <c r="L461" s="4" t="s">
        <v>293</v>
      </c>
    </row>
    <row r="462" hidden="1">
      <c r="A462" s="67" t="str">
        <f t="shared" si="1"/>
        <v>Fri</v>
      </c>
      <c r="B462" s="69">
        <v>43455.0</v>
      </c>
      <c r="D462" s="176">
        <v>581.25</v>
      </c>
      <c r="E462" s="4" t="s">
        <v>337</v>
      </c>
      <c r="F462" s="4" t="s">
        <v>1512</v>
      </c>
      <c r="G462" s="4" t="s">
        <v>1512</v>
      </c>
      <c r="H462" s="4" t="s">
        <v>1508</v>
      </c>
      <c r="I462" s="4" t="s">
        <v>395</v>
      </c>
      <c r="K462" s="4"/>
      <c r="L462" s="4" t="s">
        <v>293</v>
      </c>
    </row>
    <row r="463" hidden="1">
      <c r="A463" s="67" t="str">
        <f t="shared" si="1"/>
        <v>Sat</v>
      </c>
      <c r="B463" s="69">
        <v>43456.0</v>
      </c>
      <c r="C463" s="4" t="s">
        <v>638</v>
      </c>
      <c r="D463" s="176">
        <v>581.25</v>
      </c>
      <c r="E463" s="4" t="s">
        <v>337</v>
      </c>
      <c r="F463" s="4" t="s">
        <v>1512</v>
      </c>
      <c r="I463" s="4" t="s">
        <v>395</v>
      </c>
      <c r="J463" s="4" t="s">
        <v>1515</v>
      </c>
    </row>
    <row r="464" hidden="1">
      <c r="A464" s="67" t="str">
        <f t="shared" si="1"/>
        <v>Sun</v>
      </c>
      <c r="B464" s="69">
        <v>43457.0</v>
      </c>
      <c r="C464" s="4" t="s">
        <v>638</v>
      </c>
      <c r="D464" s="176">
        <v>581.25</v>
      </c>
      <c r="E464" s="4" t="s">
        <v>337</v>
      </c>
      <c r="F464" s="4" t="s">
        <v>1512</v>
      </c>
      <c r="I464" s="4" t="s">
        <v>395</v>
      </c>
      <c r="J464" s="4" t="s">
        <v>1515</v>
      </c>
    </row>
    <row r="465" hidden="1">
      <c r="A465" s="67" t="str">
        <f t="shared" si="1"/>
        <v>Mon</v>
      </c>
      <c r="B465" s="69">
        <v>43458.0</v>
      </c>
      <c r="C465" s="4" t="s">
        <v>638</v>
      </c>
      <c r="D465" s="176">
        <v>581.25</v>
      </c>
      <c r="E465" s="4" t="s">
        <v>337</v>
      </c>
      <c r="F465" s="4" t="s">
        <v>1512</v>
      </c>
      <c r="I465" s="4" t="s">
        <v>395</v>
      </c>
      <c r="J465" s="4" t="s">
        <v>1515</v>
      </c>
    </row>
    <row r="466" hidden="1">
      <c r="A466" s="67" t="str">
        <f t="shared" si="1"/>
        <v>Tue</v>
      </c>
      <c r="B466" s="69">
        <v>43459.0</v>
      </c>
      <c r="C466" s="4" t="s">
        <v>638</v>
      </c>
      <c r="D466" s="176">
        <v>581.25</v>
      </c>
      <c r="E466" s="4" t="s">
        <v>337</v>
      </c>
      <c r="F466" s="4" t="s">
        <v>1512</v>
      </c>
      <c r="I466" s="4" t="s">
        <v>395</v>
      </c>
      <c r="J466" s="4" t="s">
        <v>1515</v>
      </c>
    </row>
    <row r="467" hidden="1">
      <c r="A467" s="67" t="str">
        <f t="shared" si="1"/>
        <v>Wed</v>
      </c>
      <c r="B467" s="69">
        <v>43460.0</v>
      </c>
      <c r="D467" s="176">
        <v>581.25</v>
      </c>
      <c r="E467" s="4" t="s">
        <v>337</v>
      </c>
      <c r="F467" s="4" t="s">
        <v>1512</v>
      </c>
      <c r="I467" s="4" t="s">
        <v>395</v>
      </c>
      <c r="J467" s="4" t="s">
        <v>1515</v>
      </c>
    </row>
    <row r="468" hidden="1">
      <c r="A468" s="67" t="str">
        <f t="shared" si="1"/>
        <v>Thu</v>
      </c>
      <c r="B468" s="69">
        <v>43461.0</v>
      </c>
      <c r="D468" s="176">
        <v>581.25</v>
      </c>
      <c r="E468" s="4" t="s">
        <v>337</v>
      </c>
      <c r="F468" s="4" t="s">
        <v>1512</v>
      </c>
      <c r="I468" s="4" t="s">
        <v>395</v>
      </c>
      <c r="J468" s="4" t="s">
        <v>1515</v>
      </c>
    </row>
    <row r="469" hidden="1">
      <c r="A469" s="67" t="str">
        <f t="shared" si="1"/>
        <v>Fri</v>
      </c>
      <c r="B469" s="69">
        <v>43462.0</v>
      </c>
      <c r="C469" s="4" t="s">
        <v>638</v>
      </c>
      <c r="D469" s="176">
        <v>581.25</v>
      </c>
      <c r="E469" s="4" t="s">
        <v>337</v>
      </c>
      <c r="F469" s="4" t="s">
        <v>1512</v>
      </c>
      <c r="I469" s="4" t="s">
        <v>395</v>
      </c>
    </row>
    <row r="470" hidden="1">
      <c r="A470" s="67" t="str">
        <f t="shared" si="1"/>
        <v>Sat</v>
      </c>
      <c r="B470" s="69">
        <v>43463.0</v>
      </c>
      <c r="C470" s="4" t="s">
        <v>638</v>
      </c>
      <c r="D470" s="176">
        <v>1455.0</v>
      </c>
      <c r="E470" s="4" t="s">
        <v>222</v>
      </c>
      <c r="F470" s="4" t="s">
        <v>1521</v>
      </c>
      <c r="G470" s="4" t="s">
        <v>1521</v>
      </c>
      <c r="H470" s="4" t="s">
        <v>1512</v>
      </c>
      <c r="I470" s="4" t="s">
        <v>395</v>
      </c>
      <c r="K470" s="4"/>
      <c r="L470" s="4" t="s">
        <v>293</v>
      </c>
    </row>
    <row r="471" hidden="1">
      <c r="A471" s="67" t="str">
        <f t="shared" si="1"/>
        <v>Sun</v>
      </c>
      <c r="B471" s="69">
        <v>43464.0</v>
      </c>
      <c r="C471" s="4" t="s">
        <v>638</v>
      </c>
      <c r="D471" s="176">
        <v>1455.0</v>
      </c>
      <c r="E471" s="4" t="s">
        <v>222</v>
      </c>
      <c r="F471" s="4" t="s">
        <v>1521</v>
      </c>
      <c r="I471" s="4" t="s">
        <v>395</v>
      </c>
    </row>
    <row r="472" hidden="1">
      <c r="A472" s="67" t="str">
        <f t="shared" si="1"/>
        <v>Mon</v>
      </c>
      <c r="B472" s="69">
        <v>43465.0</v>
      </c>
      <c r="C472" s="4" t="s">
        <v>638</v>
      </c>
      <c r="D472" s="176">
        <v>1455.0</v>
      </c>
      <c r="E472" s="4" t="s">
        <v>222</v>
      </c>
      <c r="F472" s="4" t="s">
        <v>1521</v>
      </c>
      <c r="I472" s="4" t="s">
        <v>395</v>
      </c>
    </row>
    <row r="473" hidden="1">
      <c r="A473" s="67" t="str">
        <f t="shared" si="1"/>
        <v>Tue</v>
      </c>
      <c r="B473" s="69">
        <v>43466.0</v>
      </c>
      <c r="C473" s="4" t="s">
        <v>638</v>
      </c>
      <c r="D473" s="176">
        <v>1455.0</v>
      </c>
      <c r="E473" s="4" t="s">
        <v>222</v>
      </c>
      <c r="F473" s="4" t="s">
        <v>1521</v>
      </c>
      <c r="I473" s="4" t="s">
        <v>395</v>
      </c>
    </row>
    <row r="474" hidden="1">
      <c r="A474" s="67" t="str">
        <f t="shared" si="1"/>
        <v>Wed</v>
      </c>
      <c r="B474" s="69">
        <v>43467.0</v>
      </c>
      <c r="C474" s="4"/>
      <c r="D474" s="176">
        <v>1455.0</v>
      </c>
      <c r="E474" s="4" t="s">
        <v>222</v>
      </c>
      <c r="F474" s="4" t="s">
        <v>1521</v>
      </c>
      <c r="I474" s="4" t="s">
        <v>395</v>
      </c>
    </row>
    <row r="475" hidden="1">
      <c r="A475" s="67" t="str">
        <f t="shared" si="1"/>
        <v>Thu</v>
      </c>
      <c r="B475" s="69">
        <v>43468.0</v>
      </c>
      <c r="C475" s="4"/>
      <c r="D475" s="176">
        <v>950.5999999999999</v>
      </c>
      <c r="E475" s="4" t="s">
        <v>222</v>
      </c>
      <c r="F475" s="4" t="s">
        <v>1527</v>
      </c>
      <c r="G475" s="4" t="s">
        <v>1527</v>
      </c>
      <c r="H475" s="4" t="s">
        <v>1521</v>
      </c>
      <c r="I475" s="4" t="s">
        <v>395</v>
      </c>
      <c r="K475" s="4"/>
      <c r="L475" s="4" t="s">
        <v>293</v>
      </c>
      <c r="R475" s="4" t="s">
        <v>1528</v>
      </c>
      <c r="S475" s="4"/>
    </row>
    <row r="476" hidden="1">
      <c r="A476" s="67" t="str">
        <f t="shared" si="1"/>
        <v>Fri</v>
      </c>
      <c r="B476" s="69">
        <v>43469.0</v>
      </c>
      <c r="C476" s="4"/>
      <c r="D476" s="176">
        <v>950.5999999999999</v>
      </c>
      <c r="E476" s="4" t="s">
        <v>222</v>
      </c>
      <c r="F476" s="4" t="s">
        <v>1527</v>
      </c>
      <c r="I476" s="4" t="s">
        <v>395</v>
      </c>
    </row>
    <row r="477" hidden="1">
      <c r="A477" s="67" t="str">
        <f t="shared" si="1"/>
        <v>Sat</v>
      </c>
      <c r="B477" s="69">
        <v>43470.0</v>
      </c>
      <c r="D477" s="176">
        <v>950.5999999999999</v>
      </c>
      <c r="E477" s="4" t="s">
        <v>222</v>
      </c>
      <c r="F477" s="4" t="s">
        <v>1527</v>
      </c>
      <c r="I477" s="4" t="s">
        <v>395</v>
      </c>
    </row>
    <row r="478" hidden="1">
      <c r="A478" s="67" t="str">
        <f t="shared" si="1"/>
        <v>Sun</v>
      </c>
      <c r="B478" s="69">
        <v>43471.0</v>
      </c>
      <c r="D478" s="176">
        <v>950.5999999999999</v>
      </c>
      <c r="E478" s="4" t="s">
        <v>222</v>
      </c>
      <c r="F478" s="4" t="s">
        <v>1527</v>
      </c>
      <c r="I478" s="4" t="s">
        <v>395</v>
      </c>
    </row>
    <row r="479" hidden="1">
      <c r="A479" s="67" t="str">
        <f t="shared" si="1"/>
        <v>Mon</v>
      </c>
      <c r="B479" s="69">
        <v>43472.0</v>
      </c>
      <c r="C479" s="4"/>
      <c r="D479" s="176">
        <v>950.5999999999999</v>
      </c>
      <c r="E479" s="4" t="s">
        <v>222</v>
      </c>
      <c r="F479" s="4" t="s">
        <v>1527</v>
      </c>
      <c r="I479" s="4" t="s">
        <v>395</v>
      </c>
    </row>
    <row r="480" hidden="1">
      <c r="A480" s="67" t="str">
        <f t="shared" si="1"/>
        <v>Tue</v>
      </c>
      <c r="B480" s="69">
        <v>43473.0</v>
      </c>
      <c r="C480" s="4"/>
      <c r="D480" s="176">
        <v>950.5999999999999</v>
      </c>
      <c r="E480" s="4" t="s">
        <v>222</v>
      </c>
      <c r="F480" s="4" t="s">
        <v>1527</v>
      </c>
      <c r="I480" s="4" t="s">
        <v>395</v>
      </c>
    </row>
    <row r="481" hidden="1">
      <c r="A481" s="67" t="str">
        <f t="shared" si="1"/>
        <v>Wed</v>
      </c>
      <c r="B481" s="69">
        <v>43474.0</v>
      </c>
      <c r="C481" s="4"/>
      <c r="D481" s="176">
        <v>950.5999999999999</v>
      </c>
      <c r="E481" s="4" t="s">
        <v>222</v>
      </c>
      <c r="F481" s="4" t="s">
        <v>1527</v>
      </c>
      <c r="I481" s="4" t="s">
        <v>395</v>
      </c>
    </row>
    <row r="482" hidden="1">
      <c r="A482" s="67" t="str">
        <f t="shared" si="1"/>
        <v>Thu</v>
      </c>
      <c r="B482" s="69">
        <v>43475.0</v>
      </c>
      <c r="C482" s="4"/>
      <c r="D482" s="176">
        <v>950.5999999999999</v>
      </c>
      <c r="E482" s="4" t="s">
        <v>222</v>
      </c>
      <c r="F482" s="4" t="s">
        <v>1527</v>
      </c>
      <c r="I482" s="4" t="s">
        <v>395</v>
      </c>
    </row>
    <row r="483" hidden="1">
      <c r="A483" s="67" t="str">
        <f t="shared" si="1"/>
        <v>Fri</v>
      </c>
      <c r="B483" s="69">
        <v>43476.0</v>
      </c>
      <c r="C483" s="4"/>
      <c r="D483" s="176">
        <v>950.5999999999999</v>
      </c>
      <c r="E483" s="4" t="s">
        <v>222</v>
      </c>
      <c r="F483" s="4" t="s">
        <v>1527</v>
      </c>
      <c r="I483" s="4" t="s">
        <v>395</v>
      </c>
    </row>
    <row r="484" hidden="1">
      <c r="A484" s="67" t="str">
        <f t="shared" si="1"/>
        <v>Sat</v>
      </c>
      <c r="B484" s="69">
        <v>43477.0</v>
      </c>
      <c r="D484" s="194">
        <v>890.0</v>
      </c>
      <c r="E484" s="4" t="s">
        <v>337</v>
      </c>
      <c r="F484" s="4" t="s">
        <v>1531</v>
      </c>
      <c r="G484" s="4" t="s">
        <v>1531</v>
      </c>
      <c r="I484" s="4" t="s">
        <v>395</v>
      </c>
      <c r="K484" s="4" t="s">
        <v>231</v>
      </c>
      <c r="L484" s="4" t="s">
        <v>225</v>
      </c>
      <c r="M484" s="4" t="s">
        <v>749</v>
      </c>
      <c r="N484" s="4" t="s">
        <v>1532</v>
      </c>
      <c r="O484" s="4" t="s">
        <v>1533</v>
      </c>
    </row>
    <row r="485" hidden="1">
      <c r="A485" s="67" t="str">
        <f t="shared" si="1"/>
        <v>Sun</v>
      </c>
      <c r="B485" s="69">
        <v>43478.0</v>
      </c>
      <c r="D485" s="193">
        <v>600.0</v>
      </c>
      <c r="E485" s="4" t="s">
        <v>337</v>
      </c>
      <c r="F485" s="4" t="s">
        <v>1531</v>
      </c>
      <c r="H485" s="4" t="s">
        <v>1531</v>
      </c>
      <c r="I485" s="4" t="s">
        <v>395</v>
      </c>
    </row>
    <row r="486" hidden="1">
      <c r="A486" s="67" t="str">
        <f t="shared" si="1"/>
        <v>Mon</v>
      </c>
      <c r="B486" s="69">
        <v>43479.0</v>
      </c>
      <c r="D486" s="193">
        <v>700.0</v>
      </c>
      <c r="E486" s="4" t="s">
        <v>337</v>
      </c>
      <c r="F486" s="4" t="s">
        <v>1534</v>
      </c>
      <c r="G486" s="4" t="s">
        <v>1534</v>
      </c>
      <c r="I486" s="4" t="s">
        <v>359</v>
      </c>
      <c r="J486" s="4" t="s">
        <v>1535</v>
      </c>
      <c r="K486" s="4" t="s">
        <v>231</v>
      </c>
      <c r="L486" s="4" t="s">
        <v>225</v>
      </c>
      <c r="M486" s="4" t="s">
        <v>1536</v>
      </c>
      <c r="N486" s="4" t="s">
        <v>1537</v>
      </c>
      <c r="O486" s="4" t="s">
        <v>1538</v>
      </c>
    </row>
    <row r="487" hidden="1">
      <c r="A487" s="67" t="str">
        <f t="shared" si="1"/>
        <v>Tue</v>
      </c>
      <c r="B487" s="69">
        <v>43480.0</v>
      </c>
      <c r="D487" s="193">
        <v>700.0</v>
      </c>
      <c r="E487" s="4" t="s">
        <v>337</v>
      </c>
      <c r="F487" s="4" t="s">
        <v>1534</v>
      </c>
      <c r="I487" s="4" t="s">
        <v>359</v>
      </c>
    </row>
    <row r="488" hidden="1">
      <c r="A488" s="67" t="str">
        <f t="shared" si="1"/>
        <v>Wed</v>
      </c>
      <c r="B488" s="69">
        <v>43481.0</v>
      </c>
      <c r="D488" s="193">
        <v>700.0</v>
      </c>
      <c r="E488" s="4" t="s">
        <v>337</v>
      </c>
      <c r="F488" s="4" t="s">
        <v>1534</v>
      </c>
      <c r="I488" s="4" t="s">
        <v>359</v>
      </c>
    </row>
    <row r="489" hidden="1">
      <c r="A489" s="67" t="str">
        <f t="shared" si="1"/>
        <v>Thu</v>
      </c>
      <c r="B489" s="69">
        <v>43482.0</v>
      </c>
      <c r="D489" s="194">
        <v>600.0</v>
      </c>
      <c r="E489" s="4" t="s">
        <v>337</v>
      </c>
      <c r="F489" s="4" t="s">
        <v>328</v>
      </c>
      <c r="G489" s="4" t="s">
        <v>328</v>
      </c>
      <c r="H489" s="4" t="s">
        <v>1534</v>
      </c>
      <c r="I489" s="4" t="s">
        <v>395</v>
      </c>
      <c r="J489" s="4" t="s">
        <v>1535</v>
      </c>
      <c r="K489" s="4" t="s">
        <v>231</v>
      </c>
      <c r="L489" s="4" t="s">
        <v>225</v>
      </c>
      <c r="M489" s="4" t="s">
        <v>329</v>
      </c>
      <c r="N489" s="4" t="s">
        <v>330</v>
      </c>
      <c r="O489" s="4" t="s">
        <v>331</v>
      </c>
      <c r="Q489" s="4" t="s">
        <v>332</v>
      </c>
      <c r="R489" s="167" t="s">
        <v>333</v>
      </c>
      <c r="S489" s="4"/>
    </row>
    <row r="490" hidden="1">
      <c r="A490" s="67" t="str">
        <f t="shared" si="1"/>
        <v>Fri</v>
      </c>
      <c r="B490" s="69">
        <v>43483.0</v>
      </c>
      <c r="D490" s="172">
        <v>790.55</v>
      </c>
      <c r="E490" s="4" t="s">
        <v>222</v>
      </c>
      <c r="F490" s="4" t="s">
        <v>1544</v>
      </c>
      <c r="G490" s="4" t="s">
        <v>1544</v>
      </c>
      <c r="H490" s="4" t="s">
        <v>328</v>
      </c>
      <c r="I490" s="4" t="s">
        <v>395</v>
      </c>
      <c r="K490" s="4"/>
      <c r="L490" s="4" t="s">
        <v>225</v>
      </c>
    </row>
    <row r="491" hidden="1">
      <c r="A491" s="67" t="str">
        <f t="shared" si="1"/>
        <v>Sat</v>
      </c>
      <c r="B491" s="69">
        <v>43484.0</v>
      </c>
      <c r="D491" s="172">
        <v>790.55</v>
      </c>
      <c r="E491" s="4" t="s">
        <v>222</v>
      </c>
      <c r="F491" s="4" t="s">
        <v>1544</v>
      </c>
      <c r="I491" s="4" t="s">
        <v>395</v>
      </c>
    </row>
    <row r="492" hidden="1">
      <c r="A492" s="67" t="str">
        <f t="shared" si="1"/>
        <v>Sun</v>
      </c>
      <c r="B492" s="69">
        <v>43485.0</v>
      </c>
      <c r="D492" s="172">
        <v>790.55</v>
      </c>
      <c r="E492" s="4" t="s">
        <v>222</v>
      </c>
      <c r="F492" s="4" t="s">
        <v>1544</v>
      </c>
      <c r="I492" s="4" t="s">
        <v>395</v>
      </c>
    </row>
    <row r="493" hidden="1">
      <c r="A493" s="67" t="str">
        <f t="shared" si="1"/>
        <v>Mon</v>
      </c>
      <c r="B493" s="69">
        <v>43486.0</v>
      </c>
      <c r="D493" s="172">
        <v>790.55</v>
      </c>
      <c r="E493" s="4" t="s">
        <v>222</v>
      </c>
      <c r="F493" s="4" t="s">
        <v>1544</v>
      </c>
      <c r="I493" s="4" t="s">
        <v>395</v>
      </c>
    </row>
    <row r="494" hidden="1">
      <c r="A494" s="67" t="str">
        <f t="shared" si="1"/>
        <v>Tue</v>
      </c>
      <c r="B494" s="69">
        <v>43487.0</v>
      </c>
      <c r="D494" s="172">
        <v>790.55</v>
      </c>
      <c r="E494" s="4" t="s">
        <v>222</v>
      </c>
      <c r="F494" s="4" t="s">
        <v>1544</v>
      </c>
      <c r="I494" s="4" t="s">
        <v>395</v>
      </c>
    </row>
    <row r="495" hidden="1">
      <c r="A495" s="67" t="str">
        <f t="shared" si="1"/>
        <v>Wed</v>
      </c>
      <c r="B495" s="69">
        <v>43488.0</v>
      </c>
      <c r="D495" s="172">
        <v>790.55</v>
      </c>
      <c r="E495" s="4" t="s">
        <v>222</v>
      </c>
      <c r="F495" s="4" t="s">
        <v>1544</v>
      </c>
      <c r="I495" s="4" t="s">
        <v>395</v>
      </c>
    </row>
    <row r="496" hidden="1">
      <c r="A496" s="67" t="str">
        <f t="shared" si="1"/>
        <v>Thu</v>
      </c>
      <c r="B496" s="69">
        <v>43489.0</v>
      </c>
      <c r="D496" s="172">
        <v>790.55</v>
      </c>
      <c r="E496" s="4" t="s">
        <v>222</v>
      </c>
      <c r="F496" s="4" t="s">
        <v>1544</v>
      </c>
      <c r="I496" s="4" t="s">
        <v>395</v>
      </c>
    </row>
    <row r="497" hidden="1">
      <c r="A497" s="67" t="str">
        <f t="shared" si="1"/>
        <v>Fri</v>
      </c>
      <c r="B497" s="69">
        <v>43490.0</v>
      </c>
      <c r="D497" s="172">
        <v>790.55</v>
      </c>
      <c r="E497" s="4" t="s">
        <v>222</v>
      </c>
      <c r="F497" s="4" t="s">
        <v>1544</v>
      </c>
      <c r="I497" s="4" t="s">
        <v>395</v>
      </c>
    </row>
    <row r="498" hidden="1">
      <c r="A498" s="67" t="str">
        <f t="shared" si="1"/>
        <v>Sat</v>
      </c>
      <c r="B498" s="69">
        <v>43491.0</v>
      </c>
      <c r="D498" s="172">
        <v>790.55</v>
      </c>
      <c r="E498" s="4" t="s">
        <v>222</v>
      </c>
      <c r="F498" s="4" t="s">
        <v>1544</v>
      </c>
      <c r="I498" s="4" t="s">
        <v>395</v>
      </c>
    </row>
    <row r="499" hidden="1">
      <c r="A499" s="67" t="str">
        <f t="shared" si="1"/>
        <v>Sun</v>
      </c>
      <c r="B499" s="69">
        <v>43492.0</v>
      </c>
      <c r="D499" s="194">
        <v>436.5</v>
      </c>
      <c r="E499" s="4" t="s">
        <v>222</v>
      </c>
      <c r="F499" s="4" t="s">
        <v>1550</v>
      </c>
      <c r="G499" s="4" t="s">
        <v>1550</v>
      </c>
      <c r="H499" s="4" t="s">
        <v>1544</v>
      </c>
      <c r="I499" s="4" t="s">
        <v>359</v>
      </c>
      <c r="K499" s="4" t="s">
        <v>231</v>
      </c>
      <c r="L499" s="4" t="s">
        <v>293</v>
      </c>
    </row>
    <row r="500" hidden="1">
      <c r="A500" s="67" t="str">
        <f t="shared" si="1"/>
        <v>Mon</v>
      </c>
      <c r="B500" s="69">
        <v>43493.0</v>
      </c>
      <c r="D500" s="194">
        <v>436.5</v>
      </c>
      <c r="E500" s="4" t="s">
        <v>222</v>
      </c>
      <c r="F500" s="4" t="s">
        <v>1551</v>
      </c>
      <c r="G500" s="4" t="s">
        <v>1551</v>
      </c>
      <c r="H500" s="4" t="s">
        <v>1550</v>
      </c>
      <c r="I500" s="4" t="s">
        <v>359</v>
      </c>
      <c r="K500" s="4" t="s">
        <v>231</v>
      </c>
      <c r="L500" s="4" t="s">
        <v>225</v>
      </c>
      <c r="M500" s="4" t="s">
        <v>1552</v>
      </c>
      <c r="N500" s="4" t="s">
        <v>1554</v>
      </c>
      <c r="O500" s="4" t="s">
        <v>1555</v>
      </c>
      <c r="Q500" s="4" t="s">
        <v>1556</v>
      </c>
      <c r="R500" s="4" t="s">
        <v>1557</v>
      </c>
      <c r="S500" s="4"/>
    </row>
    <row r="501" hidden="1">
      <c r="A501" s="67" t="str">
        <f t="shared" si="1"/>
        <v>Tue</v>
      </c>
      <c r="B501" s="69">
        <v>43494.0</v>
      </c>
      <c r="D501" s="194">
        <v>436.5</v>
      </c>
      <c r="E501" s="4" t="s">
        <v>222</v>
      </c>
      <c r="F501" s="4" t="s">
        <v>1551</v>
      </c>
      <c r="I501" s="4" t="s">
        <v>359</v>
      </c>
    </row>
    <row r="502" hidden="1">
      <c r="A502" s="67" t="str">
        <f t="shared" si="1"/>
        <v>Wed</v>
      </c>
      <c r="B502" s="69">
        <v>43495.0</v>
      </c>
      <c r="D502" s="193">
        <v>405.0</v>
      </c>
      <c r="E502" s="4" t="s">
        <v>337</v>
      </c>
      <c r="F502" s="4" t="s">
        <v>1561</v>
      </c>
      <c r="G502" s="4" t="s">
        <v>1561</v>
      </c>
      <c r="H502" s="4" t="s">
        <v>1551</v>
      </c>
      <c r="I502" s="4" t="s">
        <v>395</v>
      </c>
      <c r="J502" s="4" t="s">
        <v>1562</v>
      </c>
      <c r="K502" s="4" t="s">
        <v>231</v>
      </c>
      <c r="L502" s="4" t="s">
        <v>225</v>
      </c>
      <c r="M502" s="4" t="s">
        <v>1563</v>
      </c>
      <c r="R502" s="167" t="s">
        <v>1564</v>
      </c>
      <c r="S502" s="4"/>
    </row>
    <row r="503" hidden="1">
      <c r="A503" s="67" t="str">
        <f t="shared" si="1"/>
        <v>Thu</v>
      </c>
      <c r="B503" s="69">
        <v>43496.0</v>
      </c>
      <c r="D503" s="193">
        <v>405.0</v>
      </c>
      <c r="E503" s="4" t="s">
        <v>337</v>
      </c>
      <c r="F503" s="4" t="s">
        <v>1561</v>
      </c>
      <c r="I503" s="4" t="s">
        <v>395</v>
      </c>
    </row>
    <row r="504" hidden="1">
      <c r="A504" s="67" t="str">
        <f t="shared" si="1"/>
        <v>Fri</v>
      </c>
      <c r="B504" s="69">
        <v>43497.0</v>
      </c>
      <c r="D504" s="193">
        <v>405.0</v>
      </c>
      <c r="E504" s="4" t="s">
        <v>337</v>
      </c>
      <c r="F504" s="4" t="s">
        <v>1561</v>
      </c>
      <c r="I504" s="4" t="s">
        <v>395</v>
      </c>
    </row>
    <row r="505" hidden="1">
      <c r="A505" s="67" t="str">
        <f t="shared" si="1"/>
        <v>Sat</v>
      </c>
      <c r="B505" s="69">
        <v>43498.0</v>
      </c>
      <c r="D505" s="193">
        <v>405.0</v>
      </c>
      <c r="E505" s="4" t="s">
        <v>337</v>
      </c>
      <c r="F505" s="4" t="s">
        <v>1561</v>
      </c>
      <c r="I505" s="4" t="s">
        <v>395</v>
      </c>
    </row>
    <row r="506" hidden="1">
      <c r="A506" s="67" t="str">
        <f t="shared" si="1"/>
        <v>Sun</v>
      </c>
      <c r="B506" s="69">
        <v>43499.0</v>
      </c>
      <c r="D506" s="193">
        <v>338.53</v>
      </c>
      <c r="E506" s="4" t="s">
        <v>222</v>
      </c>
      <c r="F506" s="4" t="s">
        <v>1569</v>
      </c>
      <c r="G506" s="4" t="s">
        <v>1569</v>
      </c>
      <c r="H506" s="4" t="s">
        <v>1561</v>
      </c>
      <c r="I506" s="4" t="s">
        <v>395</v>
      </c>
      <c r="L506" s="4" t="s">
        <v>225</v>
      </c>
      <c r="M506" s="4" t="s">
        <v>226</v>
      </c>
      <c r="N506" s="4" t="s">
        <v>232</v>
      </c>
      <c r="O506" s="4" t="s">
        <v>264</v>
      </c>
    </row>
    <row r="507" hidden="1">
      <c r="A507" s="67" t="str">
        <f t="shared" si="1"/>
        <v>Mon</v>
      </c>
      <c r="B507" s="69">
        <v>43500.0</v>
      </c>
      <c r="D507" s="193">
        <v>338.53</v>
      </c>
      <c r="E507" s="4" t="s">
        <v>222</v>
      </c>
      <c r="F507" s="4" t="s">
        <v>1571</v>
      </c>
      <c r="G507" s="4" t="s">
        <v>1571</v>
      </c>
      <c r="H507" s="4" t="s">
        <v>1569</v>
      </c>
      <c r="I507" s="4" t="s">
        <v>359</v>
      </c>
      <c r="L507" s="4" t="s">
        <v>225</v>
      </c>
      <c r="M507" s="4" t="s">
        <v>226</v>
      </c>
      <c r="N507" s="4" t="s">
        <v>232</v>
      </c>
      <c r="O507" s="4" t="s">
        <v>264</v>
      </c>
    </row>
    <row r="508" hidden="1">
      <c r="A508" s="67" t="str">
        <f t="shared" si="1"/>
        <v>Tue</v>
      </c>
      <c r="B508" s="69">
        <v>43501.0</v>
      </c>
      <c r="D508" s="194">
        <v>650.0</v>
      </c>
      <c r="E508" s="4" t="s">
        <v>337</v>
      </c>
      <c r="F508" s="4" t="s">
        <v>1573</v>
      </c>
      <c r="G508" s="4" t="s">
        <v>1573</v>
      </c>
      <c r="H508" s="4" t="s">
        <v>1571</v>
      </c>
      <c r="I508" s="4" t="s">
        <v>395</v>
      </c>
      <c r="K508" s="4" t="s">
        <v>231</v>
      </c>
      <c r="L508" s="4" t="s">
        <v>225</v>
      </c>
      <c r="M508" s="4" t="s">
        <v>1574</v>
      </c>
      <c r="N508" s="4" t="s">
        <v>1575</v>
      </c>
      <c r="Q508" s="4" t="s">
        <v>1576</v>
      </c>
      <c r="R508" s="167" t="s">
        <v>1577</v>
      </c>
      <c r="S508" s="4"/>
    </row>
    <row r="509" hidden="1">
      <c r="A509" s="67" t="str">
        <f t="shared" si="1"/>
        <v>Wed</v>
      </c>
      <c r="B509" s="69">
        <v>43502.0</v>
      </c>
      <c r="D509" s="194">
        <v>650.0</v>
      </c>
      <c r="E509" s="4" t="s">
        <v>337</v>
      </c>
      <c r="F509" s="4" t="s">
        <v>1573</v>
      </c>
      <c r="I509" s="4" t="s">
        <v>395</v>
      </c>
    </row>
    <row r="510" hidden="1">
      <c r="A510" s="67" t="str">
        <f t="shared" si="1"/>
        <v>Thu</v>
      </c>
      <c r="B510" s="69">
        <v>43503.0</v>
      </c>
      <c r="D510" s="194">
        <v>650.0</v>
      </c>
      <c r="E510" s="4" t="s">
        <v>337</v>
      </c>
      <c r="F510" s="4" t="s">
        <v>1573</v>
      </c>
      <c r="I510" s="4" t="s">
        <v>395</v>
      </c>
    </row>
    <row r="511" hidden="1">
      <c r="A511" s="67" t="str">
        <f t="shared" si="1"/>
        <v>Fri</v>
      </c>
      <c r="B511" s="69">
        <v>43504.0</v>
      </c>
      <c r="D511" s="194">
        <v>650.0</v>
      </c>
      <c r="E511" s="4" t="s">
        <v>337</v>
      </c>
      <c r="F511" s="4" t="s">
        <v>1573</v>
      </c>
      <c r="I511" s="4" t="s">
        <v>395</v>
      </c>
    </row>
    <row r="512" hidden="1">
      <c r="A512" s="67" t="str">
        <f t="shared" si="1"/>
        <v>Sat</v>
      </c>
      <c r="B512" s="69">
        <v>43505.0</v>
      </c>
      <c r="D512" s="194">
        <v>650.0</v>
      </c>
      <c r="E512" s="4" t="s">
        <v>337</v>
      </c>
      <c r="F512" s="4" t="s">
        <v>1573</v>
      </c>
      <c r="I512" s="4" t="s">
        <v>395</v>
      </c>
    </row>
    <row r="513" hidden="1">
      <c r="A513" s="67" t="str">
        <f t="shared" si="1"/>
        <v>Sun</v>
      </c>
      <c r="B513" s="69">
        <v>43506.0</v>
      </c>
      <c r="D513" s="194">
        <v>650.0</v>
      </c>
      <c r="E513" s="4" t="s">
        <v>337</v>
      </c>
      <c r="F513" s="4" t="s">
        <v>1573</v>
      </c>
      <c r="I513" s="4" t="s">
        <v>395</v>
      </c>
    </row>
    <row r="514" hidden="1">
      <c r="A514" s="67" t="str">
        <f t="shared" si="1"/>
        <v>Mon</v>
      </c>
      <c r="B514" s="69">
        <v>43507.0</v>
      </c>
      <c r="D514" s="194">
        <v>650.0</v>
      </c>
      <c r="E514" s="4" t="s">
        <v>337</v>
      </c>
      <c r="F514" s="4" t="s">
        <v>1573</v>
      </c>
      <c r="I514" s="4" t="s">
        <v>395</v>
      </c>
    </row>
    <row r="515" hidden="1">
      <c r="A515" s="67" t="str">
        <f t="shared" si="1"/>
        <v>Tue</v>
      </c>
      <c r="B515" s="69">
        <v>43508.0</v>
      </c>
      <c r="D515" s="194">
        <v>650.0</v>
      </c>
      <c r="E515" s="4" t="s">
        <v>337</v>
      </c>
      <c r="F515" s="4" t="s">
        <v>1573</v>
      </c>
      <c r="I515" s="4" t="s">
        <v>395</v>
      </c>
    </row>
    <row r="516" hidden="1">
      <c r="A516" s="67" t="str">
        <f t="shared" si="1"/>
        <v>Wed</v>
      </c>
      <c r="B516" s="69">
        <v>43509.0</v>
      </c>
      <c r="D516" s="194">
        <f>291</f>
        <v>291</v>
      </c>
      <c r="E516" s="4" t="s">
        <v>222</v>
      </c>
      <c r="F516" s="4" t="s">
        <v>1582</v>
      </c>
      <c r="G516" s="4" t="s">
        <v>1582</v>
      </c>
      <c r="H516" s="4" t="s">
        <v>1573</v>
      </c>
      <c r="I516" s="4" t="s">
        <v>359</v>
      </c>
      <c r="J516" s="4" t="s">
        <v>1583</v>
      </c>
      <c r="K516" s="4" t="s">
        <v>231</v>
      </c>
      <c r="L516" s="4" t="s">
        <v>225</v>
      </c>
      <c r="M516" s="4" t="s">
        <v>226</v>
      </c>
      <c r="N516" s="4" t="s">
        <v>232</v>
      </c>
      <c r="O516" s="4" t="s">
        <v>264</v>
      </c>
    </row>
    <row r="517" hidden="1">
      <c r="A517" s="67" t="str">
        <f t="shared" si="1"/>
        <v>Thu</v>
      </c>
      <c r="B517" s="69">
        <v>43510.0</v>
      </c>
      <c r="D517" s="194">
        <f>490+490</f>
        <v>980</v>
      </c>
      <c r="E517" s="4" t="s">
        <v>337</v>
      </c>
      <c r="F517" s="4" t="s">
        <v>1582</v>
      </c>
      <c r="H517" s="4"/>
      <c r="I517" s="4" t="s">
        <v>359</v>
      </c>
    </row>
    <row r="518" hidden="1">
      <c r="A518" s="67" t="str">
        <f t="shared" si="1"/>
        <v>Fri</v>
      </c>
      <c r="B518" s="69">
        <v>43511.0</v>
      </c>
      <c r="D518" s="194">
        <v>490.0</v>
      </c>
      <c r="E518" s="4" t="s">
        <v>337</v>
      </c>
      <c r="F518" s="4" t="s">
        <v>1582</v>
      </c>
      <c r="I518" s="4" t="s">
        <v>359</v>
      </c>
    </row>
    <row r="519" hidden="1">
      <c r="A519" s="67" t="str">
        <f t="shared" si="1"/>
        <v>Sat</v>
      </c>
      <c r="B519" s="69">
        <v>43512.0</v>
      </c>
      <c r="D519" s="194">
        <v>490.0</v>
      </c>
      <c r="E519" s="4" t="s">
        <v>337</v>
      </c>
      <c r="F519" s="4" t="s">
        <v>1582</v>
      </c>
      <c r="I519" s="4" t="s">
        <v>359</v>
      </c>
    </row>
    <row r="520" hidden="1">
      <c r="A520" s="67" t="str">
        <f t="shared" si="1"/>
        <v>Sun</v>
      </c>
      <c r="B520" s="69">
        <v>43513.0</v>
      </c>
      <c r="D520" s="193">
        <v>400.0</v>
      </c>
      <c r="E520" s="4" t="s">
        <v>337</v>
      </c>
      <c r="F520" s="4" t="s">
        <v>1584</v>
      </c>
      <c r="G520" s="4" t="s">
        <v>1584</v>
      </c>
      <c r="H520" s="4" t="s">
        <v>1582</v>
      </c>
      <c r="J520" s="4" t="s">
        <v>1585</v>
      </c>
      <c r="K520" s="4" t="s">
        <v>231</v>
      </c>
      <c r="L520" s="4" t="s">
        <v>225</v>
      </c>
      <c r="M520" s="4"/>
      <c r="N520" s="4"/>
      <c r="O520" s="4"/>
    </row>
    <row r="521" hidden="1">
      <c r="A521" s="67" t="str">
        <f t="shared" si="1"/>
        <v>Mon</v>
      </c>
      <c r="B521" s="69">
        <v>43514.0</v>
      </c>
      <c r="D521" s="193">
        <v>350.0</v>
      </c>
      <c r="E521" s="4" t="s">
        <v>337</v>
      </c>
      <c r="F521" s="4" t="s">
        <v>1584</v>
      </c>
      <c r="G521" s="4"/>
      <c r="H521" s="4"/>
      <c r="J521" s="4" t="s">
        <v>1588</v>
      </c>
      <c r="M521" s="4"/>
      <c r="N521" s="4"/>
      <c r="O521" s="4"/>
    </row>
    <row r="522" hidden="1">
      <c r="A522" s="67" t="str">
        <f t="shared" si="1"/>
        <v>Tue</v>
      </c>
      <c r="B522" s="69">
        <v>43515.0</v>
      </c>
      <c r="D522" s="171"/>
      <c r="F522" s="4"/>
      <c r="G522" s="4"/>
      <c r="H522" s="4" t="s">
        <v>1584</v>
      </c>
      <c r="J522" s="4"/>
      <c r="L522" s="4" t="s">
        <v>225</v>
      </c>
      <c r="M522" s="4"/>
      <c r="N522" s="4"/>
      <c r="O522" s="4"/>
    </row>
    <row r="523" hidden="1">
      <c r="A523" s="67" t="str">
        <f t="shared" si="1"/>
        <v>Wed</v>
      </c>
      <c r="B523" s="69">
        <v>43516.0</v>
      </c>
      <c r="D523" s="194">
        <v>368.6</v>
      </c>
      <c r="E523" s="4" t="s">
        <v>222</v>
      </c>
      <c r="F523" s="4" t="s">
        <v>1589</v>
      </c>
      <c r="G523" s="4"/>
      <c r="H523" s="4"/>
      <c r="I523" s="4" t="s">
        <v>359</v>
      </c>
      <c r="K523" s="4" t="s">
        <v>231</v>
      </c>
      <c r="L523" s="4" t="s">
        <v>225</v>
      </c>
      <c r="M523" s="4" t="s">
        <v>226</v>
      </c>
      <c r="N523" s="4" t="s">
        <v>232</v>
      </c>
      <c r="O523" s="4" t="s">
        <v>264</v>
      </c>
    </row>
    <row r="524" hidden="1">
      <c r="A524" s="67" t="str">
        <f t="shared" si="1"/>
        <v>Thu</v>
      </c>
      <c r="B524" s="69">
        <v>43517.0</v>
      </c>
      <c r="D524" s="194">
        <v>368.6</v>
      </c>
      <c r="E524" s="4" t="s">
        <v>222</v>
      </c>
      <c r="F524" s="4" t="s">
        <v>1589</v>
      </c>
      <c r="I524" s="4" t="s">
        <v>359</v>
      </c>
    </row>
    <row r="525" hidden="1">
      <c r="A525" s="67" t="str">
        <f t="shared" si="1"/>
        <v>Fri</v>
      </c>
      <c r="B525" s="69">
        <v>43518.0</v>
      </c>
      <c r="D525" s="171"/>
      <c r="F525" s="4"/>
      <c r="G525" s="4"/>
      <c r="H525" s="4" t="s">
        <v>1589</v>
      </c>
      <c r="M525" s="4"/>
      <c r="N525" s="4"/>
      <c r="O525" s="4"/>
    </row>
    <row r="526" hidden="1">
      <c r="A526" s="67" t="str">
        <f t="shared" si="1"/>
        <v>Sat</v>
      </c>
      <c r="B526" s="69">
        <v>43519.0</v>
      </c>
      <c r="D526" s="171"/>
      <c r="F526" s="4"/>
      <c r="G526" s="4"/>
      <c r="H526" s="4"/>
      <c r="M526" s="4"/>
      <c r="N526" s="4"/>
      <c r="O526" s="4"/>
    </row>
    <row r="527" hidden="1">
      <c r="A527" s="67" t="str">
        <f t="shared" si="1"/>
        <v>Sun</v>
      </c>
      <c r="B527" s="69">
        <v>43520.0</v>
      </c>
      <c r="D527" s="194">
        <v>368.6</v>
      </c>
      <c r="E527" s="4" t="s">
        <v>222</v>
      </c>
      <c r="F527" s="4" t="s">
        <v>1590</v>
      </c>
      <c r="G527" s="4" t="s">
        <v>1590</v>
      </c>
      <c r="H527" s="4"/>
      <c r="I527" s="4" t="s">
        <v>359</v>
      </c>
      <c r="K527" s="4" t="s">
        <v>231</v>
      </c>
      <c r="L527" s="4" t="s">
        <v>225</v>
      </c>
      <c r="M527" s="4" t="s">
        <v>1591</v>
      </c>
      <c r="N527" s="4" t="s">
        <v>1592</v>
      </c>
      <c r="O527" s="4" t="s">
        <v>1593</v>
      </c>
      <c r="Q527" s="4" t="s">
        <v>1594</v>
      </c>
      <c r="R527" s="4">
        <v>1.1998582469E10</v>
      </c>
      <c r="S527" s="4"/>
    </row>
    <row r="528" hidden="1">
      <c r="A528" s="67" t="str">
        <f t="shared" si="1"/>
        <v>Mon</v>
      </c>
      <c r="B528" s="69">
        <v>43521.0</v>
      </c>
      <c r="D528" s="194">
        <v>368.6</v>
      </c>
      <c r="E528" s="4" t="s">
        <v>222</v>
      </c>
      <c r="F528" s="4" t="s">
        <v>1590</v>
      </c>
      <c r="I528" s="4" t="s">
        <v>359</v>
      </c>
    </row>
    <row r="529" hidden="1">
      <c r="A529" s="67" t="str">
        <f t="shared" si="1"/>
        <v>Tue</v>
      </c>
      <c r="B529" s="69">
        <v>43522.0</v>
      </c>
      <c r="D529" s="194">
        <v>368.6</v>
      </c>
      <c r="E529" s="4" t="s">
        <v>222</v>
      </c>
      <c r="F529" s="4" t="s">
        <v>1590</v>
      </c>
      <c r="I529" s="4" t="s">
        <v>359</v>
      </c>
    </row>
    <row r="530" hidden="1">
      <c r="A530" s="67" t="str">
        <f t="shared" si="1"/>
        <v>Wed</v>
      </c>
      <c r="B530" s="69">
        <v>43523.0</v>
      </c>
      <c r="D530" s="194">
        <v>368.6</v>
      </c>
      <c r="E530" s="4" t="s">
        <v>222</v>
      </c>
      <c r="F530" s="4" t="s">
        <v>1590</v>
      </c>
      <c r="I530" s="4" t="s">
        <v>359</v>
      </c>
    </row>
    <row r="531" hidden="1">
      <c r="A531" s="67" t="str">
        <f t="shared" si="1"/>
        <v>Thu</v>
      </c>
      <c r="B531" s="69">
        <v>43524.0</v>
      </c>
      <c r="D531" s="194">
        <v>368.6</v>
      </c>
      <c r="E531" s="4" t="s">
        <v>222</v>
      </c>
      <c r="F531" s="4" t="s">
        <v>1590</v>
      </c>
      <c r="I531" s="4" t="s">
        <v>359</v>
      </c>
    </row>
    <row r="532">
      <c r="A532" s="67" t="str">
        <f t="shared" si="1"/>
        <v>Fri</v>
      </c>
      <c r="B532" s="69">
        <v>43525.0</v>
      </c>
      <c r="D532" s="194">
        <v>776.0</v>
      </c>
      <c r="E532" s="4" t="s">
        <v>222</v>
      </c>
      <c r="F532" s="4" t="s">
        <v>1598</v>
      </c>
      <c r="G532" s="4" t="s">
        <v>1598</v>
      </c>
      <c r="H532" s="4" t="s">
        <v>1590</v>
      </c>
      <c r="I532" s="4" t="s">
        <v>359</v>
      </c>
      <c r="K532" s="4"/>
      <c r="L532" s="4" t="s">
        <v>225</v>
      </c>
      <c r="M532" s="4" t="s">
        <v>1599</v>
      </c>
      <c r="N532" s="4" t="s">
        <v>232</v>
      </c>
      <c r="O532" s="4" t="s">
        <v>264</v>
      </c>
    </row>
    <row r="533">
      <c r="A533" s="67" t="str">
        <f t="shared" si="1"/>
        <v>Sat</v>
      </c>
      <c r="B533" s="69">
        <v>43526.0</v>
      </c>
      <c r="D533" s="194">
        <v>776.0</v>
      </c>
      <c r="E533" s="4" t="s">
        <v>222</v>
      </c>
      <c r="F533" s="4" t="s">
        <v>1598</v>
      </c>
      <c r="I533" s="4" t="s">
        <v>359</v>
      </c>
    </row>
    <row r="534">
      <c r="A534" s="67" t="str">
        <f t="shared" si="1"/>
        <v>Sun</v>
      </c>
      <c r="B534" s="69">
        <v>43527.0</v>
      </c>
      <c r="D534" s="194">
        <v>776.0</v>
      </c>
      <c r="E534" s="4" t="s">
        <v>222</v>
      </c>
      <c r="F534" s="4" t="s">
        <v>1598</v>
      </c>
      <c r="I534" s="4" t="s">
        <v>359</v>
      </c>
    </row>
    <row r="535">
      <c r="A535" s="67" t="str">
        <f t="shared" si="1"/>
        <v>Mon</v>
      </c>
      <c r="B535" s="69">
        <v>43528.0</v>
      </c>
      <c r="D535" s="194">
        <v>776.0</v>
      </c>
      <c r="E535" s="4" t="s">
        <v>222</v>
      </c>
      <c r="F535" s="4" t="s">
        <v>1598</v>
      </c>
      <c r="I535" s="4" t="s">
        <v>359</v>
      </c>
    </row>
    <row r="536">
      <c r="A536" s="67" t="str">
        <f t="shared" si="1"/>
        <v>Tue</v>
      </c>
      <c r="B536" s="69">
        <v>43529.0</v>
      </c>
      <c r="D536" s="194">
        <v>776.0</v>
      </c>
      <c r="E536" s="4" t="s">
        <v>222</v>
      </c>
      <c r="F536" s="4" t="s">
        <v>1598</v>
      </c>
      <c r="I536" s="4" t="s">
        <v>359</v>
      </c>
    </row>
    <row r="537">
      <c r="A537" s="67" t="str">
        <f t="shared" si="1"/>
        <v>Wed</v>
      </c>
      <c r="B537" s="69">
        <v>43530.0</v>
      </c>
      <c r="D537" s="194">
        <v>291.0</v>
      </c>
      <c r="E537" s="4" t="s">
        <v>222</v>
      </c>
      <c r="F537" s="4" t="s">
        <v>1601</v>
      </c>
      <c r="G537" s="4" t="s">
        <v>1601</v>
      </c>
      <c r="H537" s="4" t="s">
        <v>1598</v>
      </c>
      <c r="I537" s="4" t="s">
        <v>359</v>
      </c>
      <c r="K537" s="4" t="s">
        <v>231</v>
      </c>
      <c r="L537" s="4" t="s">
        <v>225</v>
      </c>
      <c r="M537" s="4" t="s">
        <v>1602</v>
      </c>
      <c r="N537" s="4" t="s">
        <v>1603</v>
      </c>
    </row>
    <row r="538">
      <c r="A538" s="67" t="str">
        <f t="shared" si="1"/>
        <v>Thu</v>
      </c>
      <c r="B538" s="69">
        <v>43531.0</v>
      </c>
      <c r="D538">
        <f t="shared" ref="D538:D545" si="2">2674.77/8</f>
        <v>334.34625</v>
      </c>
      <c r="E538" s="4" t="s">
        <v>222</v>
      </c>
      <c r="F538" s="4" t="s">
        <v>1608</v>
      </c>
      <c r="G538" s="4" t="s">
        <v>1608</v>
      </c>
      <c r="H538" s="4" t="s">
        <v>1601</v>
      </c>
      <c r="I538" s="4" t="s">
        <v>359</v>
      </c>
      <c r="K538" s="4"/>
      <c r="L538" s="4" t="s">
        <v>225</v>
      </c>
      <c r="M538" s="4" t="s">
        <v>1611</v>
      </c>
      <c r="N538" s="4" t="s">
        <v>1612</v>
      </c>
      <c r="Q538" s="4" t="s">
        <v>1613</v>
      </c>
      <c r="R538" s="4" t="s">
        <v>1614</v>
      </c>
      <c r="S538" s="4"/>
    </row>
    <row r="539">
      <c r="A539" s="67" t="str">
        <f t="shared" si="1"/>
        <v>Fri</v>
      </c>
      <c r="B539" s="69">
        <v>43532.0</v>
      </c>
      <c r="D539">
        <f t="shared" si="2"/>
        <v>334.34625</v>
      </c>
      <c r="E539" s="4" t="s">
        <v>222</v>
      </c>
      <c r="F539" s="4" t="s">
        <v>1608</v>
      </c>
      <c r="I539" s="4" t="s">
        <v>359</v>
      </c>
    </row>
    <row r="540">
      <c r="A540" s="67" t="str">
        <f t="shared" si="1"/>
        <v>Sat</v>
      </c>
      <c r="B540" s="69">
        <v>43533.0</v>
      </c>
      <c r="D540">
        <f t="shared" si="2"/>
        <v>334.34625</v>
      </c>
      <c r="E540" s="4" t="s">
        <v>222</v>
      </c>
      <c r="F540" s="4" t="s">
        <v>1608</v>
      </c>
      <c r="I540" s="4" t="s">
        <v>359</v>
      </c>
    </row>
    <row r="541">
      <c r="A541" s="67" t="str">
        <f t="shared" si="1"/>
        <v>Sun</v>
      </c>
      <c r="B541" s="69">
        <v>43534.0</v>
      </c>
      <c r="D541">
        <f t="shared" si="2"/>
        <v>334.34625</v>
      </c>
      <c r="E541" s="4" t="s">
        <v>222</v>
      </c>
      <c r="F541" s="4" t="s">
        <v>1608</v>
      </c>
      <c r="I541" s="4" t="s">
        <v>359</v>
      </c>
    </row>
    <row r="542">
      <c r="A542" s="67" t="str">
        <f t="shared" si="1"/>
        <v>Mon</v>
      </c>
      <c r="B542" s="69">
        <v>43535.0</v>
      </c>
      <c r="D542">
        <f t="shared" si="2"/>
        <v>334.34625</v>
      </c>
      <c r="E542" s="4" t="s">
        <v>222</v>
      </c>
      <c r="F542" s="4" t="s">
        <v>1608</v>
      </c>
      <c r="I542" s="4" t="s">
        <v>359</v>
      </c>
    </row>
    <row r="543">
      <c r="A543" s="67" t="str">
        <f t="shared" si="1"/>
        <v>Tue</v>
      </c>
      <c r="B543" s="69">
        <v>43536.0</v>
      </c>
      <c r="D543">
        <f t="shared" si="2"/>
        <v>334.34625</v>
      </c>
      <c r="E543" s="4" t="s">
        <v>222</v>
      </c>
      <c r="F543" s="4" t="s">
        <v>1608</v>
      </c>
      <c r="I543" s="4" t="s">
        <v>359</v>
      </c>
    </row>
    <row r="544">
      <c r="A544" s="67" t="str">
        <f t="shared" si="1"/>
        <v>Wed</v>
      </c>
      <c r="B544" s="69">
        <v>43537.0</v>
      </c>
      <c r="D544">
        <f t="shared" si="2"/>
        <v>334.34625</v>
      </c>
      <c r="E544" s="4" t="s">
        <v>222</v>
      </c>
      <c r="F544" s="4" t="s">
        <v>1608</v>
      </c>
      <c r="I544" s="4" t="s">
        <v>359</v>
      </c>
    </row>
    <row r="545">
      <c r="A545" s="67" t="str">
        <f t="shared" si="1"/>
        <v>Thu</v>
      </c>
      <c r="B545" s="69">
        <v>43538.0</v>
      </c>
      <c r="D545">
        <f t="shared" si="2"/>
        <v>334.34625</v>
      </c>
      <c r="E545" s="4" t="s">
        <v>222</v>
      </c>
      <c r="F545" s="4" t="s">
        <v>1608</v>
      </c>
      <c r="I545" s="4" t="s">
        <v>359</v>
      </c>
    </row>
    <row r="546">
      <c r="A546" s="67" t="str">
        <f t="shared" si="1"/>
        <v>Fri</v>
      </c>
      <c r="B546" s="69">
        <v>43539.0</v>
      </c>
      <c r="D546" s="194">
        <v>291.0</v>
      </c>
      <c r="E546" s="4" t="s">
        <v>222</v>
      </c>
      <c r="F546" s="4" t="s">
        <v>1620</v>
      </c>
      <c r="G546" s="4" t="s">
        <v>1620</v>
      </c>
      <c r="H546" s="4" t="s">
        <v>1608</v>
      </c>
      <c r="I546" s="4" t="s">
        <v>359</v>
      </c>
      <c r="K546" s="4" t="s">
        <v>231</v>
      </c>
      <c r="L546" s="4" t="s">
        <v>225</v>
      </c>
      <c r="M546" s="4" t="s">
        <v>1621</v>
      </c>
      <c r="Q546" s="4" t="s">
        <v>1622</v>
      </c>
      <c r="R546" s="167" t="s">
        <v>1623</v>
      </c>
      <c r="S546" s="4"/>
    </row>
    <row r="547">
      <c r="A547" s="67" t="str">
        <f t="shared" si="1"/>
        <v>Sat</v>
      </c>
      <c r="B547" s="69">
        <v>43540.0</v>
      </c>
      <c r="D547" s="194">
        <v>291.0</v>
      </c>
      <c r="E547" s="4" t="s">
        <v>222</v>
      </c>
      <c r="F547" s="4" t="s">
        <v>1620</v>
      </c>
      <c r="I547" s="4" t="s">
        <v>359</v>
      </c>
    </row>
    <row r="548">
      <c r="A548" s="67" t="str">
        <f t="shared" si="1"/>
        <v>Sun</v>
      </c>
      <c r="B548" s="69">
        <v>43541.0</v>
      </c>
      <c r="D548" s="194">
        <v>291.0</v>
      </c>
      <c r="E548" s="4" t="s">
        <v>222</v>
      </c>
      <c r="F548" s="4" t="s">
        <v>1620</v>
      </c>
      <c r="I548" s="4" t="s">
        <v>359</v>
      </c>
    </row>
    <row r="549">
      <c r="A549" s="67" t="str">
        <f t="shared" si="1"/>
        <v>Mon</v>
      </c>
      <c r="B549" s="69">
        <v>43542.0</v>
      </c>
      <c r="D549" s="194">
        <v>291.0</v>
      </c>
      <c r="E549" s="4" t="s">
        <v>222</v>
      </c>
      <c r="F549" s="4" t="s">
        <v>1620</v>
      </c>
      <c r="I549" s="4" t="s">
        <v>359</v>
      </c>
    </row>
    <row r="550">
      <c r="A550" s="67" t="str">
        <f t="shared" si="1"/>
        <v>Tue</v>
      </c>
      <c r="B550" s="69">
        <v>43543.0</v>
      </c>
      <c r="D550" s="194">
        <v>291.0</v>
      </c>
      <c r="E550" s="4" t="s">
        <v>222</v>
      </c>
      <c r="F550" s="4" t="s">
        <v>1620</v>
      </c>
      <c r="I550" s="4" t="s">
        <v>359</v>
      </c>
    </row>
    <row r="551">
      <c r="A551" s="67" t="str">
        <f t="shared" si="1"/>
        <v>Wed</v>
      </c>
      <c r="B551" s="69">
        <v>43544.0</v>
      </c>
      <c r="D551" s="194">
        <v>291.0</v>
      </c>
      <c r="E551" s="4" t="s">
        <v>222</v>
      </c>
      <c r="F551" s="4" t="s">
        <v>1620</v>
      </c>
      <c r="I551" s="4" t="s">
        <v>359</v>
      </c>
    </row>
    <row r="552">
      <c r="A552" s="67" t="str">
        <f t="shared" si="1"/>
        <v>Thu</v>
      </c>
      <c r="B552" s="69">
        <v>43545.0</v>
      </c>
      <c r="D552" s="194">
        <v>291.0</v>
      </c>
      <c r="E552" s="4" t="s">
        <v>222</v>
      </c>
      <c r="F552" s="4" t="s">
        <v>1620</v>
      </c>
      <c r="I552" s="4" t="s">
        <v>359</v>
      </c>
    </row>
    <row r="553">
      <c r="A553" s="67" t="str">
        <f t="shared" si="1"/>
        <v>Fri</v>
      </c>
      <c r="B553" s="69">
        <v>43546.0</v>
      </c>
      <c r="D553" s="171"/>
      <c r="F553" s="4"/>
      <c r="G553" s="4"/>
      <c r="H553" s="4" t="s">
        <v>1620</v>
      </c>
      <c r="J553" s="4"/>
      <c r="L553" s="4" t="s">
        <v>229</v>
      </c>
      <c r="M553" s="4"/>
      <c r="N553" s="4"/>
      <c r="O553" s="4"/>
    </row>
    <row r="554">
      <c r="A554" s="67" t="str">
        <f t="shared" si="1"/>
        <v>Sat</v>
      </c>
      <c r="B554" s="69">
        <v>43547.0</v>
      </c>
      <c r="D554" s="194">
        <v>294.93</v>
      </c>
      <c r="E554" s="4" t="s">
        <v>169</v>
      </c>
      <c r="F554" s="4" t="s">
        <v>1627</v>
      </c>
      <c r="G554" s="4" t="s">
        <v>1627</v>
      </c>
      <c r="H554" s="4"/>
      <c r="I554" s="4" t="s">
        <v>359</v>
      </c>
      <c r="K554" s="4" t="s">
        <v>231</v>
      </c>
      <c r="L554" s="4" t="s">
        <v>225</v>
      </c>
      <c r="M554" s="4" t="s">
        <v>1629</v>
      </c>
      <c r="N554" s="4" t="s">
        <v>1630</v>
      </c>
      <c r="Q554" s="4" t="s">
        <v>1631</v>
      </c>
      <c r="R554" s="4" t="s">
        <v>1632</v>
      </c>
      <c r="S554" s="4"/>
    </row>
    <row r="555">
      <c r="A555" s="67" t="str">
        <f t="shared" si="1"/>
        <v>Sun</v>
      </c>
      <c r="B555" s="69">
        <v>43548.0</v>
      </c>
      <c r="D555" s="194">
        <v>294.93</v>
      </c>
      <c r="E555" s="4" t="s">
        <v>169</v>
      </c>
      <c r="F555" s="4" t="s">
        <v>1627</v>
      </c>
      <c r="I555" s="4" t="s">
        <v>359</v>
      </c>
    </row>
    <row r="556">
      <c r="A556" s="67" t="str">
        <f t="shared" si="1"/>
        <v>Mon</v>
      </c>
      <c r="B556" s="69">
        <v>43549.0</v>
      </c>
      <c r="D556" s="194">
        <v>294.93</v>
      </c>
      <c r="E556" s="4" t="s">
        <v>169</v>
      </c>
      <c r="F556" s="4" t="s">
        <v>1627</v>
      </c>
      <c r="I556" s="4" t="s">
        <v>359</v>
      </c>
    </row>
    <row r="557">
      <c r="A557" s="67" t="str">
        <f t="shared" si="1"/>
        <v>Tue</v>
      </c>
      <c r="B557" s="69">
        <v>43550.0</v>
      </c>
      <c r="D557" s="194">
        <v>294.93</v>
      </c>
      <c r="E557" s="4" t="s">
        <v>169</v>
      </c>
      <c r="F557" s="4" t="s">
        <v>1627</v>
      </c>
      <c r="I557" s="4" t="s">
        <v>359</v>
      </c>
    </row>
    <row r="558">
      <c r="A558" s="67" t="str">
        <f t="shared" si="1"/>
        <v>Wed</v>
      </c>
      <c r="B558" s="69">
        <v>43551.0</v>
      </c>
      <c r="D558" s="194">
        <v>294.93</v>
      </c>
      <c r="E558" s="4" t="s">
        <v>169</v>
      </c>
      <c r="F558" s="4" t="s">
        <v>1627</v>
      </c>
      <c r="I558" s="4" t="s">
        <v>359</v>
      </c>
    </row>
    <row r="559">
      <c r="A559" s="67" t="str">
        <f t="shared" si="1"/>
        <v>Thu</v>
      </c>
      <c r="B559" s="69">
        <v>43552.0</v>
      </c>
      <c r="D559" s="171"/>
      <c r="F559" s="4"/>
      <c r="G559" s="4"/>
      <c r="H559" s="4" t="s">
        <v>1627</v>
      </c>
      <c r="J559" s="4"/>
      <c r="M559" s="4"/>
      <c r="N559" s="4"/>
      <c r="O559" s="4"/>
    </row>
    <row r="560">
      <c r="A560" s="67" t="str">
        <f t="shared" si="1"/>
        <v>Fri</v>
      </c>
      <c r="B560" s="69">
        <v>43553.0</v>
      </c>
      <c r="D560" s="194">
        <v>350.0</v>
      </c>
      <c r="E560" s="4" t="s">
        <v>337</v>
      </c>
      <c r="F560" s="4" t="s">
        <v>1637</v>
      </c>
      <c r="G560" s="4" t="s">
        <v>1637</v>
      </c>
      <c r="H560" s="4"/>
      <c r="I560" s="4" t="s">
        <v>395</v>
      </c>
      <c r="K560" s="4" t="s">
        <v>231</v>
      </c>
      <c r="L560" s="4" t="s">
        <v>225</v>
      </c>
      <c r="M560" s="4" t="s">
        <v>1638</v>
      </c>
      <c r="N560" s="4" t="s">
        <v>1639</v>
      </c>
      <c r="O560" s="4" t="s">
        <v>1640</v>
      </c>
      <c r="Q560" s="4" t="s">
        <v>1641</v>
      </c>
      <c r="R560" s="167" t="s">
        <v>1642</v>
      </c>
      <c r="S560" s="4">
        <v>2.067495976E9</v>
      </c>
    </row>
    <row r="561">
      <c r="A561" s="67" t="str">
        <f t="shared" si="1"/>
        <v>Sat</v>
      </c>
      <c r="B561" s="69">
        <v>43554.0</v>
      </c>
      <c r="D561" s="194">
        <v>350.0</v>
      </c>
      <c r="E561" s="4" t="s">
        <v>337</v>
      </c>
      <c r="F561" s="4" t="s">
        <v>1637</v>
      </c>
      <c r="I561" s="4" t="s">
        <v>395</v>
      </c>
    </row>
    <row r="562">
      <c r="A562" s="67" t="str">
        <f t="shared" si="1"/>
        <v>Sun</v>
      </c>
      <c r="B562" s="69">
        <v>43555.0</v>
      </c>
      <c r="D562" s="194">
        <v>271.406</v>
      </c>
      <c r="E562" s="4" t="s">
        <v>222</v>
      </c>
      <c r="F562" s="4" t="s">
        <v>1643</v>
      </c>
      <c r="G562" s="4"/>
      <c r="H562" s="4" t="s">
        <v>1637</v>
      </c>
      <c r="I562" s="4" t="s">
        <v>359</v>
      </c>
      <c r="K562" s="4" t="s">
        <v>231</v>
      </c>
      <c r="L562" s="4" t="s">
        <v>225</v>
      </c>
      <c r="M562" s="4"/>
      <c r="N562" s="4"/>
      <c r="Q562" s="4" t="s">
        <v>1644</v>
      </c>
      <c r="R562" s="4" t="s">
        <v>1645</v>
      </c>
      <c r="S562" s="4"/>
    </row>
    <row r="563">
      <c r="A563" s="67" t="str">
        <f t="shared" si="1"/>
        <v>Mon</v>
      </c>
      <c r="B563" s="69">
        <v>43556.0</v>
      </c>
      <c r="D563" s="194">
        <v>271.406</v>
      </c>
      <c r="E563" s="4" t="s">
        <v>222</v>
      </c>
      <c r="F563" s="4" t="s">
        <v>1643</v>
      </c>
      <c r="I563" s="4" t="s">
        <v>359</v>
      </c>
    </row>
    <row r="564">
      <c r="A564" s="67" t="str">
        <f t="shared" si="1"/>
        <v>Tue</v>
      </c>
      <c r="B564" s="69">
        <v>43557.0</v>
      </c>
      <c r="D564" s="194">
        <v>271.406</v>
      </c>
      <c r="E564" s="4" t="s">
        <v>222</v>
      </c>
      <c r="F564" s="4" t="s">
        <v>1643</v>
      </c>
      <c r="I564" s="4" t="s">
        <v>359</v>
      </c>
    </row>
    <row r="565">
      <c r="A565" s="67" t="str">
        <f t="shared" si="1"/>
        <v>Wed</v>
      </c>
      <c r="B565" s="69">
        <v>43558.0</v>
      </c>
      <c r="D565" s="194">
        <v>271.406</v>
      </c>
      <c r="E565" s="4" t="s">
        <v>222</v>
      </c>
      <c r="F565" s="4" t="s">
        <v>1643</v>
      </c>
      <c r="I565" s="4" t="s">
        <v>359</v>
      </c>
    </row>
    <row r="566">
      <c r="A566" s="67" t="str">
        <f t="shared" si="1"/>
        <v>Thu</v>
      </c>
      <c r="B566" s="69">
        <v>43559.0</v>
      </c>
      <c r="D566" s="194">
        <v>271.406</v>
      </c>
      <c r="E566" s="4" t="s">
        <v>222</v>
      </c>
      <c r="F566" s="4" t="s">
        <v>1643</v>
      </c>
      <c r="I566" s="4" t="s">
        <v>359</v>
      </c>
    </row>
    <row r="567">
      <c r="A567" s="67" t="str">
        <f t="shared" si="1"/>
        <v>Fri</v>
      </c>
      <c r="B567" s="69">
        <v>43560.0</v>
      </c>
      <c r="D567" s="194">
        <v>271.406</v>
      </c>
      <c r="E567" s="4" t="s">
        <v>222</v>
      </c>
      <c r="F567" s="4" t="s">
        <v>1643</v>
      </c>
      <c r="I567" s="4" t="s">
        <v>359</v>
      </c>
    </row>
    <row r="568">
      <c r="A568" s="67" t="str">
        <f t="shared" si="1"/>
        <v>Sat</v>
      </c>
      <c r="B568" s="69">
        <v>43561.0</v>
      </c>
      <c r="D568" s="194">
        <v>271.406</v>
      </c>
      <c r="E568" s="4" t="s">
        <v>222</v>
      </c>
      <c r="F568" s="4" t="s">
        <v>1643</v>
      </c>
      <c r="I568" s="4" t="s">
        <v>359</v>
      </c>
    </row>
    <row r="569">
      <c r="A569" s="67" t="str">
        <f t="shared" si="1"/>
        <v>Sun</v>
      </c>
      <c r="B569" s="69">
        <v>43562.0</v>
      </c>
      <c r="D569" s="194">
        <v>271.406</v>
      </c>
      <c r="E569" s="4" t="s">
        <v>222</v>
      </c>
      <c r="F569" s="4" t="s">
        <v>1643</v>
      </c>
      <c r="I569" s="4" t="s">
        <v>359</v>
      </c>
    </row>
    <row r="570">
      <c r="A570" s="67" t="str">
        <f t="shared" si="1"/>
        <v>Mon</v>
      </c>
      <c r="B570" s="69">
        <v>43563.0</v>
      </c>
      <c r="D570" s="194">
        <v>271.406</v>
      </c>
      <c r="E570" s="4" t="s">
        <v>222</v>
      </c>
      <c r="F570" s="4" t="s">
        <v>1643</v>
      </c>
      <c r="I570" s="4" t="s">
        <v>359</v>
      </c>
    </row>
    <row r="571">
      <c r="A571" s="67" t="str">
        <f t="shared" si="1"/>
        <v>Tue</v>
      </c>
      <c r="B571" s="69">
        <v>43564.0</v>
      </c>
      <c r="D571" s="194">
        <v>271.406</v>
      </c>
      <c r="E571" s="4" t="s">
        <v>222</v>
      </c>
      <c r="F571" s="4" t="s">
        <v>1643</v>
      </c>
      <c r="I571" s="4" t="s">
        <v>359</v>
      </c>
    </row>
    <row r="572">
      <c r="A572" s="67" t="str">
        <f t="shared" si="1"/>
        <v>Wed</v>
      </c>
      <c r="B572" s="69">
        <v>43565.0</v>
      </c>
      <c r="D572" s="171"/>
      <c r="H572" s="4" t="s">
        <v>1643</v>
      </c>
      <c r="J572" s="4"/>
    </row>
    <row r="573">
      <c r="A573" s="67" t="str">
        <f t="shared" si="1"/>
        <v>Thu</v>
      </c>
      <c r="B573" s="69">
        <v>43566.0</v>
      </c>
      <c r="D573" s="171"/>
      <c r="J573" s="4"/>
    </row>
    <row r="574">
      <c r="A574" s="67" t="str">
        <f t="shared" si="1"/>
        <v>Fri</v>
      </c>
      <c r="B574" s="69">
        <v>43567.0</v>
      </c>
      <c r="D574" s="171"/>
      <c r="J574" s="4"/>
    </row>
    <row r="575">
      <c r="A575" s="67" t="str">
        <f t="shared" si="1"/>
        <v>Sat</v>
      </c>
      <c r="B575" s="69">
        <v>43568.0</v>
      </c>
      <c r="D575" s="194">
        <v>316.3071428571429</v>
      </c>
      <c r="E575" s="4" t="s">
        <v>169</v>
      </c>
      <c r="F575" s="4" t="s">
        <v>1646</v>
      </c>
      <c r="G575" s="4" t="s">
        <v>1646</v>
      </c>
      <c r="I575" s="4" t="s">
        <v>359</v>
      </c>
      <c r="K575" s="4" t="s">
        <v>231</v>
      </c>
      <c r="L575" s="4" t="s">
        <v>225</v>
      </c>
      <c r="M575" s="4" t="s">
        <v>1647</v>
      </c>
      <c r="N575" s="4" t="s">
        <v>1648</v>
      </c>
      <c r="O575" s="4" t="s">
        <v>1649</v>
      </c>
      <c r="Q575" s="4" t="s">
        <v>1650</v>
      </c>
      <c r="R575" s="167" t="s">
        <v>1651</v>
      </c>
      <c r="S575" s="4"/>
    </row>
    <row r="576">
      <c r="A576" s="67" t="str">
        <f t="shared" si="1"/>
        <v>Sun</v>
      </c>
      <c r="B576" s="69">
        <v>43569.0</v>
      </c>
      <c r="D576" s="194">
        <v>316.3071428571429</v>
      </c>
      <c r="E576" s="4" t="s">
        <v>169</v>
      </c>
      <c r="F576" s="4" t="s">
        <v>1646</v>
      </c>
      <c r="I576" s="4" t="s">
        <v>359</v>
      </c>
    </row>
    <row r="577">
      <c r="A577" s="67" t="str">
        <f t="shared" si="1"/>
        <v>Mon</v>
      </c>
      <c r="B577" s="69">
        <v>43570.0</v>
      </c>
      <c r="D577" s="194">
        <v>316.3071428571429</v>
      </c>
      <c r="E577" s="4" t="s">
        <v>169</v>
      </c>
      <c r="F577" s="4" t="s">
        <v>1646</v>
      </c>
      <c r="I577" s="4" t="s">
        <v>359</v>
      </c>
    </row>
    <row r="578">
      <c r="A578" s="67" t="str">
        <f t="shared" si="1"/>
        <v>Tue</v>
      </c>
      <c r="B578" s="69">
        <v>43571.0</v>
      </c>
      <c r="D578" s="194">
        <v>316.3071428571429</v>
      </c>
      <c r="E578" s="4" t="s">
        <v>169</v>
      </c>
      <c r="F578" s="4" t="s">
        <v>1646</v>
      </c>
      <c r="I578" s="4" t="s">
        <v>359</v>
      </c>
    </row>
    <row r="579">
      <c r="A579" s="67" t="str">
        <f t="shared" si="1"/>
        <v>Wed</v>
      </c>
      <c r="B579" s="69">
        <v>43572.0</v>
      </c>
      <c r="D579" s="194">
        <v>316.3071428571429</v>
      </c>
      <c r="E579" s="4" t="s">
        <v>169</v>
      </c>
      <c r="F579" s="4" t="s">
        <v>1646</v>
      </c>
      <c r="I579" s="4" t="s">
        <v>359</v>
      </c>
    </row>
    <row r="580">
      <c r="A580" s="67" t="str">
        <f t="shared" si="1"/>
        <v>Thu</v>
      </c>
      <c r="B580" s="69">
        <v>43573.0</v>
      </c>
      <c r="D580" s="194">
        <v>316.3071428571429</v>
      </c>
      <c r="E580" s="4" t="s">
        <v>169</v>
      </c>
      <c r="F580" s="4" t="s">
        <v>1646</v>
      </c>
      <c r="I580" s="4" t="s">
        <v>359</v>
      </c>
    </row>
    <row r="581">
      <c r="A581" s="67" t="str">
        <f t="shared" si="1"/>
        <v>Fri</v>
      </c>
      <c r="B581" s="69">
        <v>43574.0</v>
      </c>
      <c r="D581" s="194">
        <v>316.3071428571429</v>
      </c>
      <c r="E581" s="4" t="s">
        <v>169</v>
      </c>
      <c r="F581" s="4" t="s">
        <v>1646</v>
      </c>
      <c r="I581" s="4" t="s">
        <v>359</v>
      </c>
    </row>
    <row r="582">
      <c r="A582" s="67" t="str">
        <f t="shared" si="1"/>
        <v>Sat</v>
      </c>
      <c r="B582" s="69">
        <v>43575.0</v>
      </c>
      <c r="D582" s="4">
        <v>395.0</v>
      </c>
      <c r="E582" s="4" t="s">
        <v>337</v>
      </c>
      <c r="F582" s="4" t="s">
        <v>1652</v>
      </c>
      <c r="G582" s="4" t="s">
        <v>1652</v>
      </c>
      <c r="H582" s="4" t="s">
        <v>1646</v>
      </c>
      <c r="I582" s="4" t="s">
        <v>224</v>
      </c>
      <c r="J582" s="4" t="s">
        <v>1653</v>
      </c>
      <c r="K582" s="4" t="s">
        <v>231</v>
      </c>
      <c r="L582" s="4" t="s">
        <v>225</v>
      </c>
      <c r="M582" s="4" t="s">
        <v>226</v>
      </c>
      <c r="N582" s="4" t="s">
        <v>232</v>
      </c>
      <c r="O582" s="4" t="s">
        <v>264</v>
      </c>
      <c r="Q582" s="4" t="s">
        <v>1654</v>
      </c>
      <c r="R582" s="4" t="s">
        <v>1655</v>
      </c>
      <c r="S582" s="4">
        <v>4.9568029E9</v>
      </c>
    </row>
    <row r="583">
      <c r="A583" s="67" t="str">
        <f t="shared" si="1"/>
        <v>Sun</v>
      </c>
      <c r="B583" s="69">
        <v>43576.0</v>
      </c>
      <c r="H583" s="4" t="s">
        <v>1652</v>
      </c>
      <c r="J583" s="4"/>
    </row>
    <row r="584">
      <c r="A584" s="67" t="str">
        <f t="shared" si="1"/>
        <v>Mon</v>
      </c>
      <c r="B584" s="69">
        <v>43577.0</v>
      </c>
      <c r="D584" s="171"/>
    </row>
    <row r="585">
      <c r="A585" s="67" t="str">
        <f t="shared" si="1"/>
        <v>Tue</v>
      </c>
      <c r="B585" s="69">
        <v>43578.0</v>
      </c>
      <c r="D585" s="171"/>
    </row>
    <row r="586">
      <c r="A586" s="67" t="str">
        <f t="shared" si="1"/>
        <v>Wed</v>
      </c>
      <c r="B586" s="69">
        <v>43579.0</v>
      </c>
      <c r="D586" s="171"/>
      <c r="G586" s="4" t="s">
        <v>1534</v>
      </c>
      <c r="J586" s="4" t="s">
        <v>228</v>
      </c>
      <c r="L586" s="4" t="s">
        <v>229</v>
      </c>
      <c r="M586" s="4" t="s">
        <v>226</v>
      </c>
      <c r="N586" s="4" t="s">
        <v>232</v>
      </c>
      <c r="O586" s="4" t="s">
        <v>264</v>
      </c>
    </row>
    <row r="587">
      <c r="A587" s="67" t="str">
        <f t="shared" si="1"/>
        <v>Thu</v>
      </c>
      <c r="B587" s="69">
        <v>43580.0</v>
      </c>
      <c r="D587" s="171"/>
      <c r="J587" s="4" t="s">
        <v>228</v>
      </c>
    </row>
    <row r="588">
      <c r="A588" s="67" t="str">
        <f t="shared" si="1"/>
        <v>Fri</v>
      </c>
      <c r="B588" s="69">
        <v>43581.0</v>
      </c>
      <c r="D588" s="194">
        <v>242.5</v>
      </c>
      <c r="E588" s="4" t="s">
        <v>222</v>
      </c>
      <c r="F588" s="4" t="s">
        <v>1656</v>
      </c>
      <c r="G588" s="4" t="s">
        <v>1656</v>
      </c>
      <c r="I588" s="4" t="s">
        <v>224</v>
      </c>
      <c r="K588" s="4" t="s">
        <v>231</v>
      </c>
      <c r="L588" s="4" t="s">
        <v>225</v>
      </c>
      <c r="M588" s="6" t="s">
        <v>1657</v>
      </c>
      <c r="N588" s="6" t="s">
        <v>1658</v>
      </c>
      <c r="O588" s="6" t="s">
        <v>1659</v>
      </c>
      <c r="Q588" s="4" t="s">
        <v>1660</v>
      </c>
      <c r="R588" s="4" t="s">
        <v>1661</v>
      </c>
      <c r="S588" s="4">
        <v>6.43223193E9</v>
      </c>
    </row>
    <row r="589">
      <c r="A589" s="67" t="str">
        <f t="shared" si="1"/>
        <v>Sat</v>
      </c>
      <c r="B589" s="69">
        <v>43582.0</v>
      </c>
      <c r="D589" s="194">
        <v>242.5</v>
      </c>
      <c r="E589" s="4" t="s">
        <v>222</v>
      </c>
      <c r="F589" s="4" t="s">
        <v>1656</v>
      </c>
      <c r="I589" s="4" t="s">
        <v>224</v>
      </c>
    </row>
    <row r="590">
      <c r="A590" s="67" t="str">
        <f t="shared" si="1"/>
        <v>Sun</v>
      </c>
      <c r="B590" s="69">
        <v>43583.0</v>
      </c>
      <c r="D590" s="171"/>
      <c r="F590" s="4"/>
      <c r="G590" s="4"/>
      <c r="H590" s="4" t="s">
        <v>1656</v>
      </c>
      <c r="J590" s="4" t="s">
        <v>228</v>
      </c>
      <c r="L590" s="4" t="s">
        <v>229</v>
      </c>
      <c r="M590" s="4"/>
      <c r="N590" s="4"/>
      <c r="O590" s="4"/>
    </row>
    <row r="591">
      <c r="A591" s="67" t="str">
        <f t="shared" si="1"/>
        <v>Mon</v>
      </c>
      <c r="B591" s="69">
        <v>43584.0</v>
      </c>
      <c r="D591" s="171"/>
      <c r="F591" s="4"/>
      <c r="J591" s="4" t="s">
        <v>228</v>
      </c>
    </row>
    <row r="592">
      <c r="A592" s="67" t="str">
        <f t="shared" si="1"/>
        <v>Tue</v>
      </c>
      <c r="B592" s="69">
        <v>43585.0</v>
      </c>
      <c r="D592" s="194">
        <v>231.1833333333333</v>
      </c>
      <c r="E592" s="4" t="s">
        <v>222</v>
      </c>
      <c r="F592" s="4" t="s">
        <v>1662</v>
      </c>
      <c r="G592" s="4" t="s">
        <v>1662</v>
      </c>
      <c r="H592" s="4"/>
      <c r="I592" s="4" t="s">
        <v>224</v>
      </c>
      <c r="K592" s="4" t="s">
        <v>231</v>
      </c>
      <c r="L592" s="4" t="s">
        <v>225</v>
      </c>
      <c r="M592" s="4" t="s">
        <v>1663</v>
      </c>
      <c r="N592" s="4" t="s">
        <v>1664</v>
      </c>
      <c r="O592" s="4" t="s">
        <v>1665</v>
      </c>
      <c r="Q592" s="4" t="s">
        <v>1666</v>
      </c>
      <c r="R592" s="4" t="s">
        <v>1667</v>
      </c>
      <c r="S592" s="4" t="s">
        <v>1668</v>
      </c>
    </row>
    <row r="593">
      <c r="A593" s="67" t="str">
        <f t="shared" si="1"/>
        <v>Wed</v>
      </c>
      <c r="B593" s="69">
        <v>43586.0</v>
      </c>
      <c r="D593" s="194">
        <v>231.1833333333333</v>
      </c>
      <c r="E593" s="4" t="s">
        <v>222</v>
      </c>
      <c r="F593" s="4" t="s">
        <v>1662</v>
      </c>
      <c r="I593" s="4" t="s">
        <v>224</v>
      </c>
    </row>
    <row r="594">
      <c r="A594" s="67" t="str">
        <f t="shared" si="1"/>
        <v>Thu</v>
      </c>
      <c r="B594" s="69">
        <v>43587.0</v>
      </c>
      <c r="D594" s="194">
        <v>231.1833333333333</v>
      </c>
      <c r="E594" s="4" t="s">
        <v>222</v>
      </c>
      <c r="F594" s="4" t="s">
        <v>1662</v>
      </c>
      <c r="I594" s="4" t="s">
        <v>224</v>
      </c>
    </row>
    <row r="595">
      <c r="A595" s="67" t="str">
        <f t="shared" si="1"/>
        <v>Fri</v>
      </c>
      <c r="B595" s="69">
        <v>43588.0</v>
      </c>
      <c r="D595" s="194">
        <v>231.1833333333333</v>
      </c>
      <c r="E595" s="4" t="s">
        <v>222</v>
      </c>
      <c r="F595" s="4" t="s">
        <v>1662</v>
      </c>
      <c r="I595" s="4" t="s">
        <v>224</v>
      </c>
    </row>
    <row r="596">
      <c r="A596" s="67" t="str">
        <f t="shared" si="1"/>
        <v>Sat</v>
      </c>
      <c r="B596" s="69">
        <v>43589.0</v>
      </c>
      <c r="D596" s="194">
        <v>231.1833333333333</v>
      </c>
      <c r="E596" s="4" t="s">
        <v>222</v>
      </c>
      <c r="F596" s="4" t="s">
        <v>1662</v>
      </c>
      <c r="I596" s="4" t="s">
        <v>224</v>
      </c>
    </row>
    <row r="597">
      <c r="A597" s="67" t="str">
        <f t="shared" si="1"/>
        <v>Sun</v>
      </c>
      <c r="B597" s="69">
        <v>43590.0</v>
      </c>
      <c r="D597" s="194">
        <v>231.1833333333333</v>
      </c>
      <c r="E597" s="4" t="s">
        <v>222</v>
      </c>
      <c r="F597" s="4" t="s">
        <v>1662</v>
      </c>
      <c r="I597" s="4" t="s">
        <v>224</v>
      </c>
    </row>
    <row r="598">
      <c r="A598" s="67" t="str">
        <f t="shared" si="1"/>
        <v>Mon</v>
      </c>
      <c r="B598" s="69">
        <v>43591.0</v>
      </c>
      <c r="D598" s="171"/>
      <c r="F598" s="4"/>
      <c r="G598" s="4"/>
      <c r="H598" s="4" t="s">
        <v>1662</v>
      </c>
      <c r="N598" s="4"/>
      <c r="O598" s="4"/>
    </row>
    <row r="599">
      <c r="A599" s="67" t="str">
        <f t="shared" si="1"/>
        <v>Tue</v>
      </c>
      <c r="B599" s="69">
        <v>43592.0</v>
      </c>
      <c r="D599" s="171"/>
      <c r="F599" s="4"/>
    </row>
    <row r="600">
      <c r="A600" s="67" t="str">
        <f t="shared" si="1"/>
        <v>Wed</v>
      </c>
      <c r="B600" s="69">
        <v>43593.0</v>
      </c>
      <c r="D600" s="171"/>
      <c r="F600" s="4"/>
      <c r="G600" s="4"/>
      <c r="H600" s="4"/>
      <c r="N600" s="4"/>
      <c r="O600" s="4"/>
    </row>
    <row r="601">
      <c r="A601" s="67" t="str">
        <f t="shared" si="1"/>
        <v>Thu</v>
      </c>
      <c r="B601" s="69">
        <v>43594.0</v>
      </c>
      <c r="D601" s="171"/>
      <c r="F601" s="4"/>
    </row>
    <row r="602">
      <c r="A602" s="67" t="str">
        <f t="shared" si="1"/>
        <v>Fri</v>
      </c>
      <c r="B602" s="69">
        <v>43595.0</v>
      </c>
      <c r="D602" s="171"/>
      <c r="F602" s="4"/>
      <c r="G602" s="4"/>
      <c r="H602" s="4"/>
      <c r="N602" s="4"/>
      <c r="O602" s="4"/>
    </row>
    <row r="603">
      <c r="A603" s="67" t="str">
        <f t="shared" si="1"/>
        <v>Sat</v>
      </c>
      <c r="B603" s="69">
        <v>43596.0</v>
      </c>
      <c r="D603" s="171"/>
      <c r="F603" s="4"/>
    </row>
    <row r="604">
      <c r="A604" s="67" t="str">
        <f t="shared" si="1"/>
        <v>Sun</v>
      </c>
      <c r="B604" s="69">
        <v>43597.0</v>
      </c>
      <c r="D604" s="171"/>
      <c r="F604" s="4"/>
      <c r="G604" s="4"/>
      <c r="H604" s="4"/>
      <c r="N604" s="4"/>
      <c r="O604" s="4"/>
    </row>
    <row r="605">
      <c r="A605" s="67" t="str">
        <f t="shared" si="1"/>
        <v>Mon</v>
      </c>
      <c r="B605" s="69">
        <v>43598.0</v>
      </c>
      <c r="D605" s="171"/>
      <c r="F605" s="4"/>
    </row>
    <row r="606">
      <c r="A606" s="67" t="str">
        <f t="shared" si="1"/>
        <v>Tue</v>
      </c>
      <c r="B606" s="69">
        <v>43599.0</v>
      </c>
      <c r="D606" s="171"/>
      <c r="F606" s="4"/>
      <c r="G606" s="4"/>
      <c r="H606" s="4"/>
      <c r="N606" s="4"/>
      <c r="O606" s="4"/>
    </row>
    <row r="607">
      <c r="A607" s="67" t="str">
        <f t="shared" si="1"/>
        <v>Wed</v>
      </c>
      <c r="B607" s="69">
        <v>43600.0</v>
      </c>
      <c r="D607" s="171"/>
      <c r="F607" s="4"/>
    </row>
    <row r="608">
      <c r="A608" s="67" t="str">
        <f t="shared" si="1"/>
        <v>Thu</v>
      </c>
      <c r="B608" s="69">
        <v>43601.0</v>
      </c>
      <c r="D608" s="171"/>
      <c r="F608" s="4"/>
      <c r="G608" s="4"/>
      <c r="H608" s="4"/>
      <c r="N608" s="4"/>
      <c r="O608" s="4"/>
    </row>
    <row r="609">
      <c r="A609" s="67" t="str">
        <f t="shared" si="1"/>
        <v>Fri</v>
      </c>
      <c r="B609" s="69">
        <v>43602.0</v>
      </c>
      <c r="D609" s="171"/>
      <c r="F609" s="4"/>
    </row>
    <row r="610">
      <c r="A610" s="67" t="str">
        <f t="shared" si="1"/>
        <v>Sat</v>
      </c>
      <c r="B610" s="69">
        <v>43603.0</v>
      </c>
      <c r="D610" s="171"/>
      <c r="F610" s="4"/>
      <c r="G610" s="4"/>
      <c r="H610" s="4"/>
      <c r="N610" s="4"/>
      <c r="O610" s="4"/>
    </row>
    <row r="611">
      <c r="A611" s="67" t="str">
        <f t="shared" si="1"/>
        <v>Sun</v>
      </c>
      <c r="B611" s="69">
        <v>43604.0</v>
      </c>
      <c r="D611" s="171"/>
      <c r="F611" s="4"/>
    </row>
    <row r="612">
      <c r="A612" s="67" t="str">
        <f t="shared" si="1"/>
        <v>Mon</v>
      </c>
      <c r="B612" s="69">
        <v>43605.0</v>
      </c>
      <c r="D612" s="171"/>
      <c r="H612" s="4"/>
    </row>
    <row r="613">
      <c r="A613" s="67" t="str">
        <f t="shared" si="1"/>
        <v>Tue</v>
      </c>
      <c r="B613" s="69">
        <v>43606.0</v>
      </c>
      <c r="D613" s="171"/>
    </row>
    <row r="614">
      <c r="A614" s="67" t="str">
        <f t="shared" si="1"/>
        <v>Wed</v>
      </c>
      <c r="B614" s="69">
        <v>43607.0</v>
      </c>
      <c r="D614" s="194">
        <v>242.5</v>
      </c>
      <c r="E614" s="4" t="s">
        <v>222</v>
      </c>
      <c r="F614" s="6" t="s">
        <v>1669</v>
      </c>
      <c r="G614" s="6" t="s">
        <v>1669</v>
      </c>
      <c r="I614" s="4" t="s">
        <v>359</v>
      </c>
      <c r="K614" s="4" t="s">
        <v>231</v>
      </c>
      <c r="L614" s="4" t="s">
        <v>225</v>
      </c>
      <c r="M614" s="6" t="s">
        <v>1670</v>
      </c>
      <c r="N614" s="6" t="s">
        <v>1671</v>
      </c>
      <c r="Q614" s="6" t="s">
        <v>1672</v>
      </c>
      <c r="R614" s="6" t="s">
        <v>1673</v>
      </c>
    </row>
    <row r="615">
      <c r="A615" s="67" t="str">
        <f t="shared" si="1"/>
        <v>Thu</v>
      </c>
      <c r="B615" s="69">
        <v>43608.0</v>
      </c>
      <c r="D615" s="194">
        <v>242.5</v>
      </c>
      <c r="E615" s="4" t="s">
        <v>222</v>
      </c>
      <c r="F615" s="6" t="s">
        <v>1669</v>
      </c>
      <c r="I615" s="4" t="s">
        <v>359</v>
      </c>
    </row>
    <row r="616">
      <c r="A616" s="67" t="str">
        <f t="shared" si="1"/>
        <v>Fri</v>
      </c>
      <c r="B616" s="69">
        <v>43609.0</v>
      </c>
      <c r="D616" s="194">
        <v>587.25</v>
      </c>
      <c r="E616" s="4" t="s">
        <v>169</v>
      </c>
      <c r="F616" s="4" t="s">
        <v>1674</v>
      </c>
      <c r="G616" s="4" t="s">
        <v>1674</v>
      </c>
      <c r="H616" s="6" t="s">
        <v>1669</v>
      </c>
      <c r="I616" s="4" t="s">
        <v>224</v>
      </c>
      <c r="K616" s="4" t="s">
        <v>231</v>
      </c>
      <c r="L616" s="4" t="s">
        <v>225</v>
      </c>
      <c r="M616" s="4" t="s">
        <v>226</v>
      </c>
      <c r="N616" s="4" t="s">
        <v>232</v>
      </c>
      <c r="O616" s="4" t="s">
        <v>264</v>
      </c>
      <c r="R616" s="4" t="s">
        <v>1675</v>
      </c>
    </row>
    <row r="617">
      <c r="A617" s="67" t="str">
        <f t="shared" si="1"/>
        <v>Sat</v>
      </c>
      <c r="B617" s="69">
        <v>43610.0</v>
      </c>
      <c r="D617" s="194">
        <v>587.25</v>
      </c>
      <c r="E617" s="4" t="s">
        <v>169</v>
      </c>
      <c r="F617" s="4" t="s">
        <v>1674</v>
      </c>
      <c r="I617" s="4" t="s">
        <v>224</v>
      </c>
    </row>
    <row r="618">
      <c r="A618" s="67" t="str">
        <f t="shared" si="1"/>
        <v>Sun</v>
      </c>
      <c r="B618" s="69">
        <v>43611.0</v>
      </c>
      <c r="D618" s="194">
        <v>587.25</v>
      </c>
      <c r="E618" s="4" t="s">
        <v>169</v>
      </c>
      <c r="F618" s="4" t="s">
        <v>1674</v>
      </c>
      <c r="I618" s="4" t="s">
        <v>224</v>
      </c>
    </row>
    <row r="619">
      <c r="A619" s="67" t="str">
        <f t="shared" si="1"/>
        <v>Mon</v>
      </c>
      <c r="B619" s="69">
        <v>43612.0</v>
      </c>
      <c r="D619" s="171"/>
      <c r="F619" s="4"/>
      <c r="G619" s="4"/>
      <c r="H619" s="4" t="s">
        <v>1674</v>
      </c>
      <c r="J619" s="4" t="s">
        <v>228</v>
      </c>
      <c r="L619" s="4" t="s">
        <v>229</v>
      </c>
      <c r="M619" s="4"/>
      <c r="N619" s="4"/>
      <c r="O619" s="4"/>
    </row>
    <row r="620">
      <c r="A620" s="67" t="str">
        <f t="shared" si="1"/>
        <v>Tue</v>
      </c>
      <c r="B620" s="69">
        <v>43613.0</v>
      </c>
      <c r="F620" s="4"/>
      <c r="J620" s="4" t="s">
        <v>228</v>
      </c>
    </row>
    <row r="621">
      <c r="A621" s="67" t="str">
        <f t="shared" si="1"/>
        <v>Wed</v>
      </c>
      <c r="B621" s="69">
        <v>43614.0</v>
      </c>
      <c r="F621" s="4"/>
      <c r="G621" s="4"/>
      <c r="H621" s="4"/>
      <c r="J621" s="4" t="s">
        <v>228</v>
      </c>
      <c r="L621" s="4" t="s">
        <v>229</v>
      </c>
      <c r="M621" s="4"/>
      <c r="N621" s="4"/>
      <c r="O621" s="4"/>
    </row>
    <row r="622">
      <c r="A622" s="67" t="str">
        <f t="shared" si="1"/>
        <v>Thu</v>
      </c>
      <c r="B622" s="69">
        <v>43615.0</v>
      </c>
      <c r="F622" s="4"/>
      <c r="J622" s="4" t="s">
        <v>228</v>
      </c>
    </row>
    <row r="623">
      <c r="A623" s="67" t="str">
        <f t="shared" si="1"/>
        <v>Fri</v>
      </c>
      <c r="B623" s="69">
        <v>43616.0</v>
      </c>
      <c r="D623" s="161">
        <v>216.63333333333333</v>
      </c>
      <c r="E623" s="4" t="s">
        <v>222</v>
      </c>
      <c r="F623" s="4" t="s">
        <v>1676</v>
      </c>
      <c r="G623" s="4" t="s">
        <v>1676</v>
      </c>
      <c r="H623" s="4"/>
      <c r="I623" s="4" t="s">
        <v>224</v>
      </c>
      <c r="K623" s="4" t="s">
        <v>231</v>
      </c>
      <c r="L623" s="4" t="s">
        <v>225</v>
      </c>
      <c r="M623" s="6"/>
      <c r="Q623" s="201" t="s">
        <v>1677</v>
      </c>
      <c r="R623" s="4" t="s">
        <v>1678</v>
      </c>
      <c r="S623" s="6" t="s">
        <v>1679</v>
      </c>
    </row>
    <row r="624">
      <c r="A624" s="67" t="str">
        <f t="shared" si="1"/>
        <v>Sat</v>
      </c>
      <c r="B624" s="69">
        <v>43617.0</v>
      </c>
      <c r="D624" s="161">
        <v>216.63333333333333</v>
      </c>
      <c r="E624" s="4" t="s">
        <v>222</v>
      </c>
      <c r="F624" s="4" t="s">
        <v>1676</v>
      </c>
      <c r="I624" s="4" t="s">
        <v>224</v>
      </c>
    </row>
    <row r="625">
      <c r="A625" s="67" t="str">
        <f t="shared" si="1"/>
        <v>Sun</v>
      </c>
      <c r="B625" s="69">
        <v>43618.0</v>
      </c>
      <c r="D625" s="161">
        <v>216.63333333333333</v>
      </c>
      <c r="E625" s="4" t="s">
        <v>222</v>
      </c>
      <c r="F625" s="4" t="s">
        <v>1676</v>
      </c>
      <c r="I625" s="4" t="s">
        <v>224</v>
      </c>
    </row>
    <row r="626">
      <c r="A626" s="67" t="str">
        <f t="shared" si="1"/>
        <v>Mon</v>
      </c>
      <c r="B626" s="69">
        <v>43619.0</v>
      </c>
      <c r="H626" s="4" t="s">
        <v>1676</v>
      </c>
    </row>
    <row r="627">
      <c r="A627" s="67" t="str">
        <f t="shared" si="1"/>
        <v>Tue</v>
      </c>
      <c r="B627" s="69">
        <v>43620.0</v>
      </c>
    </row>
    <row r="628">
      <c r="A628" s="67" t="str">
        <f t="shared" si="1"/>
        <v>Wed</v>
      </c>
      <c r="B628" s="69">
        <v>43621.0</v>
      </c>
    </row>
    <row r="629">
      <c r="A629" s="67" t="str">
        <f t="shared" si="1"/>
        <v>Thu</v>
      </c>
      <c r="B629" s="69">
        <v>43622.0</v>
      </c>
    </row>
    <row r="630">
      <c r="A630" s="67" t="str">
        <f t="shared" si="1"/>
        <v>Fri</v>
      </c>
      <c r="B630" s="69">
        <v>43623.0</v>
      </c>
    </row>
    <row r="631">
      <c r="A631" s="67" t="str">
        <f t="shared" si="1"/>
        <v>Sat</v>
      </c>
      <c r="B631" s="69">
        <v>43624.0</v>
      </c>
    </row>
    <row r="632">
      <c r="A632" s="67" t="str">
        <f t="shared" si="1"/>
        <v>Sun</v>
      </c>
      <c r="B632" s="69">
        <v>43625.0</v>
      </c>
    </row>
    <row r="633">
      <c r="A633" s="67" t="str">
        <f t="shared" si="1"/>
        <v>Mon</v>
      </c>
      <c r="B633" s="69">
        <v>43626.0</v>
      </c>
    </row>
    <row r="634">
      <c r="A634" s="67" t="str">
        <f t="shared" si="1"/>
        <v>Tue</v>
      </c>
      <c r="B634" s="69">
        <v>43627.0</v>
      </c>
    </row>
    <row r="635">
      <c r="A635" s="67" t="str">
        <f t="shared" si="1"/>
        <v>Wed</v>
      </c>
      <c r="B635" s="69">
        <v>43628.0</v>
      </c>
    </row>
    <row r="636">
      <c r="A636" s="67" t="str">
        <f t="shared" si="1"/>
        <v>Thu</v>
      </c>
      <c r="B636" s="69">
        <v>43629.0</v>
      </c>
    </row>
    <row r="637">
      <c r="A637" s="67" t="str">
        <f t="shared" si="1"/>
        <v>Fri</v>
      </c>
      <c r="B637" s="69">
        <v>43630.0</v>
      </c>
    </row>
    <row r="638">
      <c r="A638" s="67" t="str">
        <f t="shared" si="1"/>
        <v>Sat</v>
      </c>
      <c r="B638" s="69">
        <v>43631.0</v>
      </c>
    </row>
    <row r="639">
      <c r="A639" s="67" t="str">
        <f t="shared" si="1"/>
        <v>Sun</v>
      </c>
      <c r="B639" s="69">
        <v>43632.0</v>
      </c>
    </row>
    <row r="640">
      <c r="A640" s="67" t="str">
        <f t="shared" si="1"/>
        <v>Mon</v>
      </c>
      <c r="B640" s="69">
        <v>43633.0</v>
      </c>
    </row>
    <row r="641">
      <c r="A641" s="67" t="str">
        <f t="shared" si="1"/>
        <v>Tue</v>
      </c>
      <c r="B641" s="69">
        <v>43634.0</v>
      </c>
    </row>
    <row r="642">
      <c r="A642" s="67" t="str">
        <f t="shared" si="1"/>
        <v>Wed</v>
      </c>
      <c r="B642" s="69">
        <v>43635.0</v>
      </c>
    </row>
    <row r="643">
      <c r="A643" s="67" t="str">
        <f t="shared" si="1"/>
        <v>Thu</v>
      </c>
      <c r="B643" s="69">
        <v>43636.0</v>
      </c>
    </row>
    <row r="644">
      <c r="A644" s="67" t="str">
        <f t="shared" si="1"/>
        <v>Fri</v>
      </c>
      <c r="B644" s="69">
        <v>43637.0</v>
      </c>
    </row>
    <row r="645">
      <c r="A645" s="67" t="str">
        <f t="shared" si="1"/>
        <v>Sat</v>
      </c>
      <c r="B645" s="69">
        <v>43638.0</v>
      </c>
    </row>
    <row r="646">
      <c r="A646" s="67" t="str">
        <f t="shared" si="1"/>
        <v>Sun</v>
      </c>
      <c r="B646" s="69">
        <v>43639.0</v>
      </c>
    </row>
    <row r="647">
      <c r="A647" s="67" t="str">
        <f t="shared" si="1"/>
        <v>Mon</v>
      </c>
      <c r="B647" s="69">
        <v>43640.0</v>
      </c>
    </row>
    <row r="648">
      <c r="A648" s="67" t="str">
        <f t="shared" si="1"/>
        <v>Tue</v>
      </c>
      <c r="B648" s="69">
        <v>43641.0</v>
      </c>
    </row>
    <row r="649">
      <c r="A649" s="67" t="str">
        <f t="shared" si="1"/>
        <v>Wed</v>
      </c>
      <c r="B649" s="69">
        <v>43642.0</v>
      </c>
    </row>
    <row r="650">
      <c r="A650" s="67" t="str">
        <f t="shared" si="1"/>
        <v>Thu</v>
      </c>
      <c r="B650" s="69">
        <v>43643.0</v>
      </c>
    </row>
    <row r="651">
      <c r="A651" s="67" t="str">
        <f t="shared" si="1"/>
        <v>Fri</v>
      </c>
      <c r="B651" s="69">
        <v>43644.0</v>
      </c>
    </row>
    <row r="652">
      <c r="A652" s="67" t="str">
        <f t="shared" si="1"/>
        <v>Sat</v>
      </c>
      <c r="B652" s="69">
        <v>43645.0</v>
      </c>
    </row>
    <row r="653">
      <c r="A653" s="67" t="str">
        <f t="shared" si="1"/>
        <v>Sun</v>
      </c>
      <c r="B653" s="69">
        <v>43646.0</v>
      </c>
    </row>
    <row r="654">
      <c r="A654" s="67" t="str">
        <f t="shared" si="1"/>
        <v>Mon</v>
      </c>
      <c r="B654" s="69">
        <v>43647.0</v>
      </c>
      <c r="D654" s="161">
        <v>0.0</v>
      </c>
      <c r="E654" s="4" t="s">
        <v>222</v>
      </c>
      <c r="F654" s="4" t="s">
        <v>1680</v>
      </c>
      <c r="G654" s="4" t="s">
        <v>1680</v>
      </c>
      <c r="I654" s="4" t="s">
        <v>359</v>
      </c>
      <c r="K654" s="4" t="s">
        <v>231</v>
      </c>
      <c r="L654" s="4" t="s">
        <v>229</v>
      </c>
    </row>
    <row r="655">
      <c r="A655" s="67" t="str">
        <f t="shared" si="1"/>
        <v>Tue</v>
      </c>
      <c r="B655" s="69">
        <v>43648.0</v>
      </c>
      <c r="H655" s="4" t="s">
        <v>1680</v>
      </c>
    </row>
    <row r="656">
      <c r="A656" s="67" t="str">
        <f t="shared" si="1"/>
        <v>Wed</v>
      </c>
      <c r="B656" s="69">
        <v>43649.0</v>
      </c>
    </row>
    <row r="657">
      <c r="A657" s="67" t="str">
        <f t="shared" si="1"/>
        <v>Thu</v>
      </c>
      <c r="B657" s="69">
        <v>43650.0</v>
      </c>
    </row>
    <row r="658">
      <c r="A658" s="67" t="str">
        <f t="shared" si="1"/>
        <v>Fri</v>
      </c>
      <c r="B658" s="69">
        <v>43651.0</v>
      </c>
    </row>
    <row r="659">
      <c r="A659" s="67" t="str">
        <f t="shared" si="1"/>
        <v>Sat</v>
      </c>
      <c r="B659" s="69">
        <v>43652.0</v>
      </c>
    </row>
    <row r="660">
      <c r="A660" s="67" t="str">
        <f t="shared" si="1"/>
        <v>Sun</v>
      </c>
      <c r="B660" s="69">
        <v>43653.0</v>
      </c>
    </row>
    <row r="661">
      <c r="A661" s="67" t="str">
        <f t="shared" si="1"/>
        <v>Mon</v>
      </c>
      <c r="B661" s="69">
        <v>43654.0</v>
      </c>
    </row>
    <row r="662">
      <c r="A662" s="67" t="str">
        <f t="shared" si="1"/>
        <v>Tue</v>
      </c>
      <c r="B662" s="69">
        <v>43655.0</v>
      </c>
    </row>
    <row r="663">
      <c r="A663" s="67" t="str">
        <f t="shared" si="1"/>
        <v>Wed</v>
      </c>
      <c r="B663" s="69">
        <v>43656.0</v>
      </c>
    </row>
    <row r="664">
      <c r="A664" s="67" t="str">
        <f t="shared" si="1"/>
        <v>Thu</v>
      </c>
      <c r="B664" s="69">
        <v>43657.0</v>
      </c>
    </row>
    <row r="665">
      <c r="A665" s="67" t="str">
        <f t="shared" si="1"/>
        <v>Fri</v>
      </c>
      <c r="B665" s="69">
        <v>43658.0</v>
      </c>
    </row>
    <row r="666">
      <c r="A666" s="67" t="str">
        <f t="shared" si="1"/>
        <v>Sat</v>
      </c>
      <c r="B666" s="69">
        <v>43659.0</v>
      </c>
    </row>
    <row r="667">
      <c r="A667" s="67" t="str">
        <f t="shared" si="1"/>
        <v>Sun</v>
      </c>
      <c r="B667" s="69">
        <v>43660.0</v>
      </c>
    </row>
    <row r="668">
      <c r="A668" s="67" t="str">
        <f t="shared" si="1"/>
        <v>Mon</v>
      </c>
      <c r="B668" s="69">
        <v>43661.0</v>
      </c>
    </row>
    <row r="669">
      <c r="A669" s="67" t="str">
        <f t="shared" si="1"/>
        <v>Tue</v>
      </c>
      <c r="B669" s="69">
        <v>43662.0</v>
      </c>
    </row>
    <row r="670">
      <c r="A670" s="67" t="str">
        <f t="shared" si="1"/>
        <v>Wed</v>
      </c>
      <c r="B670" s="69">
        <v>43663.0</v>
      </c>
    </row>
    <row r="671">
      <c r="A671" s="67" t="str">
        <f t="shared" si="1"/>
        <v>Thu</v>
      </c>
      <c r="B671" s="69">
        <v>43664.0</v>
      </c>
    </row>
    <row r="672">
      <c r="A672" s="67" t="str">
        <f t="shared" si="1"/>
        <v>Fri</v>
      </c>
      <c r="B672" s="69">
        <v>43665.0</v>
      </c>
    </row>
    <row r="673">
      <c r="A673" s="67" t="str">
        <f t="shared" si="1"/>
        <v>Sat</v>
      </c>
      <c r="B673" s="69">
        <v>43666.0</v>
      </c>
    </row>
    <row r="674">
      <c r="A674" s="67" t="str">
        <f t="shared" si="1"/>
        <v>Sun</v>
      </c>
      <c r="B674" s="69">
        <v>43667.0</v>
      </c>
    </row>
    <row r="675">
      <c r="A675" s="67" t="str">
        <f t="shared" si="1"/>
        <v>Mon</v>
      </c>
      <c r="B675" s="69">
        <v>43668.0</v>
      </c>
    </row>
    <row r="676">
      <c r="A676" s="67" t="str">
        <f t="shared" si="1"/>
        <v>Tue</v>
      </c>
      <c r="B676" s="69">
        <v>43669.0</v>
      </c>
    </row>
    <row r="677">
      <c r="A677" s="67" t="str">
        <f t="shared" si="1"/>
        <v>Wed</v>
      </c>
      <c r="B677" s="69">
        <v>43670.0</v>
      </c>
    </row>
    <row r="678">
      <c r="A678" s="67" t="str">
        <f t="shared" si="1"/>
        <v>Thu</v>
      </c>
      <c r="B678" s="69">
        <v>43671.0</v>
      </c>
    </row>
    <row r="679">
      <c r="A679" s="67" t="str">
        <f t="shared" si="1"/>
        <v>Fri</v>
      </c>
      <c r="B679" s="69">
        <v>43672.0</v>
      </c>
    </row>
    <row r="680">
      <c r="A680" s="67" t="str">
        <f t="shared" si="1"/>
        <v>Sat</v>
      </c>
      <c r="B680" s="69">
        <v>43673.0</v>
      </c>
    </row>
    <row r="681">
      <c r="A681" s="67" t="str">
        <f t="shared" si="1"/>
        <v>Sun</v>
      </c>
      <c r="B681" s="69">
        <v>43674.0</v>
      </c>
    </row>
    <row r="682">
      <c r="A682" s="67" t="str">
        <f t="shared" si="1"/>
        <v>Mon</v>
      </c>
      <c r="B682" s="69">
        <v>43675.0</v>
      </c>
    </row>
    <row r="683">
      <c r="A683" s="67" t="str">
        <f t="shared" si="1"/>
        <v>Tue</v>
      </c>
      <c r="B683" s="69">
        <v>43676.0</v>
      </c>
    </row>
    <row r="684">
      <c r="A684" s="67" t="str">
        <f t="shared" si="1"/>
        <v>Wed</v>
      </c>
      <c r="B684" s="69">
        <v>43677.0</v>
      </c>
    </row>
    <row r="685">
      <c r="A685" s="67" t="str">
        <f t="shared" si="1"/>
        <v>Thu</v>
      </c>
      <c r="B685" s="69">
        <v>43678.0</v>
      </c>
    </row>
    <row r="686">
      <c r="A686" s="67" t="str">
        <f t="shared" si="1"/>
        <v>Fri</v>
      </c>
      <c r="B686" s="69">
        <v>43679.0</v>
      </c>
    </row>
    <row r="687">
      <c r="A687" s="67" t="str">
        <f t="shared" si="1"/>
        <v>Sat</v>
      </c>
      <c r="B687" s="69">
        <v>43680.0</v>
      </c>
    </row>
    <row r="688">
      <c r="A688" s="67" t="str">
        <f t="shared" si="1"/>
        <v>Sun</v>
      </c>
      <c r="B688" s="69">
        <v>43681.0</v>
      </c>
    </row>
    <row r="689">
      <c r="A689" s="67" t="str">
        <f t="shared" si="1"/>
        <v>Mon</v>
      </c>
      <c r="B689" s="69">
        <v>43682.0</v>
      </c>
    </row>
    <row r="690">
      <c r="A690" s="67" t="str">
        <f t="shared" si="1"/>
        <v>Tue</v>
      </c>
      <c r="B690" s="69">
        <v>43683.0</v>
      </c>
    </row>
    <row r="691">
      <c r="A691" s="67" t="str">
        <f t="shared" si="1"/>
        <v>Wed</v>
      </c>
      <c r="B691" s="69">
        <v>43684.0</v>
      </c>
    </row>
    <row r="692">
      <c r="A692" s="67" t="str">
        <f t="shared" si="1"/>
        <v>Thu</v>
      </c>
      <c r="B692" s="69">
        <v>43685.0</v>
      </c>
    </row>
    <row r="693">
      <c r="A693" s="67" t="str">
        <f t="shared" si="1"/>
        <v>Fri</v>
      </c>
      <c r="B693" s="69">
        <v>43686.0</v>
      </c>
    </row>
    <row r="694">
      <c r="A694" s="67" t="str">
        <f t="shared" si="1"/>
        <v>Sat</v>
      </c>
      <c r="B694" s="69">
        <v>43687.0</v>
      </c>
    </row>
    <row r="695">
      <c r="A695" s="67" t="str">
        <f t="shared" si="1"/>
        <v>Sun</v>
      </c>
      <c r="B695" s="69">
        <v>43688.0</v>
      </c>
    </row>
    <row r="696">
      <c r="A696" s="67" t="str">
        <f t="shared" si="1"/>
        <v>Mon</v>
      </c>
      <c r="B696" s="69">
        <v>43689.0</v>
      </c>
    </row>
    <row r="697">
      <c r="A697" s="67" t="str">
        <f t="shared" si="1"/>
        <v>Tue</v>
      </c>
      <c r="B697" s="69">
        <v>43690.0</v>
      </c>
    </row>
    <row r="698">
      <c r="A698" s="67" t="str">
        <f t="shared" si="1"/>
        <v>Wed</v>
      </c>
      <c r="B698" s="69">
        <v>43691.0</v>
      </c>
    </row>
    <row r="699">
      <c r="A699" s="67" t="str">
        <f t="shared" si="1"/>
        <v>Thu</v>
      </c>
      <c r="B699" s="69">
        <v>43692.0</v>
      </c>
    </row>
    <row r="700">
      <c r="A700" s="67" t="str">
        <f t="shared" si="1"/>
        <v>Fri</v>
      </c>
      <c r="B700" s="69">
        <v>43693.0</v>
      </c>
    </row>
    <row r="701">
      <c r="A701" s="67" t="str">
        <f t="shared" si="1"/>
        <v>Sat</v>
      </c>
      <c r="B701" s="69">
        <v>43694.0</v>
      </c>
    </row>
    <row r="702">
      <c r="A702" s="67" t="str">
        <f t="shared" si="1"/>
        <v>Sun</v>
      </c>
      <c r="B702" s="69">
        <v>43695.0</v>
      </c>
    </row>
    <row r="703">
      <c r="A703" s="67" t="str">
        <f t="shared" si="1"/>
        <v>Mon</v>
      </c>
      <c r="B703" s="69">
        <v>43696.0</v>
      </c>
    </row>
    <row r="704">
      <c r="A704" s="67" t="str">
        <f t="shared" si="1"/>
        <v>Tue</v>
      </c>
      <c r="B704" s="69">
        <v>43697.0</v>
      </c>
    </row>
    <row r="705">
      <c r="A705" s="67" t="str">
        <f t="shared" si="1"/>
        <v>Wed</v>
      </c>
      <c r="B705" s="69">
        <v>43698.0</v>
      </c>
    </row>
    <row r="706">
      <c r="A706" s="67" t="str">
        <f t="shared" si="1"/>
        <v>Thu</v>
      </c>
      <c r="B706" s="69">
        <v>43699.0</v>
      </c>
    </row>
    <row r="707">
      <c r="A707" s="67" t="str">
        <f t="shared" si="1"/>
        <v>Fri</v>
      </c>
      <c r="B707" s="69">
        <v>43700.0</v>
      </c>
    </row>
    <row r="708">
      <c r="A708" s="67" t="str">
        <f t="shared" si="1"/>
        <v>Sat</v>
      </c>
      <c r="B708" s="69">
        <v>43701.0</v>
      </c>
    </row>
    <row r="709">
      <c r="A709" s="67" t="str">
        <f t="shared" si="1"/>
        <v>Sun</v>
      </c>
      <c r="B709" s="69">
        <v>43702.0</v>
      </c>
    </row>
    <row r="710">
      <c r="A710" s="67" t="str">
        <f t="shared" si="1"/>
        <v>Mon</v>
      </c>
      <c r="B710" s="69">
        <v>43703.0</v>
      </c>
    </row>
    <row r="711">
      <c r="A711" s="67" t="str">
        <f t="shared" si="1"/>
        <v>Tue</v>
      </c>
      <c r="B711" s="69">
        <v>43704.0</v>
      </c>
    </row>
    <row r="712">
      <c r="A712" s="67" t="str">
        <f t="shared" si="1"/>
        <v>Wed</v>
      </c>
      <c r="B712" s="69">
        <v>43705.0</v>
      </c>
    </row>
    <row r="713">
      <c r="A713" s="67" t="str">
        <f t="shared" si="1"/>
        <v>Thu</v>
      </c>
      <c r="B713" s="69">
        <v>43706.0</v>
      </c>
    </row>
    <row r="714">
      <c r="A714" s="67" t="str">
        <f t="shared" si="1"/>
        <v>Fri</v>
      </c>
      <c r="B714" s="69">
        <v>43707.0</v>
      </c>
    </row>
    <row r="715">
      <c r="A715" s="67" t="str">
        <f t="shared" si="1"/>
        <v>Sat</v>
      </c>
      <c r="B715" s="69">
        <v>43708.0</v>
      </c>
    </row>
    <row r="716">
      <c r="A716" s="67" t="str">
        <f t="shared" si="1"/>
        <v>Sun</v>
      </c>
      <c r="B716" s="69">
        <v>43709.0</v>
      </c>
    </row>
    <row r="717">
      <c r="A717" s="67" t="str">
        <f t="shared" si="1"/>
        <v>Mon</v>
      </c>
      <c r="B717" s="69">
        <v>43710.0</v>
      </c>
    </row>
    <row r="718">
      <c r="A718" s="67" t="str">
        <f t="shared" si="1"/>
        <v>Tue</v>
      </c>
      <c r="B718" s="69">
        <v>43711.0</v>
      </c>
    </row>
    <row r="719">
      <c r="A719" s="67" t="str">
        <f t="shared" si="1"/>
        <v>Wed</v>
      </c>
      <c r="B719" s="69">
        <v>43712.0</v>
      </c>
    </row>
    <row r="720">
      <c r="A720" s="67" t="str">
        <f t="shared" si="1"/>
        <v>Thu</v>
      </c>
      <c r="B720" s="69">
        <v>43713.0</v>
      </c>
    </row>
    <row r="721">
      <c r="A721" s="67" t="str">
        <f t="shared" si="1"/>
        <v>Fri</v>
      </c>
      <c r="B721" s="69">
        <v>43714.0</v>
      </c>
    </row>
    <row r="722">
      <c r="A722" s="67" t="str">
        <f t="shared" si="1"/>
        <v>Sat</v>
      </c>
      <c r="B722" s="69">
        <v>43715.0</v>
      </c>
    </row>
    <row r="723">
      <c r="A723" s="67" t="str">
        <f t="shared" si="1"/>
        <v>Sun</v>
      </c>
      <c r="B723" s="69">
        <v>43716.0</v>
      </c>
    </row>
    <row r="724">
      <c r="A724" s="67" t="str">
        <f t="shared" si="1"/>
        <v>Mon</v>
      </c>
      <c r="B724" s="69">
        <v>43717.0</v>
      </c>
    </row>
    <row r="725">
      <c r="A725" s="67" t="str">
        <f t="shared" si="1"/>
        <v>Tue</v>
      </c>
      <c r="B725" s="69">
        <v>43718.0</v>
      </c>
    </row>
    <row r="726">
      <c r="A726" s="67" t="str">
        <f t="shared" si="1"/>
        <v>Wed</v>
      </c>
      <c r="B726" s="69">
        <v>43719.0</v>
      </c>
    </row>
    <row r="727">
      <c r="A727" s="67" t="str">
        <f t="shared" si="1"/>
        <v>Thu</v>
      </c>
      <c r="B727" s="69">
        <v>43720.0</v>
      </c>
    </row>
    <row r="728">
      <c r="A728" s="67" t="str">
        <f t="shared" si="1"/>
        <v>Fri</v>
      </c>
      <c r="B728" s="69">
        <v>43721.0</v>
      </c>
    </row>
    <row r="729">
      <c r="A729" s="67" t="str">
        <f t="shared" si="1"/>
        <v>Sat</v>
      </c>
      <c r="B729" s="69">
        <v>43722.0</v>
      </c>
    </row>
    <row r="730">
      <c r="A730" s="67" t="str">
        <f t="shared" si="1"/>
        <v>Sun</v>
      </c>
      <c r="B730" s="69">
        <v>43723.0</v>
      </c>
    </row>
    <row r="731">
      <c r="A731" s="67" t="str">
        <f t="shared" si="1"/>
        <v>Mon</v>
      </c>
      <c r="B731" s="69">
        <v>43724.0</v>
      </c>
    </row>
    <row r="732">
      <c r="A732" s="67" t="str">
        <f t="shared" si="1"/>
        <v>Tue</v>
      </c>
      <c r="B732" s="69">
        <v>43725.0</v>
      </c>
    </row>
    <row r="733">
      <c r="A733" s="67" t="str">
        <f t="shared" si="1"/>
        <v>Wed</v>
      </c>
      <c r="B733" s="69">
        <v>43726.0</v>
      </c>
    </row>
    <row r="734">
      <c r="A734" s="67" t="str">
        <f t="shared" si="1"/>
        <v>Thu</v>
      </c>
      <c r="B734" s="69">
        <v>43727.0</v>
      </c>
    </row>
    <row r="735">
      <c r="A735" s="67" t="str">
        <f t="shared" si="1"/>
        <v>Fri</v>
      </c>
      <c r="B735" s="69">
        <v>43728.0</v>
      </c>
    </row>
    <row r="736">
      <c r="A736" s="67" t="str">
        <f t="shared" si="1"/>
        <v>Sat</v>
      </c>
      <c r="B736" s="69">
        <v>43729.0</v>
      </c>
    </row>
    <row r="737">
      <c r="A737" s="67" t="str">
        <f t="shared" si="1"/>
        <v>Sun</v>
      </c>
      <c r="B737" s="69">
        <v>43730.0</v>
      </c>
    </row>
    <row r="738">
      <c r="A738" s="67" t="str">
        <f t="shared" si="1"/>
        <v>Mon</v>
      </c>
      <c r="B738" s="69">
        <v>43731.0</v>
      </c>
    </row>
    <row r="739">
      <c r="A739" s="67" t="str">
        <f t="shared" si="1"/>
        <v>Tue</v>
      </c>
      <c r="B739" s="69">
        <v>43732.0</v>
      </c>
    </row>
    <row r="740">
      <c r="A740" s="67" t="str">
        <f t="shared" si="1"/>
        <v>Wed</v>
      </c>
      <c r="B740" s="69">
        <v>43733.0</v>
      </c>
    </row>
    <row r="741">
      <c r="A741" s="67" t="str">
        <f t="shared" si="1"/>
        <v>Thu</v>
      </c>
      <c r="B741" s="69">
        <v>43734.0</v>
      </c>
    </row>
    <row r="742">
      <c r="A742" s="67" t="str">
        <f t="shared" si="1"/>
        <v>Fri</v>
      </c>
      <c r="B742" s="69">
        <v>43735.0</v>
      </c>
    </row>
    <row r="743">
      <c r="A743" s="67" t="str">
        <f t="shared" si="1"/>
        <v>Sat</v>
      </c>
      <c r="B743" s="69">
        <v>43736.0</v>
      </c>
    </row>
    <row r="744">
      <c r="A744" s="67" t="str">
        <f t="shared" si="1"/>
        <v>Sun</v>
      </c>
      <c r="B744" s="69">
        <v>43737.0</v>
      </c>
    </row>
    <row r="745">
      <c r="A745" s="67" t="str">
        <f t="shared" si="1"/>
        <v>Mon</v>
      </c>
      <c r="B745" s="69">
        <v>43738.0</v>
      </c>
    </row>
    <row r="746">
      <c r="A746" s="67" t="str">
        <f t="shared" si="1"/>
        <v>Tue</v>
      </c>
      <c r="B746" s="69">
        <v>43739.0</v>
      </c>
    </row>
    <row r="747">
      <c r="A747" s="67" t="str">
        <f t="shared" si="1"/>
        <v>Wed</v>
      </c>
      <c r="B747" s="69">
        <v>43740.0</v>
      </c>
    </row>
    <row r="748">
      <c r="A748" s="67" t="str">
        <f t="shared" si="1"/>
        <v>Thu</v>
      </c>
      <c r="B748" s="69">
        <v>43741.0</v>
      </c>
    </row>
    <row r="749">
      <c r="A749" s="67" t="str">
        <f t="shared" si="1"/>
        <v>Fri</v>
      </c>
      <c r="B749" s="69">
        <v>43742.0</v>
      </c>
    </row>
    <row r="750">
      <c r="A750" s="67" t="str">
        <f t="shared" si="1"/>
        <v>Sat</v>
      </c>
      <c r="B750" s="69">
        <v>43743.0</v>
      </c>
    </row>
    <row r="751">
      <c r="A751" s="67" t="str">
        <f t="shared" si="1"/>
        <v>Sun</v>
      </c>
      <c r="B751" s="69">
        <v>43744.0</v>
      </c>
    </row>
    <row r="752">
      <c r="A752" s="67" t="str">
        <f t="shared" si="1"/>
        <v>Mon</v>
      </c>
      <c r="B752" s="69">
        <v>43745.0</v>
      </c>
    </row>
    <row r="753">
      <c r="A753" s="67" t="str">
        <f t="shared" si="1"/>
        <v>Tue</v>
      </c>
      <c r="B753" s="69">
        <v>43746.0</v>
      </c>
    </row>
    <row r="754">
      <c r="A754" s="67" t="str">
        <f t="shared" si="1"/>
        <v>Wed</v>
      </c>
      <c r="B754" s="69">
        <v>43747.0</v>
      </c>
    </row>
    <row r="755">
      <c r="A755" s="67" t="str">
        <f t="shared" si="1"/>
        <v>Thu</v>
      </c>
      <c r="B755" s="69">
        <v>43748.0</v>
      </c>
    </row>
    <row r="756">
      <c r="A756" s="67" t="str">
        <f t="shared" si="1"/>
        <v>Fri</v>
      </c>
      <c r="B756" s="69">
        <v>43749.0</v>
      </c>
    </row>
    <row r="757">
      <c r="A757" s="67" t="str">
        <f t="shared" si="1"/>
        <v>Sat</v>
      </c>
      <c r="B757" s="69">
        <v>43750.0</v>
      </c>
    </row>
    <row r="758">
      <c r="A758" s="67" t="str">
        <f t="shared" si="1"/>
        <v>Sun</v>
      </c>
      <c r="B758" s="69">
        <v>43751.0</v>
      </c>
    </row>
    <row r="759">
      <c r="A759" s="67" t="str">
        <f t="shared" si="1"/>
        <v>Mon</v>
      </c>
      <c r="B759" s="69">
        <v>43752.0</v>
      </c>
    </row>
    <row r="760">
      <c r="A760" s="67" t="str">
        <f t="shared" si="1"/>
        <v>Tue</v>
      </c>
      <c r="B760" s="69">
        <v>43753.0</v>
      </c>
    </row>
    <row r="761">
      <c r="A761" s="67" t="str">
        <f t="shared" si="1"/>
        <v>Wed</v>
      </c>
      <c r="B761" s="69">
        <v>43754.0</v>
      </c>
    </row>
    <row r="762">
      <c r="A762" s="67" t="str">
        <f t="shared" si="1"/>
        <v>Thu</v>
      </c>
      <c r="B762" s="69">
        <v>43755.0</v>
      </c>
    </row>
    <row r="763">
      <c r="A763" s="67" t="str">
        <f t="shared" si="1"/>
        <v>Fri</v>
      </c>
      <c r="B763" s="69">
        <v>43756.0</v>
      </c>
    </row>
    <row r="764">
      <c r="A764" s="67" t="str">
        <f t="shared" si="1"/>
        <v>Sat</v>
      </c>
      <c r="B764" s="69">
        <v>43757.0</v>
      </c>
    </row>
    <row r="765">
      <c r="A765" s="67" t="str">
        <f t="shared" si="1"/>
        <v>Sun</v>
      </c>
      <c r="B765" s="69">
        <v>43758.0</v>
      </c>
    </row>
    <row r="766">
      <c r="A766" s="67" t="str">
        <f t="shared" si="1"/>
        <v>Mon</v>
      </c>
      <c r="B766" s="69">
        <v>43759.0</v>
      </c>
    </row>
    <row r="767">
      <c r="A767" s="67" t="str">
        <f t="shared" si="1"/>
        <v>Tue</v>
      </c>
      <c r="B767" s="69">
        <v>43760.0</v>
      </c>
    </row>
    <row r="768">
      <c r="A768" s="67" t="str">
        <f t="shared" si="1"/>
        <v>Wed</v>
      </c>
      <c r="B768" s="69">
        <v>43761.0</v>
      </c>
    </row>
    <row r="769">
      <c r="A769" s="67" t="str">
        <f t="shared" si="1"/>
        <v>Thu</v>
      </c>
      <c r="B769" s="69">
        <v>43762.0</v>
      </c>
    </row>
    <row r="770">
      <c r="A770" s="67" t="str">
        <f t="shared" si="1"/>
        <v>Fri</v>
      </c>
      <c r="B770" s="69">
        <v>43763.0</v>
      </c>
    </row>
    <row r="771">
      <c r="A771" s="67" t="str">
        <f t="shared" si="1"/>
        <v>Sat</v>
      </c>
      <c r="B771" s="69">
        <v>43764.0</v>
      </c>
    </row>
    <row r="772">
      <c r="A772" s="67" t="str">
        <f t="shared" si="1"/>
        <v>Sun</v>
      </c>
      <c r="B772" s="69">
        <v>43765.0</v>
      </c>
    </row>
    <row r="773">
      <c r="A773" s="67" t="str">
        <f t="shared" si="1"/>
        <v>Mon</v>
      </c>
      <c r="B773" s="69">
        <v>43766.0</v>
      </c>
    </row>
    <row r="774">
      <c r="A774" s="67" t="str">
        <f t="shared" si="1"/>
        <v>Tue</v>
      </c>
      <c r="B774" s="69">
        <v>43767.0</v>
      </c>
    </row>
    <row r="775">
      <c r="A775" s="67" t="str">
        <f t="shared" si="1"/>
        <v>Wed</v>
      </c>
      <c r="B775" s="69">
        <v>43768.0</v>
      </c>
    </row>
    <row r="776">
      <c r="A776" s="67" t="str">
        <f t="shared" si="1"/>
        <v>Thu</v>
      </c>
      <c r="B776" s="69">
        <v>43769.0</v>
      </c>
    </row>
    <row r="777">
      <c r="A777" s="67" t="str">
        <f t="shared" si="1"/>
        <v>Fri</v>
      </c>
      <c r="B777" s="69">
        <v>43770.0</v>
      </c>
    </row>
    <row r="778">
      <c r="A778" s="67" t="str">
        <f t="shared" si="1"/>
        <v>Sat</v>
      </c>
      <c r="B778" s="69">
        <v>43771.0</v>
      </c>
    </row>
    <row r="779">
      <c r="A779" s="67" t="str">
        <f t="shared" si="1"/>
        <v>Sun</v>
      </c>
      <c r="B779" s="69">
        <v>43772.0</v>
      </c>
    </row>
    <row r="780">
      <c r="A780" s="67" t="str">
        <f t="shared" si="1"/>
        <v>Mon</v>
      </c>
      <c r="B780" s="69">
        <v>43773.0</v>
      </c>
    </row>
    <row r="781">
      <c r="A781" s="67" t="str">
        <f t="shared" si="1"/>
        <v>Tue</v>
      </c>
      <c r="B781" s="69">
        <v>43774.0</v>
      </c>
    </row>
    <row r="782">
      <c r="A782" s="67" t="str">
        <f t="shared" si="1"/>
        <v>Wed</v>
      </c>
      <c r="B782" s="69">
        <v>43775.0</v>
      </c>
    </row>
    <row r="783">
      <c r="A783" s="67" t="str">
        <f t="shared" si="1"/>
        <v>Thu</v>
      </c>
      <c r="B783" s="69">
        <v>43776.0</v>
      </c>
    </row>
    <row r="784">
      <c r="A784" s="67" t="str">
        <f t="shared" si="1"/>
        <v>Fri</v>
      </c>
      <c r="B784" s="69">
        <v>43777.0</v>
      </c>
    </row>
    <row r="785">
      <c r="A785" s="67" t="str">
        <f t="shared" si="1"/>
        <v>Sat</v>
      </c>
      <c r="B785" s="69">
        <v>43778.0</v>
      </c>
    </row>
    <row r="786">
      <c r="A786" s="67" t="str">
        <f t="shared" si="1"/>
        <v>Sun</v>
      </c>
      <c r="B786" s="69">
        <v>43779.0</v>
      </c>
    </row>
    <row r="787">
      <c r="A787" s="67" t="str">
        <f t="shared" si="1"/>
        <v>Mon</v>
      </c>
      <c r="B787" s="69">
        <v>43780.0</v>
      </c>
    </row>
    <row r="788">
      <c r="A788" s="67" t="str">
        <f t="shared" si="1"/>
        <v>Tue</v>
      </c>
      <c r="B788" s="69">
        <v>43781.0</v>
      </c>
    </row>
    <row r="789">
      <c r="A789" s="67" t="str">
        <f t="shared" si="1"/>
        <v>Wed</v>
      </c>
      <c r="B789" s="69">
        <v>43782.0</v>
      </c>
    </row>
    <row r="790">
      <c r="A790" s="67" t="str">
        <f t="shared" si="1"/>
        <v>Thu</v>
      </c>
      <c r="B790" s="69">
        <v>43783.0</v>
      </c>
    </row>
    <row r="791">
      <c r="A791" s="67" t="str">
        <f t="shared" si="1"/>
        <v>Fri</v>
      </c>
      <c r="B791" s="69">
        <v>43784.0</v>
      </c>
    </row>
    <row r="792">
      <c r="A792" s="67" t="str">
        <f t="shared" si="1"/>
        <v>Sat</v>
      </c>
      <c r="B792" s="69">
        <v>43785.0</v>
      </c>
    </row>
    <row r="793">
      <c r="A793" s="67" t="str">
        <f t="shared" si="1"/>
        <v>Sun</v>
      </c>
      <c r="B793" s="69">
        <v>43786.0</v>
      </c>
    </row>
    <row r="794">
      <c r="A794" s="67" t="str">
        <f t="shared" si="1"/>
        <v>Mon</v>
      </c>
      <c r="B794" s="69">
        <v>43787.0</v>
      </c>
    </row>
    <row r="795">
      <c r="A795" s="67" t="str">
        <f t="shared" si="1"/>
        <v>Tue</v>
      </c>
      <c r="B795" s="69">
        <v>43788.0</v>
      </c>
    </row>
    <row r="796">
      <c r="A796" s="67" t="str">
        <f t="shared" si="1"/>
        <v>Wed</v>
      </c>
      <c r="B796" s="69">
        <v>43789.0</v>
      </c>
    </row>
    <row r="797">
      <c r="A797" s="67" t="str">
        <f t="shared" si="1"/>
        <v>Thu</v>
      </c>
      <c r="B797" s="69">
        <v>43790.0</v>
      </c>
    </row>
    <row r="798">
      <c r="A798" s="67" t="str">
        <f t="shared" si="1"/>
        <v>Fri</v>
      </c>
      <c r="B798" s="69">
        <v>43791.0</v>
      </c>
    </row>
    <row r="799">
      <c r="A799" s="67" t="str">
        <f t="shared" si="1"/>
        <v>Sat</v>
      </c>
      <c r="B799" s="69">
        <v>43792.0</v>
      </c>
    </row>
    <row r="800">
      <c r="A800" s="67" t="str">
        <f t="shared" si="1"/>
        <v>Sun</v>
      </c>
      <c r="B800" s="69">
        <v>43793.0</v>
      </c>
    </row>
    <row r="801">
      <c r="A801" s="67" t="str">
        <f t="shared" si="1"/>
        <v>Mon</v>
      </c>
      <c r="B801" s="69">
        <v>43794.0</v>
      </c>
    </row>
    <row r="802">
      <c r="A802" s="67" t="str">
        <f t="shared" si="1"/>
        <v>Tue</v>
      </c>
      <c r="B802" s="69">
        <v>43795.0</v>
      </c>
    </row>
    <row r="803">
      <c r="A803" s="67" t="str">
        <f t="shared" si="1"/>
        <v>Wed</v>
      </c>
      <c r="B803" s="69">
        <v>43796.0</v>
      </c>
    </row>
    <row r="804">
      <c r="A804" s="67" t="str">
        <f t="shared" si="1"/>
        <v>Thu</v>
      </c>
      <c r="B804" s="69">
        <v>43797.0</v>
      </c>
    </row>
    <row r="805">
      <c r="A805" s="67" t="str">
        <f t="shared" si="1"/>
        <v>Fri</v>
      </c>
      <c r="B805" s="69">
        <v>43798.0</v>
      </c>
    </row>
    <row r="806">
      <c r="A806" s="67" t="str">
        <f t="shared" si="1"/>
        <v>Sat</v>
      </c>
      <c r="B806" s="69">
        <v>43799.0</v>
      </c>
    </row>
    <row r="807">
      <c r="A807" s="67" t="str">
        <f t="shared" si="1"/>
        <v>Sun</v>
      </c>
      <c r="B807" s="69">
        <v>43800.0</v>
      </c>
    </row>
    <row r="808">
      <c r="A808" s="67" t="str">
        <f t="shared" si="1"/>
        <v>Mon</v>
      </c>
      <c r="B808" s="69">
        <v>43801.0</v>
      </c>
    </row>
    <row r="809">
      <c r="A809" s="67" t="str">
        <f t="shared" si="1"/>
        <v>Tue</v>
      </c>
      <c r="B809" s="69">
        <v>43802.0</v>
      </c>
    </row>
    <row r="810">
      <c r="A810" s="67" t="str">
        <f t="shared" si="1"/>
        <v>Wed</v>
      </c>
      <c r="B810" s="69">
        <v>43803.0</v>
      </c>
    </row>
    <row r="811">
      <c r="A811" s="67" t="str">
        <f t="shared" si="1"/>
        <v>Thu</v>
      </c>
      <c r="B811" s="69">
        <v>43804.0</v>
      </c>
    </row>
    <row r="812">
      <c r="A812" s="67" t="str">
        <f t="shared" si="1"/>
        <v>Fri</v>
      </c>
      <c r="B812" s="69">
        <v>43805.0</v>
      </c>
    </row>
    <row r="813">
      <c r="A813" s="67" t="str">
        <f t="shared" si="1"/>
        <v>Sat</v>
      </c>
      <c r="B813" s="69">
        <v>43806.0</v>
      </c>
    </row>
    <row r="814">
      <c r="A814" s="67" t="str">
        <f t="shared" si="1"/>
        <v>Sun</v>
      </c>
      <c r="B814" s="69">
        <v>43807.0</v>
      </c>
    </row>
    <row r="815">
      <c r="A815" s="67" t="str">
        <f t="shared" si="1"/>
        <v>Mon</v>
      </c>
      <c r="B815" s="69">
        <v>43808.0</v>
      </c>
    </row>
    <row r="816">
      <c r="A816" s="67" t="str">
        <f t="shared" si="1"/>
        <v>Tue</v>
      </c>
      <c r="B816" s="69">
        <v>43809.0</v>
      </c>
    </row>
    <row r="817">
      <c r="A817" s="67" t="str">
        <f t="shared" si="1"/>
        <v>Wed</v>
      </c>
      <c r="B817" s="69">
        <v>43810.0</v>
      </c>
    </row>
    <row r="818">
      <c r="A818" s="67" t="str">
        <f t="shared" si="1"/>
        <v>Thu</v>
      </c>
      <c r="B818" s="69">
        <v>43811.0</v>
      </c>
    </row>
    <row r="819">
      <c r="A819" s="67" t="str">
        <f t="shared" si="1"/>
        <v>Fri</v>
      </c>
      <c r="B819" s="69">
        <v>43812.0</v>
      </c>
    </row>
    <row r="820">
      <c r="A820" s="67" t="str">
        <f t="shared" si="1"/>
        <v>Sat</v>
      </c>
      <c r="B820" s="69">
        <v>43813.0</v>
      </c>
    </row>
    <row r="821">
      <c r="A821" s="67" t="str">
        <f t="shared" si="1"/>
        <v>Sun</v>
      </c>
      <c r="B821" s="69">
        <v>43814.0</v>
      </c>
    </row>
    <row r="822">
      <c r="A822" s="67" t="str">
        <f t="shared" si="1"/>
        <v>Mon</v>
      </c>
      <c r="B822" s="69">
        <v>43815.0</v>
      </c>
    </row>
    <row r="823">
      <c r="A823" s="67" t="str">
        <f t="shared" si="1"/>
        <v>Tue</v>
      </c>
      <c r="B823" s="69">
        <v>43816.0</v>
      </c>
    </row>
    <row r="824">
      <c r="A824" s="67" t="str">
        <f t="shared" si="1"/>
        <v>Wed</v>
      </c>
      <c r="B824" s="69">
        <v>43817.0</v>
      </c>
    </row>
    <row r="825">
      <c r="A825" s="67" t="str">
        <f t="shared" si="1"/>
        <v>Thu</v>
      </c>
      <c r="B825" s="69">
        <v>43818.0</v>
      </c>
    </row>
    <row r="826">
      <c r="A826" s="67" t="str">
        <f t="shared" si="1"/>
        <v>Fri</v>
      </c>
      <c r="B826" s="69">
        <v>43819.0</v>
      </c>
    </row>
    <row r="827">
      <c r="A827" s="67" t="str">
        <f t="shared" si="1"/>
        <v>Sat</v>
      </c>
      <c r="B827" s="69">
        <v>43820.0</v>
      </c>
    </row>
    <row r="828">
      <c r="A828" s="67" t="str">
        <f t="shared" si="1"/>
        <v>Sun</v>
      </c>
      <c r="B828" s="69">
        <v>43821.0</v>
      </c>
    </row>
    <row r="829">
      <c r="A829" s="67" t="str">
        <f t="shared" si="1"/>
        <v>Mon</v>
      </c>
      <c r="B829" s="69">
        <v>43822.0</v>
      </c>
    </row>
    <row r="830">
      <c r="A830" s="67" t="str">
        <f t="shared" si="1"/>
        <v>Tue</v>
      </c>
      <c r="B830" s="69">
        <v>43823.0</v>
      </c>
    </row>
    <row r="831">
      <c r="A831" s="67" t="str">
        <f t="shared" si="1"/>
        <v>Wed</v>
      </c>
      <c r="B831" s="69">
        <v>43824.0</v>
      </c>
    </row>
    <row r="832">
      <c r="A832" s="67" t="str">
        <f t="shared" si="1"/>
        <v>Thu</v>
      </c>
      <c r="B832" s="69">
        <v>43825.0</v>
      </c>
    </row>
    <row r="833">
      <c r="A833" s="67" t="str">
        <f t="shared" si="1"/>
        <v>Fri</v>
      </c>
      <c r="B833" s="69">
        <v>43826.0</v>
      </c>
    </row>
    <row r="834">
      <c r="A834" s="67" t="str">
        <f t="shared" si="1"/>
        <v>Sat</v>
      </c>
      <c r="B834" s="69">
        <v>43827.0</v>
      </c>
    </row>
    <row r="835">
      <c r="A835" s="67" t="str">
        <f t="shared" si="1"/>
        <v>Sun</v>
      </c>
      <c r="B835" s="69">
        <v>43828.0</v>
      </c>
    </row>
    <row r="836">
      <c r="A836" s="67" t="str">
        <f t="shared" si="1"/>
        <v>Mon</v>
      </c>
      <c r="B836" s="69">
        <v>43829.0</v>
      </c>
    </row>
    <row r="837">
      <c r="A837" s="67" t="str">
        <f t="shared" si="1"/>
        <v>Tue</v>
      </c>
      <c r="B837" s="69">
        <v>43830.0</v>
      </c>
    </row>
    <row r="838">
      <c r="A838" s="67" t="str">
        <f t="shared" si="1"/>
        <v>Wed</v>
      </c>
      <c r="B838" s="69">
        <v>43831.0</v>
      </c>
    </row>
    <row r="839">
      <c r="A839" s="67" t="str">
        <f t="shared" si="1"/>
        <v>Thu</v>
      </c>
      <c r="B839" s="69">
        <v>43832.0</v>
      </c>
    </row>
    <row r="840">
      <c r="A840" s="67" t="str">
        <f t="shared" si="1"/>
        <v>Fri</v>
      </c>
      <c r="B840" s="69">
        <v>43833.0</v>
      </c>
    </row>
    <row r="841">
      <c r="A841" s="67" t="str">
        <f t="shared" si="1"/>
        <v>Sat</v>
      </c>
      <c r="B841" s="69">
        <v>43834.0</v>
      </c>
    </row>
    <row r="842">
      <c r="A842" s="67" t="str">
        <f t="shared" si="1"/>
        <v>Sun</v>
      </c>
      <c r="B842" s="69">
        <v>43835.0</v>
      </c>
    </row>
    <row r="843">
      <c r="A843" s="67" t="str">
        <f t="shared" si="1"/>
        <v>Mon</v>
      </c>
      <c r="B843" s="69">
        <v>43836.0</v>
      </c>
    </row>
    <row r="844">
      <c r="A844" s="67" t="str">
        <f t="shared" si="1"/>
        <v>Tue</v>
      </c>
      <c r="B844" s="69">
        <v>43837.0</v>
      </c>
    </row>
    <row r="845">
      <c r="A845" s="67" t="str">
        <f t="shared" si="1"/>
        <v>Wed</v>
      </c>
      <c r="B845" s="69">
        <v>43838.0</v>
      </c>
    </row>
    <row r="846">
      <c r="A846" s="67" t="str">
        <f t="shared" si="1"/>
        <v>Thu</v>
      </c>
      <c r="B846" s="69">
        <v>43839.0</v>
      </c>
    </row>
    <row r="847">
      <c r="A847" s="67" t="str">
        <f t="shared" si="1"/>
        <v>Fri</v>
      </c>
      <c r="B847" s="69">
        <v>43840.0</v>
      </c>
    </row>
    <row r="848">
      <c r="A848" s="67" t="str">
        <f t="shared" si="1"/>
        <v>Sat</v>
      </c>
      <c r="B848" s="69">
        <v>43841.0</v>
      </c>
    </row>
    <row r="849">
      <c r="A849" s="67" t="str">
        <f t="shared" si="1"/>
        <v>Sun</v>
      </c>
      <c r="B849" s="69">
        <v>43842.0</v>
      </c>
    </row>
    <row r="850">
      <c r="A850" s="67" t="str">
        <f t="shared" si="1"/>
        <v>Mon</v>
      </c>
      <c r="B850" s="69">
        <v>43843.0</v>
      </c>
    </row>
    <row r="851">
      <c r="A851" s="67" t="str">
        <f t="shared" si="1"/>
        <v>Tue</v>
      </c>
      <c r="B851" s="69">
        <v>43844.0</v>
      </c>
    </row>
    <row r="852">
      <c r="A852" s="67" t="str">
        <f t="shared" si="1"/>
        <v>Wed</v>
      </c>
      <c r="B852" s="69">
        <v>43845.0</v>
      </c>
    </row>
    <row r="853">
      <c r="A853" s="67" t="str">
        <f t="shared" si="1"/>
        <v>Thu</v>
      </c>
      <c r="B853" s="69">
        <v>43846.0</v>
      </c>
    </row>
    <row r="854">
      <c r="A854" s="67" t="str">
        <f t="shared" si="1"/>
        <v>Fri</v>
      </c>
      <c r="B854" s="69">
        <v>43847.0</v>
      </c>
    </row>
    <row r="855">
      <c r="A855" s="67" t="str">
        <f t="shared" si="1"/>
        <v>Sat</v>
      </c>
      <c r="B855" s="69">
        <v>43848.0</v>
      </c>
    </row>
    <row r="856">
      <c r="A856" s="67" t="str">
        <f t="shared" si="1"/>
        <v>Sun</v>
      </c>
      <c r="B856" s="69">
        <v>43849.0</v>
      </c>
    </row>
    <row r="857">
      <c r="A857" s="67" t="str">
        <f t="shared" si="1"/>
        <v>Mon</v>
      </c>
      <c r="B857" s="69">
        <v>43850.0</v>
      </c>
    </row>
    <row r="858">
      <c r="A858" s="67" t="str">
        <f t="shared" si="1"/>
        <v>Tue</v>
      </c>
      <c r="B858" s="69">
        <v>43851.0</v>
      </c>
    </row>
    <row r="859">
      <c r="A859" s="67" t="str">
        <f t="shared" si="1"/>
        <v>Wed</v>
      </c>
      <c r="B859" s="69">
        <v>43852.0</v>
      </c>
    </row>
    <row r="860">
      <c r="A860" s="67" t="str">
        <f t="shared" si="1"/>
        <v>Thu</v>
      </c>
      <c r="B860" s="69">
        <v>43853.0</v>
      </c>
    </row>
    <row r="861">
      <c r="A861" s="67" t="str">
        <f t="shared" si="1"/>
        <v>Fri</v>
      </c>
      <c r="B861" s="69">
        <v>43854.0</v>
      </c>
    </row>
    <row r="862">
      <c r="A862" s="67" t="str">
        <f t="shared" si="1"/>
        <v>Sat</v>
      </c>
      <c r="B862" s="69">
        <v>43855.0</v>
      </c>
    </row>
    <row r="863">
      <c r="A863" s="67" t="str">
        <f t="shared" si="1"/>
        <v>Sun</v>
      </c>
      <c r="B863" s="69">
        <v>43856.0</v>
      </c>
    </row>
    <row r="864">
      <c r="A864" s="67" t="str">
        <f t="shared" si="1"/>
        <v>Mon</v>
      </c>
      <c r="B864" s="69">
        <v>43857.0</v>
      </c>
    </row>
    <row r="865">
      <c r="A865" s="67" t="str">
        <f t="shared" si="1"/>
        <v>Tue</v>
      </c>
      <c r="B865" s="69">
        <v>43858.0</v>
      </c>
    </row>
    <row r="866">
      <c r="A866" s="67" t="str">
        <f t="shared" si="1"/>
        <v>Wed</v>
      </c>
      <c r="B866" s="69">
        <v>43859.0</v>
      </c>
    </row>
    <row r="867">
      <c r="A867" s="67" t="str">
        <f t="shared" si="1"/>
        <v>Thu</v>
      </c>
      <c r="B867" s="69">
        <v>43860.0</v>
      </c>
    </row>
    <row r="868">
      <c r="A868" s="67" t="str">
        <f t="shared" si="1"/>
        <v>Fri</v>
      </c>
      <c r="B868" s="69">
        <v>43861.0</v>
      </c>
    </row>
    <row r="869">
      <c r="A869" s="67" t="str">
        <f t="shared" si="1"/>
        <v>Sat</v>
      </c>
      <c r="B869" s="69">
        <v>43862.0</v>
      </c>
    </row>
    <row r="870">
      <c r="A870" s="67" t="str">
        <f t="shared" si="1"/>
        <v>Sun</v>
      </c>
      <c r="B870" s="69">
        <v>43863.0</v>
      </c>
    </row>
    <row r="871">
      <c r="A871" s="67" t="str">
        <f t="shared" si="1"/>
        <v>Mon</v>
      </c>
      <c r="B871" s="69">
        <v>43864.0</v>
      </c>
    </row>
    <row r="872">
      <c r="A872" s="67" t="str">
        <f t="shared" si="1"/>
        <v>Tue</v>
      </c>
      <c r="B872" s="69">
        <v>43865.0</v>
      </c>
    </row>
    <row r="873">
      <c r="A873" s="67" t="str">
        <f t="shared" si="1"/>
        <v>Wed</v>
      </c>
      <c r="B873" s="69">
        <v>43866.0</v>
      </c>
    </row>
    <row r="874">
      <c r="A874" s="67" t="str">
        <f t="shared" si="1"/>
        <v>Thu</v>
      </c>
      <c r="B874" s="69">
        <v>43867.0</v>
      </c>
    </row>
    <row r="875">
      <c r="A875" s="67" t="str">
        <f t="shared" si="1"/>
        <v>Fri</v>
      </c>
      <c r="B875" s="69">
        <v>43868.0</v>
      </c>
    </row>
    <row r="876">
      <c r="A876" s="67" t="str">
        <f t="shared" si="1"/>
        <v>Sat</v>
      </c>
      <c r="B876" s="69">
        <v>43869.0</v>
      </c>
    </row>
    <row r="877">
      <c r="A877" s="67" t="str">
        <f t="shared" si="1"/>
        <v>Sun</v>
      </c>
      <c r="B877" s="69">
        <v>43870.0</v>
      </c>
    </row>
    <row r="878">
      <c r="A878" s="67" t="str">
        <f t="shared" si="1"/>
        <v>Mon</v>
      </c>
      <c r="B878" s="69">
        <v>43871.0</v>
      </c>
    </row>
    <row r="879">
      <c r="A879" s="67" t="str">
        <f t="shared" si="1"/>
        <v>Tue</v>
      </c>
      <c r="B879" s="69">
        <v>43872.0</v>
      </c>
    </row>
    <row r="880">
      <c r="A880" s="67" t="str">
        <f t="shared" si="1"/>
        <v>Wed</v>
      </c>
      <c r="B880" s="69">
        <v>43873.0</v>
      </c>
    </row>
    <row r="881">
      <c r="A881" s="67" t="str">
        <f t="shared" si="1"/>
        <v>Thu</v>
      </c>
      <c r="B881" s="69">
        <v>43874.0</v>
      </c>
    </row>
    <row r="882">
      <c r="A882" s="67" t="str">
        <f t="shared" si="1"/>
        <v>Fri</v>
      </c>
      <c r="B882" s="69">
        <v>43875.0</v>
      </c>
    </row>
    <row r="883">
      <c r="A883" s="67" t="str">
        <f t="shared" si="1"/>
        <v>Sat</v>
      </c>
      <c r="B883" s="69">
        <v>43876.0</v>
      </c>
    </row>
    <row r="884">
      <c r="A884" s="67" t="str">
        <f t="shared" si="1"/>
        <v>Sun</v>
      </c>
      <c r="B884" s="69">
        <v>43877.0</v>
      </c>
    </row>
    <row r="885">
      <c r="A885" s="67" t="str">
        <f t="shared" si="1"/>
        <v>Mon</v>
      </c>
      <c r="B885" s="69">
        <v>43878.0</v>
      </c>
    </row>
    <row r="886">
      <c r="A886" s="67" t="str">
        <f t="shared" si="1"/>
        <v>Tue</v>
      </c>
      <c r="B886" s="69">
        <v>43879.0</v>
      </c>
    </row>
    <row r="887">
      <c r="A887" s="67" t="str">
        <f t="shared" si="1"/>
        <v>Wed</v>
      </c>
      <c r="B887" s="69">
        <v>43880.0</v>
      </c>
    </row>
    <row r="888">
      <c r="A888" s="67" t="str">
        <f t="shared" si="1"/>
        <v>Thu</v>
      </c>
      <c r="B888" s="69">
        <v>43881.0</v>
      </c>
    </row>
    <row r="889">
      <c r="A889" s="67" t="str">
        <f t="shared" si="1"/>
        <v>Fri</v>
      </c>
      <c r="B889" s="69">
        <v>43882.0</v>
      </c>
    </row>
    <row r="890">
      <c r="A890" s="67" t="str">
        <f t="shared" si="1"/>
        <v>Sat</v>
      </c>
      <c r="B890" s="69">
        <v>43883.0</v>
      </c>
    </row>
    <row r="891">
      <c r="A891" s="67" t="str">
        <f t="shared" si="1"/>
        <v>Sun</v>
      </c>
      <c r="B891" s="69">
        <v>43884.0</v>
      </c>
    </row>
    <row r="892">
      <c r="A892" s="67" t="str">
        <f t="shared" si="1"/>
        <v>Mon</v>
      </c>
      <c r="B892" s="69">
        <v>43885.0</v>
      </c>
    </row>
    <row r="893">
      <c r="A893" s="67" t="str">
        <f t="shared" si="1"/>
        <v>Tue</v>
      </c>
      <c r="B893" s="69">
        <v>43886.0</v>
      </c>
    </row>
    <row r="894">
      <c r="A894" s="67" t="str">
        <f t="shared" si="1"/>
        <v>Wed</v>
      </c>
      <c r="B894" s="69">
        <v>43887.0</v>
      </c>
    </row>
    <row r="895">
      <c r="A895" s="67" t="str">
        <f t="shared" si="1"/>
        <v>Thu</v>
      </c>
      <c r="B895" s="69">
        <v>43888.0</v>
      </c>
    </row>
    <row r="896">
      <c r="A896" s="67" t="str">
        <f t="shared" si="1"/>
        <v>Fri</v>
      </c>
      <c r="B896" s="69">
        <v>43889.0</v>
      </c>
    </row>
    <row r="897">
      <c r="A897" s="67" t="str">
        <f t="shared" si="1"/>
        <v>Sat</v>
      </c>
      <c r="B897" s="69">
        <v>43890.0</v>
      </c>
    </row>
    <row r="898">
      <c r="A898" s="67" t="str">
        <f t="shared" si="1"/>
        <v>Sun</v>
      </c>
      <c r="B898" s="69">
        <v>43891.0</v>
      </c>
    </row>
    <row r="899">
      <c r="A899" s="67" t="str">
        <f t="shared" si="1"/>
        <v>Mon</v>
      </c>
      <c r="B899" s="69">
        <v>43892.0</v>
      </c>
    </row>
  </sheetData>
  <mergeCells count="4">
    <mergeCell ref="E1:F1"/>
    <mergeCell ref="E2:F2"/>
    <mergeCell ref="E3:F3"/>
    <mergeCell ref="G1:R3"/>
  </mergeCells>
  <conditionalFormatting sqref="K1:L516 K518:L899">
    <cfRule type="cellIs" dxfId="0" priority="1" operator="equal">
      <formula>"Enviar email para hotel"</formula>
    </cfRule>
  </conditionalFormatting>
  <dataValidations>
    <dataValidation type="list" allowBlank="1" sqref="L473:L516 L518:L899">
      <formula1>"Enviar email para hotel,Enviado para o hotel,Código de reserva enviado para hóspede,Verificar dados com o hóspede,URGENTE,Fechado"</formula1>
    </dataValidation>
    <dataValidation type="list" allowBlank="1" sqref="K6:L472">
      <formula1>"Enviar email para hotel,Enviado para o hotel,Código de reserva enviado para hóspede,Fechado"</formula1>
    </dataValidation>
    <dataValidation type="list" allowBlank="1" sqref="K473:K516 K518:K899">
      <formula1>"A PAGAR,PARCIALMENTE PAGO,PAGO"</formula1>
    </dataValidation>
  </dataValidations>
  <hyperlinks>
    <hyperlink display="Sumario" location="Sumario!A1" ref="A4"/>
  </hyperlinks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13.57"/>
    <col customWidth="1" min="4" max="4" width="17.0"/>
  </cols>
  <sheetData>
    <row r="1">
      <c r="A1" s="1"/>
      <c r="B1" s="2"/>
      <c r="C1" s="3"/>
      <c r="D1" s="11" t="s">
        <v>198</v>
      </c>
      <c r="E1" s="153" t="s">
        <v>199</v>
      </c>
      <c r="F1" s="3"/>
      <c r="G1" s="154" t="s">
        <v>1447</v>
      </c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155"/>
    </row>
    <row r="2">
      <c r="A2" s="13"/>
      <c r="C2" s="15"/>
      <c r="D2" s="9" t="s">
        <v>201</v>
      </c>
      <c r="E2" s="156">
        <v>3104.0</v>
      </c>
      <c r="F2" s="15"/>
      <c r="R2" s="15"/>
      <c r="S2" s="155"/>
    </row>
    <row r="3">
      <c r="A3" s="17"/>
      <c r="B3" s="19"/>
      <c r="C3" s="21"/>
      <c r="D3" s="26" t="s">
        <v>202</v>
      </c>
      <c r="E3" s="157" t="s">
        <v>1449</v>
      </c>
      <c r="F3" s="21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21"/>
      <c r="S3" s="155"/>
    </row>
    <row r="4">
      <c r="A4" s="158" t="s">
        <v>203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N4" s="30"/>
      <c r="O4" s="30"/>
      <c r="P4" s="30"/>
      <c r="Q4" s="30"/>
      <c r="R4" s="30"/>
      <c r="S4" s="30"/>
      <c r="T4" s="30"/>
      <c r="U4" s="30"/>
    </row>
    <row r="5">
      <c r="A5" s="42" t="s">
        <v>204</v>
      </c>
      <c r="B5" s="45" t="s">
        <v>33</v>
      </c>
      <c r="C5" s="45" t="s">
        <v>205</v>
      </c>
      <c r="D5" s="45" t="s">
        <v>206</v>
      </c>
      <c r="E5" s="45" t="s">
        <v>207</v>
      </c>
      <c r="F5" s="45" t="s">
        <v>208</v>
      </c>
      <c r="G5" s="45" t="s">
        <v>209</v>
      </c>
      <c r="H5" s="45" t="s">
        <v>210</v>
      </c>
      <c r="I5" s="45" t="s">
        <v>211</v>
      </c>
      <c r="J5" s="45" t="s">
        <v>212</v>
      </c>
      <c r="K5" s="45" t="s">
        <v>213</v>
      </c>
      <c r="L5" s="45" t="s">
        <v>214</v>
      </c>
      <c r="M5" s="45" t="s">
        <v>215</v>
      </c>
      <c r="N5" s="45" t="s">
        <v>216</v>
      </c>
      <c r="O5" s="45" t="s">
        <v>217</v>
      </c>
      <c r="P5" s="45" t="s">
        <v>218</v>
      </c>
      <c r="Q5" s="45" t="s">
        <v>219</v>
      </c>
      <c r="R5" s="160" t="s">
        <v>220</v>
      </c>
      <c r="S5" s="160" t="s">
        <v>221</v>
      </c>
    </row>
    <row r="6" hidden="1">
      <c r="A6" s="67" t="str">
        <f t="shared" ref="A6:A444" si="1">CHOOSE(weekday(B6),"Sun","Mon","Tue","Wed","Thu","Fri","Sat")</f>
        <v>Sat</v>
      </c>
      <c r="B6" s="69">
        <v>43435.0</v>
      </c>
      <c r="M6" s="166"/>
      <c r="N6" s="166"/>
      <c r="O6" s="166"/>
      <c r="P6" s="166"/>
      <c r="Q6" s="166"/>
      <c r="R6" s="166"/>
      <c r="S6" s="166"/>
    </row>
    <row r="7" hidden="1">
      <c r="A7" s="67" t="str">
        <f t="shared" si="1"/>
        <v>Sun</v>
      </c>
      <c r="B7" s="69">
        <v>43436.0</v>
      </c>
    </row>
    <row r="8" hidden="1">
      <c r="A8" s="67" t="str">
        <f t="shared" si="1"/>
        <v>Mon</v>
      </c>
      <c r="B8" s="69">
        <v>43437.0</v>
      </c>
      <c r="M8" s="166"/>
      <c r="N8" s="166"/>
      <c r="O8" s="166"/>
      <c r="P8" s="166"/>
      <c r="Q8" s="166"/>
      <c r="R8" s="166"/>
      <c r="S8" s="166"/>
    </row>
    <row r="9" hidden="1">
      <c r="A9" s="67" t="str">
        <f t="shared" si="1"/>
        <v>Tue</v>
      </c>
      <c r="B9" s="69">
        <v>43438.0</v>
      </c>
    </row>
    <row r="10" hidden="1">
      <c r="A10" s="67" t="str">
        <f t="shared" si="1"/>
        <v>Wed</v>
      </c>
      <c r="B10" s="69">
        <v>43439.0</v>
      </c>
    </row>
    <row r="11" hidden="1">
      <c r="A11" s="67" t="str">
        <f t="shared" si="1"/>
        <v>Thu</v>
      </c>
      <c r="B11" s="69">
        <v>43440.0</v>
      </c>
    </row>
    <row r="12" hidden="1">
      <c r="A12" s="67" t="str">
        <f t="shared" si="1"/>
        <v>Fri</v>
      </c>
      <c r="B12" s="69">
        <v>43441.0</v>
      </c>
    </row>
    <row r="13" hidden="1">
      <c r="A13" s="67" t="str">
        <f t="shared" si="1"/>
        <v>Sat</v>
      </c>
      <c r="B13" s="69">
        <v>43442.0</v>
      </c>
    </row>
    <row r="14" hidden="1">
      <c r="A14" s="67" t="str">
        <f t="shared" si="1"/>
        <v>Sun</v>
      </c>
      <c r="B14" s="69">
        <v>43443.0</v>
      </c>
    </row>
    <row r="15" hidden="1">
      <c r="A15" s="67" t="str">
        <f t="shared" si="1"/>
        <v>Mon</v>
      </c>
      <c r="B15" s="69">
        <v>43444.0</v>
      </c>
    </row>
    <row r="16" hidden="1">
      <c r="A16" s="67" t="str">
        <f t="shared" si="1"/>
        <v>Tue</v>
      </c>
      <c r="B16" s="69">
        <v>43445.0</v>
      </c>
    </row>
    <row r="17" hidden="1">
      <c r="A17" s="67" t="str">
        <f t="shared" si="1"/>
        <v>Wed</v>
      </c>
      <c r="B17" s="69">
        <v>43446.0</v>
      </c>
    </row>
    <row r="18" hidden="1">
      <c r="A18" s="67" t="str">
        <f t="shared" si="1"/>
        <v>Thu</v>
      </c>
      <c r="B18" s="69">
        <v>43447.0</v>
      </c>
      <c r="D18" s="161">
        <v>300.0</v>
      </c>
      <c r="E18" s="4" t="s">
        <v>337</v>
      </c>
      <c r="F18" s="4" t="s">
        <v>1244</v>
      </c>
      <c r="G18" s="4" t="s">
        <v>1244</v>
      </c>
      <c r="I18" s="4" t="s">
        <v>359</v>
      </c>
      <c r="K18" s="4"/>
      <c r="L18" s="4" t="s">
        <v>293</v>
      </c>
      <c r="M18" s="4" t="s">
        <v>1245</v>
      </c>
    </row>
    <row r="19" hidden="1">
      <c r="A19" s="67" t="str">
        <f t="shared" si="1"/>
        <v>Fri</v>
      </c>
      <c r="B19" s="69">
        <v>43448.0</v>
      </c>
      <c r="D19" s="161">
        <v>280.0</v>
      </c>
      <c r="E19" s="4" t="s">
        <v>337</v>
      </c>
      <c r="F19" s="4" t="s">
        <v>831</v>
      </c>
      <c r="G19" s="4" t="s">
        <v>831</v>
      </c>
      <c r="H19" s="4" t="s">
        <v>1244</v>
      </c>
      <c r="I19" s="4" t="s">
        <v>395</v>
      </c>
      <c r="J19" s="4" t="s">
        <v>1455</v>
      </c>
      <c r="K19" s="4"/>
      <c r="L19" s="4" t="s">
        <v>293</v>
      </c>
      <c r="M19" s="4" t="s">
        <v>226</v>
      </c>
      <c r="N19" s="4" t="s">
        <v>232</v>
      </c>
      <c r="O19" s="4" t="s">
        <v>264</v>
      </c>
      <c r="R19" s="4" t="s">
        <v>1456</v>
      </c>
      <c r="S19" s="4"/>
    </row>
    <row r="20" hidden="1">
      <c r="A20" s="67" t="str">
        <f t="shared" si="1"/>
        <v>Sat</v>
      </c>
      <c r="B20" s="69">
        <v>43449.0</v>
      </c>
      <c r="G20" s="4" t="s">
        <v>267</v>
      </c>
      <c r="H20" s="4" t="s">
        <v>831</v>
      </c>
      <c r="J20" s="4" t="s">
        <v>267</v>
      </c>
    </row>
    <row r="21" hidden="1">
      <c r="A21" s="67" t="str">
        <f t="shared" si="1"/>
        <v>Sun</v>
      </c>
      <c r="B21" s="69">
        <v>43450.0</v>
      </c>
      <c r="D21" s="161">
        <v>261.9</v>
      </c>
      <c r="E21" s="4" t="s">
        <v>222</v>
      </c>
      <c r="F21" s="4" t="s">
        <v>1429</v>
      </c>
      <c r="G21" s="4" t="s">
        <v>1429</v>
      </c>
      <c r="I21" s="4" t="s">
        <v>395</v>
      </c>
      <c r="K21" s="4"/>
      <c r="L21" s="4" t="s">
        <v>293</v>
      </c>
      <c r="M21" s="224" t="s">
        <v>226</v>
      </c>
      <c r="N21" s="224" t="s">
        <v>232</v>
      </c>
      <c r="O21" s="224" t="s">
        <v>264</v>
      </c>
      <c r="P21" s="224"/>
      <c r="Q21" s="224" t="s">
        <v>1457</v>
      </c>
      <c r="R21" s="224" t="s">
        <v>1458</v>
      </c>
      <c r="S21" s="224"/>
    </row>
    <row r="22" hidden="1">
      <c r="A22" s="67" t="str">
        <f t="shared" si="1"/>
        <v>Mon</v>
      </c>
      <c r="B22" s="69">
        <v>43451.0</v>
      </c>
      <c r="H22" s="4" t="s">
        <v>1429</v>
      </c>
    </row>
    <row r="23" hidden="1">
      <c r="A23" s="67" t="str">
        <f t="shared" si="1"/>
        <v>Tue</v>
      </c>
      <c r="B23" s="69">
        <v>43452.0</v>
      </c>
      <c r="D23" s="161">
        <v>261.9</v>
      </c>
      <c r="E23" s="4" t="s">
        <v>222</v>
      </c>
      <c r="F23" s="4" t="s">
        <v>1459</v>
      </c>
      <c r="G23" s="4" t="s">
        <v>1459</v>
      </c>
      <c r="I23" s="4" t="s">
        <v>359</v>
      </c>
      <c r="K23" s="4"/>
      <c r="L23" s="4" t="s">
        <v>293</v>
      </c>
      <c r="M23" s="4" t="s">
        <v>226</v>
      </c>
      <c r="N23" s="4" t="s">
        <v>232</v>
      </c>
      <c r="O23" s="4" t="s">
        <v>264</v>
      </c>
    </row>
    <row r="24" hidden="1">
      <c r="A24" s="67" t="str">
        <f t="shared" si="1"/>
        <v>Wed</v>
      </c>
      <c r="B24" s="69">
        <v>43453.0</v>
      </c>
      <c r="D24" s="161">
        <v>261.9</v>
      </c>
      <c r="E24" s="4" t="s">
        <v>222</v>
      </c>
      <c r="F24" s="4" t="s">
        <v>1459</v>
      </c>
      <c r="I24" s="4" t="s">
        <v>359</v>
      </c>
    </row>
    <row r="25" hidden="1">
      <c r="A25" s="67" t="str">
        <f t="shared" si="1"/>
        <v>Thu</v>
      </c>
      <c r="B25" s="69">
        <v>43454.0</v>
      </c>
      <c r="D25" s="161">
        <v>261.9</v>
      </c>
      <c r="E25" s="4" t="s">
        <v>222</v>
      </c>
      <c r="F25" s="4" t="s">
        <v>1461</v>
      </c>
      <c r="G25" s="4" t="s">
        <v>1461</v>
      </c>
      <c r="H25" s="4" t="s">
        <v>1459</v>
      </c>
      <c r="I25" s="4" t="s">
        <v>359</v>
      </c>
      <c r="K25" s="4"/>
      <c r="L25" s="4" t="s">
        <v>293</v>
      </c>
      <c r="M25" s="4" t="s">
        <v>226</v>
      </c>
      <c r="N25" s="4" t="s">
        <v>232</v>
      </c>
      <c r="O25" s="4" t="s">
        <v>264</v>
      </c>
    </row>
    <row r="26" hidden="1">
      <c r="A26" s="67" t="str">
        <f t="shared" si="1"/>
        <v>Fri</v>
      </c>
      <c r="B26" s="69">
        <v>43455.0</v>
      </c>
      <c r="D26" s="161">
        <v>0.0</v>
      </c>
      <c r="E26" s="4" t="s">
        <v>222</v>
      </c>
      <c r="F26" s="4" t="s">
        <v>267</v>
      </c>
      <c r="G26" s="4" t="s">
        <v>267</v>
      </c>
      <c r="H26" s="4" t="s">
        <v>1461</v>
      </c>
      <c r="I26" s="4" t="s">
        <v>359</v>
      </c>
      <c r="J26" s="4" t="s">
        <v>1463</v>
      </c>
    </row>
    <row r="27" hidden="1">
      <c r="A27" s="67" t="str">
        <f t="shared" si="1"/>
        <v>Sat</v>
      </c>
      <c r="B27" s="69">
        <v>43456.0</v>
      </c>
      <c r="D27" s="161">
        <v>0.0</v>
      </c>
      <c r="E27" s="4" t="s">
        <v>222</v>
      </c>
      <c r="F27" s="4" t="s">
        <v>267</v>
      </c>
      <c r="I27" s="4" t="s">
        <v>359</v>
      </c>
      <c r="J27" s="4" t="s">
        <v>1463</v>
      </c>
    </row>
    <row r="28" hidden="1">
      <c r="A28" s="67" t="str">
        <f t="shared" si="1"/>
        <v>Sun</v>
      </c>
      <c r="B28" s="69">
        <v>43457.0</v>
      </c>
      <c r="D28" s="161">
        <v>0.0</v>
      </c>
      <c r="E28" s="4" t="s">
        <v>222</v>
      </c>
      <c r="F28" s="4" t="s">
        <v>267</v>
      </c>
      <c r="I28" s="4" t="s">
        <v>359</v>
      </c>
      <c r="J28" s="4" t="s">
        <v>1463</v>
      </c>
    </row>
    <row r="29" hidden="1">
      <c r="A29" s="67" t="str">
        <f t="shared" si="1"/>
        <v>Mon</v>
      </c>
      <c r="B29" s="69">
        <v>43458.0</v>
      </c>
      <c r="D29" s="161">
        <v>0.0</v>
      </c>
      <c r="E29" s="4" t="s">
        <v>222</v>
      </c>
      <c r="F29" s="4" t="s">
        <v>267</v>
      </c>
      <c r="I29" s="4" t="s">
        <v>359</v>
      </c>
      <c r="J29" s="4" t="s">
        <v>1463</v>
      </c>
    </row>
    <row r="30" hidden="1">
      <c r="A30" s="67" t="str">
        <f t="shared" si="1"/>
        <v>Tue</v>
      </c>
      <c r="B30" s="69">
        <v>43459.0</v>
      </c>
      <c r="D30" s="161">
        <v>0.0</v>
      </c>
      <c r="E30" s="4" t="s">
        <v>222</v>
      </c>
      <c r="F30" s="4" t="s">
        <v>267</v>
      </c>
      <c r="I30" s="4" t="s">
        <v>359</v>
      </c>
      <c r="J30" s="4" t="s">
        <v>1463</v>
      </c>
    </row>
    <row r="31" hidden="1">
      <c r="A31" s="67" t="str">
        <f t="shared" si="1"/>
        <v>Wed</v>
      </c>
      <c r="B31" s="69">
        <v>43460.0</v>
      </c>
      <c r="D31" s="161">
        <v>0.0</v>
      </c>
      <c r="E31" s="4" t="s">
        <v>222</v>
      </c>
      <c r="F31" s="4" t="s">
        <v>267</v>
      </c>
      <c r="I31" s="4" t="s">
        <v>359</v>
      </c>
      <c r="J31" s="4" t="s">
        <v>1463</v>
      </c>
    </row>
    <row r="32" hidden="1">
      <c r="A32" s="67" t="str">
        <f t="shared" si="1"/>
        <v>Thu</v>
      </c>
      <c r="B32" s="69">
        <v>43461.0</v>
      </c>
      <c r="D32" s="161">
        <v>0.0</v>
      </c>
      <c r="E32" s="4" t="s">
        <v>222</v>
      </c>
      <c r="F32" s="4" t="s">
        <v>267</v>
      </c>
      <c r="I32" s="4" t="s">
        <v>359</v>
      </c>
      <c r="J32" s="4" t="s">
        <v>1463</v>
      </c>
    </row>
    <row r="33" hidden="1">
      <c r="A33" s="67" t="str">
        <f t="shared" si="1"/>
        <v>Fri</v>
      </c>
      <c r="B33" s="69">
        <v>43462.0</v>
      </c>
      <c r="D33" s="161">
        <v>0.0</v>
      </c>
      <c r="E33" s="4" t="s">
        <v>222</v>
      </c>
      <c r="F33" s="4" t="s">
        <v>267</v>
      </c>
      <c r="I33" s="4" t="s">
        <v>359</v>
      </c>
      <c r="J33" s="4" t="s">
        <v>1463</v>
      </c>
    </row>
    <row r="34" hidden="1">
      <c r="A34" s="67" t="str">
        <f t="shared" si="1"/>
        <v>Sat</v>
      </c>
      <c r="B34" s="69">
        <v>43463.0</v>
      </c>
      <c r="D34" s="161">
        <v>0.0</v>
      </c>
      <c r="E34" s="4" t="s">
        <v>222</v>
      </c>
      <c r="F34" s="4" t="s">
        <v>267</v>
      </c>
      <c r="I34" s="4" t="s">
        <v>359</v>
      </c>
      <c r="J34" s="4" t="s">
        <v>1463</v>
      </c>
    </row>
    <row r="35" hidden="1">
      <c r="A35" s="67" t="str">
        <f t="shared" si="1"/>
        <v>Sun</v>
      </c>
      <c r="B35" s="69">
        <v>43464.0</v>
      </c>
      <c r="D35" s="161">
        <v>0.0</v>
      </c>
      <c r="E35" s="4" t="s">
        <v>222</v>
      </c>
      <c r="F35" s="4" t="s">
        <v>267</v>
      </c>
      <c r="I35" s="4" t="s">
        <v>359</v>
      </c>
      <c r="J35" s="4" t="s">
        <v>1463</v>
      </c>
    </row>
    <row r="36" hidden="1">
      <c r="A36" s="67" t="str">
        <f t="shared" si="1"/>
        <v>Mon</v>
      </c>
      <c r="B36" s="69">
        <v>43465.0</v>
      </c>
      <c r="D36" s="161">
        <v>0.0</v>
      </c>
      <c r="E36" s="4" t="s">
        <v>222</v>
      </c>
      <c r="F36" s="4" t="s">
        <v>267</v>
      </c>
      <c r="I36" s="4" t="s">
        <v>359</v>
      </c>
      <c r="J36" s="4" t="s">
        <v>1463</v>
      </c>
    </row>
    <row r="37" hidden="1">
      <c r="A37" s="67" t="str">
        <f t="shared" si="1"/>
        <v>Tue</v>
      </c>
      <c r="B37" s="69">
        <v>43466.0</v>
      </c>
      <c r="D37" s="161">
        <v>0.0</v>
      </c>
      <c r="E37" s="4" t="s">
        <v>222</v>
      </c>
      <c r="F37" s="4" t="s">
        <v>267</v>
      </c>
      <c r="I37" s="4" t="s">
        <v>359</v>
      </c>
      <c r="J37" s="4" t="s">
        <v>1463</v>
      </c>
    </row>
    <row r="38" hidden="1">
      <c r="A38" s="67" t="str">
        <f t="shared" si="1"/>
        <v>Wed</v>
      </c>
      <c r="B38" s="69">
        <v>43467.0</v>
      </c>
      <c r="D38" s="161">
        <v>0.0</v>
      </c>
      <c r="E38" s="4" t="s">
        <v>222</v>
      </c>
      <c r="F38" s="4" t="s">
        <v>267</v>
      </c>
      <c r="I38" s="4" t="s">
        <v>359</v>
      </c>
      <c r="J38" s="4" t="s">
        <v>1463</v>
      </c>
    </row>
    <row r="39" hidden="1">
      <c r="A39" s="67" t="str">
        <f t="shared" si="1"/>
        <v>Thu</v>
      </c>
      <c r="B39" s="69">
        <v>43468.0</v>
      </c>
      <c r="D39" s="161">
        <v>0.0</v>
      </c>
      <c r="E39" s="4" t="s">
        <v>222</v>
      </c>
      <c r="F39" s="4" t="s">
        <v>267</v>
      </c>
      <c r="I39" s="4" t="s">
        <v>359</v>
      </c>
      <c r="J39" s="4" t="s">
        <v>1463</v>
      </c>
    </row>
    <row r="40" hidden="1">
      <c r="A40" s="67" t="str">
        <f t="shared" si="1"/>
        <v>Fri</v>
      </c>
      <c r="B40" s="69">
        <v>43469.0</v>
      </c>
      <c r="D40" s="161">
        <v>0.0</v>
      </c>
      <c r="E40" s="4" t="s">
        <v>222</v>
      </c>
      <c r="F40" s="4" t="s">
        <v>267</v>
      </c>
      <c r="I40" s="4" t="s">
        <v>359</v>
      </c>
      <c r="J40" s="4" t="s">
        <v>1463</v>
      </c>
    </row>
    <row r="41" hidden="1">
      <c r="A41" s="67" t="str">
        <f t="shared" si="1"/>
        <v>Sat</v>
      </c>
      <c r="B41" s="69">
        <v>43470.0</v>
      </c>
      <c r="D41" s="161">
        <v>890.0</v>
      </c>
      <c r="E41" s="4" t="s">
        <v>337</v>
      </c>
      <c r="F41" s="4" t="s">
        <v>1470</v>
      </c>
      <c r="G41" s="4" t="s">
        <v>1470</v>
      </c>
      <c r="H41" s="4" t="s">
        <v>267</v>
      </c>
      <c r="I41" s="4" t="s">
        <v>359</v>
      </c>
      <c r="K41" s="4" t="s">
        <v>231</v>
      </c>
      <c r="L41" s="4" t="s">
        <v>293</v>
      </c>
      <c r="M41" s="4" t="s">
        <v>226</v>
      </c>
      <c r="N41" s="4" t="s">
        <v>232</v>
      </c>
      <c r="O41" s="4" t="s">
        <v>264</v>
      </c>
    </row>
    <row r="42" hidden="1">
      <c r="A42" s="67" t="str">
        <f t="shared" si="1"/>
        <v>Sun</v>
      </c>
      <c r="B42" s="69">
        <v>43471.0</v>
      </c>
      <c r="D42" s="161">
        <v>890.0</v>
      </c>
      <c r="E42" s="4" t="s">
        <v>337</v>
      </c>
      <c r="F42" s="4" t="s">
        <v>1470</v>
      </c>
      <c r="I42" s="4" t="s">
        <v>359</v>
      </c>
    </row>
    <row r="43" hidden="1">
      <c r="A43" s="67" t="str">
        <f t="shared" si="1"/>
        <v>Mon</v>
      </c>
      <c r="B43" s="69">
        <v>43472.0</v>
      </c>
      <c r="D43" s="4">
        <v>700.0</v>
      </c>
      <c r="E43" s="4" t="s">
        <v>337</v>
      </c>
      <c r="F43" s="4" t="s">
        <v>1472</v>
      </c>
      <c r="G43" s="4" t="s">
        <v>1472</v>
      </c>
      <c r="H43" s="4" t="s">
        <v>1470</v>
      </c>
      <c r="I43" s="4" t="s">
        <v>359</v>
      </c>
      <c r="K43" s="4" t="s">
        <v>231</v>
      </c>
      <c r="L43" s="4" t="s">
        <v>225</v>
      </c>
      <c r="M43" s="4" t="s">
        <v>226</v>
      </c>
      <c r="N43" s="4" t="s">
        <v>232</v>
      </c>
      <c r="O43" s="4" t="s">
        <v>264</v>
      </c>
      <c r="P43" s="4" t="s">
        <v>1473</v>
      </c>
    </row>
    <row r="44" hidden="1">
      <c r="A44" s="67" t="str">
        <f t="shared" si="1"/>
        <v>Tue</v>
      </c>
      <c r="B44" s="69">
        <v>43473.0</v>
      </c>
      <c r="D44" s="4">
        <v>700.0</v>
      </c>
      <c r="E44" s="4" t="s">
        <v>337</v>
      </c>
      <c r="F44" s="4" t="s">
        <v>1472</v>
      </c>
      <c r="I44" s="4" t="s">
        <v>359</v>
      </c>
    </row>
    <row r="45" hidden="1">
      <c r="A45" s="67" t="str">
        <f t="shared" si="1"/>
        <v>Wed</v>
      </c>
      <c r="B45" s="69">
        <v>43474.0</v>
      </c>
      <c r="D45" s="4">
        <v>700.0</v>
      </c>
      <c r="E45" s="4" t="s">
        <v>337</v>
      </c>
      <c r="F45" s="4" t="s">
        <v>1472</v>
      </c>
      <c r="I45" s="4" t="s">
        <v>359</v>
      </c>
    </row>
    <row r="46" hidden="1">
      <c r="A46" s="67" t="str">
        <f t="shared" si="1"/>
        <v>Thu</v>
      </c>
      <c r="B46" s="69">
        <v>43475.0</v>
      </c>
      <c r="D46" s="4">
        <v>700.0</v>
      </c>
      <c r="E46" s="4" t="s">
        <v>337</v>
      </c>
      <c r="F46" s="4" t="s">
        <v>1472</v>
      </c>
      <c r="I46" s="4" t="s">
        <v>359</v>
      </c>
    </row>
    <row r="47" hidden="1">
      <c r="A47" s="67" t="str">
        <f t="shared" si="1"/>
        <v>Fri</v>
      </c>
      <c r="B47" s="69">
        <v>43476.0</v>
      </c>
      <c r="D47" s="161">
        <f t="shared" ref="D47:D51" si="2">4316.5/5</f>
        <v>863.3</v>
      </c>
      <c r="E47" s="4" t="s">
        <v>222</v>
      </c>
      <c r="F47" s="4" t="s">
        <v>1475</v>
      </c>
      <c r="G47" s="4" t="s">
        <v>1475</v>
      </c>
      <c r="H47" s="4" t="s">
        <v>1472</v>
      </c>
      <c r="I47" s="4" t="s">
        <v>359</v>
      </c>
      <c r="K47" s="4"/>
      <c r="L47" s="4" t="s">
        <v>225</v>
      </c>
      <c r="M47" s="4" t="s">
        <v>226</v>
      </c>
      <c r="N47" s="4" t="s">
        <v>232</v>
      </c>
      <c r="O47" s="4" t="s">
        <v>264</v>
      </c>
      <c r="Q47" s="4" t="s">
        <v>1476</v>
      </c>
      <c r="R47" s="167" t="s">
        <v>1477</v>
      </c>
      <c r="S47" s="4"/>
    </row>
    <row r="48" hidden="1">
      <c r="A48" s="67" t="str">
        <f t="shared" si="1"/>
        <v>Sat</v>
      </c>
      <c r="B48" s="69">
        <v>43477.0</v>
      </c>
      <c r="D48" s="161">
        <f t="shared" si="2"/>
        <v>863.3</v>
      </c>
      <c r="E48" s="4" t="s">
        <v>222</v>
      </c>
      <c r="F48" s="4" t="s">
        <v>1475</v>
      </c>
      <c r="I48" s="4" t="s">
        <v>359</v>
      </c>
    </row>
    <row r="49" hidden="1">
      <c r="A49" s="67" t="str">
        <f t="shared" si="1"/>
        <v>Sun</v>
      </c>
      <c r="B49" s="69">
        <v>43478.0</v>
      </c>
      <c r="D49" s="161">
        <f t="shared" si="2"/>
        <v>863.3</v>
      </c>
      <c r="E49" s="4" t="s">
        <v>222</v>
      </c>
      <c r="F49" s="4" t="s">
        <v>1475</v>
      </c>
      <c r="I49" s="4" t="s">
        <v>359</v>
      </c>
    </row>
    <row r="50" hidden="1">
      <c r="A50" s="67" t="str">
        <f t="shared" si="1"/>
        <v>Mon</v>
      </c>
      <c r="B50" s="69">
        <v>43479.0</v>
      </c>
      <c r="D50" s="161">
        <f t="shared" si="2"/>
        <v>863.3</v>
      </c>
      <c r="E50" s="4" t="s">
        <v>222</v>
      </c>
      <c r="F50" s="4" t="s">
        <v>1475</v>
      </c>
      <c r="I50" s="4" t="s">
        <v>359</v>
      </c>
    </row>
    <row r="51" hidden="1">
      <c r="A51" s="67" t="str">
        <f t="shared" si="1"/>
        <v>Tue</v>
      </c>
      <c r="B51" s="69">
        <v>43480.0</v>
      </c>
      <c r="D51" s="161">
        <f t="shared" si="2"/>
        <v>863.3</v>
      </c>
      <c r="E51" s="4" t="s">
        <v>222</v>
      </c>
      <c r="F51" s="4" t="s">
        <v>1475</v>
      </c>
      <c r="I51" s="4" t="s">
        <v>359</v>
      </c>
    </row>
    <row r="52" hidden="1">
      <c r="A52" s="67" t="str">
        <f t="shared" si="1"/>
        <v>Wed</v>
      </c>
      <c r="B52" s="69">
        <v>43481.0</v>
      </c>
      <c r="D52" s="161">
        <v>0.0</v>
      </c>
      <c r="E52" s="4" t="s">
        <v>222</v>
      </c>
      <c r="F52" s="4" t="s">
        <v>267</v>
      </c>
      <c r="G52" s="4" t="s">
        <v>267</v>
      </c>
      <c r="H52" s="4" t="s">
        <v>1475</v>
      </c>
      <c r="I52" s="4" t="s">
        <v>359</v>
      </c>
      <c r="J52" s="4" t="s">
        <v>1271</v>
      </c>
    </row>
    <row r="53" hidden="1">
      <c r="A53" s="67" t="str">
        <f t="shared" si="1"/>
        <v>Thu</v>
      </c>
      <c r="B53" s="69">
        <v>43482.0</v>
      </c>
      <c r="D53" s="161">
        <v>0.0</v>
      </c>
      <c r="E53" s="4" t="s">
        <v>222</v>
      </c>
      <c r="F53" s="4" t="s">
        <v>267</v>
      </c>
      <c r="I53" s="4" t="s">
        <v>359</v>
      </c>
      <c r="J53" s="4" t="s">
        <v>1271</v>
      </c>
    </row>
    <row r="54" hidden="1">
      <c r="A54" s="67" t="str">
        <f t="shared" si="1"/>
        <v>Fri</v>
      </c>
      <c r="B54" s="69">
        <v>43483.0</v>
      </c>
      <c r="D54" s="161">
        <v>0.0</v>
      </c>
      <c r="E54" s="4" t="s">
        <v>222</v>
      </c>
      <c r="F54" s="4" t="s">
        <v>267</v>
      </c>
      <c r="I54" s="4" t="s">
        <v>359</v>
      </c>
      <c r="J54" s="4" t="s">
        <v>1271</v>
      </c>
    </row>
    <row r="55" hidden="1">
      <c r="A55" s="67" t="str">
        <f t="shared" si="1"/>
        <v>Sat</v>
      </c>
      <c r="B55" s="69">
        <v>43484.0</v>
      </c>
      <c r="D55" s="161">
        <v>0.0</v>
      </c>
      <c r="E55" s="4" t="s">
        <v>222</v>
      </c>
      <c r="F55" s="4" t="s">
        <v>267</v>
      </c>
      <c r="I55" s="4" t="s">
        <v>359</v>
      </c>
      <c r="J55" s="4" t="s">
        <v>1271</v>
      </c>
    </row>
    <row r="56" hidden="1">
      <c r="A56" s="67" t="str">
        <f t="shared" si="1"/>
        <v>Sun</v>
      </c>
      <c r="B56" s="69">
        <v>43485.0</v>
      </c>
      <c r="D56" s="4">
        <v>630.5</v>
      </c>
      <c r="E56" s="4" t="s">
        <v>222</v>
      </c>
      <c r="F56" s="4" t="s">
        <v>1481</v>
      </c>
      <c r="G56" s="4" t="s">
        <v>1481</v>
      </c>
      <c r="I56" s="4" t="s">
        <v>395</v>
      </c>
      <c r="K56" s="4"/>
      <c r="L56" s="4" t="s">
        <v>225</v>
      </c>
      <c r="M56" s="4" t="s">
        <v>226</v>
      </c>
      <c r="N56" s="4" t="s">
        <v>1482</v>
      </c>
      <c r="O56" s="4" t="s">
        <v>264</v>
      </c>
    </row>
    <row r="57" hidden="1">
      <c r="A57" s="67" t="str">
        <f t="shared" si="1"/>
        <v>Mon</v>
      </c>
      <c r="B57" s="69">
        <v>43486.0</v>
      </c>
      <c r="H57" s="4" t="s">
        <v>1481</v>
      </c>
    </row>
    <row r="58" hidden="1">
      <c r="A58" s="67" t="str">
        <f t="shared" si="1"/>
        <v>Tue</v>
      </c>
      <c r="B58" s="69">
        <v>43487.0</v>
      </c>
      <c r="D58" s="4">
        <v>523.8</v>
      </c>
      <c r="E58" s="4" t="s">
        <v>222</v>
      </c>
      <c r="F58" s="4" t="s">
        <v>1483</v>
      </c>
      <c r="G58" s="4" t="s">
        <v>1483</v>
      </c>
      <c r="I58" s="4" t="s">
        <v>359</v>
      </c>
      <c r="K58" s="4"/>
      <c r="L58" s="4" t="s">
        <v>225</v>
      </c>
      <c r="M58" s="4" t="s">
        <v>226</v>
      </c>
      <c r="N58" s="4" t="s">
        <v>1482</v>
      </c>
      <c r="O58" s="4" t="s">
        <v>264</v>
      </c>
    </row>
    <row r="59" hidden="1">
      <c r="A59" s="67" t="str">
        <f t="shared" si="1"/>
        <v>Wed</v>
      </c>
      <c r="B59" s="69">
        <v>43488.0</v>
      </c>
      <c r="D59" s="161">
        <v>436.5</v>
      </c>
      <c r="E59" s="4" t="s">
        <v>222</v>
      </c>
      <c r="F59" s="4" t="s">
        <v>1484</v>
      </c>
      <c r="G59" s="4" t="s">
        <v>1484</v>
      </c>
      <c r="H59" s="4" t="s">
        <v>1483</v>
      </c>
      <c r="I59" s="4" t="s">
        <v>359</v>
      </c>
      <c r="K59" s="4"/>
      <c r="L59" s="4" t="s">
        <v>225</v>
      </c>
      <c r="M59" s="4" t="s">
        <v>1485</v>
      </c>
      <c r="N59" s="4" t="s">
        <v>1486</v>
      </c>
      <c r="O59" s="4" t="s">
        <v>1487</v>
      </c>
    </row>
    <row r="60" hidden="1">
      <c r="A60" s="67" t="str">
        <f t="shared" si="1"/>
        <v>Thu</v>
      </c>
      <c r="B60" s="69">
        <v>43489.0</v>
      </c>
      <c r="D60" s="161">
        <v>436.5</v>
      </c>
      <c r="E60" s="4" t="s">
        <v>222</v>
      </c>
      <c r="F60" s="4" t="s">
        <v>1484</v>
      </c>
      <c r="I60" s="4" t="s">
        <v>359</v>
      </c>
    </row>
    <row r="61" hidden="1">
      <c r="A61" s="67" t="str">
        <f t="shared" si="1"/>
        <v>Fri</v>
      </c>
      <c r="B61" s="69">
        <v>43490.0</v>
      </c>
      <c r="D61" s="161">
        <v>830.9666666666667</v>
      </c>
      <c r="E61" s="4" t="s">
        <v>222</v>
      </c>
      <c r="F61" s="4" t="s">
        <v>1488</v>
      </c>
      <c r="G61" s="4" t="s">
        <v>1488</v>
      </c>
      <c r="H61" s="4" t="s">
        <v>1484</v>
      </c>
      <c r="I61" s="4" t="s">
        <v>359</v>
      </c>
      <c r="K61" s="4"/>
      <c r="L61" s="4" t="s">
        <v>225</v>
      </c>
      <c r="M61" s="4" t="s">
        <v>1489</v>
      </c>
      <c r="Q61" s="4" t="s">
        <v>1490</v>
      </c>
      <c r="R61" s="4" t="s">
        <v>1491</v>
      </c>
      <c r="S61" s="4"/>
    </row>
    <row r="62" hidden="1">
      <c r="A62" s="67" t="str">
        <f t="shared" si="1"/>
        <v>Sat</v>
      </c>
      <c r="B62" s="69">
        <v>43491.0</v>
      </c>
      <c r="D62" s="161">
        <v>830.9666666666667</v>
      </c>
      <c r="E62" s="4" t="s">
        <v>222</v>
      </c>
      <c r="F62" s="4" t="s">
        <v>1488</v>
      </c>
      <c r="I62" s="4" t="s">
        <v>359</v>
      </c>
    </row>
    <row r="63" hidden="1">
      <c r="A63" s="67" t="str">
        <f t="shared" si="1"/>
        <v>Sun</v>
      </c>
      <c r="B63" s="69">
        <v>43492.0</v>
      </c>
      <c r="D63" s="161">
        <v>830.9666666666667</v>
      </c>
      <c r="E63" s="4" t="s">
        <v>222</v>
      </c>
      <c r="F63" s="4" t="s">
        <v>1488</v>
      </c>
      <c r="I63" s="4" t="s">
        <v>359</v>
      </c>
    </row>
    <row r="64" hidden="1">
      <c r="A64" s="67" t="str">
        <f t="shared" si="1"/>
        <v>Mon</v>
      </c>
      <c r="B64" s="69">
        <v>43493.0</v>
      </c>
      <c r="D64" s="161">
        <v>0.0</v>
      </c>
      <c r="E64" s="4" t="s">
        <v>222</v>
      </c>
      <c r="F64" s="4" t="s">
        <v>267</v>
      </c>
      <c r="G64" s="4" t="s">
        <v>267</v>
      </c>
      <c r="H64" s="4" t="s">
        <v>1488</v>
      </c>
      <c r="I64" s="4" t="s">
        <v>292</v>
      </c>
      <c r="J64" s="4" t="s">
        <v>1492</v>
      </c>
    </row>
    <row r="65" hidden="1">
      <c r="A65" s="67" t="str">
        <f t="shared" si="1"/>
        <v>Tue</v>
      </c>
      <c r="B65" s="69">
        <v>43494.0</v>
      </c>
      <c r="D65" s="161">
        <v>0.0</v>
      </c>
      <c r="E65" s="4" t="s">
        <v>222</v>
      </c>
      <c r="F65" s="4" t="s">
        <v>267</v>
      </c>
      <c r="I65" s="4" t="s">
        <v>292</v>
      </c>
    </row>
    <row r="66" hidden="1">
      <c r="A66" s="67" t="str">
        <f t="shared" si="1"/>
        <v>Wed</v>
      </c>
      <c r="B66" s="69">
        <v>43495.0</v>
      </c>
      <c r="D66" s="161">
        <v>0.0</v>
      </c>
      <c r="E66" s="4" t="s">
        <v>222</v>
      </c>
      <c r="F66" s="4" t="s">
        <v>267</v>
      </c>
      <c r="I66" s="4" t="s">
        <v>292</v>
      </c>
    </row>
    <row r="67" hidden="1">
      <c r="A67" s="67" t="str">
        <f t="shared" si="1"/>
        <v>Thu</v>
      </c>
      <c r="B67" s="69">
        <v>43496.0</v>
      </c>
      <c r="D67" s="161">
        <v>0.0</v>
      </c>
      <c r="E67" s="4" t="s">
        <v>222</v>
      </c>
      <c r="F67" s="4" t="s">
        <v>267</v>
      </c>
      <c r="I67" s="4" t="s">
        <v>292</v>
      </c>
    </row>
    <row r="68" hidden="1">
      <c r="A68" s="67" t="str">
        <f t="shared" si="1"/>
        <v>Fri</v>
      </c>
      <c r="B68" s="69">
        <v>43497.0</v>
      </c>
      <c r="D68" s="161">
        <v>0.0</v>
      </c>
      <c r="E68" s="4" t="s">
        <v>222</v>
      </c>
      <c r="F68" s="4" t="s">
        <v>267</v>
      </c>
      <c r="G68" s="4" t="s">
        <v>267</v>
      </c>
      <c r="H68" s="4" t="s">
        <v>267</v>
      </c>
      <c r="I68" s="4" t="s">
        <v>359</v>
      </c>
      <c r="J68" s="4" t="s">
        <v>1494</v>
      </c>
    </row>
    <row r="69" hidden="1">
      <c r="A69" s="67" t="str">
        <f t="shared" si="1"/>
        <v>Sat</v>
      </c>
      <c r="B69" s="69">
        <v>43498.0</v>
      </c>
      <c r="D69" s="161">
        <v>0.0</v>
      </c>
      <c r="E69" s="4" t="s">
        <v>222</v>
      </c>
      <c r="F69" s="4" t="s">
        <v>267</v>
      </c>
      <c r="I69" s="4" t="s">
        <v>359</v>
      </c>
      <c r="J69" s="4" t="s">
        <v>1494</v>
      </c>
    </row>
    <row r="70" hidden="1">
      <c r="A70" s="67" t="str">
        <f t="shared" si="1"/>
        <v>Sun</v>
      </c>
      <c r="B70" s="69">
        <v>43499.0</v>
      </c>
      <c r="D70" s="161">
        <v>0.0</v>
      </c>
      <c r="E70" s="4" t="s">
        <v>222</v>
      </c>
      <c r="F70" s="4" t="s">
        <v>267</v>
      </c>
      <c r="I70" s="4" t="s">
        <v>359</v>
      </c>
      <c r="J70" s="4" t="s">
        <v>1494</v>
      </c>
    </row>
    <row r="71" hidden="1">
      <c r="A71" s="67" t="str">
        <f t="shared" si="1"/>
        <v>Mon</v>
      </c>
      <c r="B71" s="69">
        <v>43500.0</v>
      </c>
      <c r="D71" s="161">
        <v>0.0</v>
      </c>
      <c r="E71" s="4" t="s">
        <v>222</v>
      </c>
      <c r="F71" s="4" t="s">
        <v>267</v>
      </c>
      <c r="I71" s="4" t="s">
        <v>359</v>
      </c>
      <c r="J71" s="4" t="s">
        <v>1494</v>
      </c>
    </row>
    <row r="72" hidden="1">
      <c r="A72" s="67" t="str">
        <f t="shared" si="1"/>
        <v>Tue</v>
      </c>
      <c r="B72" s="69">
        <v>43501.0</v>
      </c>
      <c r="D72" s="161">
        <v>0.0</v>
      </c>
      <c r="E72" s="4" t="s">
        <v>222</v>
      </c>
      <c r="F72" s="4" t="s">
        <v>267</v>
      </c>
      <c r="I72" s="4" t="s">
        <v>359</v>
      </c>
      <c r="J72" s="4" t="s">
        <v>1494</v>
      </c>
    </row>
    <row r="73" hidden="1">
      <c r="A73" s="67" t="str">
        <f t="shared" si="1"/>
        <v>Wed</v>
      </c>
      <c r="B73" s="69">
        <v>43502.0</v>
      </c>
      <c r="D73" s="161">
        <v>0.0</v>
      </c>
      <c r="E73" s="4" t="s">
        <v>222</v>
      </c>
      <c r="F73" s="4" t="s">
        <v>267</v>
      </c>
      <c r="I73" s="4" t="s">
        <v>359</v>
      </c>
      <c r="J73" s="4" t="s">
        <v>1494</v>
      </c>
    </row>
    <row r="74" hidden="1">
      <c r="A74" s="67" t="str">
        <f t="shared" si="1"/>
        <v>Thu</v>
      </c>
      <c r="B74" s="69">
        <v>43503.0</v>
      </c>
      <c r="D74" s="161">
        <v>0.0</v>
      </c>
      <c r="E74" s="4" t="s">
        <v>222</v>
      </c>
      <c r="F74" s="4" t="s">
        <v>267</v>
      </c>
      <c r="I74" s="4" t="s">
        <v>359</v>
      </c>
      <c r="J74" s="4" t="s">
        <v>1494</v>
      </c>
    </row>
    <row r="75" hidden="1">
      <c r="A75" s="67" t="str">
        <f t="shared" si="1"/>
        <v>Fri</v>
      </c>
      <c r="B75" s="69">
        <v>43504.0</v>
      </c>
      <c r="D75" s="161">
        <v>0.0</v>
      </c>
      <c r="E75" s="4" t="s">
        <v>222</v>
      </c>
      <c r="F75" s="4" t="s">
        <v>267</v>
      </c>
      <c r="I75" s="4" t="s">
        <v>359</v>
      </c>
      <c r="J75" s="4" t="s">
        <v>1494</v>
      </c>
    </row>
    <row r="76" hidden="1">
      <c r="A76" s="67" t="str">
        <f t="shared" si="1"/>
        <v>Sat</v>
      </c>
      <c r="B76" s="69">
        <v>43505.0</v>
      </c>
      <c r="D76" s="161">
        <v>0.0</v>
      </c>
      <c r="E76" s="4" t="s">
        <v>222</v>
      </c>
      <c r="F76" s="4" t="s">
        <v>267</v>
      </c>
      <c r="I76" s="4" t="s">
        <v>359</v>
      </c>
      <c r="J76" s="4" t="s">
        <v>1494</v>
      </c>
    </row>
    <row r="77" hidden="1">
      <c r="A77" s="67" t="str">
        <f t="shared" si="1"/>
        <v>Sun</v>
      </c>
      <c r="B77" s="69">
        <v>43506.0</v>
      </c>
      <c r="D77" s="161">
        <v>0.0</v>
      </c>
      <c r="E77" s="4" t="s">
        <v>222</v>
      </c>
      <c r="F77" s="4" t="s">
        <v>267</v>
      </c>
      <c r="I77" s="4" t="s">
        <v>359</v>
      </c>
      <c r="J77" s="4" t="s">
        <v>1494</v>
      </c>
    </row>
    <row r="78" hidden="1">
      <c r="A78" s="67" t="str">
        <f t="shared" si="1"/>
        <v>Mon</v>
      </c>
      <c r="B78" s="69">
        <v>43507.0</v>
      </c>
      <c r="D78" s="161">
        <v>0.0</v>
      </c>
      <c r="E78" s="4" t="s">
        <v>222</v>
      </c>
      <c r="F78" s="4" t="s">
        <v>267</v>
      </c>
      <c r="I78" s="4" t="s">
        <v>359</v>
      </c>
      <c r="J78" s="4" t="s">
        <v>1494</v>
      </c>
    </row>
    <row r="79" hidden="1">
      <c r="A79" s="67" t="str">
        <f t="shared" si="1"/>
        <v>Tue</v>
      </c>
      <c r="B79" s="69">
        <v>43508.0</v>
      </c>
      <c r="D79" s="161">
        <v>0.0</v>
      </c>
      <c r="E79" s="4" t="s">
        <v>222</v>
      </c>
      <c r="F79" s="4" t="s">
        <v>267</v>
      </c>
      <c r="I79" s="4" t="s">
        <v>359</v>
      </c>
      <c r="J79" s="4" t="s">
        <v>1494</v>
      </c>
    </row>
    <row r="80" hidden="1">
      <c r="A80" s="67" t="str">
        <f t="shared" si="1"/>
        <v>Wed</v>
      </c>
      <c r="B80" s="69">
        <v>43509.0</v>
      </c>
      <c r="D80" s="161">
        <v>0.0</v>
      </c>
      <c r="E80" s="4" t="s">
        <v>222</v>
      </c>
      <c r="F80" s="4" t="s">
        <v>267</v>
      </c>
      <c r="I80" s="4" t="s">
        <v>359</v>
      </c>
      <c r="J80" s="4" t="s">
        <v>1494</v>
      </c>
    </row>
    <row r="81" hidden="1">
      <c r="A81" s="67" t="str">
        <f t="shared" si="1"/>
        <v>Thu</v>
      </c>
      <c r="B81" s="69">
        <v>43510.0</v>
      </c>
      <c r="D81" s="161">
        <v>0.0</v>
      </c>
      <c r="E81" s="4" t="s">
        <v>222</v>
      </c>
      <c r="F81" s="4" t="s">
        <v>267</v>
      </c>
      <c r="I81" s="4" t="s">
        <v>359</v>
      </c>
      <c r="J81" s="4" t="s">
        <v>1494</v>
      </c>
    </row>
    <row r="82" hidden="1">
      <c r="A82" s="67" t="str">
        <f t="shared" si="1"/>
        <v>Fri</v>
      </c>
      <c r="B82" s="69">
        <v>43511.0</v>
      </c>
      <c r="D82" s="161">
        <v>0.0</v>
      </c>
      <c r="E82" s="4" t="s">
        <v>222</v>
      </c>
      <c r="F82" s="4" t="s">
        <v>267</v>
      </c>
      <c r="I82" s="4" t="s">
        <v>359</v>
      </c>
      <c r="J82" s="4" t="s">
        <v>1494</v>
      </c>
    </row>
    <row r="83" hidden="1">
      <c r="A83" s="67" t="str">
        <f t="shared" si="1"/>
        <v>Sat</v>
      </c>
      <c r="B83" s="69">
        <v>43512.0</v>
      </c>
      <c r="D83" s="161">
        <v>0.0</v>
      </c>
      <c r="E83" s="4" t="s">
        <v>222</v>
      </c>
      <c r="F83" s="4" t="s">
        <v>267</v>
      </c>
      <c r="I83" s="4" t="s">
        <v>359</v>
      </c>
      <c r="J83" s="4" t="s">
        <v>1494</v>
      </c>
    </row>
    <row r="84" hidden="1">
      <c r="A84" s="67" t="str">
        <f t="shared" si="1"/>
        <v>Sun</v>
      </c>
      <c r="B84" s="69">
        <v>43513.0</v>
      </c>
      <c r="D84" s="161">
        <v>0.0</v>
      </c>
      <c r="E84" s="4" t="s">
        <v>222</v>
      </c>
      <c r="F84" s="4" t="s">
        <v>267</v>
      </c>
      <c r="I84" s="4" t="s">
        <v>359</v>
      </c>
      <c r="J84" s="4" t="s">
        <v>1494</v>
      </c>
    </row>
    <row r="85" hidden="1">
      <c r="A85" s="67" t="str">
        <f t="shared" si="1"/>
        <v>Mon</v>
      </c>
      <c r="B85" s="69">
        <v>43514.0</v>
      </c>
      <c r="D85" s="161">
        <v>0.0</v>
      </c>
      <c r="E85" s="4" t="s">
        <v>222</v>
      </c>
      <c r="F85" s="4" t="s">
        <v>267</v>
      </c>
      <c r="I85" s="4" t="s">
        <v>359</v>
      </c>
      <c r="J85" s="4" t="s">
        <v>1494</v>
      </c>
    </row>
    <row r="86" hidden="1">
      <c r="A86" s="67" t="str">
        <f t="shared" si="1"/>
        <v>Tue</v>
      </c>
      <c r="B86" s="69">
        <v>43515.0</v>
      </c>
      <c r="D86" s="161">
        <v>0.0</v>
      </c>
      <c r="E86" s="4" t="s">
        <v>222</v>
      </c>
      <c r="F86" s="4" t="s">
        <v>267</v>
      </c>
      <c r="I86" s="4" t="s">
        <v>359</v>
      </c>
      <c r="J86" s="4" t="s">
        <v>1494</v>
      </c>
    </row>
    <row r="87" hidden="1">
      <c r="A87" s="67" t="str">
        <f t="shared" si="1"/>
        <v>Wed</v>
      </c>
      <c r="B87" s="69">
        <v>43516.0</v>
      </c>
      <c r="D87" s="161">
        <v>0.0</v>
      </c>
      <c r="E87" s="4" t="s">
        <v>222</v>
      </c>
      <c r="F87" s="4" t="s">
        <v>267</v>
      </c>
      <c r="I87" s="4" t="s">
        <v>359</v>
      </c>
      <c r="J87" s="4" t="s">
        <v>1494</v>
      </c>
    </row>
    <row r="88" hidden="1">
      <c r="A88" s="67" t="str">
        <f t="shared" si="1"/>
        <v>Thu</v>
      </c>
      <c r="B88" s="69">
        <v>43517.0</v>
      </c>
      <c r="D88" s="161">
        <v>0.0</v>
      </c>
      <c r="E88" s="4" t="s">
        <v>222</v>
      </c>
      <c r="F88" s="4" t="s">
        <v>267</v>
      </c>
      <c r="I88" s="4" t="s">
        <v>359</v>
      </c>
      <c r="J88" s="4" t="s">
        <v>1494</v>
      </c>
    </row>
    <row r="89" hidden="1">
      <c r="A89" s="67" t="str">
        <f t="shared" si="1"/>
        <v>Fri</v>
      </c>
      <c r="B89" s="69">
        <v>43518.0</v>
      </c>
      <c r="D89" s="161">
        <v>0.0</v>
      </c>
      <c r="E89" s="4" t="s">
        <v>222</v>
      </c>
      <c r="F89" s="4" t="s">
        <v>267</v>
      </c>
      <c r="I89" s="4" t="s">
        <v>359</v>
      </c>
      <c r="J89" s="4" t="s">
        <v>1494</v>
      </c>
    </row>
    <row r="90" hidden="1">
      <c r="A90" s="67" t="str">
        <f t="shared" si="1"/>
        <v>Sat</v>
      </c>
      <c r="B90" s="69">
        <v>43519.0</v>
      </c>
      <c r="D90" s="161">
        <v>0.0</v>
      </c>
      <c r="E90" s="4" t="s">
        <v>222</v>
      </c>
      <c r="F90" s="4" t="s">
        <v>267</v>
      </c>
      <c r="I90" s="4" t="s">
        <v>359</v>
      </c>
      <c r="J90" s="4" t="s">
        <v>1494</v>
      </c>
    </row>
    <row r="91" hidden="1">
      <c r="A91" s="67" t="str">
        <f t="shared" si="1"/>
        <v>Sun</v>
      </c>
      <c r="B91" s="69">
        <v>43520.0</v>
      </c>
      <c r="D91" s="161">
        <v>0.0</v>
      </c>
      <c r="E91" s="4" t="s">
        <v>222</v>
      </c>
      <c r="F91" s="4" t="s">
        <v>267</v>
      </c>
      <c r="I91" s="4" t="s">
        <v>359</v>
      </c>
      <c r="J91" s="4" t="s">
        <v>1494</v>
      </c>
    </row>
    <row r="92" hidden="1">
      <c r="A92" s="67" t="str">
        <f t="shared" si="1"/>
        <v>Mon</v>
      </c>
      <c r="B92" s="69">
        <v>43521.0</v>
      </c>
      <c r="D92" s="161">
        <v>0.0</v>
      </c>
      <c r="E92" s="4" t="s">
        <v>222</v>
      </c>
      <c r="F92" s="4" t="s">
        <v>267</v>
      </c>
      <c r="I92" s="4" t="s">
        <v>359</v>
      </c>
      <c r="J92" s="4" t="s">
        <v>1494</v>
      </c>
    </row>
    <row r="93" hidden="1">
      <c r="A93" s="67" t="str">
        <f t="shared" si="1"/>
        <v>Tue</v>
      </c>
      <c r="B93" s="69">
        <v>43522.0</v>
      </c>
      <c r="D93" s="161">
        <v>0.0</v>
      </c>
      <c r="E93" s="4" t="s">
        <v>222</v>
      </c>
      <c r="F93" s="4" t="s">
        <v>267</v>
      </c>
      <c r="I93" s="4" t="s">
        <v>359</v>
      </c>
      <c r="J93" s="4" t="s">
        <v>1494</v>
      </c>
    </row>
    <row r="94" hidden="1">
      <c r="A94" s="67" t="str">
        <f t="shared" si="1"/>
        <v>Wed</v>
      </c>
      <c r="B94" s="69">
        <v>43523.0</v>
      </c>
      <c r="D94" s="161">
        <v>0.0</v>
      </c>
      <c r="E94" s="4" t="s">
        <v>222</v>
      </c>
      <c r="F94" s="4" t="s">
        <v>267</v>
      </c>
      <c r="I94" s="4" t="s">
        <v>359</v>
      </c>
      <c r="J94" s="4" t="s">
        <v>1494</v>
      </c>
    </row>
    <row r="95" hidden="1">
      <c r="A95" s="67" t="str">
        <f t="shared" si="1"/>
        <v>Thu</v>
      </c>
      <c r="B95" s="69">
        <v>43524.0</v>
      </c>
      <c r="D95" s="161">
        <v>0.0</v>
      </c>
      <c r="E95" s="4" t="s">
        <v>222</v>
      </c>
      <c r="F95" s="4" t="s">
        <v>267</v>
      </c>
      <c r="I95" s="4" t="s">
        <v>359</v>
      </c>
      <c r="J95" s="4" t="s">
        <v>1494</v>
      </c>
    </row>
    <row r="96" hidden="1">
      <c r="A96" s="67" t="str">
        <f t="shared" si="1"/>
        <v>Fri</v>
      </c>
      <c r="B96" s="69">
        <v>43525.0</v>
      </c>
      <c r="D96" s="161">
        <v>975.0</v>
      </c>
      <c r="E96" s="4" t="s">
        <v>337</v>
      </c>
      <c r="F96" s="4" t="s">
        <v>1499</v>
      </c>
      <c r="G96" s="4" t="s">
        <v>1499</v>
      </c>
      <c r="H96" s="4" t="s">
        <v>267</v>
      </c>
      <c r="I96" s="4" t="s">
        <v>359</v>
      </c>
      <c r="K96" s="4" t="s">
        <v>231</v>
      </c>
      <c r="L96" s="4" t="s">
        <v>225</v>
      </c>
      <c r="M96" s="4" t="s">
        <v>1500</v>
      </c>
      <c r="Q96" s="4" t="s">
        <v>1501</v>
      </c>
      <c r="R96" s="4" t="s">
        <v>1502</v>
      </c>
      <c r="S96" s="4"/>
    </row>
    <row r="97" hidden="1">
      <c r="A97" s="67" t="str">
        <f t="shared" si="1"/>
        <v>Sat</v>
      </c>
      <c r="B97" s="69">
        <v>43526.0</v>
      </c>
      <c r="D97" s="161">
        <v>975.0</v>
      </c>
      <c r="E97" s="4" t="s">
        <v>337</v>
      </c>
      <c r="F97" s="4" t="s">
        <v>1499</v>
      </c>
      <c r="I97" s="4" t="s">
        <v>359</v>
      </c>
    </row>
    <row r="98" hidden="1">
      <c r="A98" s="67" t="str">
        <f t="shared" si="1"/>
        <v>Sun</v>
      </c>
      <c r="B98" s="69">
        <v>43527.0</v>
      </c>
      <c r="D98" s="161">
        <v>975.0</v>
      </c>
      <c r="E98" s="4" t="s">
        <v>337</v>
      </c>
      <c r="F98" s="4" t="s">
        <v>1499</v>
      </c>
      <c r="I98" s="4" t="s">
        <v>359</v>
      </c>
    </row>
    <row r="99" hidden="1">
      <c r="A99" s="67" t="str">
        <f t="shared" si="1"/>
        <v>Mon</v>
      </c>
      <c r="B99" s="69">
        <v>43528.0</v>
      </c>
      <c r="D99" s="161">
        <v>975.0</v>
      </c>
      <c r="E99" s="4" t="s">
        <v>337</v>
      </c>
      <c r="F99" s="4" t="s">
        <v>1499</v>
      </c>
      <c r="I99" s="4" t="s">
        <v>359</v>
      </c>
    </row>
    <row r="100" hidden="1">
      <c r="A100" s="67" t="str">
        <f t="shared" si="1"/>
        <v>Tue</v>
      </c>
      <c r="B100" s="69">
        <v>43529.0</v>
      </c>
      <c r="D100" s="4">
        <v>0.0</v>
      </c>
      <c r="E100" s="4" t="s">
        <v>337</v>
      </c>
      <c r="F100" s="4" t="s">
        <v>267</v>
      </c>
      <c r="G100" s="4" t="s">
        <v>267</v>
      </c>
      <c r="H100" s="4" t="s">
        <v>1499</v>
      </c>
      <c r="I100" s="4" t="s">
        <v>292</v>
      </c>
    </row>
    <row r="101" hidden="1">
      <c r="A101" s="67" t="str">
        <f t="shared" si="1"/>
        <v>Wed</v>
      </c>
      <c r="B101" s="69">
        <v>43530.0</v>
      </c>
      <c r="D101" s="161">
        <v>339.5</v>
      </c>
      <c r="E101" s="4" t="s">
        <v>222</v>
      </c>
      <c r="F101" s="4" t="s">
        <v>1503</v>
      </c>
      <c r="G101" s="4" t="s">
        <v>1503</v>
      </c>
      <c r="H101" s="4" t="s">
        <v>267</v>
      </c>
      <c r="I101" s="4" t="s">
        <v>359</v>
      </c>
      <c r="K101" s="4" t="s">
        <v>231</v>
      </c>
      <c r="L101" s="4" t="s">
        <v>225</v>
      </c>
      <c r="M101" s="4" t="s">
        <v>1504</v>
      </c>
      <c r="N101" s="4" t="s">
        <v>310</v>
      </c>
      <c r="O101" s="4" t="s">
        <v>1505</v>
      </c>
    </row>
    <row r="102" hidden="1">
      <c r="A102" s="67" t="str">
        <f t="shared" si="1"/>
        <v>Thu</v>
      </c>
      <c r="B102" s="69">
        <v>43531.0</v>
      </c>
      <c r="D102" s="161">
        <v>339.5</v>
      </c>
      <c r="E102" s="4" t="s">
        <v>222</v>
      </c>
      <c r="F102" s="4" t="s">
        <v>1503</v>
      </c>
      <c r="I102" s="4" t="s">
        <v>359</v>
      </c>
    </row>
    <row r="103" hidden="1">
      <c r="A103" s="67" t="str">
        <f t="shared" si="1"/>
        <v>Fri</v>
      </c>
      <c r="B103" s="69">
        <v>43532.0</v>
      </c>
      <c r="D103" s="161">
        <v>339.5</v>
      </c>
      <c r="E103" s="4" t="s">
        <v>222</v>
      </c>
      <c r="F103" s="4" t="s">
        <v>1503</v>
      </c>
      <c r="I103" s="4" t="s">
        <v>359</v>
      </c>
    </row>
    <row r="104" hidden="1">
      <c r="A104" s="67" t="str">
        <f t="shared" si="1"/>
        <v>Sat</v>
      </c>
      <c r="B104" s="69">
        <v>43533.0</v>
      </c>
      <c r="D104" s="161">
        <v>339.5</v>
      </c>
      <c r="E104" s="4" t="s">
        <v>222</v>
      </c>
      <c r="F104" s="4" t="s">
        <v>1503</v>
      </c>
      <c r="I104" s="4" t="s">
        <v>359</v>
      </c>
    </row>
    <row r="105" hidden="1">
      <c r="A105" s="67" t="str">
        <f t="shared" si="1"/>
        <v>Sun</v>
      </c>
      <c r="B105" s="69">
        <v>43534.0</v>
      </c>
      <c r="D105" s="161">
        <v>312.34000000000003</v>
      </c>
      <c r="E105" s="4" t="s">
        <v>222</v>
      </c>
      <c r="F105" s="4" t="s">
        <v>1506</v>
      </c>
      <c r="G105" s="4" t="s">
        <v>1506</v>
      </c>
      <c r="H105" s="4" t="s">
        <v>1503</v>
      </c>
      <c r="I105" s="4" t="s">
        <v>359</v>
      </c>
      <c r="K105" s="4"/>
      <c r="L105" s="4" t="s">
        <v>225</v>
      </c>
      <c r="M105" s="4" t="s">
        <v>1504</v>
      </c>
      <c r="N105" s="4" t="s">
        <v>310</v>
      </c>
      <c r="O105" s="4" t="s">
        <v>310</v>
      </c>
    </row>
    <row r="106" hidden="1">
      <c r="A106" s="67" t="str">
        <f t="shared" si="1"/>
        <v>Mon</v>
      </c>
      <c r="B106" s="69">
        <v>43535.0</v>
      </c>
      <c r="D106" s="161">
        <v>312.34000000000003</v>
      </c>
      <c r="E106" s="4" t="s">
        <v>222</v>
      </c>
      <c r="F106" s="4" t="s">
        <v>1506</v>
      </c>
      <c r="I106" s="4" t="s">
        <v>359</v>
      </c>
    </row>
    <row r="107" hidden="1">
      <c r="A107" s="67" t="str">
        <f t="shared" si="1"/>
        <v>Tue</v>
      </c>
      <c r="B107" s="69">
        <v>43536.0</v>
      </c>
      <c r="D107" s="161">
        <v>312.34000000000003</v>
      </c>
      <c r="E107" s="4" t="s">
        <v>222</v>
      </c>
      <c r="F107" s="4" t="s">
        <v>1506</v>
      </c>
      <c r="I107" s="4" t="s">
        <v>359</v>
      </c>
    </row>
    <row r="108" hidden="1">
      <c r="A108" s="67" t="str">
        <f t="shared" si="1"/>
        <v>Wed</v>
      </c>
      <c r="B108" s="69">
        <v>43537.0</v>
      </c>
      <c r="D108" s="161">
        <v>312.34000000000003</v>
      </c>
      <c r="E108" s="4" t="s">
        <v>222</v>
      </c>
      <c r="F108" s="4" t="s">
        <v>1506</v>
      </c>
      <c r="I108" s="4" t="s">
        <v>359</v>
      </c>
    </row>
    <row r="109" hidden="1">
      <c r="A109" s="67" t="str">
        <f t="shared" si="1"/>
        <v>Thu</v>
      </c>
      <c r="B109" s="69">
        <v>43538.0</v>
      </c>
      <c r="D109" s="161">
        <v>312.34000000000003</v>
      </c>
      <c r="E109" s="4" t="s">
        <v>222</v>
      </c>
      <c r="F109" s="4" t="s">
        <v>1506</v>
      </c>
      <c r="I109" s="4" t="s">
        <v>359</v>
      </c>
    </row>
    <row r="110" hidden="1">
      <c r="A110" s="67" t="str">
        <f t="shared" si="1"/>
        <v>Fri</v>
      </c>
      <c r="B110" s="69">
        <v>43539.0</v>
      </c>
      <c r="D110" s="161">
        <v>312.34000000000003</v>
      </c>
      <c r="E110" s="4" t="s">
        <v>222</v>
      </c>
      <c r="F110" s="4" t="s">
        <v>1506</v>
      </c>
      <c r="I110" s="4" t="s">
        <v>359</v>
      </c>
    </row>
    <row r="111" hidden="1">
      <c r="A111" s="67" t="str">
        <f t="shared" si="1"/>
        <v>Sat</v>
      </c>
      <c r="B111" s="69">
        <v>43540.0</v>
      </c>
      <c r="D111" s="161">
        <v>312.34000000000003</v>
      </c>
      <c r="E111" s="4" t="s">
        <v>222</v>
      </c>
      <c r="F111" s="4" t="s">
        <v>1506</v>
      </c>
      <c r="I111" s="4" t="s">
        <v>359</v>
      </c>
    </row>
    <row r="112" hidden="1">
      <c r="A112" s="67" t="str">
        <f t="shared" si="1"/>
        <v>Sun</v>
      </c>
      <c r="B112" s="69">
        <v>43541.0</v>
      </c>
      <c r="D112" s="161">
        <v>312.34000000000003</v>
      </c>
      <c r="E112" s="4" t="s">
        <v>222</v>
      </c>
      <c r="F112" s="4" t="s">
        <v>1506</v>
      </c>
      <c r="I112" s="4" t="s">
        <v>359</v>
      </c>
    </row>
    <row r="113" hidden="1">
      <c r="A113" s="67" t="str">
        <f t="shared" si="1"/>
        <v>Mon</v>
      </c>
      <c r="B113" s="69">
        <v>43542.0</v>
      </c>
      <c r="D113" s="161">
        <v>312.34000000000003</v>
      </c>
      <c r="E113" s="4" t="s">
        <v>222</v>
      </c>
      <c r="F113" s="4" t="s">
        <v>1506</v>
      </c>
      <c r="I113" s="4" t="s">
        <v>359</v>
      </c>
    </row>
    <row r="114" hidden="1">
      <c r="A114" s="67" t="str">
        <f t="shared" si="1"/>
        <v>Tue</v>
      </c>
      <c r="B114" s="69">
        <v>43543.0</v>
      </c>
      <c r="D114" s="161">
        <v>312.34000000000003</v>
      </c>
      <c r="E114" s="4" t="s">
        <v>222</v>
      </c>
      <c r="F114" s="4" t="s">
        <v>1506</v>
      </c>
      <c r="I114" s="4" t="s">
        <v>359</v>
      </c>
    </row>
    <row r="115" hidden="1">
      <c r="A115" s="67" t="str">
        <f t="shared" si="1"/>
        <v>Wed</v>
      </c>
      <c r="B115" s="69">
        <v>43544.0</v>
      </c>
      <c r="D115" s="161">
        <v>242.5</v>
      </c>
      <c r="E115" s="4" t="s">
        <v>222</v>
      </c>
      <c r="F115" s="4" t="s">
        <v>1509</v>
      </c>
      <c r="G115" s="4" t="s">
        <v>1509</v>
      </c>
      <c r="H115" s="4" t="s">
        <v>1506</v>
      </c>
      <c r="I115" s="4" t="s">
        <v>224</v>
      </c>
      <c r="K115" s="4" t="s">
        <v>231</v>
      </c>
      <c r="L115" s="4" t="s">
        <v>229</v>
      </c>
      <c r="M115" s="4" t="s">
        <v>226</v>
      </c>
      <c r="N115" s="4" t="s">
        <v>232</v>
      </c>
      <c r="O115" s="4" t="s">
        <v>264</v>
      </c>
      <c r="R115" s="167" t="s">
        <v>1510</v>
      </c>
    </row>
    <row r="116" hidden="1">
      <c r="A116" s="67" t="str">
        <f t="shared" si="1"/>
        <v>Thu</v>
      </c>
      <c r="B116" s="69">
        <v>43545.0</v>
      </c>
      <c r="D116" s="161">
        <v>242.5</v>
      </c>
      <c r="E116" s="4" t="s">
        <v>222</v>
      </c>
      <c r="F116" s="4" t="s">
        <v>1511</v>
      </c>
      <c r="G116" s="4" t="s">
        <v>1511</v>
      </c>
      <c r="H116" s="4" t="s">
        <v>1509</v>
      </c>
      <c r="I116" s="4" t="s">
        <v>224</v>
      </c>
      <c r="J116" s="4"/>
      <c r="K116" s="4" t="s">
        <v>231</v>
      </c>
      <c r="L116" s="4" t="s">
        <v>229</v>
      </c>
      <c r="M116" s="4" t="s">
        <v>1513</v>
      </c>
      <c r="R116" s="4" t="s">
        <v>1514</v>
      </c>
    </row>
    <row r="117" hidden="1">
      <c r="A117" s="67" t="str">
        <f t="shared" si="1"/>
        <v>Fri</v>
      </c>
      <c r="B117" s="69">
        <v>43546.0</v>
      </c>
      <c r="D117">
        <f t="shared" ref="D117:D120" si="3">1183.4/4</f>
        <v>295.85</v>
      </c>
      <c r="E117" s="4" t="s">
        <v>222</v>
      </c>
      <c r="F117" s="4" t="s">
        <v>1516</v>
      </c>
      <c r="G117" s="4" t="s">
        <v>1517</v>
      </c>
      <c r="H117" s="4" t="s">
        <v>1511</v>
      </c>
      <c r="I117" s="4" t="s">
        <v>359</v>
      </c>
      <c r="K117" s="4" t="s">
        <v>231</v>
      </c>
      <c r="L117" s="4" t="s">
        <v>225</v>
      </c>
      <c r="M117" s="4" t="s">
        <v>1518</v>
      </c>
      <c r="Q117" s="4" t="s">
        <v>1519</v>
      </c>
      <c r="R117" s="4" t="s">
        <v>1520</v>
      </c>
      <c r="S117" s="4"/>
    </row>
    <row r="118" hidden="1">
      <c r="A118" s="67" t="str">
        <f t="shared" si="1"/>
        <v>Sat</v>
      </c>
      <c r="B118" s="69">
        <v>43547.0</v>
      </c>
      <c r="D118">
        <f t="shared" si="3"/>
        <v>295.85</v>
      </c>
      <c r="E118" s="4" t="s">
        <v>222</v>
      </c>
      <c r="F118" s="4" t="s">
        <v>1516</v>
      </c>
      <c r="I118" s="4" t="s">
        <v>359</v>
      </c>
    </row>
    <row r="119" hidden="1">
      <c r="A119" s="67" t="str">
        <f t="shared" si="1"/>
        <v>Sun</v>
      </c>
      <c r="B119" s="69">
        <v>43548.0</v>
      </c>
      <c r="D119">
        <f t="shared" si="3"/>
        <v>295.85</v>
      </c>
      <c r="E119" s="4" t="s">
        <v>222</v>
      </c>
      <c r="F119" s="4" t="s">
        <v>1516</v>
      </c>
      <c r="I119" s="4" t="s">
        <v>359</v>
      </c>
    </row>
    <row r="120" hidden="1">
      <c r="A120" s="67" t="str">
        <f t="shared" si="1"/>
        <v>Mon</v>
      </c>
      <c r="B120" s="69">
        <v>43549.0</v>
      </c>
      <c r="D120">
        <f t="shared" si="3"/>
        <v>295.85</v>
      </c>
      <c r="E120" s="4" t="s">
        <v>222</v>
      </c>
      <c r="F120" s="4" t="s">
        <v>1516</v>
      </c>
      <c r="I120" s="4" t="s">
        <v>359</v>
      </c>
    </row>
    <row r="121" hidden="1">
      <c r="A121" s="67" t="str">
        <f t="shared" si="1"/>
        <v>Tue</v>
      </c>
      <c r="B121" s="69">
        <v>43550.0</v>
      </c>
      <c r="F121" s="4"/>
      <c r="G121" s="4"/>
      <c r="H121" s="4" t="s">
        <v>1516</v>
      </c>
      <c r="J121" s="4">
        <v>1.0</v>
      </c>
      <c r="L121" s="4" t="s">
        <v>229</v>
      </c>
      <c r="M121" s="4"/>
      <c r="N121" s="4"/>
      <c r="O121" s="4"/>
    </row>
    <row r="122" hidden="1">
      <c r="A122" s="67" t="str">
        <f t="shared" si="1"/>
        <v>Wed</v>
      </c>
      <c r="B122" s="69">
        <v>43551.0</v>
      </c>
      <c r="D122" s="161">
        <v>290.0</v>
      </c>
      <c r="E122" s="4" t="s">
        <v>337</v>
      </c>
      <c r="F122" s="4" t="s">
        <v>1522</v>
      </c>
      <c r="G122" s="4" t="s">
        <v>1522</v>
      </c>
      <c r="H122" s="4"/>
      <c r="I122" s="4" t="s">
        <v>395</v>
      </c>
      <c r="J122" s="4" t="s">
        <v>1523</v>
      </c>
      <c r="K122" s="4" t="s">
        <v>231</v>
      </c>
      <c r="L122" s="4" t="s">
        <v>225</v>
      </c>
      <c r="M122" s="4" t="s">
        <v>1524</v>
      </c>
      <c r="N122" s="4" t="s">
        <v>310</v>
      </c>
      <c r="O122" s="4" t="s">
        <v>310</v>
      </c>
      <c r="Q122" s="4" t="s">
        <v>1525</v>
      </c>
      <c r="R122" s="167" t="s">
        <v>1526</v>
      </c>
      <c r="S122" s="4"/>
    </row>
    <row r="123" hidden="1">
      <c r="A123" s="67" t="str">
        <f t="shared" si="1"/>
        <v>Thu</v>
      </c>
      <c r="B123" s="69">
        <v>43552.0</v>
      </c>
      <c r="D123" s="161">
        <v>290.0</v>
      </c>
      <c r="E123" s="4" t="s">
        <v>337</v>
      </c>
      <c r="F123" s="4" t="s">
        <v>1522</v>
      </c>
      <c r="I123" s="4" t="s">
        <v>395</v>
      </c>
      <c r="J123" s="4" t="s">
        <v>1523</v>
      </c>
    </row>
    <row r="124" hidden="1">
      <c r="A124" s="67" t="str">
        <f t="shared" si="1"/>
        <v>Fri</v>
      </c>
      <c r="B124" s="69">
        <v>43553.0</v>
      </c>
      <c r="D124" s="161">
        <v>290.0</v>
      </c>
      <c r="E124" s="4" t="s">
        <v>337</v>
      </c>
      <c r="F124" s="4" t="s">
        <v>1522</v>
      </c>
      <c r="I124" s="4" t="s">
        <v>395</v>
      </c>
      <c r="J124" s="4" t="s">
        <v>1523</v>
      </c>
    </row>
    <row r="125" hidden="1">
      <c r="A125" s="67" t="str">
        <f t="shared" si="1"/>
        <v>Sat</v>
      </c>
      <c r="B125" s="69">
        <v>43554.0</v>
      </c>
      <c r="D125" s="161">
        <v>290.0</v>
      </c>
      <c r="E125" s="4" t="s">
        <v>337</v>
      </c>
      <c r="F125" s="4" t="s">
        <v>1522</v>
      </c>
      <c r="I125" s="4" t="s">
        <v>395</v>
      </c>
      <c r="J125" s="4" t="s">
        <v>1523</v>
      </c>
    </row>
    <row r="126" hidden="1">
      <c r="A126" s="67" t="str">
        <f t="shared" si="1"/>
        <v>Sun</v>
      </c>
      <c r="B126" s="69">
        <v>43555.0</v>
      </c>
      <c r="H126" s="4" t="s">
        <v>1522</v>
      </c>
      <c r="J126" s="4"/>
    </row>
    <row r="127">
      <c r="A127" s="67" t="str">
        <f t="shared" si="1"/>
        <v>Mon</v>
      </c>
      <c r="B127" s="69">
        <v>43556.0</v>
      </c>
      <c r="J127" s="4"/>
    </row>
    <row r="128">
      <c r="A128" s="67" t="str">
        <f t="shared" si="1"/>
        <v>Tue</v>
      </c>
      <c r="B128" s="69">
        <v>43557.0</v>
      </c>
      <c r="J128" s="4"/>
    </row>
    <row r="129">
      <c r="A129" s="67" t="str">
        <f t="shared" si="1"/>
        <v>Wed</v>
      </c>
      <c r="B129" s="69">
        <v>43558.0</v>
      </c>
      <c r="J129" s="4"/>
    </row>
    <row r="130">
      <c r="A130" s="67" t="str">
        <f t="shared" si="1"/>
        <v>Thu</v>
      </c>
      <c r="B130" s="69">
        <v>43559.0</v>
      </c>
      <c r="J130" s="4"/>
    </row>
    <row r="131">
      <c r="A131" s="67" t="str">
        <f t="shared" si="1"/>
        <v>Fri</v>
      </c>
      <c r="B131" s="69">
        <v>43560.0</v>
      </c>
      <c r="D131" s="4">
        <v>300.0</v>
      </c>
      <c r="E131" s="4" t="s">
        <v>337</v>
      </c>
      <c r="F131" s="4" t="s">
        <v>1529</v>
      </c>
      <c r="G131" s="4" t="s">
        <v>1529</v>
      </c>
      <c r="I131" s="4" t="s">
        <v>224</v>
      </c>
      <c r="J131" s="4" t="s">
        <v>1281</v>
      </c>
      <c r="K131" s="4" t="s">
        <v>231</v>
      </c>
      <c r="L131" s="4" t="s">
        <v>225</v>
      </c>
      <c r="M131" s="4" t="s">
        <v>226</v>
      </c>
      <c r="N131" s="178" t="s">
        <v>232</v>
      </c>
      <c r="O131" s="178" t="s">
        <v>264</v>
      </c>
      <c r="Q131" s="4" t="s">
        <v>741</v>
      </c>
      <c r="R131" s="4" t="s">
        <v>743</v>
      </c>
      <c r="S131" s="4" t="s">
        <v>1530</v>
      </c>
    </row>
    <row r="132">
      <c r="A132" s="67" t="str">
        <f t="shared" si="1"/>
        <v>Sat</v>
      </c>
      <c r="B132" s="69">
        <v>43561.0</v>
      </c>
      <c r="D132" s="4">
        <v>300.0</v>
      </c>
      <c r="E132" s="4" t="s">
        <v>337</v>
      </c>
      <c r="F132" s="4" t="s">
        <v>1529</v>
      </c>
      <c r="I132" s="4" t="s">
        <v>224</v>
      </c>
    </row>
    <row r="133">
      <c r="A133" s="67" t="str">
        <f t="shared" si="1"/>
        <v>Sun</v>
      </c>
      <c r="B133" s="69">
        <v>43562.0</v>
      </c>
      <c r="D133" s="4">
        <v>300.0</v>
      </c>
      <c r="E133" s="4" t="s">
        <v>337</v>
      </c>
      <c r="F133" s="4" t="s">
        <v>1529</v>
      </c>
      <c r="I133" s="4" t="s">
        <v>224</v>
      </c>
    </row>
    <row r="134">
      <c r="A134" s="67" t="str">
        <f t="shared" si="1"/>
        <v>Mon</v>
      </c>
      <c r="B134" s="69">
        <v>43563.0</v>
      </c>
      <c r="F134" s="4"/>
      <c r="G134" s="4"/>
      <c r="H134" s="4" t="s">
        <v>1529</v>
      </c>
      <c r="J134" s="4"/>
    </row>
    <row r="135">
      <c r="A135" s="67" t="str">
        <f t="shared" si="1"/>
        <v>Tue</v>
      </c>
      <c r="B135" s="69">
        <v>43564.0</v>
      </c>
      <c r="F135" s="4"/>
      <c r="J135" s="4"/>
    </row>
    <row r="136">
      <c r="A136" s="67" t="str">
        <f t="shared" si="1"/>
        <v>Wed</v>
      </c>
      <c r="B136" s="69">
        <v>43565.0</v>
      </c>
      <c r="F136" s="4"/>
      <c r="G136" s="4"/>
      <c r="H136" s="4"/>
      <c r="J136" s="4"/>
    </row>
    <row r="137">
      <c r="A137" s="67" t="str">
        <f t="shared" si="1"/>
        <v>Thu</v>
      </c>
      <c r="B137" s="69">
        <v>43566.0</v>
      </c>
      <c r="D137" s="161">
        <v>277.74333333333334</v>
      </c>
      <c r="E137" s="4" t="s">
        <v>222</v>
      </c>
      <c r="F137" s="4" t="s">
        <v>1539</v>
      </c>
      <c r="G137" s="4" t="s">
        <v>1539</v>
      </c>
      <c r="H137" s="4"/>
      <c r="I137" s="4" t="s">
        <v>359</v>
      </c>
      <c r="K137" s="4" t="s">
        <v>231</v>
      </c>
      <c r="L137" s="4" t="s">
        <v>225</v>
      </c>
      <c r="M137" s="4" t="s">
        <v>1540</v>
      </c>
      <c r="N137" s="4" t="s">
        <v>1541</v>
      </c>
      <c r="Q137" s="4" t="s">
        <v>1542</v>
      </c>
      <c r="R137" s="4" t="s">
        <v>1543</v>
      </c>
      <c r="S137" s="4"/>
    </row>
    <row r="138">
      <c r="A138" s="67" t="str">
        <f t="shared" si="1"/>
        <v>Fri</v>
      </c>
      <c r="B138" s="69">
        <v>43567.0</v>
      </c>
      <c r="D138" s="161">
        <v>277.74333333333334</v>
      </c>
      <c r="E138" s="4" t="s">
        <v>222</v>
      </c>
      <c r="F138" s="4" t="s">
        <v>1539</v>
      </c>
      <c r="I138" s="4" t="s">
        <v>359</v>
      </c>
    </row>
    <row r="139">
      <c r="A139" s="67" t="str">
        <f t="shared" si="1"/>
        <v>Sat</v>
      </c>
      <c r="B139" s="69">
        <v>43568.0</v>
      </c>
      <c r="D139" s="161">
        <v>277.74333333333334</v>
      </c>
      <c r="E139" s="4" t="s">
        <v>222</v>
      </c>
      <c r="F139" s="4" t="s">
        <v>1539</v>
      </c>
      <c r="I139" s="4" t="s">
        <v>359</v>
      </c>
    </row>
    <row r="140">
      <c r="A140" s="67" t="str">
        <f t="shared" si="1"/>
        <v>Sun</v>
      </c>
      <c r="B140" s="69">
        <v>43569.0</v>
      </c>
      <c r="D140" s="161">
        <v>277.74333333333334</v>
      </c>
      <c r="E140" s="4" t="s">
        <v>222</v>
      </c>
      <c r="F140" s="4" t="s">
        <v>1539</v>
      </c>
      <c r="I140" s="4" t="s">
        <v>359</v>
      </c>
    </row>
    <row r="141">
      <c r="A141" s="67" t="str">
        <f t="shared" si="1"/>
        <v>Mon</v>
      </c>
      <c r="B141" s="69">
        <v>43570.0</v>
      </c>
      <c r="D141" s="161">
        <v>277.74333333333334</v>
      </c>
      <c r="E141" s="4" t="s">
        <v>222</v>
      </c>
      <c r="F141" s="4" t="s">
        <v>1539</v>
      </c>
      <c r="I141" s="4" t="s">
        <v>359</v>
      </c>
    </row>
    <row r="142">
      <c r="A142" s="67" t="str">
        <f t="shared" si="1"/>
        <v>Tue</v>
      </c>
      <c r="B142" s="69">
        <v>43571.0</v>
      </c>
      <c r="D142" s="161">
        <v>277.74333333333334</v>
      </c>
      <c r="E142" s="4" t="s">
        <v>222</v>
      </c>
      <c r="F142" s="4" t="s">
        <v>1539</v>
      </c>
      <c r="I142" s="4" t="s">
        <v>359</v>
      </c>
    </row>
    <row r="143">
      <c r="A143" s="67" t="str">
        <f t="shared" si="1"/>
        <v>Wed</v>
      </c>
      <c r="B143" s="69">
        <v>43572.0</v>
      </c>
      <c r="D143" s="4">
        <v>250.0</v>
      </c>
      <c r="E143" s="4" t="s">
        <v>337</v>
      </c>
      <c r="F143" s="4" t="s">
        <v>1545</v>
      </c>
      <c r="G143" s="4" t="s">
        <v>1545</v>
      </c>
      <c r="H143" s="4" t="s">
        <v>1539</v>
      </c>
      <c r="I143" s="4" t="s">
        <v>224</v>
      </c>
      <c r="K143" s="4" t="s">
        <v>231</v>
      </c>
      <c r="L143" s="4" t="s">
        <v>225</v>
      </c>
      <c r="M143" s="4" t="s">
        <v>1546</v>
      </c>
      <c r="N143" s="4" t="s">
        <v>1547</v>
      </c>
      <c r="O143" s="4" t="s">
        <v>264</v>
      </c>
      <c r="Q143" s="4" t="s">
        <v>1548</v>
      </c>
      <c r="R143" s="4" t="s">
        <v>1549</v>
      </c>
      <c r="S143" s="161">
        <v>5.0798049049E10</v>
      </c>
    </row>
    <row r="144">
      <c r="A144" s="67" t="str">
        <f t="shared" si="1"/>
        <v>Thu</v>
      </c>
      <c r="B144" s="69">
        <v>43573.0</v>
      </c>
      <c r="D144" s="161">
        <v>400.0</v>
      </c>
      <c r="E144" s="4" t="s">
        <v>337</v>
      </c>
      <c r="F144" s="4" t="s">
        <v>1545</v>
      </c>
      <c r="I144" s="4" t="s">
        <v>224</v>
      </c>
      <c r="K144" s="4" t="s">
        <v>231</v>
      </c>
      <c r="L144" s="4" t="s">
        <v>225</v>
      </c>
      <c r="M144" s="4" t="s">
        <v>1546</v>
      </c>
      <c r="N144" s="4" t="s">
        <v>1547</v>
      </c>
      <c r="O144" s="4" t="s">
        <v>264</v>
      </c>
      <c r="Q144" s="4" t="s">
        <v>1548</v>
      </c>
      <c r="R144" s="4" t="s">
        <v>1549</v>
      </c>
      <c r="S144" s="161">
        <v>5.0798049049E10</v>
      </c>
    </row>
    <row r="145">
      <c r="A145" s="67" t="str">
        <f t="shared" si="1"/>
        <v>Fri</v>
      </c>
      <c r="B145" s="69">
        <v>43574.0</v>
      </c>
      <c r="D145" s="161">
        <v>400.0</v>
      </c>
      <c r="E145" s="4" t="s">
        <v>337</v>
      </c>
      <c r="F145" s="4" t="s">
        <v>1545</v>
      </c>
      <c r="I145" s="4" t="s">
        <v>224</v>
      </c>
    </row>
    <row r="146">
      <c r="A146" s="67" t="str">
        <f t="shared" si="1"/>
        <v>Sat</v>
      </c>
      <c r="B146" s="69">
        <v>43575.0</v>
      </c>
      <c r="D146" s="161">
        <v>400.0</v>
      </c>
      <c r="E146" s="4" t="s">
        <v>337</v>
      </c>
      <c r="F146" s="4" t="s">
        <v>1545</v>
      </c>
      <c r="I146" s="4" t="s">
        <v>224</v>
      </c>
    </row>
    <row r="147">
      <c r="A147" s="67" t="str">
        <f t="shared" si="1"/>
        <v>Sun</v>
      </c>
      <c r="B147" s="69">
        <v>43576.0</v>
      </c>
      <c r="D147" s="161">
        <v>242.5</v>
      </c>
      <c r="E147" s="4" t="s">
        <v>222</v>
      </c>
      <c r="F147" s="4" t="s">
        <v>1553</v>
      </c>
      <c r="G147" s="4" t="s">
        <v>1553</v>
      </c>
      <c r="H147" s="4" t="s">
        <v>1545</v>
      </c>
      <c r="I147" s="4" t="s">
        <v>224</v>
      </c>
      <c r="K147" s="4" t="s">
        <v>231</v>
      </c>
      <c r="L147" s="4" t="s">
        <v>225</v>
      </c>
      <c r="M147" s="4" t="s">
        <v>1558</v>
      </c>
      <c r="Q147" s="4" t="s">
        <v>1559</v>
      </c>
      <c r="R147" s="4" t="s">
        <v>1560</v>
      </c>
      <c r="S147" s="4">
        <v>9.865868709E9</v>
      </c>
    </row>
    <row r="148">
      <c r="A148" s="67" t="str">
        <f t="shared" si="1"/>
        <v>Mon</v>
      </c>
      <c r="B148" s="69">
        <v>43577.0</v>
      </c>
      <c r="H148" s="4" t="s">
        <v>1553</v>
      </c>
    </row>
    <row r="149">
      <c r="A149" s="67" t="str">
        <f t="shared" si="1"/>
        <v>Tue</v>
      </c>
      <c r="B149" s="69">
        <v>43578.0</v>
      </c>
      <c r="D149" s="161">
        <v>203.7</v>
      </c>
      <c r="E149" s="4" t="s">
        <v>222</v>
      </c>
      <c r="F149" s="4" t="s">
        <v>1565</v>
      </c>
      <c r="G149" s="4" t="s">
        <v>1565</v>
      </c>
      <c r="I149" s="4" t="s">
        <v>224</v>
      </c>
      <c r="K149" s="4" t="s">
        <v>231</v>
      </c>
      <c r="L149" s="4" t="s">
        <v>229</v>
      </c>
      <c r="M149" s="4" t="s">
        <v>226</v>
      </c>
      <c r="N149" s="4" t="s">
        <v>232</v>
      </c>
      <c r="O149" s="4" t="s">
        <v>264</v>
      </c>
      <c r="Q149" s="4" t="s">
        <v>1566</v>
      </c>
      <c r="R149" s="4" t="s">
        <v>1567</v>
      </c>
      <c r="S149" s="4" t="s">
        <v>1568</v>
      </c>
    </row>
    <row r="150">
      <c r="A150" s="67" t="str">
        <f t="shared" si="1"/>
        <v>Wed</v>
      </c>
      <c r="B150" s="69">
        <v>43579.0</v>
      </c>
      <c r="H150" s="4" t="s">
        <v>1565</v>
      </c>
    </row>
    <row r="151">
      <c r="A151" s="67" t="str">
        <f t="shared" si="1"/>
        <v>Thu</v>
      </c>
      <c r="B151" s="69">
        <v>43580.0</v>
      </c>
      <c r="D151" s="161">
        <v>229.5666666666667</v>
      </c>
      <c r="E151" s="4" t="s">
        <v>222</v>
      </c>
      <c r="F151" s="4" t="s">
        <v>1570</v>
      </c>
      <c r="G151" s="4" t="s">
        <v>1570</v>
      </c>
      <c r="I151" s="4" t="s">
        <v>224</v>
      </c>
      <c r="J151" s="4"/>
      <c r="K151" s="4" t="s">
        <v>231</v>
      </c>
      <c r="L151" s="4" t="s">
        <v>225</v>
      </c>
      <c r="M151" s="4" t="s">
        <v>226</v>
      </c>
      <c r="N151" s="4" t="s">
        <v>232</v>
      </c>
      <c r="O151" s="4" t="s">
        <v>264</v>
      </c>
      <c r="R151" s="4" t="s">
        <v>1572</v>
      </c>
    </row>
    <row r="152">
      <c r="A152" s="67" t="str">
        <f t="shared" si="1"/>
        <v>Fri</v>
      </c>
      <c r="B152" s="69">
        <v>43581.0</v>
      </c>
      <c r="D152" s="161">
        <v>229.5666666666667</v>
      </c>
      <c r="E152" s="4" t="s">
        <v>222</v>
      </c>
      <c r="F152" s="4" t="s">
        <v>1570</v>
      </c>
      <c r="G152" s="4"/>
      <c r="I152" s="4" t="s">
        <v>224</v>
      </c>
      <c r="M152" s="4"/>
      <c r="N152" s="4"/>
      <c r="O152" s="4"/>
    </row>
    <row r="153">
      <c r="A153" s="67" t="str">
        <f t="shared" si="1"/>
        <v>Sat</v>
      </c>
      <c r="B153" s="69">
        <v>43582.0</v>
      </c>
      <c r="D153" s="161">
        <v>229.5666666666667</v>
      </c>
      <c r="E153" s="4" t="s">
        <v>222</v>
      </c>
      <c r="F153" s="4" t="s">
        <v>1570</v>
      </c>
      <c r="H153" s="4"/>
      <c r="I153" s="4" t="s">
        <v>224</v>
      </c>
      <c r="J153" s="4"/>
    </row>
    <row r="154">
      <c r="A154" s="67" t="str">
        <f t="shared" si="1"/>
        <v>Sun</v>
      </c>
      <c r="B154" s="69">
        <v>43583.0</v>
      </c>
      <c r="D154" s="4">
        <v>174.6</v>
      </c>
      <c r="E154" s="4" t="s">
        <v>222</v>
      </c>
      <c r="F154" s="4" t="s">
        <v>1570</v>
      </c>
      <c r="G154" s="4"/>
      <c r="I154" s="4" t="s">
        <v>224</v>
      </c>
      <c r="N154" s="4"/>
      <c r="O154" s="4"/>
    </row>
    <row r="155">
      <c r="A155" s="67" t="str">
        <f t="shared" si="1"/>
        <v>Mon</v>
      </c>
      <c r="B155" s="69">
        <v>43584.0</v>
      </c>
      <c r="D155" s="161">
        <v>247.35</v>
      </c>
      <c r="E155" s="4" t="s">
        <v>222</v>
      </c>
      <c r="F155" s="4" t="s">
        <v>1578</v>
      </c>
      <c r="G155" s="4" t="s">
        <v>1578</v>
      </c>
      <c r="H155" s="4" t="s">
        <v>1570</v>
      </c>
      <c r="I155" s="4" t="s">
        <v>224</v>
      </c>
      <c r="K155" s="4" t="s">
        <v>231</v>
      </c>
      <c r="L155" s="4" t="s">
        <v>225</v>
      </c>
      <c r="M155" s="4" t="s">
        <v>226</v>
      </c>
      <c r="N155" s="4" t="s">
        <v>232</v>
      </c>
      <c r="O155" s="4" t="s">
        <v>264</v>
      </c>
      <c r="R155" s="4" t="s">
        <v>1579</v>
      </c>
    </row>
    <row r="156">
      <c r="A156" s="67" t="str">
        <f t="shared" si="1"/>
        <v>Tue</v>
      </c>
      <c r="B156" s="69">
        <v>43585.0</v>
      </c>
      <c r="D156" s="161">
        <v>247.35</v>
      </c>
      <c r="E156" s="4" t="s">
        <v>222</v>
      </c>
      <c r="F156" s="4" t="s">
        <v>1578</v>
      </c>
      <c r="I156" s="4" t="s">
        <v>224</v>
      </c>
    </row>
    <row r="157">
      <c r="A157" s="67" t="str">
        <f t="shared" si="1"/>
        <v>Wed</v>
      </c>
      <c r="B157" s="69">
        <v>43586.0</v>
      </c>
      <c r="D157" s="161">
        <v>194.0</v>
      </c>
      <c r="E157" s="4" t="s">
        <v>222</v>
      </c>
      <c r="F157" s="4" t="s">
        <v>1580</v>
      </c>
      <c r="G157" s="4" t="s">
        <v>1580</v>
      </c>
      <c r="H157" s="4" t="s">
        <v>1578</v>
      </c>
      <c r="I157" s="4" t="s">
        <v>224</v>
      </c>
      <c r="K157" s="4" t="s">
        <v>231</v>
      </c>
      <c r="L157" s="4" t="s">
        <v>225</v>
      </c>
      <c r="M157" s="4" t="s">
        <v>226</v>
      </c>
      <c r="N157" s="4" t="s">
        <v>232</v>
      </c>
      <c r="O157" s="4" t="s">
        <v>264</v>
      </c>
      <c r="R157" s="4" t="s">
        <v>1581</v>
      </c>
    </row>
    <row r="158">
      <c r="A158" s="67" t="str">
        <f t="shared" si="1"/>
        <v>Thu</v>
      </c>
      <c r="B158" s="69">
        <v>43587.0</v>
      </c>
      <c r="D158" s="161">
        <v>194.0</v>
      </c>
      <c r="E158" s="4" t="s">
        <v>222</v>
      </c>
      <c r="F158" s="4" t="s">
        <v>1580</v>
      </c>
      <c r="I158" s="4" t="s">
        <v>224</v>
      </c>
    </row>
    <row r="159">
      <c r="A159" s="67" t="str">
        <f t="shared" si="1"/>
        <v>Fri</v>
      </c>
      <c r="B159" s="69">
        <v>43588.0</v>
      </c>
      <c r="D159" s="161">
        <v>194.0</v>
      </c>
      <c r="E159" s="4" t="s">
        <v>222</v>
      </c>
      <c r="F159" s="4" t="s">
        <v>1580</v>
      </c>
      <c r="I159" s="4" t="s">
        <v>224</v>
      </c>
    </row>
    <row r="160">
      <c r="A160" s="67" t="str">
        <f t="shared" si="1"/>
        <v>Sat</v>
      </c>
      <c r="B160" s="69">
        <v>43589.0</v>
      </c>
      <c r="D160" s="161">
        <v>194.0</v>
      </c>
      <c r="E160" s="4" t="s">
        <v>222</v>
      </c>
      <c r="F160" s="4" t="s">
        <v>1580</v>
      </c>
      <c r="I160" s="4" t="s">
        <v>224</v>
      </c>
    </row>
    <row r="161">
      <c r="A161" s="67" t="str">
        <f t="shared" si="1"/>
        <v>Sun</v>
      </c>
      <c r="B161" s="69">
        <v>43590.0</v>
      </c>
      <c r="D161" s="161">
        <v>194.0</v>
      </c>
      <c r="E161" s="4" t="s">
        <v>222</v>
      </c>
      <c r="F161" s="4" t="s">
        <v>1580</v>
      </c>
      <c r="I161" s="4" t="s">
        <v>224</v>
      </c>
    </row>
    <row r="162">
      <c r="A162" s="67" t="str">
        <f t="shared" si="1"/>
        <v>Mon</v>
      </c>
      <c r="B162" s="69">
        <v>43591.0</v>
      </c>
      <c r="D162" s="4">
        <v>350.0</v>
      </c>
      <c r="E162" s="4" t="s">
        <v>337</v>
      </c>
      <c r="F162" s="4" t="s">
        <v>1586</v>
      </c>
      <c r="G162" s="4" t="s">
        <v>1586</v>
      </c>
      <c r="H162" s="4" t="s">
        <v>1580</v>
      </c>
      <c r="I162" s="4" t="s">
        <v>359</v>
      </c>
      <c r="J162" s="4" t="s">
        <v>1587</v>
      </c>
      <c r="L162" s="4" t="s">
        <v>229</v>
      </c>
      <c r="M162" s="4"/>
      <c r="N162" s="4"/>
      <c r="O162" s="4"/>
    </row>
    <row r="163">
      <c r="A163" s="67" t="str">
        <f t="shared" si="1"/>
        <v>Tue</v>
      </c>
      <c r="B163" s="69">
        <v>43592.0</v>
      </c>
      <c r="D163" s="4">
        <v>350.0</v>
      </c>
      <c r="E163" s="4" t="s">
        <v>337</v>
      </c>
      <c r="F163" s="4" t="s">
        <v>1586</v>
      </c>
      <c r="I163" s="4" t="s">
        <v>359</v>
      </c>
      <c r="J163" s="4" t="s">
        <v>228</v>
      </c>
    </row>
    <row r="164">
      <c r="A164" s="67" t="str">
        <f t="shared" si="1"/>
        <v>Wed</v>
      </c>
      <c r="B164" s="69">
        <v>43593.0</v>
      </c>
      <c r="F164" s="4"/>
      <c r="G164" s="4"/>
      <c r="H164" s="4" t="s">
        <v>1586</v>
      </c>
      <c r="N164" s="4"/>
      <c r="O164" s="4"/>
    </row>
    <row r="165">
      <c r="A165" s="67" t="str">
        <f t="shared" si="1"/>
        <v>Thu</v>
      </c>
      <c r="B165" s="69">
        <v>43594.0</v>
      </c>
      <c r="F165" s="4"/>
    </row>
    <row r="166">
      <c r="A166" s="67" t="str">
        <f t="shared" si="1"/>
        <v>Fri</v>
      </c>
      <c r="B166" s="69">
        <v>43595.0</v>
      </c>
      <c r="D166" s="4">
        <v>291.0</v>
      </c>
      <c r="E166" s="231" t="s">
        <v>222</v>
      </c>
      <c r="F166" s="4" t="s">
        <v>1595</v>
      </c>
      <c r="G166" s="4" t="s">
        <v>1595</v>
      </c>
      <c r="I166" s="4" t="s">
        <v>224</v>
      </c>
      <c r="J166" s="4" t="s">
        <v>1596</v>
      </c>
      <c r="K166" s="4" t="s">
        <v>231</v>
      </c>
      <c r="L166" s="4" t="s">
        <v>225</v>
      </c>
      <c r="M166" s="4" t="s">
        <v>226</v>
      </c>
      <c r="N166" s="4" t="s">
        <v>232</v>
      </c>
      <c r="R166" s="4" t="s">
        <v>1597</v>
      </c>
    </row>
    <row r="167">
      <c r="A167" s="67" t="str">
        <f t="shared" si="1"/>
        <v>Sat</v>
      </c>
      <c r="B167" s="69">
        <v>43596.0</v>
      </c>
      <c r="D167" s="4">
        <v>291.0</v>
      </c>
      <c r="E167" s="231" t="s">
        <v>222</v>
      </c>
      <c r="F167" s="4" t="s">
        <v>1595</v>
      </c>
      <c r="I167" s="4" t="s">
        <v>224</v>
      </c>
    </row>
    <row r="168">
      <c r="A168" s="67" t="str">
        <f t="shared" si="1"/>
        <v>Sun</v>
      </c>
      <c r="B168" s="69">
        <v>43597.0</v>
      </c>
      <c r="F168" s="4"/>
      <c r="H168" s="4" t="s">
        <v>1595</v>
      </c>
    </row>
    <row r="169">
      <c r="A169" s="67" t="str">
        <f t="shared" si="1"/>
        <v>Mon</v>
      </c>
      <c r="B169" s="69">
        <v>43598.0</v>
      </c>
      <c r="F169" s="4"/>
      <c r="G169" s="4"/>
      <c r="H169" s="4"/>
      <c r="N169" s="4"/>
      <c r="O169" s="4"/>
    </row>
    <row r="170">
      <c r="A170" s="67" t="str">
        <f t="shared" si="1"/>
        <v>Tue</v>
      </c>
      <c r="B170" s="69">
        <v>43599.0</v>
      </c>
      <c r="F170" s="4"/>
    </row>
    <row r="171">
      <c r="A171" s="67" t="str">
        <f t="shared" si="1"/>
        <v>Wed</v>
      </c>
      <c r="B171" s="69">
        <v>43600.0</v>
      </c>
      <c r="F171" s="4"/>
      <c r="G171" s="4"/>
      <c r="H171" s="4"/>
      <c r="N171" s="4"/>
      <c r="O171" s="4"/>
    </row>
    <row r="172">
      <c r="A172" s="67" t="str">
        <f t="shared" si="1"/>
        <v>Thu</v>
      </c>
      <c r="B172" s="69">
        <v>43601.0</v>
      </c>
      <c r="D172" s="4">
        <v>218.25</v>
      </c>
      <c r="E172" s="4" t="s">
        <v>222</v>
      </c>
      <c r="F172" s="6" t="s">
        <v>1600</v>
      </c>
      <c r="G172" s="6" t="s">
        <v>1600</v>
      </c>
      <c r="I172" s="4" t="s">
        <v>1333</v>
      </c>
      <c r="J172" s="4" t="s">
        <v>228</v>
      </c>
      <c r="K172" s="4" t="s">
        <v>231</v>
      </c>
      <c r="L172" s="4" t="s">
        <v>225</v>
      </c>
      <c r="M172" s="4" t="s">
        <v>226</v>
      </c>
      <c r="N172" s="4" t="s">
        <v>232</v>
      </c>
      <c r="O172" s="4" t="s">
        <v>264</v>
      </c>
      <c r="Q172" s="4" t="s">
        <v>1604</v>
      </c>
      <c r="R172" s="4" t="s">
        <v>1605</v>
      </c>
      <c r="S172" s="6" t="s">
        <v>1606</v>
      </c>
    </row>
    <row r="173">
      <c r="A173" s="67" t="str">
        <f t="shared" si="1"/>
        <v>Fri</v>
      </c>
      <c r="B173" s="69">
        <v>43602.0</v>
      </c>
      <c r="D173" s="161">
        <v>242.5</v>
      </c>
      <c r="E173" s="4" t="s">
        <v>222</v>
      </c>
      <c r="F173" s="6" t="s">
        <v>1607</v>
      </c>
      <c r="G173" s="6" t="s">
        <v>1607</v>
      </c>
      <c r="H173" s="6" t="s">
        <v>1600</v>
      </c>
      <c r="I173" s="4" t="s">
        <v>224</v>
      </c>
      <c r="K173" s="4" t="s">
        <v>231</v>
      </c>
      <c r="L173" s="4" t="s">
        <v>225</v>
      </c>
      <c r="M173" s="6" t="s">
        <v>1609</v>
      </c>
      <c r="R173" s="4" t="s">
        <v>1610</v>
      </c>
      <c r="S173" s="4">
        <v>2.87810496E9</v>
      </c>
    </row>
    <row r="174">
      <c r="A174" s="67" t="str">
        <f t="shared" si="1"/>
        <v>Sat</v>
      </c>
      <c r="B174" s="69">
        <v>43603.0</v>
      </c>
      <c r="D174" s="161">
        <v>242.5</v>
      </c>
      <c r="E174" s="4" t="s">
        <v>222</v>
      </c>
      <c r="F174" s="6" t="s">
        <v>1607</v>
      </c>
      <c r="I174" s="4" t="s">
        <v>224</v>
      </c>
    </row>
    <row r="175">
      <c r="A175" s="67" t="str">
        <f t="shared" si="1"/>
        <v>Sun</v>
      </c>
      <c r="B175" s="69">
        <v>43604.0</v>
      </c>
    </row>
    <row r="176">
      <c r="A176" s="67" t="str">
        <f t="shared" si="1"/>
        <v>Mon</v>
      </c>
      <c r="B176" s="69">
        <v>43605.0</v>
      </c>
    </row>
    <row r="177">
      <c r="A177" s="67" t="str">
        <f t="shared" si="1"/>
        <v>Tue</v>
      </c>
      <c r="B177" s="69">
        <v>43606.0</v>
      </c>
    </row>
    <row r="178">
      <c r="A178" s="67" t="str">
        <f t="shared" si="1"/>
        <v>Wed</v>
      </c>
      <c r="B178" s="69">
        <v>43607.0</v>
      </c>
      <c r="F178" s="4"/>
      <c r="G178" s="4"/>
      <c r="N178" s="4"/>
      <c r="O178" s="4"/>
    </row>
    <row r="179">
      <c r="A179" s="67" t="str">
        <f t="shared" si="1"/>
        <v>Thu</v>
      </c>
      <c r="B179" s="69">
        <v>43608.0</v>
      </c>
      <c r="F179" s="4"/>
    </row>
    <row r="180">
      <c r="A180" s="67" t="str">
        <f t="shared" si="1"/>
        <v>Fri</v>
      </c>
      <c r="B180" s="69">
        <v>43609.0</v>
      </c>
      <c r="D180" s="4">
        <v>530.0</v>
      </c>
      <c r="E180" s="4" t="s">
        <v>337</v>
      </c>
      <c r="F180" s="4" t="s">
        <v>1615</v>
      </c>
      <c r="G180" s="4" t="s">
        <v>1615</v>
      </c>
      <c r="H180" s="4"/>
      <c r="I180" s="4" t="s">
        <v>224</v>
      </c>
      <c r="J180" s="4" t="s">
        <v>1616</v>
      </c>
      <c r="K180" s="4" t="s">
        <v>231</v>
      </c>
      <c r="L180" s="4" t="s">
        <v>225</v>
      </c>
      <c r="M180" s="4" t="s">
        <v>226</v>
      </c>
      <c r="N180" s="4" t="s">
        <v>232</v>
      </c>
      <c r="O180" s="4" t="s">
        <v>264</v>
      </c>
      <c r="Q180" s="4" t="s">
        <v>1617</v>
      </c>
      <c r="R180" s="4" t="s">
        <v>1618</v>
      </c>
      <c r="S180" s="4" t="s">
        <v>1619</v>
      </c>
    </row>
    <row r="181">
      <c r="A181" s="67" t="str">
        <f t="shared" si="1"/>
        <v>Sat</v>
      </c>
      <c r="B181" s="69">
        <v>43610.0</v>
      </c>
      <c r="D181" s="4">
        <v>530.0</v>
      </c>
      <c r="E181" s="4" t="s">
        <v>337</v>
      </c>
      <c r="F181" s="4" t="s">
        <v>1615</v>
      </c>
      <c r="I181" s="4" t="s">
        <v>224</v>
      </c>
    </row>
    <row r="182">
      <c r="A182" s="67" t="str">
        <f t="shared" si="1"/>
        <v>Sun</v>
      </c>
      <c r="B182" s="69">
        <v>43611.0</v>
      </c>
      <c r="D182" s="4">
        <v>218.25</v>
      </c>
      <c r="E182" s="4" t="s">
        <v>222</v>
      </c>
      <c r="F182" s="4" t="s">
        <v>1624</v>
      </c>
      <c r="G182" s="4" t="s">
        <v>1624</v>
      </c>
      <c r="H182" s="4" t="s">
        <v>1615</v>
      </c>
      <c r="I182" s="4" t="s">
        <v>224</v>
      </c>
      <c r="J182" s="4" t="s">
        <v>228</v>
      </c>
      <c r="K182" s="4" t="s">
        <v>231</v>
      </c>
      <c r="L182" s="4" t="s">
        <v>225</v>
      </c>
      <c r="M182" s="4" t="s">
        <v>226</v>
      </c>
      <c r="N182" s="4"/>
      <c r="O182" s="4"/>
      <c r="R182" s="4" t="s">
        <v>1625</v>
      </c>
    </row>
    <row r="183">
      <c r="A183" s="67" t="str">
        <f t="shared" si="1"/>
        <v>Mon</v>
      </c>
      <c r="B183" s="69">
        <v>43612.0</v>
      </c>
      <c r="F183" s="4"/>
      <c r="G183" s="4"/>
      <c r="H183" s="4" t="s">
        <v>1624</v>
      </c>
      <c r="J183" s="4" t="s">
        <v>228</v>
      </c>
      <c r="L183" s="4" t="s">
        <v>229</v>
      </c>
      <c r="M183" s="4"/>
      <c r="N183" s="4"/>
      <c r="O183" s="4"/>
    </row>
    <row r="184">
      <c r="A184" s="67" t="str">
        <f t="shared" si="1"/>
        <v>Tue</v>
      </c>
      <c r="B184" s="69">
        <v>43613.0</v>
      </c>
      <c r="F184" s="4"/>
      <c r="H184" s="4"/>
      <c r="J184" s="4" t="s">
        <v>228</v>
      </c>
    </row>
    <row r="185">
      <c r="A185" s="67" t="str">
        <f t="shared" si="1"/>
        <v>Wed</v>
      </c>
      <c r="B185" s="69">
        <v>43614.0</v>
      </c>
      <c r="F185" s="4"/>
      <c r="G185" s="4"/>
      <c r="H185" s="4"/>
      <c r="J185" s="4" t="s">
        <v>422</v>
      </c>
      <c r="L185" s="4" t="s">
        <v>229</v>
      </c>
      <c r="M185" s="4"/>
      <c r="N185" s="4"/>
      <c r="O185" s="4"/>
    </row>
    <row r="186">
      <c r="A186" s="67" t="str">
        <f t="shared" si="1"/>
        <v>Thu</v>
      </c>
      <c r="B186" s="69">
        <v>43615.0</v>
      </c>
      <c r="D186" s="161">
        <v>242.5</v>
      </c>
      <c r="E186" s="4" t="s">
        <v>222</v>
      </c>
      <c r="F186" s="4" t="s">
        <v>1626</v>
      </c>
      <c r="G186" s="4" t="s">
        <v>1626</v>
      </c>
      <c r="H186" s="4"/>
      <c r="I186" s="4" t="s">
        <v>224</v>
      </c>
      <c r="J186" s="4" t="s">
        <v>1628</v>
      </c>
      <c r="K186" s="4" t="s">
        <v>231</v>
      </c>
      <c r="L186" s="4" t="s">
        <v>225</v>
      </c>
      <c r="M186" s="4" t="s">
        <v>1633</v>
      </c>
      <c r="N186" s="4" t="s">
        <v>232</v>
      </c>
      <c r="O186" s="4" t="s">
        <v>264</v>
      </c>
      <c r="Q186" s="4" t="s">
        <v>1634</v>
      </c>
      <c r="R186" s="4" t="s">
        <v>1635</v>
      </c>
      <c r="S186" s="4" t="s">
        <v>1636</v>
      </c>
    </row>
    <row r="187">
      <c r="A187" s="67" t="str">
        <f t="shared" si="1"/>
        <v>Fri</v>
      </c>
      <c r="B187" s="69">
        <v>43616.0</v>
      </c>
      <c r="D187" s="161">
        <v>242.5</v>
      </c>
      <c r="E187" s="4" t="s">
        <v>222</v>
      </c>
      <c r="F187" s="4" t="s">
        <v>1626</v>
      </c>
      <c r="I187" s="4" t="s">
        <v>224</v>
      </c>
    </row>
    <row r="188">
      <c r="A188" s="67" t="str">
        <f t="shared" si="1"/>
        <v>Sat</v>
      </c>
      <c r="B188" s="69">
        <v>43617.0</v>
      </c>
      <c r="D188" s="161">
        <v>242.5</v>
      </c>
      <c r="E188" s="4" t="s">
        <v>222</v>
      </c>
      <c r="F188" s="4" t="s">
        <v>1626</v>
      </c>
      <c r="I188" s="4" t="s">
        <v>224</v>
      </c>
    </row>
    <row r="189">
      <c r="A189" s="67" t="str">
        <f t="shared" si="1"/>
        <v>Sun</v>
      </c>
      <c r="B189" s="69">
        <v>43618.0</v>
      </c>
      <c r="H189" s="4" t="s">
        <v>1626</v>
      </c>
    </row>
    <row r="190">
      <c r="A190" s="67" t="str">
        <f t="shared" si="1"/>
        <v>Mon</v>
      </c>
      <c r="B190" s="69">
        <v>43619.0</v>
      </c>
    </row>
    <row r="191">
      <c r="A191" s="67" t="str">
        <f t="shared" si="1"/>
        <v>Tue</v>
      </c>
      <c r="B191" s="69">
        <v>43620.0</v>
      </c>
    </row>
    <row r="192">
      <c r="A192" s="67" t="str">
        <f t="shared" si="1"/>
        <v>Wed</v>
      </c>
      <c r="B192" s="69">
        <v>43621.0</v>
      </c>
    </row>
    <row r="193">
      <c r="A193" s="67" t="str">
        <f t="shared" si="1"/>
        <v>Thu</v>
      </c>
      <c r="B193" s="69">
        <v>43622.0</v>
      </c>
    </row>
    <row r="194">
      <c r="A194" s="67" t="str">
        <f t="shared" si="1"/>
        <v>Fri</v>
      </c>
      <c r="B194" s="69">
        <v>43623.0</v>
      </c>
    </row>
    <row r="195">
      <c r="A195" s="67" t="str">
        <f t="shared" si="1"/>
        <v>Sat</v>
      </c>
      <c r="B195" s="69">
        <v>43624.0</v>
      </c>
    </row>
    <row r="196">
      <c r="A196" s="67" t="str">
        <f t="shared" si="1"/>
        <v>Sun</v>
      </c>
      <c r="B196" s="69">
        <v>43625.0</v>
      </c>
    </row>
    <row r="197">
      <c r="A197" s="67" t="str">
        <f t="shared" si="1"/>
        <v>Mon</v>
      </c>
      <c r="B197" s="69">
        <v>43626.0</v>
      </c>
    </row>
    <row r="198">
      <c r="A198" s="67" t="str">
        <f t="shared" si="1"/>
        <v>Tue</v>
      </c>
      <c r="B198" s="69">
        <v>43627.0</v>
      </c>
    </row>
    <row r="199">
      <c r="A199" s="67" t="str">
        <f t="shared" si="1"/>
        <v>Wed</v>
      </c>
      <c r="B199" s="69">
        <v>43628.0</v>
      </c>
    </row>
    <row r="200">
      <c r="A200" s="67" t="str">
        <f t="shared" si="1"/>
        <v>Thu</v>
      </c>
      <c r="B200" s="69">
        <v>43629.0</v>
      </c>
    </row>
    <row r="201">
      <c r="A201" s="67" t="str">
        <f t="shared" si="1"/>
        <v>Fri</v>
      </c>
      <c r="B201" s="69">
        <v>43630.0</v>
      </c>
    </row>
    <row r="202">
      <c r="A202" s="67" t="str">
        <f t="shared" si="1"/>
        <v>Sat</v>
      </c>
      <c r="B202" s="69">
        <v>43631.0</v>
      </c>
    </row>
    <row r="203">
      <c r="A203" s="67" t="str">
        <f t="shared" si="1"/>
        <v>Sun</v>
      </c>
      <c r="B203" s="69">
        <v>43632.0</v>
      </c>
    </row>
    <row r="204">
      <c r="A204" s="67" t="str">
        <f t="shared" si="1"/>
        <v>Mon</v>
      </c>
      <c r="B204" s="69">
        <v>43633.0</v>
      </c>
    </row>
    <row r="205">
      <c r="A205" s="67" t="str">
        <f t="shared" si="1"/>
        <v>Tue</v>
      </c>
      <c r="B205" s="69">
        <v>43634.0</v>
      </c>
    </row>
    <row r="206">
      <c r="A206" s="67" t="str">
        <f t="shared" si="1"/>
        <v>Wed</v>
      </c>
      <c r="B206" s="69">
        <v>43635.0</v>
      </c>
    </row>
    <row r="207">
      <c r="A207" s="67" t="str">
        <f t="shared" si="1"/>
        <v>Thu</v>
      </c>
      <c r="B207" s="69">
        <v>43636.0</v>
      </c>
    </row>
    <row r="208">
      <c r="A208" s="67" t="str">
        <f t="shared" si="1"/>
        <v>Fri</v>
      </c>
      <c r="B208" s="69">
        <v>43637.0</v>
      </c>
    </row>
    <row r="209">
      <c r="A209" s="67" t="str">
        <f t="shared" si="1"/>
        <v>Sat</v>
      </c>
      <c r="B209" s="69">
        <v>43638.0</v>
      </c>
    </row>
    <row r="210">
      <c r="A210" s="67" t="str">
        <f t="shared" si="1"/>
        <v>Sun</v>
      </c>
      <c r="B210" s="69">
        <v>43639.0</v>
      </c>
    </row>
    <row r="211">
      <c r="A211" s="67" t="str">
        <f t="shared" si="1"/>
        <v>Mon</v>
      </c>
      <c r="B211" s="69">
        <v>43640.0</v>
      </c>
    </row>
    <row r="212">
      <c r="A212" s="67" t="str">
        <f t="shared" si="1"/>
        <v>Tue</v>
      </c>
      <c r="B212" s="69">
        <v>43641.0</v>
      </c>
    </row>
    <row r="213">
      <c r="A213" s="67" t="str">
        <f t="shared" si="1"/>
        <v>Wed</v>
      </c>
      <c r="B213" s="69">
        <v>43642.0</v>
      </c>
    </row>
    <row r="214">
      <c r="A214" s="67" t="str">
        <f t="shared" si="1"/>
        <v>Thu</v>
      </c>
      <c r="B214" s="69">
        <v>43643.0</v>
      </c>
    </row>
    <row r="215">
      <c r="A215" s="67" t="str">
        <f t="shared" si="1"/>
        <v>Fri</v>
      </c>
      <c r="B215" s="69">
        <v>43644.0</v>
      </c>
    </row>
    <row r="216">
      <c r="A216" s="67" t="str">
        <f t="shared" si="1"/>
        <v>Sat</v>
      </c>
      <c r="B216" s="69">
        <v>43645.0</v>
      </c>
    </row>
    <row r="217">
      <c r="A217" s="67" t="str">
        <f t="shared" si="1"/>
        <v>Sun</v>
      </c>
      <c r="B217" s="69">
        <v>43646.0</v>
      </c>
    </row>
    <row r="218">
      <c r="A218" s="67" t="str">
        <f t="shared" si="1"/>
        <v>Mon</v>
      </c>
      <c r="B218" s="69">
        <v>43647.0</v>
      </c>
    </row>
    <row r="219">
      <c r="A219" s="67" t="str">
        <f t="shared" si="1"/>
        <v>Tue</v>
      </c>
      <c r="B219" s="69">
        <v>43648.0</v>
      </c>
    </row>
    <row r="220">
      <c r="A220" s="67" t="str">
        <f t="shared" si="1"/>
        <v>Wed</v>
      </c>
      <c r="B220" s="69">
        <v>43649.0</v>
      </c>
    </row>
    <row r="221">
      <c r="A221" s="67" t="str">
        <f t="shared" si="1"/>
        <v>Thu</v>
      </c>
      <c r="B221" s="69">
        <v>43650.0</v>
      </c>
    </row>
    <row r="222">
      <c r="A222" s="67" t="str">
        <f t="shared" si="1"/>
        <v>Fri</v>
      </c>
      <c r="B222" s="69">
        <v>43651.0</v>
      </c>
    </row>
    <row r="223">
      <c r="A223" s="67" t="str">
        <f t="shared" si="1"/>
        <v>Sat</v>
      </c>
      <c r="B223" s="69">
        <v>43652.0</v>
      </c>
    </row>
    <row r="224">
      <c r="A224" s="67" t="str">
        <f t="shared" si="1"/>
        <v>Sun</v>
      </c>
      <c r="B224" s="69">
        <v>43653.0</v>
      </c>
    </row>
    <row r="225">
      <c r="A225" s="67" t="str">
        <f t="shared" si="1"/>
        <v>Mon</v>
      </c>
      <c r="B225" s="69">
        <v>43654.0</v>
      </c>
    </row>
    <row r="226">
      <c r="A226" s="67" t="str">
        <f t="shared" si="1"/>
        <v>Tue</v>
      </c>
      <c r="B226" s="69">
        <v>43655.0</v>
      </c>
    </row>
    <row r="227">
      <c r="A227" s="67" t="str">
        <f t="shared" si="1"/>
        <v>Wed</v>
      </c>
      <c r="B227" s="69">
        <v>43656.0</v>
      </c>
    </row>
    <row r="228">
      <c r="A228" s="67" t="str">
        <f t="shared" si="1"/>
        <v>Thu</v>
      </c>
      <c r="B228" s="69">
        <v>43657.0</v>
      </c>
    </row>
    <row r="229">
      <c r="A229" s="67" t="str">
        <f t="shared" si="1"/>
        <v>Fri</v>
      </c>
      <c r="B229" s="69">
        <v>43658.0</v>
      </c>
    </row>
    <row r="230">
      <c r="A230" s="67" t="str">
        <f t="shared" si="1"/>
        <v>Sat</v>
      </c>
      <c r="B230" s="69">
        <v>43659.0</v>
      </c>
    </row>
    <row r="231">
      <c r="A231" s="67" t="str">
        <f t="shared" si="1"/>
        <v>Sun</v>
      </c>
      <c r="B231" s="69">
        <v>43660.0</v>
      </c>
    </row>
    <row r="232">
      <c r="A232" s="67" t="str">
        <f t="shared" si="1"/>
        <v>Mon</v>
      </c>
      <c r="B232" s="69">
        <v>43661.0</v>
      </c>
    </row>
    <row r="233">
      <c r="A233" s="67" t="str">
        <f t="shared" si="1"/>
        <v>Tue</v>
      </c>
      <c r="B233" s="69">
        <v>43662.0</v>
      </c>
    </row>
    <row r="234">
      <c r="A234" s="67" t="str">
        <f t="shared" si="1"/>
        <v>Wed</v>
      </c>
      <c r="B234" s="69">
        <v>43663.0</v>
      </c>
    </row>
    <row r="235">
      <c r="A235" s="67" t="str">
        <f t="shared" si="1"/>
        <v>Thu</v>
      </c>
      <c r="B235" s="69">
        <v>43664.0</v>
      </c>
    </row>
    <row r="236">
      <c r="A236" s="67" t="str">
        <f t="shared" si="1"/>
        <v>Fri</v>
      </c>
      <c r="B236" s="69">
        <v>43665.0</v>
      </c>
    </row>
    <row r="237">
      <c r="A237" s="67" t="str">
        <f t="shared" si="1"/>
        <v>Sat</v>
      </c>
      <c r="B237" s="69">
        <v>43666.0</v>
      </c>
    </row>
    <row r="238">
      <c r="A238" s="67" t="str">
        <f t="shared" si="1"/>
        <v>Sun</v>
      </c>
      <c r="B238" s="69">
        <v>43667.0</v>
      </c>
    </row>
    <row r="239">
      <c r="A239" s="67" t="str">
        <f t="shared" si="1"/>
        <v>Mon</v>
      </c>
      <c r="B239" s="69">
        <v>43668.0</v>
      </c>
    </row>
    <row r="240">
      <c r="A240" s="67" t="str">
        <f t="shared" si="1"/>
        <v>Tue</v>
      </c>
      <c r="B240" s="69">
        <v>43669.0</v>
      </c>
    </row>
    <row r="241">
      <c r="A241" s="67" t="str">
        <f t="shared" si="1"/>
        <v>Wed</v>
      </c>
      <c r="B241" s="69">
        <v>43670.0</v>
      </c>
    </row>
    <row r="242">
      <c r="A242" s="67" t="str">
        <f t="shared" si="1"/>
        <v>Thu</v>
      </c>
      <c r="B242" s="69">
        <v>43671.0</v>
      </c>
    </row>
    <row r="243">
      <c r="A243" s="67" t="str">
        <f t="shared" si="1"/>
        <v>Fri</v>
      </c>
      <c r="B243" s="69">
        <v>43672.0</v>
      </c>
    </row>
    <row r="244">
      <c r="A244" s="67" t="str">
        <f t="shared" si="1"/>
        <v>Sat</v>
      </c>
      <c r="B244" s="69">
        <v>43673.0</v>
      </c>
    </row>
    <row r="245">
      <c r="A245" s="67" t="str">
        <f t="shared" si="1"/>
        <v>Sun</v>
      </c>
      <c r="B245" s="69">
        <v>43674.0</v>
      </c>
    </row>
    <row r="246">
      <c r="A246" s="67" t="str">
        <f t="shared" si="1"/>
        <v>Mon</v>
      </c>
      <c r="B246" s="69">
        <v>43675.0</v>
      </c>
    </row>
    <row r="247">
      <c r="A247" s="67" t="str">
        <f t="shared" si="1"/>
        <v>Tue</v>
      </c>
      <c r="B247" s="69">
        <v>43676.0</v>
      </c>
    </row>
    <row r="248">
      <c r="A248" s="67" t="str">
        <f t="shared" si="1"/>
        <v>Wed</v>
      </c>
      <c r="B248" s="69">
        <v>43677.0</v>
      </c>
    </row>
    <row r="249">
      <c r="A249" s="67" t="str">
        <f t="shared" si="1"/>
        <v>Thu</v>
      </c>
      <c r="B249" s="69">
        <v>43678.0</v>
      </c>
    </row>
    <row r="250">
      <c r="A250" s="67" t="str">
        <f t="shared" si="1"/>
        <v>Fri</v>
      </c>
      <c r="B250" s="69">
        <v>43679.0</v>
      </c>
    </row>
    <row r="251">
      <c r="A251" s="67" t="str">
        <f t="shared" si="1"/>
        <v>Sat</v>
      </c>
      <c r="B251" s="69">
        <v>43680.0</v>
      </c>
    </row>
    <row r="252">
      <c r="A252" s="67" t="str">
        <f t="shared" si="1"/>
        <v>Sun</v>
      </c>
      <c r="B252" s="69">
        <v>43681.0</v>
      </c>
    </row>
    <row r="253">
      <c r="A253" s="67" t="str">
        <f t="shared" si="1"/>
        <v>Mon</v>
      </c>
      <c r="B253" s="69">
        <v>43682.0</v>
      </c>
    </row>
    <row r="254">
      <c r="A254" s="67" t="str">
        <f t="shared" si="1"/>
        <v>Tue</v>
      </c>
      <c r="B254" s="69">
        <v>43683.0</v>
      </c>
    </row>
    <row r="255">
      <c r="A255" s="67" t="str">
        <f t="shared" si="1"/>
        <v>Wed</v>
      </c>
      <c r="B255" s="69">
        <v>43684.0</v>
      </c>
    </row>
    <row r="256">
      <c r="A256" s="67" t="str">
        <f t="shared" si="1"/>
        <v>Thu</v>
      </c>
      <c r="B256" s="69">
        <v>43685.0</v>
      </c>
    </row>
    <row r="257">
      <c r="A257" s="67" t="str">
        <f t="shared" si="1"/>
        <v>Fri</v>
      </c>
      <c r="B257" s="69">
        <v>43686.0</v>
      </c>
    </row>
    <row r="258">
      <c r="A258" s="67" t="str">
        <f t="shared" si="1"/>
        <v>Sat</v>
      </c>
      <c r="B258" s="69">
        <v>43687.0</v>
      </c>
    </row>
    <row r="259">
      <c r="A259" s="67" t="str">
        <f t="shared" si="1"/>
        <v>Sun</v>
      </c>
      <c r="B259" s="69">
        <v>43688.0</v>
      </c>
    </row>
    <row r="260">
      <c r="A260" s="67" t="str">
        <f t="shared" si="1"/>
        <v>Mon</v>
      </c>
      <c r="B260" s="69">
        <v>43689.0</v>
      </c>
    </row>
    <row r="261">
      <c r="A261" s="67" t="str">
        <f t="shared" si="1"/>
        <v>Tue</v>
      </c>
      <c r="B261" s="69">
        <v>43690.0</v>
      </c>
    </row>
    <row r="262">
      <c r="A262" s="67" t="str">
        <f t="shared" si="1"/>
        <v>Wed</v>
      </c>
      <c r="B262" s="69">
        <v>43691.0</v>
      </c>
    </row>
    <row r="263">
      <c r="A263" s="67" t="str">
        <f t="shared" si="1"/>
        <v>Thu</v>
      </c>
      <c r="B263" s="69">
        <v>43692.0</v>
      </c>
    </row>
    <row r="264">
      <c r="A264" s="67" t="str">
        <f t="shared" si="1"/>
        <v>Fri</v>
      </c>
      <c r="B264" s="69">
        <v>43693.0</v>
      </c>
    </row>
    <row r="265">
      <c r="A265" s="67" t="str">
        <f t="shared" si="1"/>
        <v>Sat</v>
      </c>
      <c r="B265" s="69">
        <v>43694.0</v>
      </c>
    </row>
    <row r="266">
      <c r="A266" s="67" t="str">
        <f t="shared" si="1"/>
        <v>Sun</v>
      </c>
      <c r="B266" s="69">
        <v>43695.0</v>
      </c>
    </row>
    <row r="267">
      <c r="A267" s="67" t="str">
        <f t="shared" si="1"/>
        <v>Mon</v>
      </c>
      <c r="B267" s="69">
        <v>43696.0</v>
      </c>
    </row>
    <row r="268">
      <c r="A268" s="67" t="str">
        <f t="shared" si="1"/>
        <v>Tue</v>
      </c>
      <c r="B268" s="69">
        <v>43697.0</v>
      </c>
    </row>
    <row r="269">
      <c r="A269" s="67" t="str">
        <f t="shared" si="1"/>
        <v>Wed</v>
      </c>
      <c r="B269" s="69">
        <v>43698.0</v>
      </c>
    </row>
    <row r="270">
      <c r="A270" s="67" t="str">
        <f t="shared" si="1"/>
        <v>Thu</v>
      </c>
      <c r="B270" s="69">
        <v>43699.0</v>
      </c>
    </row>
    <row r="271">
      <c r="A271" s="67" t="str">
        <f t="shared" si="1"/>
        <v>Fri</v>
      </c>
      <c r="B271" s="69">
        <v>43700.0</v>
      </c>
    </row>
    <row r="272">
      <c r="A272" s="67" t="str">
        <f t="shared" si="1"/>
        <v>Sat</v>
      </c>
      <c r="B272" s="69">
        <v>43701.0</v>
      </c>
    </row>
    <row r="273">
      <c r="A273" s="67" t="str">
        <f t="shared" si="1"/>
        <v>Sun</v>
      </c>
      <c r="B273" s="69">
        <v>43702.0</v>
      </c>
    </row>
    <row r="274">
      <c r="A274" s="67" t="str">
        <f t="shared" si="1"/>
        <v>Mon</v>
      </c>
      <c r="B274" s="69">
        <v>43703.0</v>
      </c>
    </row>
    <row r="275">
      <c r="A275" s="67" t="str">
        <f t="shared" si="1"/>
        <v>Tue</v>
      </c>
      <c r="B275" s="69">
        <v>43704.0</v>
      </c>
    </row>
    <row r="276">
      <c r="A276" s="67" t="str">
        <f t="shared" si="1"/>
        <v>Wed</v>
      </c>
      <c r="B276" s="69">
        <v>43705.0</v>
      </c>
    </row>
    <row r="277">
      <c r="A277" s="67" t="str">
        <f t="shared" si="1"/>
        <v>Thu</v>
      </c>
      <c r="B277" s="69">
        <v>43706.0</v>
      </c>
    </row>
    <row r="278">
      <c r="A278" s="67" t="str">
        <f t="shared" si="1"/>
        <v>Fri</v>
      </c>
      <c r="B278" s="69">
        <v>43707.0</v>
      </c>
    </row>
    <row r="279">
      <c r="A279" s="67" t="str">
        <f t="shared" si="1"/>
        <v>Sat</v>
      </c>
      <c r="B279" s="69">
        <v>43708.0</v>
      </c>
    </row>
    <row r="280">
      <c r="A280" s="67" t="str">
        <f t="shared" si="1"/>
        <v>Sun</v>
      </c>
      <c r="B280" s="69">
        <v>43709.0</v>
      </c>
    </row>
    <row r="281">
      <c r="A281" s="67" t="str">
        <f t="shared" si="1"/>
        <v>Mon</v>
      </c>
      <c r="B281" s="69">
        <v>43710.0</v>
      </c>
    </row>
    <row r="282">
      <c r="A282" s="67" t="str">
        <f t="shared" si="1"/>
        <v>Tue</v>
      </c>
      <c r="B282" s="69">
        <v>43711.0</v>
      </c>
    </row>
    <row r="283">
      <c r="A283" s="67" t="str">
        <f t="shared" si="1"/>
        <v>Wed</v>
      </c>
      <c r="B283" s="69">
        <v>43712.0</v>
      </c>
    </row>
    <row r="284">
      <c r="A284" s="67" t="str">
        <f t="shared" si="1"/>
        <v>Thu</v>
      </c>
      <c r="B284" s="69">
        <v>43713.0</v>
      </c>
    </row>
    <row r="285">
      <c r="A285" s="67" t="str">
        <f t="shared" si="1"/>
        <v>Fri</v>
      </c>
      <c r="B285" s="69">
        <v>43714.0</v>
      </c>
    </row>
    <row r="286">
      <c r="A286" s="67" t="str">
        <f t="shared" si="1"/>
        <v>Sat</v>
      </c>
      <c r="B286" s="69">
        <v>43715.0</v>
      </c>
    </row>
    <row r="287">
      <c r="A287" s="67" t="str">
        <f t="shared" si="1"/>
        <v>Sun</v>
      </c>
      <c r="B287" s="69">
        <v>43716.0</v>
      </c>
    </row>
    <row r="288">
      <c r="A288" s="67" t="str">
        <f t="shared" si="1"/>
        <v>Mon</v>
      </c>
      <c r="B288" s="69">
        <v>43717.0</v>
      </c>
    </row>
    <row r="289">
      <c r="A289" s="67" t="str">
        <f t="shared" si="1"/>
        <v>Tue</v>
      </c>
      <c r="B289" s="69">
        <v>43718.0</v>
      </c>
    </row>
    <row r="290">
      <c r="A290" s="67" t="str">
        <f t="shared" si="1"/>
        <v>Wed</v>
      </c>
      <c r="B290" s="69">
        <v>43719.0</v>
      </c>
    </row>
    <row r="291">
      <c r="A291" s="67" t="str">
        <f t="shared" si="1"/>
        <v>Thu</v>
      </c>
      <c r="B291" s="69">
        <v>43720.0</v>
      </c>
    </row>
    <row r="292">
      <c r="A292" s="67" t="str">
        <f t="shared" si="1"/>
        <v>Fri</v>
      </c>
      <c r="B292" s="69">
        <v>43721.0</v>
      </c>
    </row>
    <row r="293">
      <c r="A293" s="67" t="str">
        <f t="shared" si="1"/>
        <v>Sat</v>
      </c>
      <c r="B293" s="69">
        <v>43722.0</v>
      </c>
    </row>
    <row r="294">
      <c r="A294" s="67" t="str">
        <f t="shared" si="1"/>
        <v>Sun</v>
      </c>
      <c r="B294" s="69">
        <v>43723.0</v>
      </c>
    </row>
    <row r="295">
      <c r="A295" s="67" t="str">
        <f t="shared" si="1"/>
        <v>Mon</v>
      </c>
      <c r="B295" s="69">
        <v>43724.0</v>
      </c>
    </row>
    <row r="296">
      <c r="A296" s="67" t="str">
        <f t="shared" si="1"/>
        <v>Tue</v>
      </c>
      <c r="B296" s="69">
        <v>43725.0</v>
      </c>
    </row>
    <row r="297">
      <c r="A297" s="67" t="str">
        <f t="shared" si="1"/>
        <v>Wed</v>
      </c>
      <c r="B297" s="69">
        <v>43726.0</v>
      </c>
    </row>
    <row r="298">
      <c r="A298" s="67" t="str">
        <f t="shared" si="1"/>
        <v>Thu</v>
      </c>
      <c r="B298" s="69">
        <v>43727.0</v>
      </c>
    </row>
    <row r="299">
      <c r="A299" s="67" t="str">
        <f t="shared" si="1"/>
        <v>Fri</v>
      </c>
      <c r="B299" s="69">
        <v>43728.0</v>
      </c>
    </row>
    <row r="300">
      <c r="A300" s="67" t="str">
        <f t="shared" si="1"/>
        <v>Sat</v>
      </c>
      <c r="B300" s="69">
        <v>43729.0</v>
      </c>
    </row>
    <row r="301">
      <c r="A301" s="67" t="str">
        <f t="shared" si="1"/>
        <v>Sun</v>
      </c>
      <c r="B301" s="69">
        <v>43730.0</v>
      </c>
    </row>
    <row r="302">
      <c r="A302" s="67" t="str">
        <f t="shared" si="1"/>
        <v>Mon</v>
      </c>
      <c r="B302" s="69">
        <v>43731.0</v>
      </c>
    </row>
    <row r="303">
      <c r="A303" s="67" t="str">
        <f t="shared" si="1"/>
        <v>Tue</v>
      </c>
      <c r="B303" s="69">
        <v>43732.0</v>
      </c>
    </row>
    <row r="304">
      <c r="A304" s="67" t="str">
        <f t="shared" si="1"/>
        <v>Wed</v>
      </c>
      <c r="B304" s="69">
        <v>43733.0</v>
      </c>
    </row>
    <row r="305">
      <c r="A305" s="67" t="str">
        <f t="shared" si="1"/>
        <v>Thu</v>
      </c>
      <c r="B305" s="69">
        <v>43734.0</v>
      </c>
    </row>
    <row r="306">
      <c r="A306" s="67" t="str">
        <f t="shared" si="1"/>
        <v>Fri</v>
      </c>
      <c r="B306" s="69">
        <v>43735.0</v>
      </c>
    </row>
    <row r="307">
      <c r="A307" s="67" t="str">
        <f t="shared" si="1"/>
        <v>Sat</v>
      </c>
      <c r="B307" s="69">
        <v>43736.0</v>
      </c>
    </row>
    <row r="308">
      <c r="A308" s="67" t="str">
        <f t="shared" si="1"/>
        <v>Sun</v>
      </c>
      <c r="B308" s="69">
        <v>43737.0</v>
      </c>
    </row>
    <row r="309">
      <c r="A309" s="67" t="str">
        <f t="shared" si="1"/>
        <v>Mon</v>
      </c>
      <c r="B309" s="69">
        <v>43738.0</v>
      </c>
    </row>
    <row r="310">
      <c r="A310" s="67" t="str">
        <f t="shared" si="1"/>
        <v>Tue</v>
      </c>
      <c r="B310" s="69">
        <v>43739.0</v>
      </c>
    </row>
    <row r="311">
      <c r="A311" s="67" t="str">
        <f t="shared" si="1"/>
        <v>Wed</v>
      </c>
      <c r="B311" s="69">
        <v>43740.0</v>
      </c>
    </row>
    <row r="312">
      <c r="A312" s="67" t="str">
        <f t="shared" si="1"/>
        <v>Thu</v>
      </c>
      <c r="B312" s="69">
        <v>43741.0</v>
      </c>
    </row>
    <row r="313">
      <c r="A313" s="67" t="str">
        <f t="shared" si="1"/>
        <v>Fri</v>
      </c>
      <c r="B313" s="69">
        <v>43742.0</v>
      </c>
    </row>
    <row r="314">
      <c r="A314" s="67" t="str">
        <f t="shared" si="1"/>
        <v>Sat</v>
      </c>
      <c r="B314" s="69">
        <v>43743.0</v>
      </c>
    </row>
    <row r="315">
      <c r="A315" s="67" t="str">
        <f t="shared" si="1"/>
        <v>Sun</v>
      </c>
      <c r="B315" s="69">
        <v>43744.0</v>
      </c>
    </row>
    <row r="316">
      <c r="A316" s="67" t="str">
        <f t="shared" si="1"/>
        <v>Mon</v>
      </c>
      <c r="B316" s="69">
        <v>43745.0</v>
      </c>
    </row>
    <row r="317">
      <c r="A317" s="67" t="str">
        <f t="shared" si="1"/>
        <v>Tue</v>
      </c>
      <c r="B317" s="69">
        <v>43746.0</v>
      </c>
    </row>
    <row r="318">
      <c r="A318" s="67" t="str">
        <f t="shared" si="1"/>
        <v>Wed</v>
      </c>
      <c r="B318" s="69">
        <v>43747.0</v>
      </c>
    </row>
    <row r="319">
      <c r="A319" s="67" t="str">
        <f t="shared" si="1"/>
        <v>Thu</v>
      </c>
      <c r="B319" s="69">
        <v>43748.0</v>
      </c>
    </row>
    <row r="320">
      <c r="A320" s="67" t="str">
        <f t="shared" si="1"/>
        <v>Fri</v>
      </c>
      <c r="B320" s="69">
        <v>43749.0</v>
      </c>
    </row>
    <row r="321">
      <c r="A321" s="67" t="str">
        <f t="shared" si="1"/>
        <v>Sat</v>
      </c>
      <c r="B321" s="69">
        <v>43750.0</v>
      </c>
    </row>
    <row r="322">
      <c r="A322" s="67" t="str">
        <f t="shared" si="1"/>
        <v>Sun</v>
      </c>
      <c r="B322" s="69">
        <v>43751.0</v>
      </c>
    </row>
    <row r="323">
      <c r="A323" s="67" t="str">
        <f t="shared" si="1"/>
        <v>Mon</v>
      </c>
      <c r="B323" s="69">
        <v>43752.0</v>
      </c>
    </row>
    <row r="324">
      <c r="A324" s="67" t="str">
        <f t="shared" si="1"/>
        <v>Tue</v>
      </c>
      <c r="B324" s="69">
        <v>43753.0</v>
      </c>
    </row>
    <row r="325">
      <c r="A325" s="67" t="str">
        <f t="shared" si="1"/>
        <v>Wed</v>
      </c>
      <c r="B325" s="69">
        <v>43754.0</v>
      </c>
    </row>
    <row r="326">
      <c r="A326" s="67" t="str">
        <f t="shared" si="1"/>
        <v>Thu</v>
      </c>
      <c r="B326" s="69">
        <v>43755.0</v>
      </c>
    </row>
    <row r="327">
      <c r="A327" s="67" t="str">
        <f t="shared" si="1"/>
        <v>Fri</v>
      </c>
      <c r="B327" s="69">
        <v>43756.0</v>
      </c>
    </row>
    <row r="328">
      <c r="A328" s="67" t="str">
        <f t="shared" si="1"/>
        <v>Sat</v>
      </c>
      <c r="B328" s="69">
        <v>43757.0</v>
      </c>
    </row>
    <row r="329">
      <c r="A329" s="67" t="str">
        <f t="shared" si="1"/>
        <v>Sun</v>
      </c>
      <c r="B329" s="69">
        <v>43758.0</v>
      </c>
    </row>
    <row r="330">
      <c r="A330" s="67" t="str">
        <f t="shared" si="1"/>
        <v>Mon</v>
      </c>
      <c r="B330" s="69">
        <v>43759.0</v>
      </c>
    </row>
    <row r="331">
      <c r="A331" s="67" t="str">
        <f t="shared" si="1"/>
        <v>Tue</v>
      </c>
      <c r="B331" s="69">
        <v>43760.0</v>
      </c>
    </row>
    <row r="332">
      <c r="A332" s="67" t="str">
        <f t="shared" si="1"/>
        <v>Wed</v>
      </c>
      <c r="B332" s="69">
        <v>43761.0</v>
      </c>
    </row>
    <row r="333">
      <c r="A333" s="67" t="str">
        <f t="shared" si="1"/>
        <v>Thu</v>
      </c>
      <c r="B333" s="69">
        <v>43762.0</v>
      </c>
    </row>
    <row r="334">
      <c r="A334" s="67" t="str">
        <f t="shared" si="1"/>
        <v>Fri</v>
      </c>
      <c r="B334" s="69">
        <v>43763.0</v>
      </c>
    </row>
    <row r="335">
      <c r="A335" s="67" t="str">
        <f t="shared" si="1"/>
        <v>Sat</v>
      </c>
      <c r="B335" s="69">
        <v>43764.0</v>
      </c>
    </row>
    <row r="336">
      <c r="A336" s="67" t="str">
        <f t="shared" si="1"/>
        <v>Sun</v>
      </c>
      <c r="B336" s="69">
        <v>43765.0</v>
      </c>
    </row>
    <row r="337">
      <c r="A337" s="67" t="str">
        <f t="shared" si="1"/>
        <v>Mon</v>
      </c>
      <c r="B337" s="69">
        <v>43766.0</v>
      </c>
    </row>
    <row r="338">
      <c r="A338" s="67" t="str">
        <f t="shared" si="1"/>
        <v>Tue</v>
      </c>
      <c r="B338" s="69">
        <v>43767.0</v>
      </c>
    </row>
    <row r="339">
      <c r="A339" s="67" t="str">
        <f t="shared" si="1"/>
        <v>Wed</v>
      </c>
      <c r="B339" s="69">
        <v>43768.0</v>
      </c>
    </row>
    <row r="340">
      <c r="A340" s="67" t="str">
        <f t="shared" si="1"/>
        <v>Thu</v>
      </c>
      <c r="B340" s="69">
        <v>43769.0</v>
      </c>
    </row>
    <row r="341">
      <c r="A341" s="67" t="str">
        <f t="shared" si="1"/>
        <v>Fri</v>
      </c>
      <c r="B341" s="69">
        <v>43770.0</v>
      </c>
    </row>
    <row r="342">
      <c r="A342" s="67" t="str">
        <f t="shared" si="1"/>
        <v>Sat</v>
      </c>
      <c r="B342" s="69">
        <v>43771.0</v>
      </c>
    </row>
    <row r="343">
      <c r="A343" s="67" t="str">
        <f t="shared" si="1"/>
        <v>Sun</v>
      </c>
      <c r="B343" s="69">
        <v>43772.0</v>
      </c>
    </row>
    <row r="344">
      <c r="A344" s="67" t="str">
        <f t="shared" si="1"/>
        <v>Mon</v>
      </c>
      <c r="B344" s="69">
        <v>43773.0</v>
      </c>
    </row>
    <row r="345">
      <c r="A345" s="67" t="str">
        <f t="shared" si="1"/>
        <v>Tue</v>
      </c>
      <c r="B345" s="69">
        <v>43774.0</v>
      </c>
    </row>
    <row r="346">
      <c r="A346" s="67" t="str">
        <f t="shared" si="1"/>
        <v>Wed</v>
      </c>
      <c r="B346" s="69">
        <v>43775.0</v>
      </c>
    </row>
    <row r="347">
      <c r="A347" s="67" t="str">
        <f t="shared" si="1"/>
        <v>Thu</v>
      </c>
      <c r="B347" s="69">
        <v>43776.0</v>
      </c>
    </row>
    <row r="348">
      <c r="A348" s="67" t="str">
        <f t="shared" si="1"/>
        <v>Fri</v>
      </c>
      <c r="B348" s="69">
        <v>43777.0</v>
      </c>
    </row>
    <row r="349">
      <c r="A349" s="67" t="str">
        <f t="shared" si="1"/>
        <v>Sat</v>
      </c>
      <c r="B349" s="69">
        <v>43778.0</v>
      </c>
    </row>
    <row r="350">
      <c r="A350" s="67" t="str">
        <f t="shared" si="1"/>
        <v>Sun</v>
      </c>
      <c r="B350" s="69">
        <v>43779.0</v>
      </c>
    </row>
    <row r="351">
      <c r="A351" s="67" t="str">
        <f t="shared" si="1"/>
        <v>Mon</v>
      </c>
      <c r="B351" s="69">
        <v>43780.0</v>
      </c>
    </row>
    <row r="352">
      <c r="A352" s="67" t="str">
        <f t="shared" si="1"/>
        <v>Tue</v>
      </c>
      <c r="B352" s="69">
        <v>43781.0</v>
      </c>
    </row>
    <row r="353">
      <c r="A353" s="67" t="str">
        <f t="shared" si="1"/>
        <v>Wed</v>
      </c>
      <c r="B353" s="69">
        <v>43782.0</v>
      </c>
    </row>
    <row r="354">
      <c r="A354" s="67" t="str">
        <f t="shared" si="1"/>
        <v>Thu</v>
      </c>
      <c r="B354" s="69">
        <v>43783.0</v>
      </c>
    </row>
    <row r="355">
      <c r="A355" s="67" t="str">
        <f t="shared" si="1"/>
        <v>Fri</v>
      </c>
      <c r="B355" s="69">
        <v>43784.0</v>
      </c>
    </row>
    <row r="356">
      <c r="A356" s="67" t="str">
        <f t="shared" si="1"/>
        <v>Sat</v>
      </c>
      <c r="B356" s="69">
        <v>43785.0</v>
      </c>
    </row>
    <row r="357">
      <c r="A357" s="67" t="str">
        <f t="shared" si="1"/>
        <v>Sun</v>
      </c>
      <c r="B357" s="69">
        <v>43786.0</v>
      </c>
    </row>
    <row r="358">
      <c r="A358" s="67" t="str">
        <f t="shared" si="1"/>
        <v>Mon</v>
      </c>
      <c r="B358" s="69">
        <v>43787.0</v>
      </c>
    </row>
    <row r="359">
      <c r="A359" s="67" t="str">
        <f t="shared" si="1"/>
        <v>Tue</v>
      </c>
      <c r="B359" s="69">
        <v>43788.0</v>
      </c>
    </row>
    <row r="360">
      <c r="A360" s="67" t="str">
        <f t="shared" si="1"/>
        <v>Wed</v>
      </c>
      <c r="B360" s="69">
        <v>43789.0</v>
      </c>
    </row>
    <row r="361">
      <c r="A361" s="67" t="str">
        <f t="shared" si="1"/>
        <v>Thu</v>
      </c>
      <c r="B361" s="69">
        <v>43790.0</v>
      </c>
    </row>
    <row r="362">
      <c r="A362" s="67" t="str">
        <f t="shared" si="1"/>
        <v>Fri</v>
      </c>
      <c r="B362" s="69">
        <v>43791.0</v>
      </c>
    </row>
    <row r="363">
      <c r="A363" s="67" t="str">
        <f t="shared" si="1"/>
        <v>Sat</v>
      </c>
      <c r="B363" s="69">
        <v>43792.0</v>
      </c>
    </row>
    <row r="364">
      <c r="A364" s="67" t="str">
        <f t="shared" si="1"/>
        <v>Sun</v>
      </c>
      <c r="B364" s="69">
        <v>43793.0</v>
      </c>
    </row>
    <row r="365">
      <c r="A365" s="67" t="str">
        <f t="shared" si="1"/>
        <v>Mon</v>
      </c>
      <c r="B365" s="69">
        <v>43794.0</v>
      </c>
      <c r="D365" s="161">
        <v>340.0</v>
      </c>
      <c r="E365" s="4" t="s">
        <v>337</v>
      </c>
      <c r="F365" s="4" t="s">
        <v>1681</v>
      </c>
      <c r="G365" s="4" t="s">
        <v>1681</v>
      </c>
      <c r="I365" s="4" t="s">
        <v>224</v>
      </c>
      <c r="K365" s="4" t="s">
        <v>1229</v>
      </c>
      <c r="L365" s="4" t="s">
        <v>229</v>
      </c>
      <c r="M365" s="4" t="s">
        <v>226</v>
      </c>
      <c r="Q365" s="4" t="s">
        <v>1682</v>
      </c>
      <c r="R365" s="4" t="s">
        <v>1683</v>
      </c>
      <c r="S365" s="161">
        <v>4.2189684897E10</v>
      </c>
    </row>
    <row r="366">
      <c r="A366" s="67" t="str">
        <f t="shared" si="1"/>
        <v>Tue</v>
      </c>
      <c r="B366" s="69">
        <v>43795.0</v>
      </c>
      <c r="D366" s="161">
        <v>340.0</v>
      </c>
      <c r="E366" s="4" t="s">
        <v>337</v>
      </c>
      <c r="F366" s="4" t="s">
        <v>1681</v>
      </c>
      <c r="I366" s="4" t="s">
        <v>224</v>
      </c>
    </row>
    <row r="367">
      <c r="A367" s="67" t="str">
        <f t="shared" si="1"/>
        <v>Wed</v>
      </c>
      <c r="B367" s="69">
        <v>43796.0</v>
      </c>
      <c r="D367" s="161">
        <v>340.0</v>
      </c>
      <c r="E367" s="4" t="s">
        <v>337</v>
      </c>
      <c r="F367" s="4" t="s">
        <v>1681</v>
      </c>
      <c r="I367" s="4" t="s">
        <v>224</v>
      </c>
    </row>
    <row r="368">
      <c r="A368" s="67" t="str">
        <f t="shared" si="1"/>
        <v>Thu</v>
      </c>
      <c r="B368" s="69">
        <v>43797.0</v>
      </c>
      <c r="D368" s="161">
        <v>340.0</v>
      </c>
      <c r="E368" s="4" t="s">
        <v>337</v>
      </c>
      <c r="F368" s="4" t="s">
        <v>1681</v>
      </c>
      <c r="I368" s="4" t="s">
        <v>224</v>
      </c>
    </row>
    <row r="369">
      <c r="A369" s="67" t="str">
        <f t="shared" si="1"/>
        <v>Fri</v>
      </c>
      <c r="B369" s="69">
        <v>43798.0</v>
      </c>
      <c r="D369" s="161">
        <v>340.0</v>
      </c>
      <c r="E369" s="4" t="s">
        <v>337</v>
      </c>
      <c r="F369" s="4" t="s">
        <v>1681</v>
      </c>
      <c r="I369" s="4" t="s">
        <v>224</v>
      </c>
    </row>
    <row r="370">
      <c r="A370" s="67" t="str">
        <f t="shared" si="1"/>
        <v>Sat</v>
      </c>
      <c r="B370" s="69">
        <v>43799.0</v>
      </c>
      <c r="D370" s="161">
        <v>340.0</v>
      </c>
      <c r="E370" s="4" t="s">
        <v>337</v>
      </c>
      <c r="F370" s="4" t="s">
        <v>1681</v>
      </c>
      <c r="I370" s="4" t="s">
        <v>224</v>
      </c>
    </row>
    <row r="371">
      <c r="A371" s="67" t="str">
        <f t="shared" si="1"/>
        <v>Sun</v>
      </c>
      <c r="B371" s="69">
        <v>43800.0</v>
      </c>
      <c r="D371" s="161">
        <v>340.0</v>
      </c>
      <c r="E371" s="4" t="s">
        <v>337</v>
      </c>
      <c r="F371" s="4" t="s">
        <v>1681</v>
      </c>
      <c r="I371" s="4" t="s">
        <v>224</v>
      </c>
    </row>
    <row r="372">
      <c r="A372" s="67" t="str">
        <f t="shared" si="1"/>
        <v>Mon</v>
      </c>
      <c r="B372" s="69">
        <v>43801.0</v>
      </c>
      <c r="H372" s="4" t="s">
        <v>1681</v>
      </c>
    </row>
    <row r="373">
      <c r="A373" s="67" t="str">
        <f t="shared" si="1"/>
        <v>Tue</v>
      </c>
      <c r="B373" s="69">
        <v>43802.0</v>
      </c>
    </row>
    <row r="374">
      <c r="A374" s="67" t="str">
        <f t="shared" si="1"/>
        <v>Wed</v>
      </c>
      <c r="B374" s="69">
        <v>43803.0</v>
      </c>
    </row>
    <row r="375">
      <c r="A375" s="67" t="str">
        <f t="shared" si="1"/>
        <v>Thu</v>
      </c>
      <c r="B375" s="69">
        <v>43804.0</v>
      </c>
    </row>
    <row r="376">
      <c r="A376" s="67" t="str">
        <f t="shared" si="1"/>
        <v>Fri</v>
      </c>
      <c r="B376" s="69">
        <v>43805.0</v>
      </c>
    </row>
    <row r="377">
      <c r="A377" s="67" t="str">
        <f t="shared" si="1"/>
        <v>Sat</v>
      </c>
      <c r="B377" s="69">
        <v>43806.0</v>
      </c>
    </row>
    <row r="378">
      <c r="A378" s="67" t="str">
        <f t="shared" si="1"/>
        <v>Sun</v>
      </c>
      <c r="B378" s="69">
        <v>43807.0</v>
      </c>
    </row>
    <row r="379">
      <c r="A379" s="67" t="str">
        <f t="shared" si="1"/>
        <v>Mon</v>
      </c>
      <c r="B379" s="69">
        <v>43808.0</v>
      </c>
    </row>
    <row r="380">
      <c r="A380" s="67" t="str">
        <f t="shared" si="1"/>
        <v>Tue</v>
      </c>
      <c r="B380" s="69">
        <v>43809.0</v>
      </c>
    </row>
    <row r="381">
      <c r="A381" s="67" t="str">
        <f t="shared" si="1"/>
        <v>Wed</v>
      </c>
      <c r="B381" s="69">
        <v>43810.0</v>
      </c>
    </row>
    <row r="382">
      <c r="A382" s="67" t="str">
        <f t="shared" si="1"/>
        <v>Thu</v>
      </c>
      <c r="B382" s="69">
        <v>43811.0</v>
      </c>
    </row>
    <row r="383">
      <c r="A383" s="67" t="str">
        <f t="shared" si="1"/>
        <v>Fri</v>
      </c>
      <c r="B383" s="69">
        <v>43812.0</v>
      </c>
    </row>
    <row r="384">
      <c r="A384" s="67" t="str">
        <f t="shared" si="1"/>
        <v>Sat</v>
      </c>
      <c r="B384" s="69">
        <v>43813.0</v>
      </c>
    </row>
    <row r="385">
      <c r="A385" s="67" t="str">
        <f t="shared" si="1"/>
        <v>Sun</v>
      </c>
      <c r="B385" s="69">
        <v>43814.0</v>
      </c>
    </row>
    <row r="386">
      <c r="A386" s="67" t="str">
        <f t="shared" si="1"/>
        <v>Mon</v>
      </c>
      <c r="B386" s="69">
        <v>43815.0</v>
      </c>
    </row>
    <row r="387">
      <c r="A387" s="67" t="str">
        <f t="shared" si="1"/>
        <v>Tue</v>
      </c>
      <c r="B387" s="69">
        <v>43816.0</v>
      </c>
    </row>
    <row r="388">
      <c r="A388" s="67" t="str">
        <f t="shared" si="1"/>
        <v>Wed</v>
      </c>
      <c r="B388" s="69">
        <v>43817.0</v>
      </c>
    </row>
    <row r="389">
      <c r="A389" s="67" t="str">
        <f t="shared" si="1"/>
        <v>Thu</v>
      </c>
      <c r="B389" s="69">
        <v>43818.0</v>
      </c>
    </row>
    <row r="390">
      <c r="A390" s="67" t="str">
        <f t="shared" si="1"/>
        <v>Fri</v>
      </c>
      <c r="B390" s="69">
        <v>43819.0</v>
      </c>
    </row>
    <row r="391">
      <c r="A391" s="67" t="str">
        <f t="shared" si="1"/>
        <v>Sat</v>
      </c>
      <c r="B391" s="69">
        <v>43820.0</v>
      </c>
    </row>
    <row r="392">
      <c r="A392" s="67" t="str">
        <f t="shared" si="1"/>
        <v>Sun</v>
      </c>
      <c r="B392" s="69">
        <v>43821.0</v>
      </c>
    </row>
    <row r="393">
      <c r="A393" s="67" t="str">
        <f t="shared" si="1"/>
        <v>Mon</v>
      </c>
      <c r="B393" s="69">
        <v>43822.0</v>
      </c>
    </row>
    <row r="394">
      <c r="A394" s="67" t="str">
        <f t="shared" si="1"/>
        <v>Tue</v>
      </c>
      <c r="B394" s="69">
        <v>43823.0</v>
      </c>
    </row>
    <row r="395">
      <c r="A395" s="67" t="str">
        <f t="shared" si="1"/>
        <v>Wed</v>
      </c>
      <c r="B395" s="69">
        <v>43824.0</v>
      </c>
    </row>
    <row r="396">
      <c r="A396" s="67" t="str">
        <f t="shared" si="1"/>
        <v>Thu</v>
      </c>
      <c r="B396" s="69">
        <v>43825.0</v>
      </c>
      <c r="D396" s="4">
        <v>0.0</v>
      </c>
      <c r="E396" s="4" t="s">
        <v>267</v>
      </c>
      <c r="F396" s="4" t="s">
        <v>267</v>
      </c>
    </row>
    <row r="397">
      <c r="A397" s="67" t="str">
        <f t="shared" si="1"/>
        <v>Fri</v>
      </c>
      <c r="B397" s="69">
        <v>43826.0</v>
      </c>
      <c r="D397" s="4">
        <v>0.0</v>
      </c>
      <c r="E397" s="4" t="s">
        <v>267</v>
      </c>
      <c r="F397" s="4" t="s">
        <v>267</v>
      </c>
    </row>
    <row r="398">
      <c r="A398" s="67" t="str">
        <f t="shared" si="1"/>
        <v>Sat</v>
      </c>
      <c r="B398" s="69">
        <v>43827.0</v>
      </c>
      <c r="D398" s="4">
        <v>0.0</v>
      </c>
      <c r="E398" s="4" t="s">
        <v>267</v>
      </c>
      <c r="F398" s="4" t="s">
        <v>267</v>
      </c>
    </row>
    <row r="399">
      <c r="A399" s="67" t="str">
        <f t="shared" si="1"/>
        <v>Sun</v>
      </c>
      <c r="B399" s="69">
        <v>43828.0</v>
      </c>
      <c r="D399" s="4">
        <v>0.0</v>
      </c>
      <c r="E399" s="4" t="s">
        <v>267</v>
      </c>
      <c r="F399" s="4" t="s">
        <v>267</v>
      </c>
    </row>
    <row r="400">
      <c r="A400" s="67" t="str">
        <f t="shared" si="1"/>
        <v>Mon</v>
      </c>
      <c r="B400" s="69">
        <v>43829.0</v>
      </c>
      <c r="D400" s="4">
        <v>0.0</v>
      </c>
      <c r="E400" s="4" t="s">
        <v>267</v>
      </c>
      <c r="F400" s="4" t="s">
        <v>267</v>
      </c>
    </row>
    <row r="401">
      <c r="A401" s="67" t="str">
        <f t="shared" si="1"/>
        <v>Tue</v>
      </c>
      <c r="B401" s="69">
        <v>43830.0</v>
      </c>
      <c r="D401" s="4">
        <v>0.0</v>
      </c>
      <c r="E401" s="4" t="s">
        <v>267</v>
      </c>
      <c r="F401" s="4" t="s">
        <v>267</v>
      </c>
    </row>
    <row r="402">
      <c r="A402" s="67" t="str">
        <f t="shared" si="1"/>
        <v>Wed</v>
      </c>
      <c r="B402" s="69">
        <v>43831.0</v>
      </c>
      <c r="D402" s="4">
        <v>0.0</v>
      </c>
      <c r="E402" s="4" t="s">
        <v>267</v>
      </c>
      <c r="F402" s="4" t="s">
        <v>267</v>
      </c>
    </row>
    <row r="403">
      <c r="A403" s="67" t="str">
        <f t="shared" si="1"/>
        <v>Thu</v>
      </c>
      <c r="B403" s="69">
        <v>43832.0</v>
      </c>
      <c r="D403" s="4">
        <v>0.0</v>
      </c>
      <c r="E403" s="4" t="s">
        <v>267</v>
      </c>
      <c r="F403" s="4" t="s">
        <v>267</v>
      </c>
    </row>
    <row r="404">
      <c r="A404" s="67" t="str">
        <f t="shared" si="1"/>
        <v>Fri</v>
      </c>
      <c r="B404" s="69">
        <v>43833.0</v>
      </c>
      <c r="D404" s="4">
        <v>0.0</v>
      </c>
      <c r="E404" s="4" t="s">
        <v>267</v>
      </c>
      <c r="F404" s="4" t="s">
        <v>267</v>
      </c>
    </row>
    <row r="405">
      <c r="A405" s="67" t="str">
        <f t="shared" si="1"/>
        <v>Sat</v>
      </c>
      <c r="B405" s="69">
        <v>43834.0</v>
      </c>
      <c r="D405" s="4">
        <v>0.0</v>
      </c>
      <c r="E405" s="4" t="s">
        <v>267</v>
      </c>
      <c r="F405" s="4" t="s">
        <v>267</v>
      </c>
    </row>
    <row r="406">
      <c r="A406" s="67" t="str">
        <f t="shared" si="1"/>
        <v>Sun</v>
      </c>
      <c r="B406" s="69">
        <v>43835.0</v>
      </c>
      <c r="D406" s="4">
        <v>0.0</v>
      </c>
      <c r="E406" s="4" t="s">
        <v>267</v>
      </c>
      <c r="F406" s="4" t="s">
        <v>267</v>
      </c>
    </row>
    <row r="407">
      <c r="A407" s="67" t="str">
        <f t="shared" si="1"/>
        <v>Mon</v>
      </c>
      <c r="B407" s="69">
        <v>43836.0</v>
      </c>
    </row>
    <row r="408">
      <c r="A408" s="67" t="str">
        <f t="shared" si="1"/>
        <v>Tue</v>
      </c>
      <c r="B408" s="69">
        <v>43837.0</v>
      </c>
    </row>
    <row r="409">
      <c r="A409" s="67" t="str">
        <f t="shared" si="1"/>
        <v>Wed</v>
      </c>
      <c r="B409" s="69">
        <v>43838.0</v>
      </c>
    </row>
    <row r="410">
      <c r="A410" s="67" t="str">
        <f t="shared" si="1"/>
        <v>Thu</v>
      </c>
      <c r="B410" s="69">
        <v>43839.0</v>
      </c>
    </row>
    <row r="411">
      <c r="A411" s="67" t="str">
        <f t="shared" si="1"/>
        <v>Fri</v>
      </c>
      <c r="B411" s="69">
        <v>43840.0</v>
      </c>
    </row>
    <row r="412">
      <c r="A412" s="67" t="str">
        <f t="shared" si="1"/>
        <v>Sat</v>
      </c>
      <c r="B412" s="69">
        <v>43841.0</v>
      </c>
    </row>
    <row r="413">
      <c r="A413" s="67" t="str">
        <f t="shared" si="1"/>
        <v>Sun</v>
      </c>
      <c r="B413" s="69">
        <v>43842.0</v>
      </c>
    </row>
    <row r="414">
      <c r="A414" s="67" t="str">
        <f t="shared" si="1"/>
        <v>Mon</v>
      </c>
      <c r="B414" s="69">
        <v>43843.0</v>
      </c>
    </row>
    <row r="415">
      <c r="A415" s="67" t="str">
        <f t="shared" si="1"/>
        <v>Tue</v>
      </c>
      <c r="B415" s="69">
        <v>43844.0</v>
      </c>
    </row>
    <row r="416">
      <c r="A416" s="67" t="str">
        <f t="shared" si="1"/>
        <v>Wed</v>
      </c>
      <c r="B416" s="69">
        <v>43845.0</v>
      </c>
    </row>
    <row r="417">
      <c r="A417" s="67" t="str">
        <f t="shared" si="1"/>
        <v>Thu</v>
      </c>
      <c r="B417" s="69">
        <v>43846.0</v>
      </c>
    </row>
    <row r="418">
      <c r="A418" s="67" t="str">
        <f t="shared" si="1"/>
        <v>Fri</v>
      </c>
      <c r="B418" s="69">
        <v>43847.0</v>
      </c>
    </row>
    <row r="419">
      <c r="A419" s="67" t="str">
        <f t="shared" si="1"/>
        <v>Sat</v>
      </c>
      <c r="B419" s="69">
        <v>43848.0</v>
      </c>
    </row>
    <row r="420">
      <c r="A420" s="67" t="str">
        <f t="shared" si="1"/>
        <v>Sun</v>
      </c>
      <c r="B420" s="69">
        <v>43849.0</v>
      </c>
    </row>
    <row r="421">
      <c r="A421" s="67" t="str">
        <f t="shared" si="1"/>
        <v>Mon</v>
      </c>
      <c r="B421" s="69">
        <v>43850.0</v>
      </c>
    </row>
    <row r="422">
      <c r="A422" s="67" t="str">
        <f t="shared" si="1"/>
        <v>Tue</v>
      </c>
      <c r="B422" s="69">
        <v>43851.0</v>
      </c>
    </row>
    <row r="423">
      <c r="A423" s="67" t="str">
        <f t="shared" si="1"/>
        <v>Wed</v>
      </c>
      <c r="B423" s="69">
        <v>43852.0</v>
      </c>
    </row>
    <row r="424">
      <c r="A424" s="67" t="str">
        <f t="shared" si="1"/>
        <v>Thu</v>
      </c>
      <c r="B424" s="69">
        <v>43853.0</v>
      </c>
    </row>
    <row r="425">
      <c r="A425" s="67" t="str">
        <f t="shared" si="1"/>
        <v>Fri</v>
      </c>
      <c r="B425" s="69">
        <v>43854.0</v>
      </c>
    </row>
    <row r="426">
      <c r="A426" s="67" t="str">
        <f t="shared" si="1"/>
        <v>Sat</v>
      </c>
      <c r="B426" s="69">
        <v>43855.0</v>
      </c>
    </row>
    <row r="427">
      <c r="A427" s="67" t="str">
        <f t="shared" si="1"/>
        <v>Sun</v>
      </c>
      <c r="B427" s="69">
        <v>43856.0</v>
      </c>
    </row>
    <row r="428">
      <c r="A428" s="67" t="str">
        <f t="shared" si="1"/>
        <v>Mon</v>
      </c>
      <c r="B428" s="69">
        <v>43857.0</v>
      </c>
    </row>
    <row r="429">
      <c r="A429" s="67" t="str">
        <f t="shared" si="1"/>
        <v>Tue</v>
      </c>
      <c r="B429" s="69">
        <v>43858.0</v>
      </c>
    </row>
    <row r="430">
      <c r="A430" s="67" t="str">
        <f t="shared" si="1"/>
        <v>Wed</v>
      </c>
      <c r="B430" s="69">
        <v>43859.0</v>
      </c>
    </row>
    <row r="431">
      <c r="A431" s="67" t="str">
        <f t="shared" si="1"/>
        <v>Thu</v>
      </c>
      <c r="B431" s="69">
        <v>43860.0</v>
      </c>
    </row>
    <row r="432">
      <c r="A432" s="67" t="str">
        <f t="shared" si="1"/>
        <v>Fri</v>
      </c>
      <c r="B432" s="69">
        <v>43861.0</v>
      </c>
    </row>
    <row r="433">
      <c r="A433" s="67" t="str">
        <f t="shared" si="1"/>
        <v>Sat</v>
      </c>
      <c r="B433" s="69">
        <v>43862.0</v>
      </c>
    </row>
    <row r="434">
      <c r="A434" s="67" t="str">
        <f t="shared" si="1"/>
        <v>Sun</v>
      </c>
      <c r="B434" s="69">
        <v>43863.0</v>
      </c>
    </row>
    <row r="435">
      <c r="A435" s="67" t="str">
        <f t="shared" si="1"/>
        <v>Mon</v>
      </c>
      <c r="B435" s="69">
        <v>43864.0</v>
      </c>
    </row>
    <row r="436">
      <c r="A436" s="67" t="str">
        <f t="shared" si="1"/>
        <v>Tue</v>
      </c>
      <c r="B436" s="69">
        <v>43865.0</v>
      </c>
    </row>
    <row r="437">
      <c r="A437" s="67" t="str">
        <f t="shared" si="1"/>
        <v>Wed</v>
      </c>
      <c r="B437" s="69">
        <v>43866.0</v>
      </c>
    </row>
    <row r="438">
      <c r="A438" s="67" t="str">
        <f t="shared" si="1"/>
        <v>Thu</v>
      </c>
      <c r="B438" s="69">
        <v>43867.0</v>
      </c>
    </row>
    <row r="439">
      <c r="A439" s="67" t="str">
        <f t="shared" si="1"/>
        <v>Fri</v>
      </c>
      <c r="B439" s="69">
        <v>43868.0</v>
      </c>
    </row>
    <row r="440">
      <c r="A440" s="67" t="str">
        <f t="shared" si="1"/>
        <v>Sat</v>
      </c>
      <c r="B440" s="69">
        <v>43869.0</v>
      </c>
    </row>
    <row r="441">
      <c r="A441" s="67" t="str">
        <f t="shared" si="1"/>
        <v>Sun</v>
      </c>
      <c r="B441" s="69">
        <v>43870.0</v>
      </c>
    </row>
    <row r="442">
      <c r="A442" s="67" t="str">
        <f t="shared" si="1"/>
        <v>Mon</v>
      </c>
      <c r="B442" s="69">
        <v>43871.0</v>
      </c>
    </row>
    <row r="443">
      <c r="A443" s="67" t="str">
        <f t="shared" si="1"/>
        <v>Tue</v>
      </c>
      <c r="B443" s="69">
        <v>43872.0</v>
      </c>
    </row>
    <row r="444">
      <c r="A444" s="67" t="str">
        <f t="shared" si="1"/>
        <v>Wed</v>
      </c>
      <c r="B444" s="69">
        <v>43873.0</v>
      </c>
    </row>
  </sheetData>
  <mergeCells count="5">
    <mergeCell ref="E1:F1"/>
    <mergeCell ref="E2:F2"/>
    <mergeCell ref="E3:F3"/>
    <mergeCell ref="A1:C3"/>
    <mergeCell ref="G1:R3"/>
  </mergeCells>
  <conditionalFormatting sqref="K1:L444">
    <cfRule type="cellIs" dxfId="0" priority="1" operator="equal">
      <formula>"Enviar email para hotel"</formula>
    </cfRule>
  </conditionalFormatting>
  <dataValidations>
    <dataValidation type="list" allowBlank="1" sqref="L37:L444">
      <formula1>"Enviar email para hotel,Enviado para o hotel,Código de reserva enviado para hóspede,Verificar dados com o hóspede,URGENTE,Fechado"</formula1>
    </dataValidation>
    <dataValidation type="list" allowBlank="1" sqref="K6:L36">
      <formula1>"Enviar email para hotel,Enviado para o hotel,Código de reserva enviado para hóspede,Fechado"</formula1>
    </dataValidation>
    <dataValidation type="list" allowBlank="1" sqref="K37:K444">
      <formula1>"A PAGAR,PARCIALMENTE PAGO,PAGO"</formula1>
    </dataValidation>
  </dataValidations>
  <hyperlinks>
    <hyperlink display="Sumario" location="Sumario!A1" ref="A4"/>
  </hyperlinks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13.57"/>
    <col customWidth="1" min="4" max="4" width="17.0"/>
    <col customWidth="1" min="10" max="10" width="16.14"/>
  </cols>
  <sheetData>
    <row r="1">
      <c r="A1" s="1"/>
      <c r="B1" s="2"/>
      <c r="C1" s="3"/>
      <c r="D1" s="11" t="s">
        <v>198</v>
      </c>
      <c r="E1" s="153" t="s">
        <v>199</v>
      </c>
      <c r="F1" s="3"/>
      <c r="G1" s="154" t="s">
        <v>200</v>
      </c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155"/>
    </row>
    <row r="2">
      <c r="A2" s="13"/>
      <c r="C2" s="15"/>
      <c r="D2" s="9" t="s">
        <v>201</v>
      </c>
      <c r="E2" s="156">
        <v>3310.0</v>
      </c>
      <c r="F2" s="15"/>
      <c r="R2" s="15"/>
      <c r="S2" s="155"/>
    </row>
    <row r="3">
      <c r="A3" s="17"/>
      <c r="B3" s="19"/>
      <c r="C3" s="21"/>
      <c r="D3" s="26" t="s">
        <v>202</v>
      </c>
      <c r="E3" s="157" t="s">
        <v>1684</v>
      </c>
      <c r="F3" s="21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21"/>
      <c r="S3" s="155"/>
    </row>
    <row r="4">
      <c r="A4" s="158" t="s">
        <v>203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N4" s="30"/>
      <c r="O4" s="30"/>
      <c r="P4" s="30"/>
      <c r="Q4" s="30"/>
      <c r="R4" s="30"/>
      <c r="S4" s="30"/>
      <c r="T4" s="30"/>
      <c r="U4" s="30"/>
    </row>
    <row r="5">
      <c r="A5" s="42" t="s">
        <v>204</v>
      </c>
      <c r="B5" s="45" t="s">
        <v>33</v>
      </c>
      <c r="C5" s="45" t="s">
        <v>205</v>
      </c>
      <c r="D5" s="45" t="s">
        <v>206</v>
      </c>
      <c r="E5" s="45" t="s">
        <v>207</v>
      </c>
      <c r="F5" s="45" t="s">
        <v>208</v>
      </c>
      <c r="G5" s="45" t="s">
        <v>209</v>
      </c>
      <c r="H5" s="45" t="s">
        <v>210</v>
      </c>
      <c r="I5" s="45" t="s">
        <v>211</v>
      </c>
      <c r="J5" s="45" t="s">
        <v>212</v>
      </c>
      <c r="K5" s="45" t="s">
        <v>213</v>
      </c>
      <c r="L5" s="45" t="s">
        <v>214</v>
      </c>
      <c r="M5" s="45" t="s">
        <v>215</v>
      </c>
      <c r="N5" s="45" t="s">
        <v>216</v>
      </c>
      <c r="O5" s="45" t="s">
        <v>217</v>
      </c>
      <c r="P5" s="45" t="s">
        <v>218</v>
      </c>
      <c r="Q5" s="45" t="s">
        <v>219</v>
      </c>
      <c r="R5" s="160" t="s">
        <v>220</v>
      </c>
      <c r="S5" s="160" t="s">
        <v>221</v>
      </c>
    </row>
    <row r="6">
      <c r="A6" s="67" t="str">
        <f t="shared" ref="A6:A245" si="1">CHOOSE(weekday(B6),"Sun","Mon","Tue","Wed","Thu","Fri","Sat")</f>
        <v>Mon</v>
      </c>
      <c r="B6" s="69">
        <v>43591.0</v>
      </c>
      <c r="D6" s="161">
        <v>242.5</v>
      </c>
      <c r="E6" s="4" t="s">
        <v>222</v>
      </c>
      <c r="F6" s="4" t="s">
        <v>1685</v>
      </c>
      <c r="I6" s="4" t="s">
        <v>224</v>
      </c>
      <c r="J6" s="4" t="s">
        <v>1686</v>
      </c>
      <c r="L6" s="4" t="s">
        <v>225</v>
      </c>
    </row>
    <row r="7">
      <c r="A7" s="67" t="str">
        <f t="shared" si="1"/>
        <v>Tue</v>
      </c>
      <c r="B7" s="69">
        <v>43592.0</v>
      </c>
      <c r="H7" s="4" t="s">
        <v>1685</v>
      </c>
    </row>
    <row r="8">
      <c r="A8" s="67" t="str">
        <f t="shared" si="1"/>
        <v>Wed</v>
      </c>
      <c r="B8" s="69">
        <v>43593.0</v>
      </c>
      <c r="F8" s="4"/>
      <c r="G8" s="4"/>
      <c r="N8" s="4"/>
      <c r="O8" s="4"/>
    </row>
    <row r="9">
      <c r="A9" s="67" t="str">
        <f t="shared" si="1"/>
        <v>Thu</v>
      </c>
      <c r="B9" s="69">
        <v>43594.0</v>
      </c>
      <c r="F9" s="4"/>
    </row>
    <row r="10">
      <c r="A10" s="67" t="str">
        <f t="shared" si="1"/>
        <v>Fri</v>
      </c>
      <c r="B10" s="69">
        <v>43595.0</v>
      </c>
      <c r="D10" s="161">
        <v>303.125</v>
      </c>
      <c r="E10" s="4" t="s">
        <v>222</v>
      </c>
      <c r="F10" s="4" t="s">
        <v>1687</v>
      </c>
      <c r="G10" s="4" t="s">
        <v>1687</v>
      </c>
      <c r="H10" s="4"/>
      <c r="I10" s="4" t="s">
        <v>224</v>
      </c>
      <c r="J10" s="4"/>
      <c r="K10" s="4" t="s">
        <v>231</v>
      </c>
      <c r="L10" s="4" t="s">
        <v>225</v>
      </c>
      <c r="M10" s="4" t="s">
        <v>1688</v>
      </c>
      <c r="N10" s="4"/>
      <c r="O10" s="4"/>
      <c r="Q10" s="4" t="s">
        <v>1689</v>
      </c>
      <c r="R10" s="4" t="s">
        <v>1690</v>
      </c>
      <c r="S10" s="4">
        <v>1.025283902E9</v>
      </c>
    </row>
    <row r="11">
      <c r="A11" s="67" t="str">
        <f t="shared" si="1"/>
        <v>Sat</v>
      </c>
      <c r="B11" s="69">
        <v>43596.0</v>
      </c>
      <c r="D11" s="161">
        <v>303.125</v>
      </c>
      <c r="E11" s="4" t="s">
        <v>222</v>
      </c>
      <c r="F11" s="4" t="s">
        <v>1687</v>
      </c>
      <c r="I11" s="4" t="s">
        <v>224</v>
      </c>
      <c r="J11" s="4"/>
    </row>
    <row r="12">
      <c r="A12" s="67" t="str">
        <f t="shared" si="1"/>
        <v>Sun</v>
      </c>
      <c r="B12" s="69">
        <v>43597.0</v>
      </c>
      <c r="F12" s="4"/>
      <c r="G12" s="4"/>
      <c r="H12" s="4" t="s">
        <v>1687</v>
      </c>
      <c r="N12" s="4"/>
      <c r="O12" s="4"/>
    </row>
    <row r="13">
      <c r="A13" s="67" t="str">
        <f t="shared" si="1"/>
        <v>Mon</v>
      </c>
      <c r="B13" s="69">
        <v>43598.0</v>
      </c>
      <c r="F13" s="4"/>
    </row>
    <row r="14">
      <c r="A14" s="67" t="str">
        <f t="shared" si="1"/>
        <v>Tue</v>
      </c>
      <c r="B14" s="69">
        <v>43599.0</v>
      </c>
      <c r="F14" s="4"/>
      <c r="G14" s="4"/>
      <c r="H14" s="4"/>
      <c r="N14" s="4"/>
      <c r="O14" s="4"/>
    </row>
    <row r="15">
      <c r="A15" s="67" t="str">
        <f t="shared" si="1"/>
        <v>Wed</v>
      </c>
      <c r="B15" s="69">
        <v>43600.0</v>
      </c>
      <c r="F15" s="4"/>
      <c r="Q15" s="232"/>
    </row>
    <row r="16">
      <c r="A16" s="67" t="str">
        <f t="shared" si="1"/>
        <v>Thu</v>
      </c>
      <c r="B16" s="69">
        <v>43601.0</v>
      </c>
      <c r="D16" s="161">
        <v>242.5</v>
      </c>
      <c r="E16" s="4" t="s">
        <v>222</v>
      </c>
      <c r="F16" s="4" t="s">
        <v>1691</v>
      </c>
      <c r="G16" s="4" t="s">
        <v>1691</v>
      </c>
      <c r="H16" s="4"/>
      <c r="I16" s="4" t="s">
        <v>224</v>
      </c>
      <c r="J16" s="4"/>
      <c r="K16" s="4" t="s">
        <v>231</v>
      </c>
      <c r="L16" s="4" t="s">
        <v>225</v>
      </c>
      <c r="M16" s="6" t="s">
        <v>1692</v>
      </c>
      <c r="N16" s="4"/>
      <c r="O16" s="4"/>
      <c r="Q16" s="4" t="s">
        <v>1693</v>
      </c>
      <c r="R16" s="4" t="s">
        <v>1694</v>
      </c>
      <c r="S16" s="6" t="s">
        <v>1695</v>
      </c>
    </row>
    <row r="17">
      <c r="A17" s="67" t="str">
        <f t="shared" si="1"/>
        <v>Fri</v>
      </c>
      <c r="B17" s="69">
        <v>43602.0</v>
      </c>
      <c r="D17" s="161">
        <v>203.7</v>
      </c>
      <c r="E17" s="4" t="s">
        <v>222</v>
      </c>
      <c r="F17" s="4" t="s">
        <v>1696</v>
      </c>
      <c r="G17" s="4" t="s">
        <v>1696</v>
      </c>
      <c r="H17" s="4" t="s">
        <v>1691</v>
      </c>
      <c r="I17" s="4" t="s">
        <v>224</v>
      </c>
      <c r="K17" s="4" t="s">
        <v>231</v>
      </c>
      <c r="L17" s="4" t="s">
        <v>225</v>
      </c>
      <c r="M17" s="4" t="s">
        <v>1697</v>
      </c>
      <c r="N17" s="4" t="s">
        <v>1698</v>
      </c>
      <c r="O17" s="4" t="s">
        <v>264</v>
      </c>
      <c r="Q17" s="4" t="s">
        <v>1699</v>
      </c>
      <c r="R17" s="4" t="s">
        <v>1700</v>
      </c>
      <c r="S17" s="4" t="s">
        <v>1701</v>
      </c>
    </row>
    <row r="18">
      <c r="A18" s="67" t="str">
        <f t="shared" si="1"/>
        <v>Sat</v>
      </c>
      <c r="B18" s="69">
        <v>43603.0</v>
      </c>
      <c r="D18" s="161">
        <v>203.7</v>
      </c>
      <c r="E18" s="4" t="s">
        <v>222</v>
      </c>
      <c r="F18" s="4" t="s">
        <v>1696</v>
      </c>
      <c r="I18" s="4" t="s">
        <v>224</v>
      </c>
    </row>
    <row r="19">
      <c r="A19" s="67" t="str">
        <f t="shared" si="1"/>
        <v>Sun</v>
      </c>
      <c r="B19" s="69">
        <v>43604.0</v>
      </c>
      <c r="D19" s="231">
        <v>266.75</v>
      </c>
      <c r="E19" s="4" t="s">
        <v>222</v>
      </c>
      <c r="F19" s="4" t="s">
        <v>1702</v>
      </c>
      <c r="G19" s="4" t="s">
        <v>1702</v>
      </c>
      <c r="H19" s="4" t="s">
        <v>1696</v>
      </c>
      <c r="I19" s="4" t="s">
        <v>224</v>
      </c>
      <c r="L19" s="4" t="s">
        <v>225</v>
      </c>
      <c r="M19" s="4" t="s">
        <v>1703</v>
      </c>
      <c r="N19" s="4" t="s">
        <v>1704</v>
      </c>
      <c r="R19" s="4" t="s">
        <v>1705</v>
      </c>
    </row>
    <row r="20">
      <c r="A20" s="67" t="str">
        <f t="shared" si="1"/>
        <v>Mon</v>
      </c>
      <c r="B20" s="69">
        <v>43605.0</v>
      </c>
      <c r="D20" s="231">
        <v>266.75</v>
      </c>
      <c r="E20" s="4" t="s">
        <v>222</v>
      </c>
      <c r="F20" s="4" t="s">
        <v>1702</v>
      </c>
      <c r="I20" s="4" t="s">
        <v>224</v>
      </c>
    </row>
    <row r="21">
      <c r="A21" s="67" t="str">
        <f t="shared" si="1"/>
        <v>Tue</v>
      </c>
      <c r="B21" s="69">
        <v>43606.0</v>
      </c>
      <c r="D21" s="4">
        <v>225.0</v>
      </c>
      <c r="E21" s="4" t="s">
        <v>337</v>
      </c>
      <c r="F21" s="4" t="s">
        <v>1702</v>
      </c>
      <c r="I21" s="4" t="s">
        <v>224</v>
      </c>
    </row>
    <row r="22">
      <c r="A22" s="67" t="str">
        <f t="shared" si="1"/>
        <v>Wed</v>
      </c>
      <c r="B22" s="69">
        <v>43607.0</v>
      </c>
      <c r="D22" s="161">
        <v>242.5</v>
      </c>
      <c r="E22" s="4" t="s">
        <v>222</v>
      </c>
      <c r="F22" s="4" t="s">
        <v>1706</v>
      </c>
      <c r="G22" s="4" t="s">
        <v>1706</v>
      </c>
      <c r="H22" s="4" t="s">
        <v>1702</v>
      </c>
      <c r="I22" s="4" t="s">
        <v>224</v>
      </c>
      <c r="K22" s="4" t="s">
        <v>231</v>
      </c>
      <c r="L22" s="4" t="s">
        <v>225</v>
      </c>
      <c r="M22" s="4" t="s">
        <v>226</v>
      </c>
      <c r="R22" s="4" t="s">
        <v>1707</v>
      </c>
    </row>
    <row r="23">
      <c r="A23" s="67" t="str">
        <f t="shared" si="1"/>
        <v>Thu</v>
      </c>
      <c r="B23" s="69">
        <v>43608.0</v>
      </c>
      <c r="F23" s="4"/>
      <c r="G23" s="4"/>
      <c r="H23" s="4" t="s">
        <v>1706</v>
      </c>
      <c r="N23" s="4"/>
      <c r="O23" s="4"/>
    </row>
    <row r="24">
      <c r="A24" s="67" t="str">
        <f t="shared" si="1"/>
        <v>Fri</v>
      </c>
      <c r="B24" s="69">
        <v>43609.0</v>
      </c>
      <c r="F24" s="4"/>
    </row>
    <row r="25">
      <c r="A25" s="67" t="str">
        <f t="shared" si="1"/>
        <v>Sat</v>
      </c>
      <c r="B25" s="69">
        <v>43610.0</v>
      </c>
      <c r="D25" s="4">
        <v>509.25</v>
      </c>
      <c r="E25" s="4" t="s">
        <v>222</v>
      </c>
      <c r="F25" s="4" t="s">
        <v>1708</v>
      </c>
      <c r="G25" s="4" t="s">
        <v>1708</v>
      </c>
      <c r="H25" s="4"/>
      <c r="I25" s="4" t="s">
        <v>224</v>
      </c>
      <c r="L25" s="4" t="s">
        <v>225</v>
      </c>
      <c r="M25" s="4" t="s">
        <v>226</v>
      </c>
      <c r="N25" s="4" t="s">
        <v>232</v>
      </c>
      <c r="O25" s="4"/>
      <c r="R25" s="4" t="s">
        <v>1709</v>
      </c>
    </row>
    <row r="26">
      <c r="A26" s="67" t="str">
        <f t="shared" si="1"/>
        <v>Sun</v>
      </c>
      <c r="B26" s="69">
        <v>43611.0</v>
      </c>
      <c r="D26" s="4">
        <v>509.25</v>
      </c>
      <c r="E26" s="4" t="s">
        <v>222</v>
      </c>
      <c r="F26" s="4" t="s">
        <v>1708</v>
      </c>
      <c r="I26" s="4" t="s">
        <v>224</v>
      </c>
    </row>
    <row r="27">
      <c r="A27" s="67" t="str">
        <f t="shared" si="1"/>
        <v>Mon</v>
      </c>
      <c r="B27" s="69">
        <v>43612.0</v>
      </c>
      <c r="F27" s="4"/>
      <c r="G27" s="4"/>
      <c r="H27" s="4" t="s">
        <v>1708</v>
      </c>
      <c r="J27" s="4" t="s">
        <v>228</v>
      </c>
      <c r="L27" s="4" t="s">
        <v>229</v>
      </c>
      <c r="M27" s="4"/>
      <c r="N27" s="4"/>
      <c r="O27" s="4"/>
    </row>
    <row r="28">
      <c r="A28" s="67" t="str">
        <f t="shared" si="1"/>
        <v>Tue</v>
      </c>
      <c r="B28" s="69">
        <v>43613.0</v>
      </c>
      <c r="F28" s="4"/>
      <c r="J28" s="4" t="s">
        <v>228</v>
      </c>
    </row>
    <row r="29">
      <c r="A29" s="67" t="str">
        <f t="shared" si="1"/>
        <v>Wed</v>
      </c>
      <c r="B29" s="69">
        <v>43614.0</v>
      </c>
      <c r="D29" s="161">
        <v>237.65</v>
      </c>
      <c r="E29" s="4" t="s">
        <v>222</v>
      </c>
      <c r="F29" s="4" t="s">
        <v>1710</v>
      </c>
      <c r="G29" s="4" t="s">
        <v>1710</v>
      </c>
      <c r="H29" s="4"/>
      <c r="I29" s="4" t="s">
        <v>224</v>
      </c>
      <c r="K29" s="4" t="s">
        <v>231</v>
      </c>
      <c r="L29" s="4" t="s">
        <v>225</v>
      </c>
      <c r="M29" s="4" t="s">
        <v>1711</v>
      </c>
      <c r="N29" s="4" t="s">
        <v>1712</v>
      </c>
      <c r="O29" s="4" t="s">
        <v>1713</v>
      </c>
      <c r="Q29" s="4" t="s">
        <v>1714</v>
      </c>
      <c r="R29" s="4" t="s">
        <v>1715</v>
      </c>
      <c r="S29" s="4" t="s">
        <v>1716</v>
      </c>
    </row>
    <row r="30">
      <c r="A30" s="67" t="str">
        <f t="shared" si="1"/>
        <v>Thu</v>
      </c>
      <c r="B30" s="69">
        <v>43615.0</v>
      </c>
      <c r="D30" s="161">
        <v>237.65</v>
      </c>
      <c r="E30" s="4" t="s">
        <v>222</v>
      </c>
      <c r="F30" s="4" t="s">
        <v>1710</v>
      </c>
      <c r="I30" s="4" t="s">
        <v>224</v>
      </c>
    </row>
    <row r="31">
      <c r="A31" s="67" t="str">
        <f t="shared" si="1"/>
        <v>Fri</v>
      </c>
      <c r="B31" s="69">
        <v>43616.0</v>
      </c>
      <c r="D31" s="161">
        <v>237.65</v>
      </c>
      <c r="E31" s="4" t="s">
        <v>222</v>
      </c>
      <c r="F31" s="4" t="s">
        <v>1710</v>
      </c>
      <c r="I31" s="4" t="s">
        <v>224</v>
      </c>
    </row>
    <row r="32">
      <c r="A32" s="67" t="str">
        <f t="shared" si="1"/>
        <v>Sat</v>
      </c>
      <c r="B32" s="69">
        <v>43617.0</v>
      </c>
      <c r="D32" s="161">
        <v>237.65</v>
      </c>
      <c r="E32" s="4" t="s">
        <v>222</v>
      </c>
      <c r="F32" s="4" t="s">
        <v>1710</v>
      </c>
      <c r="I32" s="4" t="s">
        <v>224</v>
      </c>
    </row>
    <row r="33">
      <c r="A33" s="67" t="str">
        <f t="shared" si="1"/>
        <v>Sun</v>
      </c>
      <c r="B33" s="69">
        <v>43618.0</v>
      </c>
      <c r="H33" s="4" t="s">
        <v>1710</v>
      </c>
    </row>
    <row r="34">
      <c r="A34" s="67" t="str">
        <f t="shared" si="1"/>
        <v>Mon</v>
      </c>
      <c r="B34" s="69">
        <v>43619.0</v>
      </c>
    </row>
    <row r="35">
      <c r="A35" s="67" t="str">
        <f t="shared" si="1"/>
        <v>Tue</v>
      </c>
      <c r="B35" s="69">
        <v>43620.0</v>
      </c>
    </row>
    <row r="36">
      <c r="A36" s="67" t="str">
        <f t="shared" si="1"/>
        <v>Wed</v>
      </c>
      <c r="B36" s="69">
        <v>43621.0</v>
      </c>
    </row>
    <row r="37">
      <c r="A37" s="67" t="str">
        <f t="shared" si="1"/>
        <v>Thu</v>
      </c>
      <c r="B37" s="69">
        <v>43622.0</v>
      </c>
    </row>
    <row r="38">
      <c r="A38" s="67" t="str">
        <f t="shared" si="1"/>
        <v>Fri</v>
      </c>
      <c r="B38" s="69">
        <v>43623.0</v>
      </c>
    </row>
    <row r="39">
      <c r="A39" s="67" t="str">
        <f t="shared" si="1"/>
        <v>Sat</v>
      </c>
      <c r="B39" s="69">
        <v>43624.0</v>
      </c>
    </row>
    <row r="40">
      <c r="A40" s="67" t="str">
        <f t="shared" si="1"/>
        <v>Sun</v>
      </c>
      <c r="B40" s="69">
        <v>43625.0</v>
      </c>
    </row>
    <row r="41">
      <c r="A41" s="67" t="str">
        <f t="shared" si="1"/>
        <v>Mon</v>
      </c>
      <c r="B41" s="69">
        <v>43626.0</v>
      </c>
    </row>
    <row r="42">
      <c r="A42" s="67" t="str">
        <f t="shared" si="1"/>
        <v>Tue</v>
      </c>
      <c r="B42" s="69">
        <v>43627.0</v>
      </c>
    </row>
    <row r="43">
      <c r="A43" s="67" t="str">
        <f t="shared" si="1"/>
        <v>Wed</v>
      </c>
      <c r="B43" s="69">
        <v>43628.0</v>
      </c>
    </row>
    <row r="44">
      <c r="A44" s="67" t="str">
        <f t="shared" si="1"/>
        <v>Thu</v>
      </c>
      <c r="B44" s="69">
        <v>43629.0</v>
      </c>
    </row>
    <row r="45">
      <c r="A45" s="67" t="str">
        <f t="shared" si="1"/>
        <v>Fri</v>
      </c>
      <c r="B45" s="69">
        <v>43630.0</v>
      </c>
      <c r="D45" s="161">
        <v>250.0</v>
      </c>
      <c r="E45" s="4" t="s">
        <v>337</v>
      </c>
      <c r="F45" s="4" t="s">
        <v>1425</v>
      </c>
      <c r="G45" s="4" t="s">
        <v>1425</v>
      </c>
      <c r="I45" s="4" t="s">
        <v>224</v>
      </c>
      <c r="K45" s="4" t="s">
        <v>481</v>
      </c>
      <c r="L45" s="4" t="s">
        <v>229</v>
      </c>
      <c r="M45" s="4" t="s">
        <v>1717</v>
      </c>
      <c r="N45" s="4" t="s">
        <v>1718</v>
      </c>
      <c r="Q45" s="4" t="s">
        <v>1719</v>
      </c>
      <c r="R45" s="4" t="s">
        <v>1720</v>
      </c>
      <c r="S45" s="161">
        <v>8.4203722187E10</v>
      </c>
    </row>
    <row r="46">
      <c r="A46" s="67" t="str">
        <f t="shared" si="1"/>
        <v>Sat</v>
      </c>
      <c r="B46" s="69">
        <v>43631.0</v>
      </c>
      <c r="D46" s="161">
        <v>250.0</v>
      </c>
      <c r="E46" s="4" t="s">
        <v>337</v>
      </c>
      <c r="F46" s="4" t="s">
        <v>1425</v>
      </c>
      <c r="I46" s="4" t="s">
        <v>224</v>
      </c>
    </row>
    <row r="47">
      <c r="A47" s="67" t="str">
        <f t="shared" si="1"/>
        <v>Sun</v>
      </c>
      <c r="B47" s="69">
        <v>43632.0</v>
      </c>
      <c r="H47" s="4" t="s">
        <v>1425</v>
      </c>
    </row>
    <row r="48">
      <c r="A48" s="67" t="str">
        <f t="shared" si="1"/>
        <v>Mon</v>
      </c>
      <c r="B48" s="69">
        <v>43633.0</v>
      </c>
    </row>
    <row r="49">
      <c r="A49" s="67" t="str">
        <f t="shared" si="1"/>
        <v>Tue</v>
      </c>
      <c r="B49" s="69">
        <v>43634.0</v>
      </c>
    </row>
    <row r="50">
      <c r="A50" s="67" t="str">
        <f t="shared" si="1"/>
        <v>Wed</v>
      </c>
      <c r="B50" s="69">
        <v>43635.0</v>
      </c>
    </row>
    <row r="51">
      <c r="A51" s="67" t="str">
        <f t="shared" si="1"/>
        <v>Thu</v>
      </c>
      <c r="B51" s="69">
        <v>43636.0</v>
      </c>
    </row>
    <row r="52">
      <c r="A52" s="67" t="str">
        <f t="shared" si="1"/>
        <v>Fri</v>
      </c>
      <c r="B52" s="69">
        <v>43637.0</v>
      </c>
    </row>
    <row r="53">
      <c r="A53" s="67" t="str">
        <f t="shared" si="1"/>
        <v>Sat</v>
      </c>
      <c r="B53" s="69">
        <v>43638.0</v>
      </c>
    </row>
    <row r="54">
      <c r="A54" s="67" t="str">
        <f t="shared" si="1"/>
        <v>Sun</v>
      </c>
      <c r="B54" s="69">
        <v>43639.0</v>
      </c>
    </row>
    <row r="55">
      <c r="A55" s="67" t="str">
        <f t="shared" si="1"/>
        <v>Mon</v>
      </c>
      <c r="B55" s="69">
        <v>43640.0</v>
      </c>
    </row>
    <row r="56">
      <c r="A56" s="67" t="str">
        <f t="shared" si="1"/>
        <v>Tue</v>
      </c>
      <c r="B56" s="69">
        <v>43641.0</v>
      </c>
    </row>
    <row r="57">
      <c r="A57" s="67" t="str">
        <f t="shared" si="1"/>
        <v>Wed</v>
      </c>
      <c r="B57" s="69">
        <v>43642.0</v>
      </c>
    </row>
    <row r="58">
      <c r="A58" s="67" t="str">
        <f t="shared" si="1"/>
        <v>Thu</v>
      </c>
      <c r="B58" s="69">
        <v>43643.0</v>
      </c>
    </row>
    <row r="59">
      <c r="A59" s="67" t="str">
        <f t="shared" si="1"/>
        <v>Fri</v>
      </c>
      <c r="B59" s="69">
        <v>43644.0</v>
      </c>
    </row>
    <row r="60">
      <c r="A60" s="67" t="str">
        <f t="shared" si="1"/>
        <v>Sat</v>
      </c>
      <c r="B60" s="69">
        <v>43645.0</v>
      </c>
    </row>
    <row r="61">
      <c r="A61" s="67" t="str">
        <f t="shared" si="1"/>
        <v>Sun</v>
      </c>
      <c r="B61" s="69">
        <v>43646.0</v>
      </c>
    </row>
    <row r="62">
      <c r="A62" s="67" t="str">
        <f t="shared" si="1"/>
        <v>Mon</v>
      </c>
      <c r="B62" s="69">
        <v>43647.0</v>
      </c>
    </row>
    <row r="63">
      <c r="A63" s="67" t="str">
        <f t="shared" si="1"/>
        <v>Tue</v>
      </c>
      <c r="B63" s="69">
        <v>43648.0</v>
      </c>
    </row>
    <row r="64">
      <c r="A64" s="67" t="str">
        <f t="shared" si="1"/>
        <v>Wed</v>
      </c>
      <c r="B64" s="69">
        <v>43649.0</v>
      </c>
    </row>
    <row r="65">
      <c r="A65" s="67" t="str">
        <f t="shared" si="1"/>
        <v>Thu</v>
      </c>
      <c r="B65" s="69">
        <v>43650.0</v>
      </c>
    </row>
    <row r="66">
      <c r="A66" s="67" t="str">
        <f t="shared" si="1"/>
        <v>Fri</v>
      </c>
      <c r="B66" s="69">
        <v>43651.0</v>
      </c>
    </row>
    <row r="67">
      <c r="A67" s="67" t="str">
        <f t="shared" si="1"/>
        <v>Sat</v>
      </c>
      <c r="B67" s="69">
        <v>43652.0</v>
      </c>
    </row>
    <row r="68">
      <c r="A68" s="67" t="str">
        <f t="shared" si="1"/>
        <v>Sun</v>
      </c>
      <c r="B68" s="69">
        <v>43653.0</v>
      </c>
      <c r="D68" s="161">
        <v>275.0</v>
      </c>
      <c r="E68" s="4" t="s">
        <v>337</v>
      </c>
      <c r="F68" s="4" t="s">
        <v>1722</v>
      </c>
      <c r="G68" s="4" t="s">
        <v>1722</v>
      </c>
      <c r="I68" s="4" t="s">
        <v>224</v>
      </c>
      <c r="K68" s="4" t="s">
        <v>1229</v>
      </c>
      <c r="L68" s="4" t="s">
        <v>240</v>
      </c>
      <c r="M68" s="4" t="s">
        <v>1723</v>
      </c>
      <c r="Q68" s="4" t="s">
        <v>1724</v>
      </c>
      <c r="R68" s="4" t="s">
        <v>1725</v>
      </c>
      <c r="S68" s="161">
        <v>2.556252189E10</v>
      </c>
    </row>
    <row r="69">
      <c r="A69" s="67" t="str">
        <f t="shared" si="1"/>
        <v>Mon</v>
      </c>
      <c r="B69" s="69">
        <v>43654.0</v>
      </c>
      <c r="D69" s="161">
        <v>275.0</v>
      </c>
      <c r="E69" s="4" t="s">
        <v>337</v>
      </c>
      <c r="F69" s="4" t="s">
        <v>1722</v>
      </c>
      <c r="I69" s="4" t="s">
        <v>224</v>
      </c>
    </row>
    <row r="70">
      <c r="A70" s="67" t="str">
        <f t="shared" si="1"/>
        <v>Tue</v>
      </c>
      <c r="B70" s="69">
        <v>43655.0</v>
      </c>
      <c r="D70" s="161">
        <v>275.0</v>
      </c>
      <c r="E70" s="4" t="s">
        <v>337</v>
      </c>
      <c r="F70" s="4" t="s">
        <v>1722</v>
      </c>
      <c r="I70" s="4" t="s">
        <v>224</v>
      </c>
    </row>
    <row r="71">
      <c r="A71" s="67" t="str">
        <f t="shared" si="1"/>
        <v>Wed</v>
      </c>
      <c r="B71" s="69">
        <v>43656.0</v>
      </c>
      <c r="D71" s="161">
        <v>275.0</v>
      </c>
      <c r="E71" s="4" t="s">
        <v>337</v>
      </c>
      <c r="F71" s="4" t="s">
        <v>1722</v>
      </c>
      <c r="I71" s="4" t="s">
        <v>224</v>
      </c>
    </row>
    <row r="72">
      <c r="A72" s="67" t="str">
        <f t="shared" si="1"/>
        <v>Thu</v>
      </c>
      <c r="B72" s="69">
        <v>43657.0</v>
      </c>
      <c r="H72" s="4" t="s">
        <v>1722</v>
      </c>
    </row>
    <row r="73">
      <c r="A73" s="67" t="str">
        <f t="shared" si="1"/>
        <v>Fri</v>
      </c>
      <c r="B73" s="69">
        <v>43658.0</v>
      </c>
    </row>
    <row r="74">
      <c r="A74" s="67" t="str">
        <f t="shared" si="1"/>
        <v>Sat</v>
      </c>
      <c r="B74" s="69">
        <v>43659.0</v>
      </c>
    </row>
    <row r="75">
      <c r="A75" s="67" t="str">
        <f t="shared" si="1"/>
        <v>Sun</v>
      </c>
      <c r="B75" s="69">
        <v>43660.0</v>
      </c>
    </row>
    <row r="76">
      <c r="A76" s="67" t="str">
        <f t="shared" si="1"/>
        <v>Mon</v>
      </c>
      <c r="B76" s="69">
        <v>43661.0</v>
      </c>
    </row>
    <row r="77">
      <c r="A77" s="67" t="str">
        <f t="shared" si="1"/>
        <v>Tue</v>
      </c>
      <c r="B77" s="69">
        <v>43662.0</v>
      </c>
    </row>
    <row r="78">
      <c r="A78" s="67" t="str">
        <f t="shared" si="1"/>
        <v>Wed</v>
      </c>
      <c r="B78" s="69">
        <v>43663.0</v>
      </c>
    </row>
    <row r="79">
      <c r="A79" s="67" t="str">
        <f t="shared" si="1"/>
        <v>Thu</v>
      </c>
      <c r="B79" s="69">
        <v>43664.0</v>
      </c>
    </row>
    <row r="80">
      <c r="A80" s="67" t="str">
        <f t="shared" si="1"/>
        <v>Fri</v>
      </c>
      <c r="B80" s="69">
        <v>43665.0</v>
      </c>
    </row>
    <row r="81">
      <c r="A81" s="67" t="str">
        <f t="shared" si="1"/>
        <v>Sat</v>
      </c>
      <c r="B81" s="69">
        <v>43666.0</v>
      </c>
    </row>
    <row r="82">
      <c r="A82" s="67" t="str">
        <f t="shared" si="1"/>
        <v>Sun</v>
      </c>
      <c r="B82" s="69">
        <v>43667.0</v>
      </c>
    </row>
    <row r="83">
      <c r="A83" s="67" t="str">
        <f t="shared" si="1"/>
        <v>Mon</v>
      </c>
      <c r="B83" s="69">
        <v>43668.0</v>
      </c>
      <c r="D83" s="233">
        <v>76.43</v>
      </c>
      <c r="E83" s="4" t="s">
        <v>337</v>
      </c>
      <c r="F83" s="4" t="s">
        <v>1726</v>
      </c>
      <c r="G83" s="4" t="s">
        <v>1726</v>
      </c>
      <c r="I83" s="4" t="s">
        <v>224</v>
      </c>
      <c r="J83" s="4" t="s">
        <v>1727</v>
      </c>
      <c r="K83" s="4" t="s">
        <v>1229</v>
      </c>
      <c r="L83" s="4" t="s">
        <v>225</v>
      </c>
      <c r="M83" s="4"/>
      <c r="N83" s="4"/>
      <c r="Q83" s="4" t="s">
        <v>1728</v>
      </c>
      <c r="R83" s="4" t="s">
        <v>1729</v>
      </c>
      <c r="S83" s="4" t="s">
        <v>1730</v>
      </c>
    </row>
    <row r="84">
      <c r="A84" s="67" t="str">
        <f t="shared" si="1"/>
        <v>Tue</v>
      </c>
      <c r="B84" s="69">
        <v>43669.0</v>
      </c>
      <c r="D84" s="233">
        <v>76.43</v>
      </c>
      <c r="E84" s="4" t="s">
        <v>337</v>
      </c>
      <c r="F84" s="4" t="s">
        <v>1726</v>
      </c>
      <c r="I84" s="4" t="s">
        <v>224</v>
      </c>
    </row>
    <row r="85">
      <c r="A85" s="67" t="str">
        <f t="shared" si="1"/>
        <v>Wed</v>
      </c>
      <c r="B85" s="69">
        <v>43670.0</v>
      </c>
      <c r="D85" s="233">
        <v>76.43</v>
      </c>
      <c r="E85" s="4" t="s">
        <v>337</v>
      </c>
      <c r="F85" s="4" t="s">
        <v>1726</v>
      </c>
      <c r="I85" s="4" t="s">
        <v>224</v>
      </c>
    </row>
    <row r="86">
      <c r="A86" s="67" t="str">
        <f t="shared" si="1"/>
        <v>Thu</v>
      </c>
      <c r="B86" s="69">
        <v>43671.0</v>
      </c>
      <c r="D86" s="233">
        <v>76.43</v>
      </c>
      <c r="E86" s="4" t="s">
        <v>337</v>
      </c>
      <c r="F86" s="4" t="s">
        <v>1726</v>
      </c>
      <c r="I86" s="4" t="s">
        <v>224</v>
      </c>
    </row>
    <row r="87">
      <c r="A87" s="67" t="str">
        <f t="shared" si="1"/>
        <v>Fri</v>
      </c>
      <c r="B87" s="69">
        <v>43672.0</v>
      </c>
      <c r="D87" s="233">
        <v>76.43</v>
      </c>
      <c r="E87" s="4" t="s">
        <v>337</v>
      </c>
      <c r="F87" s="4" t="s">
        <v>1726</v>
      </c>
      <c r="I87" s="4" t="s">
        <v>224</v>
      </c>
    </row>
    <row r="88">
      <c r="A88" s="67" t="str">
        <f t="shared" si="1"/>
        <v>Sat</v>
      </c>
      <c r="B88" s="69">
        <v>43673.0</v>
      </c>
      <c r="D88" s="233">
        <v>76.43</v>
      </c>
      <c r="E88" s="4" t="s">
        <v>337</v>
      </c>
      <c r="F88" s="4" t="s">
        <v>1726</v>
      </c>
      <c r="I88" s="4" t="s">
        <v>224</v>
      </c>
    </row>
    <row r="89">
      <c r="A89" s="67" t="str">
        <f t="shared" si="1"/>
        <v>Sun</v>
      </c>
      <c r="B89" s="69">
        <v>43674.0</v>
      </c>
      <c r="D89" s="233">
        <v>76.42</v>
      </c>
      <c r="E89" s="4" t="s">
        <v>337</v>
      </c>
      <c r="F89" s="4" t="s">
        <v>1726</v>
      </c>
      <c r="I89" s="4" t="s">
        <v>224</v>
      </c>
    </row>
    <row r="90">
      <c r="A90" s="67" t="str">
        <f t="shared" si="1"/>
        <v>Mon</v>
      </c>
      <c r="B90" s="69">
        <v>43675.0</v>
      </c>
      <c r="H90" s="4" t="s">
        <v>1726</v>
      </c>
    </row>
    <row r="91">
      <c r="A91" s="67" t="str">
        <f t="shared" si="1"/>
        <v>Tue</v>
      </c>
      <c r="B91" s="69">
        <v>43676.0</v>
      </c>
    </row>
    <row r="92">
      <c r="A92" s="67" t="str">
        <f t="shared" si="1"/>
        <v>Wed</v>
      </c>
      <c r="B92" s="69">
        <v>43677.0</v>
      </c>
    </row>
    <row r="93">
      <c r="A93" s="67" t="str">
        <f t="shared" si="1"/>
        <v>Thu</v>
      </c>
      <c r="B93" s="69">
        <v>43678.0</v>
      </c>
    </row>
    <row r="94">
      <c r="A94" s="67" t="str">
        <f t="shared" si="1"/>
        <v>Fri</v>
      </c>
      <c r="B94" s="69">
        <v>43679.0</v>
      </c>
    </row>
    <row r="95">
      <c r="A95" s="67" t="str">
        <f t="shared" si="1"/>
        <v>Sat</v>
      </c>
      <c r="B95" s="69">
        <v>43680.0</v>
      </c>
    </row>
    <row r="96">
      <c r="A96" s="67" t="str">
        <f t="shared" si="1"/>
        <v>Sun</v>
      </c>
      <c r="B96" s="69">
        <v>43681.0</v>
      </c>
    </row>
    <row r="97">
      <c r="A97" s="67" t="str">
        <f t="shared" si="1"/>
        <v>Mon</v>
      </c>
      <c r="B97" s="69">
        <v>43682.0</v>
      </c>
    </row>
    <row r="98">
      <c r="A98" s="67" t="str">
        <f t="shared" si="1"/>
        <v>Tue</v>
      </c>
      <c r="B98" s="69">
        <v>43683.0</v>
      </c>
    </row>
    <row r="99">
      <c r="A99" s="67" t="str">
        <f t="shared" si="1"/>
        <v>Wed</v>
      </c>
      <c r="B99" s="69">
        <v>43684.0</v>
      </c>
    </row>
    <row r="100">
      <c r="A100" s="67" t="str">
        <f t="shared" si="1"/>
        <v>Thu</v>
      </c>
      <c r="B100" s="69">
        <v>43685.0</v>
      </c>
    </row>
    <row r="101">
      <c r="A101" s="67" t="str">
        <f t="shared" si="1"/>
        <v>Fri</v>
      </c>
      <c r="B101" s="69">
        <v>43686.0</v>
      </c>
    </row>
    <row r="102">
      <c r="A102" s="67" t="str">
        <f t="shared" si="1"/>
        <v>Sat</v>
      </c>
      <c r="B102" s="69">
        <v>43687.0</v>
      </c>
    </row>
    <row r="103">
      <c r="A103" s="67" t="str">
        <f t="shared" si="1"/>
        <v>Sun</v>
      </c>
      <c r="B103" s="69">
        <v>43688.0</v>
      </c>
    </row>
    <row r="104">
      <c r="A104" s="67" t="str">
        <f t="shared" si="1"/>
        <v>Mon</v>
      </c>
      <c r="B104" s="69">
        <v>43689.0</v>
      </c>
    </row>
    <row r="105">
      <c r="A105" s="67" t="str">
        <f t="shared" si="1"/>
        <v>Tue</v>
      </c>
      <c r="B105" s="69">
        <v>43690.0</v>
      </c>
    </row>
    <row r="106">
      <c r="A106" s="67" t="str">
        <f t="shared" si="1"/>
        <v>Wed</v>
      </c>
      <c r="B106" s="69">
        <v>43691.0</v>
      </c>
    </row>
    <row r="107">
      <c r="A107" s="67" t="str">
        <f t="shared" si="1"/>
        <v>Thu</v>
      </c>
      <c r="B107" s="69">
        <v>43692.0</v>
      </c>
    </row>
    <row r="108">
      <c r="A108" s="67" t="str">
        <f t="shared" si="1"/>
        <v>Fri</v>
      </c>
      <c r="B108" s="69">
        <v>43693.0</v>
      </c>
    </row>
    <row r="109">
      <c r="A109" s="67" t="str">
        <f t="shared" si="1"/>
        <v>Sat</v>
      </c>
      <c r="B109" s="69">
        <v>43694.0</v>
      </c>
    </row>
    <row r="110">
      <c r="A110" s="67" t="str">
        <f t="shared" si="1"/>
        <v>Sun</v>
      </c>
      <c r="B110" s="69">
        <v>43695.0</v>
      </c>
    </row>
    <row r="111">
      <c r="A111" s="67" t="str">
        <f t="shared" si="1"/>
        <v>Mon</v>
      </c>
      <c r="B111" s="69">
        <v>43696.0</v>
      </c>
    </row>
    <row r="112">
      <c r="A112" s="67" t="str">
        <f t="shared" si="1"/>
        <v>Tue</v>
      </c>
      <c r="B112" s="69">
        <v>43697.0</v>
      </c>
    </row>
    <row r="113">
      <c r="A113" s="67" t="str">
        <f t="shared" si="1"/>
        <v>Wed</v>
      </c>
      <c r="B113" s="69">
        <v>43698.0</v>
      </c>
    </row>
    <row r="114">
      <c r="A114" s="67" t="str">
        <f t="shared" si="1"/>
        <v>Thu</v>
      </c>
      <c r="B114" s="69">
        <v>43699.0</v>
      </c>
    </row>
    <row r="115">
      <c r="A115" s="67" t="str">
        <f t="shared" si="1"/>
        <v>Fri</v>
      </c>
      <c r="B115" s="69">
        <v>43700.0</v>
      </c>
    </row>
    <row r="116">
      <c r="A116" s="67" t="str">
        <f t="shared" si="1"/>
        <v>Sat</v>
      </c>
      <c r="B116" s="69">
        <v>43701.0</v>
      </c>
    </row>
    <row r="117">
      <c r="A117" s="67" t="str">
        <f t="shared" si="1"/>
        <v>Sun</v>
      </c>
      <c r="B117" s="69">
        <v>43702.0</v>
      </c>
    </row>
    <row r="118">
      <c r="A118" s="67" t="str">
        <f t="shared" si="1"/>
        <v>Mon</v>
      </c>
      <c r="B118" s="69">
        <v>43703.0</v>
      </c>
    </row>
    <row r="119">
      <c r="A119" s="67" t="str">
        <f t="shared" si="1"/>
        <v>Tue</v>
      </c>
      <c r="B119" s="69">
        <v>43704.0</v>
      </c>
    </row>
    <row r="120">
      <c r="A120" s="67" t="str">
        <f t="shared" si="1"/>
        <v>Wed</v>
      </c>
      <c r="B120" s="69">
        <v>43705.0</v>
      </c>
    </row>
    <row r="121">
      <c r="A121" s="67" t="str">
        <f t="shared" si="1"/>
        <v>Thu</v>
      </c>
      <c r="B121" s="69">
        <v>43706.0</v>
      </c>
    </row>
    <row r="122">
      <c r="A122" s="67" t="str">
        <f t="shared" si="1"/>
        <v>Fri</v>
      </c>
      <c r="B122" s="69">
        <v>43707.0</v>
      </c>
    </row>
    <row r="123">
      <c r="A123" s="67" t="str">
        <f t="shared" si="1"/>
        <v>Sat</v>
      </c>
      <c r="B123" s="69">
        <v>43708.0</v>
      </c>
    </row>
    <row r="124">
      <c r="A124" s="67" t="str">
        <f t="shared" si="1"/>
        <v>Sun</v>
      </c>
      <c r="B124" s="69">
        <v>43709.0</v>
      </c>
    </row>
    <row r="125">
      <c r="A125" s="67" t="str">
        <f t="shared" si="1"/>
        <v>Mon</v>
      </c>
      <c r="B125" s="69">
        <v>43710.0</v>
      </c>
    </row>
    <row r="126">
      <c r="A126" s="67" t="str">
        <f t="shared" si="1"/>
        <v>Tue</v>
      </c>
      <c r="B126" s="69">
        <v>43711.0</v>
      </c>
    </row>
    <row r="127">
      <c r="A127" s="67" t="str">
        <f t="shared" si="1"/>
        <v>Wed</v>
      </c>
      <c r="B127" s="69">
        <v>43712.0</v>
      </c>
    </row>
    <row r="128">
      <c r="A128" s="67" t="str">
        <f t="shared" si="1"/>
        <v>Thu</v>
      </c>
      <c r="B128" s="69">
        <v>43713.0</v>
      </c>
    </row>
    <row r="129">
      <c r="A129" s="67" t="str">
        <f t="shared" si="1"/>
        <v>Fri</v>
      </c>
      <c r="B129" s="69">
        <v>43714.0</v>
      </c>
    </row>
    <row r="130">
      <c r="A130" s="67" t="str">
        <f t="shared" si="1"/>
        <v>Sat</v>
      </c>
      <c r="B130" s="69">
        <v>43715.0</v>
      </c>
    </row>
    <row r="131">
      <c r="A131" s="67" t="str">
        <f t="shared" si="1"/>
        <v>Sun</v>
      </c>
      <c r="B131" s="69">
        <v>43716.0</v>
      </c>
    </row>
    <row r="132">
      <c r="A132" s="67" t="str">
        <f t="shared" si="1"/>
        <v>Mon</v>
      </c>
      <c r="B132" s="69">
        <v>43717.0</v>
      </c>
    </row>
    <row r="133">
      <c r="A133" s="67" t="str">
        <f t="shared" si="1"/>
        <v>Tue</v>
      </c>
      <c r="B133" s="69">
        <v>43718.0</v>
      </c>
    </row>
    <row r="134">
      <c r="A134" s="67" t="str">
        <f t="shared" si="1"/>
        <v>Wed</v>
      </c>
      <c r="B134" s="69">
        <v>43719.0</v>
      </c>
    </row>
    <row r="135">
      <c r="A135" s="67" t="str">
        <f t="shared" si="1"/>
        <v>Thu</v>
      </c>
      <c r="B135" s="69">
        <v>43720.0</v>
      </c>
    </row>
    <row r="136">
      <c r="A136" s="67" t="str">
        <f t="shared" si="1"/>
        <v>Fri</v>
      </c>
      <c r="B136" s="69">
        <v>43721.0</v>
      </c>
    </row>
    <row r="137">
      <c r="A137" s="67" t="str">
        <f t="shared" si="1"/>
        <v>Sat</v>
      </c>
      <c r="B137" s="69">
        <v>43722.0</v>
      </c>
    </row>
    <row r="138">
      <c r="A138" s="67" t="str">
        <f t="shared" si="1"/>
        <v>Sun</v>
      </c>
      <c r="B138" s="69">
        <v>43723.0</v>
      </c>
    </row>
    <row r="139">
      <c r="A139" s="67" t="str">
        <f t="shared" si="1"/>
        <v>Mon</v>
      </c>
      <c r="B139" s="69">
        <v>43724.0</v>
      </c>
    </row>
    <row r="140">
      <c r="A140" s="67" t="str">
        <f t="shared" si="1"/>
        <v>Tue</v>
      </c>
      <c r="B140" s="69">
        <v>43725.0</v>
      </c>
    </row>
    <row r="141">
      <c r="A141" s="67" t="str">
        <f t="shared" si="1"/>
        <v>Wed</v>
      </c>
      <c r="B141" s="69">
        <v>43726.0</v>
      </c>
    </row>
    <row r="142">
      <c r="A142" s="67" t="str">
        <f t="shared" si="1"/>
        <v>Thu</v>
      </c>
      <c r="B142" s="69">
        <v>43727.0</v>
      </c>
    </row>
    <row r="143">
      <c r="A143" s="67" t="str">
        <f t="shared" si="1"/>
        <v>Fri</v>
      </c>
      <c r="B143" s="69">
        <v>43728.0</v>
      </c>
    </row>
    <row r="144">
      <c r="A144" s="67" t="str">
        <f t="shared" si="1"/>
        <v>Sat</v>
      </c>
      <c r="B144" s="69">
        <v>43729.0</v>
      </c>
    </row>
    <row r="145">
      <c r="A145" s="67" t="str">
        <f t="shared" si="1"/>
        <v>Sun</v>
      </c>
      <c r="B145" s="69">
        <v>43730.0</v>
      </c>
    </row>
    <row r="146">
      <c r="A146" s="67" t="str">
        <f t="shared" si="1"/>
        <v>Mon</v>
      </c>
      <c r="B146" s="69">
        <v>43731.0</v>
      </c>
    </row>
    <row r="147">
      <c r="A147" s="67" t="str">
        <f t="shared" si="1"/>
        <v>Tue</v>
      </c>
      <c r="B147" s="69">
        <v>43732.0</v>
      </c>
    </row>
    <row r="148">
      <c r="A148" s="67" t="str">
        <f t="shared" si="1"/>
        <v>Wed</v>
      </c>
      <c r="B148" s="69">
        <v>43733.0</v>
      </c>
    </row>
    <row r="149">
      <c r="A149" s="67" t="str">
        <f t="shared" si="1"/>
        <v>Thu</v>
      </c>
      <c r="B149" s="69">
        <v>43734.0</v>
      </c>
    </row>
    <row r="150">
      <c r="A150" s="67" t="str">
        <f t="shared" si="1"/>
        <v>Fri</v>
      </c>
      <c r="B150" s="69">
        <v>43735.0</v>
      </c>
    </row>
    <row r="151">
      <c r="A151" s="67" t="str">
        <f t="shared" si="1"/>
        <v>Sat</v>
      </c>
      <c r="B151" s="69">
        <v>43736.0</v>
      </c>
    </row>
    <row r="152">
      <c r="A152" s="67" t="str">
        <f t="shared" si="1"/>
        <v>Sun</v>
      </c>
      <c r="B152" s="69">
        <v>43737.0</v>
      </c>
    </row>
    <row r="153">
      <c r="A153" s="67" t="str">
        <f t="shared" si="1"/>
        <v>Mon</v>
      </c>
      <c r="B153" s="69">
        <v>43738.0</v>
      </c>
    </row>
    <row r="154">
      <c r="A154" s="67" t="str">
        <f t="shared" si="1"/>
        <v>Tue</v>
      </c>
      <c r="B154" s="69">
        <v>43739.0</v>
      </c>
    </row>
    <row r="155">
      <c r="A155" s="67" t="str">
        <f t="shared" si="1"/>
        <v>Wed</v>
      </c>
      <c r="B155" s="69">
        <v>43740.0</v>
      </c>
    </row>
    <row r="156">
      <c r="A156" s="67" t="str">
        <f t="shared" si="1"/>
        <v>Thu</v>
      </c>
      <c r="B156" s="69">
        <v>43741.0</v>
      </c>
    </row>
    <row r="157">
      <c r="A157" s="67" t="str">
        <f t="shared" si="1"/>
        <v>Fri</v>
      </c>
      <c r="B157" s="69">
        <v>43742.0</v>
      </c>
    </row>
    <row r="158">
      <c r="A158" s="67" t="str">
        <f t="shared" si="1"/>
        <v>Sat</v>
      </c>
      <c r="B158" s="69">
        <v>43743.0</v>
      </c>
    </row>
    <row r="159">
      <c r="A159" s="67" t="str">
        <f t="shared" si="1"/>
        <v>Sun</v>
      </c>
      <c r="B159" s="69">
        <v>43744.0</v>
      </c>
    </row>
    <row r="160">
      <c r="A160" s="67" t="str">
        <f t="shared" si="1"/>
        <v>Mon</v>
      </c>
      <c r="B160" s="69">
        <v>43745.0</v>
      </c>
    </row>
    <row r="161">
      <c r="A161" s="67" t="str">
        <f t="shared" si="1"/>
        <v>Tue</v>
      </c>
      <c r="B161" s="69">
        <v>43746.0</v>
      </c>
    </row>
    <row r="162">
      <c r="A162" s="67" t="str">
        <f t="shared" si="1"/>
        <v>Wed</v>
      </c>
      <c r="B162" s="69">
        <v>43747.0</v>
      </c>
    </row>
    <row r="163">
      <c r="A163" s="67" t="str">
        <f t="shared" si="1"/>
        <v>Thu</v>
      </c>
      <c r="B163" s="69">
        <v>43748.0</v>
      </c>
    </row>
    <row r="164">
      <c r="A164" s="67" t="str">
        <f t="shared" si="1"/>
        <v>Fri</v>
      </c>
      <c r="B164" s="69">
        <v>43749.0</v>
      </c>
    </row>
    <row r="165">
      <c r="A165" s="67" t="str">
        <f t="shared" si="1"/>
        <v>Sat</v>
      </c>
      <c r="B165" s="69">
        <v>43750.0</v>
      </c>
    </row>
    <row r="166">
      <c r="A166" s="67" t="str">
        <f t="shared" si="1"/>
        <v>Sun</v>
      </c>
      <c r="B166" s="69">
        <v>43751.0</v>
      </c>
    </row>
    <row r="167">
      <c r="A167" s="67" t="str">
        <f t="shared" si="1"/>
        <v>Mon</v>
      </c>
      <c r="B167" s="69">
        <v>43752.0</v>
      </c>
    </row>
    <row r="168">
      <c r="A168" s="67" t="str">
        <f t="shared" si="1"/>
        <v>Tue</v>
      </c>
      <c r="B168" s="69">
        <v>43753.0</v>
      </c>
    </row>
    <row r="169">
      <c r="A169" s="67" t="str">
        <f t="shared" si="1"/>
        <v>Wed</v>
      </c>
      <c r="B169" s="69">
        <v>43754.0</v>
      </c>
    </row>
    <row r="170">
      <c r="A170" s="67" t="str">
        <f t="shared" si="1"/>
        <v>Thu</v>
      </c>
      <c r="B170" s="69">
        <v>43755.0</v>
      </c>
    </row>
    <row r="171">
      <c r="A171" s="67" t="str">
        <f t="shared" si="1"/>
        <v>Fri</v>
      </c>
      <c r="B171" s="69">
        <v>43756.0</v>
      </c>
    </row>
    <row r="172">
      <c r="A172" s="67" t="str">
        <f t="shared" si="1"/>
        <v>Sat</v>
      </c>
      <c r="B172" s="69">
        <v>43757.0</v>
      </c>
    </row>
    <row r="173">
      <c r="A173" s="67" t="str">
        <f t="shared" si="1"/>
        <v>Sun</v>
      </c>
      <c r="B173" s="69">
        <v>43758.0</v>
      </c>
    </row>
    <row r="174">
      <c r="A174" s="67" t="str">
        <f t="shared" si="1"/>
        <v>Mon</v>
      </c>
      <c r="B174" s="69">
        <v>43759.0</v>
      </c>
    </row>
    <row r="175">
      <c r="A175" s="67" t="str">
        <f t="shared" si="1"/>
        <v>Tue</v>
      </c>
      <c r="B175" s="69">
        <v>43760.0</v>
      </c>
    </row>
    <row r="176">
      <c r="A176" s="67" t="str">
        <f t="shared" si="1"/>
        <v>Wed</v>
      </c>
      <c r="B176" s="69">
        <v>43761.0</v>
      </c>
    </row>
    <row r="177">
      <c r="A177" s="67" t="str">
        <f t="shared" si="1"/>
        <v>Thu</v>
      </c>
      <c r="B177" s="69">
        <v>43762.0</v>
      </c>
    </row>
    <row r="178">
      <c r="A178" s="67" t="str">
        <f t="shared" si="1"/>
        <v>Fri</v>
      </c>
      <c r="B178" s="69">
        <v>43763.0</v>
      </c>
    </row>
    <row r="179">
      <c r="A179" s="67" t="str">
        <f t="shared" si="1"/>
        <v>Sat</v>
      </c>
      <c r="B179" s="69">
        <v>43764.0</v>
      </c>
    </row>
    <row r="180">
      <c r="A180" s="67" t="str">
        <f t="shared" si="1"/>
        <v>Sun</v>
      </c>
      <c r="B180" s="69">
        <v>43765.0</v>
      </c>
    </row>
    <row r="181">
      <c r="A181" s="67" t="str">
        <f t="shared" si="1"/>
        <v>Mon</v>
      </c>
      <c r="B181" s="69">
        <v>43766.0</v>
      </c>
    </row>
    <row r="182">
      <c r="A182" s="67" t="str">
        <f t="shared" si="1"/>
        <v>Tue</v>
      </c>
      <c r="B182" s="69">
        <v>43767.0</v>
      </c>
    </row>
    <row r="183">
      <c r="A183" s="67" t="str">
        <f t="shared" si="1"/>
        <v>Wed</v>
      </c>
      <c r="B183" s="69">
        <v>43768.0</v>
      </c>
    </row>
    <row r="184">
      <c r="A184" s="67" t="str">
        <f t="shared" si="1"/>
        <v>Thu</v>
      </c>
      <c r="B184" s="69">
        <v>43769.0</v>
      </c>
    </row>
    <row r="185">
      <c r="A185" s="67" t="str">
        <f t="shared" si="1"/>
        <v>Fri</v>
      </c>
      <c r="B185" s="69">
        <v>43770.0</v>
      </c>
    </row>
    <row r="186">
      <c r="A186" s="67" t="str">
        <f t="shared" si="1"/>
        <v>Sat</v>
      </c>
      <c r="B186" s="69">
        <v>43771.0</v>
      </c>
    </row>
    <row r="187">
      <c r="A187" s="67" t="str">
        <f t="shared" si="1"/>
        <v>Sun</v>
      </c>
      <c r="B187" s="69">
        <v>43772.0</v>
      </c>
    </row>
    <row r="188">
      <c r="A188" s="67" t="str">
        <f t="shared" si="1"/>
        <v>Mon</v>
      </c>
      <c r="B188" s="69">
        <v>43773.0</v>
      </c>
    </row>
    <row r="189">
      <c r="A189" s="67" t="str">
        <f t="shared" si="1"/>
        <v>Tue</v>
      </c>
      <c r="B189" s="69">
        <v>43774.0</v>
      </c>
    </row>
    <row r="190">
      <c r="A190" s="67" t="str">
        <f t="shared" si="1"/>
        <v>Wed</v>
      </c>
      <c r="B190" s="69">
        <v>43775.0</v>
      </c>
    </row>
    <row r="191">
      <c r="A191" s="67" t="str">
        <f t="shared" si="1"/>
        <v>Thu</v>
      </c>
      <c r="B191" s="69">
        <v>43776.0</v>
      </c>
    </row>
    <row r="192">
      <c r="A192" s="67" t="str">
        <f t="shared" si="1"/>
        <v>Fri</v>
      </c>
      <c r="B192" s="69">
        <v>43777.0</v>
      </c>
    </row>
    <row r="193">
      <c r="A193" s="67" t="str">
        <f t="shared" si="1"/>
        <v>Sat</v>
      </c>
      <c r="B193" s="69">
        <v>43778.0</v>
      </c>
    </row>
    <row r="194">
      <c r="A194" s="67" t="str">
        <f t="shared" si="1"/>
        <v>Sun</v>
      </c>
      <c r="B194" s="69">
        <v>43779.0</v>
      </c>
    </row>
    <row r="195">
      <c r="A195" s="67" t="str">
        <f t="shared" si="1"/>
        <v>Mon</v>
      </c>
      <c r="B195" s="69">
        <v>43780.0</v>
      </c>
    </row>
    <row r="196">
      <c r="A196" s="67" t="str">
        <f t="shared" si="1"/>
        <v>Tue</v>
      </c>
      <c r="B196" s="69">
        <v>43781.0</v>
      </c>
    </row>
    <row r="197">
      <c r="A197" s="67" t="str">
        <f t="shared" si="1"/>
        <v>Wed</v>
      </c>
      <c r="B197" s="69">
        <v>43782.0</v>
      </c>
    </row>
    <row r="198">
      <c r="A198" s="67" t="str">
        <f t="shared" si="1"/>
        <v>Thu</v>
      </c>
      <c r="B198" s="69">
        <v>43783.0</v>
      </c>
    </row>
    <row r="199">
      <c r="A199" s="67" t="str">
        <f t="shared" si="1"/>
        <v>Fri</v>
      </c>
      <c r="B199" s="69">
        <v>43784.0</v>
      </c>
    </row>
    <row r="200">
      <c r="A200" s="67" t="str">
        <f t="shared" si="1"/>
        <v>Sat</v>
      </c>
      <c r="B200" s="69">
        <v>43785.0</v>
      </c>
    </row>
    <row r="201">
      <c r="A201" s="67" t="str">
        <f t="shared" si="1"/>
        <v>Sun</v>
      </c>
      <c r="B201" s="69">
        <v>43786.0</v>
      </c>
    </row>
    <row r="202">
      <c r="A202" s="67" t="str">
        <f t="shared" si="1"/>
        <v>Mon</v>
      </c>
      <c r="B202" s="69">
        <v>43787.0</v>
      </c>
    </row>
    <row r="203">
      <c r="A203" s="67" t="str">
        <f t="shared" si="1"/>
        <v>Tue</v>
      </c>
      <c r="B203" s="69">
        <v>43788.0</v>
      </c>
    </row>
    <row r="204">
      <c r="A204" s="67" t="str">
        <f t="shared" si="1"/>
        <v>Wed</v>
      </c>
      <c r="B204" s="69">
        <v>43789.0</v>
      </c>
    </row>
    <row r="205">
      <c r="A205" s="67" t="str">
        <f t="shared" si="1"/>
        <v>Thu</v>
      </c>
      <c r="B205" s="69">
        <v>43790.0</v>
      </c>
    </row>
    <row r="206">
      <c r="A206" s="67" t="str">
        <f t="shared" si="1"/>
        <v>Fri</v>
      </c>
      <c r="B206" s="69">
        <v>43791.0</v>
      </c>
    </row>
    <row r="207">
      <c r="A207" s="67" t="str">
        <f t="shared" si="1"/>
        <v>Sat</v>
      </c>
      <c r="B207" s="69">
        <v>43792.0</v>
      </c>
    </row>
    <row r="208">
      <c r="A208" s="67" t="str">
        <f t="shared" si="1"/>
        <v>Sun</v>
      </c>
      <c r="B208" s="69">
        <v>43793.0</v>
      </c>
    </row>
    <row r="209">
      <c r="A209" s="67" t="str">
        <f t="shared" si="1"/>
        <v>Mon</v>
      </c>
      <c r="B209" s="69">
        <v>43794.0</v>
      </c>
    </row>
    <row r="210">
      <c r="A210" s="67" t="str">
        <f t="shared" si="1"/>
        <v>Tue</v>
      </c>
      <c r="B210" s="69">
        <v>43795.0</v>
      </c>
    </row>
    <row r="211">
      <c r="A211" s="67" t="str">
        <f t="shared" si="1"/>
        <v>Wed</v>
      </c>
      <c r="B211" s="69">
        <v>43796.0</v>
      </c>
    </row>
    <row r="212">
      <c r="A212" s="67" t="str">
        <f t="shared" si="1"/>
        <v>Thu</v>
      </c>
      <c r="B212" s="69">
        <v>43797.0</v>
      </c>
    </row>
    <row r="213">
      <c r="A213" s="67" t="str">
        <f t="shared" si="1"/>
        <v>Fri</v>
      </c>
      <c r="B213" s="69">
        <v>43798.0</v>
      </c>
    </row>
    <row r="214">
      <c r="A214" s="67" t="str">
        <f t="shared" si="1"/>
        <v>Sat</v>
      </c>
      <c r="B214" s="69">
        <v>43799.0</v>
      </c>
    </row>
    <row r="215">
      <c r="A215" s="67" t="str">
        <f t="shared" si="1"/>
        <v>Sun</v>
      </c>
      <c r="B215" s="69">
        <v>43800.0</v>
      </c>
    </row>
    <row r="216">
      <c r="A216" s="67" t="str">
        <f t="shared" si="1"/>
        <v>Mon</v>
      </c>
      <c r="B216" s="69">
        <v>43801.0</v>
      </c>
    </row>
    <row r="217">
      <c r="A217" s="67" t="str">
        <f t="shared" si="1"/>
        <v>Tue</v>
      </c>
      <c r="B217" s="69">
        <v>43802.0</v>
      </c>
    </row>
    <row r="218">
      <c r="A218" s="67" t="str">
        <f t="shared" si="1"/>
        <v>Wed</v>
      </c>
      <c r="B218" s="69">
        <v>43803.0</v>
      </c>
    </row>
    <row r="219">
      <c r="A219" s="67" t="str">
        <f t="shared" si="1"/>
        <v>Thu</v>
      </c>
      <c r="B219" s="69">
        <v>43804.0</v>
      </c>
    </row>
    <row r="220">
      <c r="A220" s="67" t="str">
        <f t="shared" si="1"/>
        <v>Fri</v>
      </c>
      <c r="B220" s="69">
        <v>43805.0</v>
      </c>
    </row>
    <row r="221">
      <c r="A221" s="67" t="str">
        <f t="shared" si="1"/>
        <v>Sat</v>
      </c>
      <c r="B221" s="69">
        <v>43806.0</v>
      </c>
    </row>
    <row r="222">
      <c r="A222" s="67" t="str">
        <f t="shared" si="1"/>
        <v>Sun</v>
      </c>
      <c r="B222" s="69">
        <v>43807.0</v>
      </c>
    </row>
    <row r="223">
      <c r="A223" s="67" t="str">
        <f t="shared" si="1"/>
        <v>Mon</v>
      </c>
      <c r="B223" s="69">
        <v>43808.0</v>
      </c>
      <c r="D223" s="161">
        <v>530.0</v>
      </c>
      <c r="E223" s="4" t="s">
        <v>337</v>
      </c>
      <c r="F223" s="4" t="s">
        <v>1739</v>
      </c>
      <c r="G223" s="4" t="s">
        <v>1739</v>
      </c>
      <c r="I223" s="4" t="s">
        <v>224</v>
      </c>
      <c r="K223" s="4" t="s">
        <v>231</v>
      </c>
      <c r="L223" s="4" t="s">
        <v>229</v>
      </c>
      <c r="M223" s="4" t="s">
        <v>1740</v>
      </c>
      <c r="N223" s="4" t="s">
        <v>1741</v>
      </c>
      <c r="O223" s="4" t="s">
        <v>1742</v>
      </c>
      <c r="Q223" s="4" t="s">
        <v>1743</v>
      </c>
      <c r="R223" s="4" t="s">
        <v>1744</v>
      </c>
      <c r="S223" s="161">
        <v>6.5040627149E10</v>
      </c>
    </row>
    <row r="224">
      <c r="A224" s="67" t="str">
        <f t="shared" si="1"/>
        <v>Tue</v>
      </c>
      <c r="B224" s="69">
        <v>43809.0</v>
      </c>
      <c r="D224" s="161">
        <v>530.0</v>
      </c>
      <c r="E224" s="4" t="s">
        <v>337</v>
      </c>
      <c r="F224" s="4" t="s">
        <v>1739</v>
      </c>
      <c r="I224" s="4" t="s">
        <v>224</v>
      </c>
    </row>
    <row r="225">
      <c r="A225" s="67" t="str">
        <f t="shared" si="1"/>
        <v>Wed</v>
      </c>
      <c r="B225" s="69">
        <v>43810.0</v>
      </c>
      <c r="D225" s="161">
        <v>530.0</v>
      </c>
      <c r="E225" s="4" t="s">
        <v>337</v>
      </c>
      <c r="F225" s="4" t="s">
        <v>1739</v>
      </c>
      <c r="I225" s="4" t="s">
        <v>224</v>
      </c>
    </row>
    <row r="226">
      <c r="A226" s="67" t="str">
        <f t="shared" si="1"/>
        <v>Thu</v>
      </c>
      <c r="B226" s="69">
        <v>43811.0</v>
      </c>
      <c r="D226" s="161">
        <v>530.0</v>
      </c>
      <c r="E226" s="4" t="s">
        <v>337</v>
      </c>
      <c r="F226" s="4" t="s">
        <v>1739</v>
      </c>
      <c r="I226" s="4" t="s">
        <v>224</v>
      </c>
    </row>
    <row r="227">
      <c r="A227" s="67" t="str">
        <f t="shared" si="1"/>
        <v>Fri</v>
      </c>
      <c r="B227" s="69">
        <v>43812.0</v>
      </c>
      <c r="D227" s="161">
        <v>530.0</v>
      </c>
      <c r="E227" s="4" t="s">
        <v>337</v>
      </c>
      <c r="F227" s="4" t="s">
        <v>1739</v>
      </c>
      <c r="I227" s="4" t="s">
        <v>224</v>
      </c>
    </row>
    <row r="228">
      <c r="A228" s="67" t="str">
        <f t="shared" si="1"/>
        <v>Sat</v>
      </c>
      <c r="B228" s="69">
        <v>43813.0</v>
      </c>
      <c r="D228" s="161">
        <v>530.0</v>
      </c>
      <c r="E228" s="4" t="s">
        <v>337</v>
      </c>
      <c r="F228" s="4" t="s">
        <v>1739</v>
      </c>
      <c r="I228" s="4" t="s">
        <v>224</v>
      </c>
    </row>
    <row r="229">
      <c r="A229" s="67" t="str">
        <f t="shared" si="1"/>
        <v>Sun</v>
      </c>
      <c r="B229" s="69">
        <v>43814.0</v>
      </c>
      <c r="D229" s="161">
        <v>530.0</v>
      </c>
      <c r="E229" s="4" t="s">
        <v>337</v>
      </c>
      <c r="F229" s="4" t="s">
        <v>1739</v>
      </c>
      <c r="I229" s="4" t="s">
        <v>224</v>
      </c>
    </row>
    <row r="230">
      <c r="A230" s="67" t="str">
        <f t="shared" si="1"/>
        <v>Mon</v>
      </c>
      <c r="B230" s="69">
        <v>43815.0</v>
      </c>
      <c r="D230" s="161">
        <v>530.0</v>
      </c>
      <c r="E230" s="4" t="s">
        <v>337</v>
      </c>
      <c r="F230" s="4" t="s">
        <v>1739</v>
      </c>
      <c r="I230" s="4" t="s">
        <v>224</v>
      </c>
    </row>
    <row r="231">
      <c r="A231" s="67" t="str">
        <f t="shared" si="1"/>
        <v>Tue</v>
      </c>
      <c r="B231" s="69">
        <v>43816.0</v>
      </c>
      <c r="D231" s="161">
        <v>530.0</v>
      </c>
      <c r="E231" s="4" t="s">
        <v>337</v>
      </c>
      <c r="F231" s="4" t="s">
        <v>1739</v>
      </c>
      <c r="I231" s="4" t="s">
        <v>224</v>
      </c>
    </row>
    <row r="232">
      <c r="A232" s="67" t="str">
        <f t="shared" si="1"/>
        <v>Wed</v>
      </c>
      <c r="B232" s="69">
        <v>43817.0</v>
      </c>
      <c r="D232" s="161">
        <v>530.0</v>
      </c>
      <c r="E232" s="4" t="s">
        <v>337</v>
      </c>
      <c r="F232" s="4" t="s">
        <v>1739</v>
      </c>
      <c r="I232" s="4" t="s">
        <v>224</v>
      </c>
    </row>
    <row r="233">
      <c r="A233" s="67" t="str">
        <f t="shared" si="1"/>
        <v>Thu</v>
      </c>
      <c r="B233" s="69">
        <v>43818.0</v>
      </c>
      <c r="H233" s="4" t="s">
        <v>1739</v>
      </c>
    </row>
    <row r="234">
      <c r="A234" s="67" t="str">
        <f t="shared" si="1"/>
        <v>Fri</v>
      </c>
      <c r="B234" s="69">
        <v>43819.0</v>
      </c>
    </row>
    <row r="235">
      <c r="A235" s="67" t="str">
        <f t="shared" si="1"/>
        <v>Sat</v>
      </c>
      <c r="B235" s="69">
        <v>43820.0</v>
      </c>
    </row>
    <row r="236">
      <c r="A236" s="67" t="str">
        <f t="shared" si="1"/>
        <v>Sun</v>
      </c>
      <c r="B236" s="69">
        <v>43821.0</v>
      </c>
    </row>
    <row r="237">
      <c r="A237" s="67" t="str">
        <f t="shared" si="1"/>
        <v>Mon</v>
      </c>
      <c r="B237" s="69">
        <v>43822.0</v>
      </c>
    </row>
    <row r="238">
      <c r="A238" s="67" t="str">
        <f t="shared" si="1"/>
        <v>Tue</v>
      </c>
      <c r="B238" s="69">
        <v>43823.0</v>
      </c>
    </row>
    <row r="239">
      <c r="A239" s="67" t="str">
        <f t="shared" si="1"/>
        <v>Wed</v>
      </c>
      <c r="B239" s="69">
        <v>43824.0</v>
      </c>
    </row>
    <row r="240">
      <c r="A240" s="67" t="str">
        <f t="shared" si="1"/>
        <v>Thu</v>
      </c>
      <c r="B240" s="69">
        <v>43825.0</v>
      </c>
    </row>
    <row r="241">
      <c r="A241" s="67" t="str">
        <f t="shared" si="1"/>
        <v>Fri</v>
      </c>
      <c r="B241" s="69">
        <v>43826.0</v>
      </c>
    </row>
    <row r="242">
      <c r="A242" s="67" t="str">
        <f t="shared" si="1"/>
        <v>Sat</v>
      </c>
      <c r="B242" s="69">
        <v>43827.0</v>
      </c>
    </row>
    <row r="243">
      <c r="A243" s="67" t="str">
        <f t="shared" si="1"/>
        <v>Sun</v>
      </c>
      <c r="B243" s="69">
        <v>43828.0</v>
      </c>
    </row>
    <row r="244">
      <c r="A244" s="67" t="str">
        <f t="shared" si="1"/>
        <v>Mon</v>
      </c>
      <c r="B244" s="69">
        <v>43829.0</v>
      </c>
    </row>
    <row r="245">
      <c r="A245" s="67" t="str">
        <f t="shared" si="1"/>
        <v>Tue</v>
      </c>
      <c r="B245" s="69">
        <v>43830.0</v>
      </c>
    </row>
  </sheetData>
  <mergeCells count="5">
    <mergeCell ref="E1:F1"/>
    <mergeCell ref="E2:F2"/>
    <mergeCell ref="E3:F3"/>
    <mergeCell ref="A1:C3"/>
    <mergeCell ref="G1:R3"/>
  </mergeCells>
  <conditionalFormatting sqref="K4:L245">
    <cfRule type="cellIs" dxfId="0" priority="1" operator="equal">
      <formula>"Enviar email para hotel"</formula>
    </cfRule>
  </conditionalFormatting>
  <dataValidations>
    <dataValidation type="list" allowBlank="1" sqref="L6:L245">
      <formula1>"Enviar email para hotel,Enviado para o hotel,Código de reserva enviado para hóspede,Verificar dados com o hóspede,URGENTE,Fechado"</formula1>
    </dataValidation>
    <dataValidation type="list" allowBlank="1" sqref="K6:K245">
      <formula1>"A PAGAR,PARCIALMENTE PAGO,PAGO"</formula1>
    </dataValidation>
  </dataValidations>
  <hyperlinks>
    <hyperlink display="Sumario" location="Sumario!A1" ref="A4"/>
  </hyperlinks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13.57"/>
    <col customWidth="1" min="4" max="4" width="17.0"/>
  </cols>
  <sheetData>
    <row r="1">
      <c r="A1" s="1"/>
      <c r="B1" s="2"/>
      <c r="C1" s="3"/>
      <c r="D1" s="11" t="s">
        <v>198</v>
      </c>
      <c r="E1" s="153" t="s">
        <v>199</v>
      </c>
      <c r="F1" s="3"/>
      <c r="G1" s="154" t="s">
        <v>1721</v>
      </c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155"/>
    </row>
    <row r="2">
      <c r="A2" s="13"/>
      <c r="C2" s="15"/>
      <c r="D2" s="9" t="s">
        <v>201</v>
      </c>
      <c r="E2" s="156">
        <v>3312.0</v>
      </c>
      <c r="F2" s="15"/>
      <c r="R2" s="15"/>
      <c r="S2" s="155"/>
    </row>
    <row r="3">
      <c r="A3" s="17"/>
      <c r="B3" s="19"/>
      <c r="C3" s="21"/>
      <c r="D3" s="26" t="s">
        <v>202</v>
      </c>
      <c r="E3" s="157" t="s">
        <v>115</v>
      </c>
      <c r="F3" s="21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21"/>
      <c r="S3" s="155"/>
    </row>
    <row r="4">
      <c r="A4" s="158" t="s">
        <v>203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N4" s="30"/>
      <c r="O4" s="30"/>
      <c r="P4" s="30"/>
      <c r="Q4" s="30"/>
      <c r="R4" s="30"/>
      <c r="S4" s="30"/>
      <c r="T4" s="30"/>
      <c r="U4" s="30"/>
    </row>
    <row r="5">
      <c r="A5" s="42" t="s">
        <v>204</v>
      </c>
      <c r="B5" s="45" t="s">
        <v>33</v>
      </c>
      <c r="C5" s="45" t="s">
        <v>205</v>
      </c>
      <c r="D5" s="45" t="s">
        <v>206</v>
      </c>
      <c r="E5" s="45" t="s">
        <v>207</v>
      </c>
      <c r="F5" s="45" t="s">
        <v>208</v>
      </c>
      <c r="G5" s="45" t="s">
        <v>209</v>
      </c>
      <c r="H5" s="45" t="s">
        <v>210</v>
      </c>
      <c r="I5" s="45" t="s">
        <v>211</v>
      </c>
      <c r="J5" s="45" t="s">
        <v>212</v>
      </c>
      <c r="K5" s="45" t="s">
        <v>213</v>
      </c>
      <c r="L5" s="45" t="s">
        <v>214</v>
      </c>
      <c r="M5" s="45" t="s">
        <v>215</v>
      </c>
      <c r="N5" s="45" t="s">
        <v>216</v>
      </c>
      <c r="O5" s="45" t="s">
        <v>217</v>
      </c>
      <c r="P5" s="45" t="s">
        <v>218</v>
      </c>
      <c r="Q5" s="45" t="s">
        <v>219</v>
      </c>
      <c r="R5" s="160" t="s">
        <v>220</v>
      </c>
      <c r="S5" s="160" t="s">
        <v>221</v>
      </c>
    </row>
    <row r="6" hidden="1">
      <c r="A6" s="67" t="str">
        <f t="shared" ref="A6:A401" si="1">CHOOSE(weekday(B6),"Sun","Mon","Tue","Wed","Thu","Fri","Sat")</f>
        <v>Sat</v>
      </c>
      <c r="B6" s="69">
        <v>43435.0</v>
      </c>
      <c r="F6" s="4" t="s">
        <v>651</v>
      </c>
      <c r="J6" s="4" t="s">
        <v>651</v>
      </c>
      <c r="M6" s="166"/>
      <c r="N6" s="166"/>
      <c r="O6" s="166"/>
      <c r="P6" s="166"/>
      <c r="Q6" s="166"/>
      <c r="R6" s="166"/>
      <c r="S6" s="166"/>
    </row>
    <row r="7" hidden="1">
      <c r="A7" s="67" t="str">
        <f t="shared" si="1"/>
        <v>Sun</v>
      </c>
      <c r="B7" s="69">
        <v>43436.0</v>
      </c>
      <c r="F7" s="4" t="s">
        <v>651</v>
      </c>
      <c r="J7" s="4" t="s">
        <v>651</v>
      </c>
    </row>
    <row r="8" hidden="1">
      <c r="A8" s="67" t="str">
        <f t="shared" si="1"/>
        <v>Mon</v>
      </c>
      <c r="B8" s="69">
        <v>43437.0</v>
      </c>
      <c r="F8" s="4" t="s">
        <v>651</v>
      </c>
      <c r="J8" s="4" t="s">
        <v>651</v>
      </c>
      <c r="M8" s="166"/>
      <c r="N8" s="166"/>
      <c r="O8" s="166"/>
      <c r="P8" s="166"/>
      <c r="Q8" s="166"/>
      <c r="R8" s="166"/>
      <c r="S8" s="166"/>
    </row>
    <row r="9" hidden="1">
      <c r="A9" s="67" t="str">
        <f t="shared" si="1"/>
        <v>Tue</v>
      </c>
      <c r="B9" s="69">
        <v>43438.0</v>
      </c>
      <c r="F9" s="4" t="s">
        <v>651</v>
      </c>
      <c r="J9" s="4" t="s">
        <v>651</v>
      </c>
    </row>
    <row r="10" hidden="1">
      <c r="A10" s="67" t="str">
        <f t="shared" si="1"/>
        <v>Wed</v>
      </c>
      <c r="B10" s="69">
        <v>43439.0</v>
      </c>
      <c r="F10" s="4" t="s">
        <v>651</v>
      </c>
      <c r="J10" s="4" t="s">
        <v>651</v>
      </c>
    </row>
    <row r="11" hidden="1">
      <c r="A11" s="67" t="str">
        <f t="shared" si="1"/>
        <v>Thu</v>
      </c>
      <c r="B11" s="69">
        <v>43440.0</v>
      </c>
      <c r="F11" s="4" t="s">
        <v>651</v>
      </c>
      <c r="J11" s="4" t="s">
        <v>651</v>
      </c>
    </row>
    <row r="12" hidden="1">
      <c r="A12" s="67" t="str">
        <f t="shared" si="1"/>
        <v>Fri</v>
      </c>
      <c r="B12" s="69">
        <v>43441.0</v>
      </c>
      <c r="F12" s="4" t="s">
        <v>651</v>
      </c>
      <c r="J12" s="4" t="s">
        <v>651</v>
      </c>
    </row>
    <row r="13" hidden="1">
      <c r="A13" s="67" t="str">
        <f t="shared" si="1"/>
        <v>Sat</v>
      </c>
      <c r="B13" s="69">
        <v>43442.0</v>
      </c>
      <c r="F13" s="4" t="s">
        <v>651</v>
      </c>
      <c r="J13" s="4" t="s">
        <v>651</v>
      </c>
    </row>
    <row r="14" hidden="1">
      <c r="A14" s="67" t="str">
        <f t="shared" si="1"/>
        <v>Sun</v>
      </c>
      <c r="B14" s="69">
        <v>43443.0</v>
      </c>
      <c r="F14" s="4" t="s">
        <v>651</v>
      </c>
      <c r="J14" s="4" t="s">
        <v>651</v>
      </c>
    </row>
    <row r="15" hidden="1">
      <c r="A15" s="67" t="str">
        <f t="shared" si="1"/>
        <v>Mon</v>
      </c>
      <c r="B15" s="69">
        <v>43444.0</v>
      </c>
      <c r="F15" s="4" t="s">
        <v>651</v>
      </c>
      <c r="J15" s="4" t="s">
        <v>651</v>
      </c>
    </row>
    <row r="16" hidden="1">
      <c r="A16" s="67" t="str">
        <f t="shared" si="1"/>
        <v>Tue</v>
      </c>
      <c r="B16" s="69">
        <v>43445.0</v>
      </c>
      <c r="F16" s="4" t="s">
        <v>651</v>
      </c>
      <c r="J16" s="4" t="s">
        <v>651</v>
      </c>
    </row>
    <row r="17" hidden="1">
      <c r="A17" s="67" t="str">
        <f t="shared" si="1"/>
        <v>Wed</v>
      </c>
      <c r="B17" s="69">
        <v>43446.0</v>
      </c>
      <c r="F17" s="4" t="s">
        <v>651</v>
      </c>
      <c r="J17" s="4" t="s">
        <v>651</v>
      </c>
    </row>
    <row r="18" hidden="1">
      <c r="A18" s="67" t="str">
        <f t="shared" si="1"/>
        <v>Thu</v>
      </c>
      <c r="B18" s="69">
        <v>43447.0</v>
      </c>
      <c r="F18" s="4" t="s">
        <v>651</v>
      </c>
      <c r="J18" s="4" t="s">
        <v>651</v>
      </c>
    </row>
    <row r="19" hidden="1">
      <c r="A19" s="67" t="str">
        <f t="shared" si="1"/>
        <v>Fri</v>
      </c>
      <c r="B19" s="69">
        <v>43448.0</v>
      </c>
      <c r="F19" s="4" t="s">
        <v>651</v>
      </c>
      <c r="J19" s="4" t="s">
        <v>651</v>
      </c>
    </row>
    <row r="20" hidden="1">
      <c r="A20" s="67" t="str">
        <f t="shared" si="1"/>
        <v>Sat</v>
      </c>
      <c r="B20" s="69">
        <v>43449.0</v>
      </c>
      <c r="F20" s="4" t="s">
        <v>651</v>
      </c>
      <c r="J20" s="4" t="s">
        <v>651</v>
      </c>
    </row>
    <row r="21" hidden="1">
      <c r="A21" s="67" t="str">
        <f t="shared" si="1"/>
        <v>Sun</v>
      </c>
      <c r="B21" s="69">
        <v>43450.0</v>
      </c>
      <c r="F21" s="4" t="s">
        <v>651</v>
      </c>
      <c r="J21" s="4" t="s">
        <v>651</v>
      </c>
      <c r="M21" s="166"/>
      <c r="N21" s="166"/>
      <c r="O21" s="166"/>
      <c r="P21" s="166"/>
      <c r="Q21" s="166"/>
      <c r="R21" s="166"/>
      <c r="S21" s="166"/>
    </row>
    <row r="22" hidden="1">
      <c r="A22" s="67" t="str">
        <f t="shared" si="1"/>
        <v>Mon</v>
      </c>
      <c r="B22" s="69">
        <v>43451.0</v>
      </c>
      <c r="F22" s="4" t="s">
        <v>651</v>
      </c>
      <c r="J22" s="4" t="s">
        <v>651</v>
      </c>
    </row>
    <row r="23" hidden="1">
      <c r="A23" s="67" t="str">
        <f t="shared" si="1"/>
        <v>Tue</v>
      </c>
      <c r="B23" s="69">
        <v>43452.0</v>
      </c>
      <c r="F23" s="4" t="s">
        <v>651</v>
      </c>
      <c r="J23" s="4" t="s">
        <v>651</v>
      </c>
    </row>
    <row r="24" hidden="1">
      <c r="A24" s="67" t="str">
        <f t="shared" si="1"/>
        <v>Wed</v>
      </c>
      <c r="B24" s="69">
        <v>43453.0</v>
      </c>
      <c r="F24" s="4" t="s">
        <v>651</v>
      </c>
      <c r="J24" s="4" t="s">
        <v>651</v>
      </c>
    </row>
    <row r="25" hidden="1">
      <c r="A25" s="67" t="str">
        <f t="shared" si="1"/>
        <v>Thu</v>
      </c>
      <c r="B25" s="69">
        <v>43454.0</v>
      </c>
      <c r="F25" s="4" t="s">
        <v>651</v>
      </c>
      <c r="J25" s="4" t="s">
        <v>651</v>
      </c>
    </row>
    <row r="26" hidden="1">
      <c r="A26" s="67" t="str">
        <f t="shared" si="1"/>
        <v>Fri</v>
      </c>
      <c r="B26" s="69">
        <v>43455.0</v>
      </c>
      <c r="F26" s="4" t="s">
        <v>651</v>
      </c>
      <c r="J26" s="4" t="s">
        <v>651</v>
      </c>
    </row>
    <row r="27" hidden="1">
      <c r="A27" s="67" t="str">
        <f t="shared" si="1"/>
        <v>Sat</v>
      </c>
      <c r="B27" s="69">
        <v>43456.0</v>
      </c>
      <c r="F27" s="4" t="s">
        <v>651</v>
      </c>
      <c r="J27" s="4" t="s">
        <v>651</v>
      </c>
    </row>
    <row r="28" hidden="1">
      <c r="A28" s="67" t="str">
        <f t="shared" si="1"/>
        <v>Sun</v>
      </c>
      <c r="B28" s="69">
        <v>43457.0</v>
      </c>
      <c r="F28" s="4" t="s">
        <v>651</v>
      </c>
      <c r="J28" s="4" t="s">
        <v>651</v>
      </c>
    </row>
    <row r="29" hidden="1">
      <c r="A29" s="67" t="str">
        <f t="shared" si="1"/>
        <v>Mon</v>
      </c>
      <c r="B29" s="69">
        <v>43458.0</v>
      </c>
      <c r="F29" s="4" t="s">
        <v>651</v>
      </c>
      <c r="J29" s="4" t="s">
        <v>651</v>
      </c>
    </row>
    <row r="30" hidden="1">
      <c r="A30" s="67" t="str">
        <f t="shared" si="1"/>
        <v>Tue</v>
      </c>
      <c r="B30" s="69">
        <v>43459.0</v>
      </c>
      <c r="F30" s="4" t="s">
        <v>651</v>
      </c>
      <c r="J30" s="4" t="s">
        <v>651</v>
      </c>
    </row>
    <row r="31" hidden="1">
      <c r="A31" s="67" t="str">
        <f t="shared" si="1"/>
        <v>Wed</v>
      </c>
      <c r="B31" s="69">
        <v>43460.0</v>
      </c>
      <c r="F31" s="4" t="s">
        <v>651</v>
      </c>
      <c r="J31" s="4" t="s">
        <v>651</v>
      </c>
    </row>
    <row r="32" hidden="1">
      <c r="A32" s="67" t="str">
        <f t="shared" si="1"/>
        <v>Thu</v>
      </c>
      <c r="B32" s="69">
        <v>43461.0</v>
      </c>
      <c r="F32" s="4" t="s">
        <v>651</v>
      </c>
      <c r="J32" s="4" t="s">
        <v>651</v>
      </c>
    </row>
    <row r="33" hidden="1">
      <c r="A33" s="67" t="str">
        <f t="shared" si="1"/>
        <v>Fri</v>
      </c>
      <c r="B33" s="69">
        <v>43462.0</v>
      </c>
      <c r="F33" s="4" t="s">
        <v>651</v>
      </c>
      <c r="J33" s="4" t="s">
        <v>651</v>
      </c>
    </row>
    <row r="34" hidden="1">
      <c r="A34" s="67" t="str">
        <f t="shared" si="1"/>
        <v>Sat</v>
      </c>
      <c r="B34" s="69">
        <v>43463.0</v>
      </c>
      <c r="F34" s="4" t="s">
        <v>651</v>
      </c>
      <c r="J34" s="4" t="s">
        <v>651</v>
      </c>
    </row>
    <row r="35" hidden="1">
      <c r="A35" s="67" t="str">
        <f t="shared" si="1"/>
        <v>Sun</v>
      </c>
      <c r="B35" s="69">
        <v>43464.0</v>
      </c>
      <c r="F35" s="4" t="s">
        <v>651</v>
      </c>
      <c r="J35" s="4" t="s">
        <v>651</v>
      </c>
    </row>
    <row r="36" hidden="1">
      <c r="A36" s="67" t="str">
        <f t="shared" si="1"/>
        <v>Mon</v>
      </c>
      <c r="B36" s="69">
        <v>43465.0</v>
      </c>
      <c r="F36" s="4" t="s">
        <v>651</v>
      </c>
      <c r="J36" s="4" t="s">
        <v>651</v>
      </c>
    </row>
    <row r="37" hidden="1">
      <c r="A37" s="67" t="str">
        <f t="shared" si="1"/>
        <v>Tue</v>
      </c>
      <c r="B37" s="69">
        <v>43466.0</v>
      </c>
      <c r="F37" s="4" t="s">
        <v>651</v>
      </c>
      <c r="J37" s="4" t="s">
        <v>651</v>
      </c>
    </row>
    <row r="38" hidden="1">
      <c r="A38" s="67" t="str">
        <f t="shared" si="1"/>
        <v>Wed</v>
      </c>
      <c r="B38" s="69">
        <v>43467.0</v>
      </c>
      <c r="F38" s="4" t="s">
        <v>651</v>
      </c>
      <c r="J38" s="4" t="s">
        <v>651</v>
      </c>
    </row>
    <row r="39" hidden="1">
      <c r="A39" s="67" t="str">
        <f t="shared" si="1"/>
        <v>Thu</v>
      </c>
      <c r="B39" s="69">
        <v>43468.0</v>
      </c>
      <c r="F39" s="4" t="s">
        <v>651</v>
      </c>
      <c r="J39" s="4" t="s">
        <v>651</v>
      </c>
    </row>
    <row r="40" hidden="1">
      <c r="A40" s="67" t="str">
        <f t="shared" si="1"/>
        <v>Fri</v>
      </c>
      <c r="B40" s="69">
        <v>43469.0</v>
      </c>
      <c r="F40" s="4" t="s">
        <v>651</v>
      </c>
      <c r="J40" s="4" t="s">
        <v>651</v>
      </c>
    </row>
    <row r="41" hidden="1">
      <c r="A41" s="67" t="str">
        <f t="shared" si="1"/>
        <v>Sat</v>
      </c>
      <c r="B41" s="69">
        <v>43470.0</v>
      </c>
      <c r="F41" s="4" t="s">
        <v>651</v>
      </c>
      <c r="J41" s="4" t="s">
        <v>651</v>
      </c>
    </row>
    <row r="42" hidden="1">
      <c r="A42" s="67" t="str">
        <f t="shared" si="1"/>
        <v>Sun</v>
      </c>
      <c r="B42" s="69">
        <v>43471.0</v>
      </c>
      <c r="F42" s="4" t="s">
        <v>651</v>
      </c>
      <c r="J42" s="4" t="s">
        <v>651</v>
      </c>
    </row>
    <row r="43" hidden="1">
      <c r="A43" s="67" t="str">
        <f t="shared" si="1"/>
        <v>Mon</v>
      </c>
      <c r="B43" s="69">
        <v>43472.0</v>
      </c>
      <c r="F43" s="4" t="s">
        <v>651</v>
      </c>
      <c r="J43" s="4" t="s">
        <v>651</v>
      </c>
    </row>
    <row r="44" hidden="1">
      <c r="A44" s="67" t="str">
        <f t="shared" si="1"/>
        <v>Tue</v>
      </c>
      <c r="B44" s="69">
        <v>43473.0</v>
      </c>
      <c r="F44" s="4" t="s">
        <v>651</v>
      </c>
      <c r="J44" s="4" t="s">
        <v>651</v>
      </c>
    </row>
    <row r="45" hidden="1">
      <c r="A45" s="67" t="str">
        <f t="shared" si="1"/>
        <v>Wed</v>
      </c>
      <c r="B45" s="69">
        <v>43474.0</v>
      </c>
      <c r="F45" s="4" t="s">
        <v>651</v>
      </c>
      <c r="J45" s="4" t="s">
        <v>651</v>
      </c>
    </row>
    <row r="46" hidden="1">
      <c r="A46" s="67" t="str">
        <f t="shared" si="1"/>
        <v>Thu</v>
      </c>
      <c r="B46" s="69">
        <v>43475.0</v>
      </c>
      <c r="F46" s="4" t="s">
        <v>651</v>
      </c>
      <c r="J46" s="4" t="s">
        <v>651</v>
      </c>
    </row>
    <row r="47" hidden="1">
      <c r="A47" s="67" t="str">
        <f t="shared" si="1"/>
        <v>Fri</v>
      </c>
      <c r="B47" s="69">
        <v>43476.0</v>
      </c>
      <c r="F47" s="4" t="s">
        <v>651</v>
      </c>
      <c r="J47" s="4" t="s">
        <v>651</v>
      </c>
    </row>
    <row r="48" hidden="1">
      <c r="A48" s="67" t="str">
        <f t="shared" si="1"/>
        <v>Sat</v>
      </c>
      <c r="B48" s="69">
        <v>43477.0</v>
      </c>
      <c r="F48" s="4" t="s">
        <v>651</v>
      </c>
      <c r="J48" s="4" t="s">
        <v>651</v>
      </c>
    </row>
    <row r="49" hidden="1">
      <c r="A49" s="67" t="str">
        <f t="shared" si="1"/>
        <v>Sun</v>
      </c>
      <c r="B49" s="69">
        <v>43478.0</v>
      </c>
      <c r="F49" s="4" t="s">
        <v>651</v>
      </c>
      <c r="J49" s="4" t="s">
        <v>651</v>
      </c>
    </row>
    <row r="50" hidden="1">
      <c r="A50" s="67" t="str">
        <f t="shared" si="1"/>
        <v>Mon</v>
      </c>
      <c r="B50" s="69">
        <v>43479.0</v>
      </c>
      <c r="F50" s="4" t="s">
        <v>651</v>
      </c>
      <c r="J50" s="4" t="s">
        <v>651</v>
      </c>
    </row>
    <row r="51" hidden="1">
      <c r="A51" s="67" t="str">
        <f t="shared" si="1"/>
        <v>Tue</v>
      </c>
      <c r="B51" s="69">
        <v>43480.0</v>
      </c>
      <c r="F51" s="4" t="s">
        <v>651</v>
      </c>
      <c r="J51" s="4" t="s">
        <v>651</v>
      </c>
    </row>
    <row r="52" hidden="1">
      <c r="A52" s="67" t="str">
        <f t="shared" si="1"/>
        <v>Wed</v>
      </c>
      <c r="B52" s="69">
        <v>43481.0</v>
      </c>
      <c r="F52" s="4" t="s">
        <v>651</v>
      </c>
      <c r="J52" s="4" t="s">
        <v>651</v>
      </c>
    </row>
    <row r="53" hidden="1">
      <c r="A53" s="67" t="str">
        <f t="shared" si="1"/>
        <v>Thu</v>
      </c>
      <c r="B53" s="69">
        <v>43482.0</v>
      </c>
      <c r="F53" s="4" t="s">
        <v>651</v>
      </c>
      <c r="J53" s="4" t="s">
        <v>651</v>
      </c>
    </row>
    <row r="54" hidden="1">
      <c r="A54" s="67" t="str">
        <f t="shared" si="1"/>
        <v>Fri</v>
      </c>
      <c r="B54" s="69">
        <v>43483.0</v>
      </c>
      <c r="F54" s="4" t="s">
        <v>651</v>
      </c>
      <c r="J54" s="4" t="s">
        <v>651</v>
      </c>
    </row>
    <row r="55" hidden="1">
      <c r="A55" s="67" t="str">
        <f t="shared" si="1"/>
        <v>Sat</v>
      </c>
      <c r="B55" s="69">
        <v>43484.0</v>
      </c>
      <c r="F55" s="4" t="s">
        <v>651</v>
      </c>
      <c r="J55" s="4" t="s">
        <v>651</v>
      </c>
    </row>
    <row r="56" hidden="1">
      <c r="A56" s="67" t="str">
        <f t="shared" si="1"/>
        <v>Sun</v>
      </c>
      <c r="B56" s="69">
        <v>43485.0</v>
      </c>
      <c r="F56" s="4" t="s">
        <v>651</v>
      </c>
      <c r="J56" s="4" t="s">
        <v>651</v>
      </c>
    </row>
    <row r="57" hidden="1">
      <c r="A57" s="67" t="str">
        <f t="shared" si="1"/>
        <v>Mon</v>
      </c>
      <c r="B57" s="69">
        <v>43486.0</v>
      </c>
      <c r="F57" s="4" t="s">
        <v>651</v>
      </c>
      <c r="J57" s="4" t="s">
        <v>651</v>
      </c>
    </row>
    <row r="58" hidden="1">
      <c r="A58" s="67" t="str">
        <f t="shared" si="1"/>
        <v>Tue</v>
      </c>
      <c r="B58" s="69">
        <v>43487.0</v>
      </c>
      <c r="F58" s="4" t="s">
        <v>651</v>
      </c>
      <c r="J58" s="4" t="s">
        <v>651</v>
      </c>
    </row>
    <row r="59" hidden="1">
      <c r="A59" s="67" t="str">
        <f t="shared" si="1"/>
        <v>Wed</v>
      </c>
      <c r="B59" s="69">
        <v>43488.0</v>
      </c>
      <c r="F59" s="4" t="s">
        <v>651</v>
      </c>
      <c r="J59" s="4" t="s">
        <v>651</v>
      </c>
    </row>
    <row r="60" hidden="1">
      <c r="A60" s="67" t="str">
        <f t="shared" si="1"/>
        <v>Thu</v>
      </c>
      <c r="B60" s="69">
        <v>43489.0</v>
      </c>
      <c r="F60" s="4" t="s">
        <v>651</v>
      </c>
      <c r="J60" s="4" t="s">
        <v>651</v>
      </c>
    </row>
    <row r="61" hidden="1">
      <c r="A61" s="67" t="str">
        <f t="shared" si="1"/>
        <v>Fri</v>
      </c>
      <c r="B61" s="69">
        <v>43490.0</v>
      </c>
      <c r="F61" s="4" t="s">
        <v>651</v>
      </c>
      <c r="J61" s="4" t="s">
        <v>651</v>
      </c>
    </row>
    <row r="62" hidden="1">
      <c r="A62" s="67" t="str">
        <f t="shared" si="1"/>
        <v>Sat</v>
      </c>
      <c r="B62" s="69">
        <v>43491.0</v>
      </c>
      <c r="F62" s="4" t="s">
        <v>651</v>
      </c>
      <c r="J62" s="4" t="s">
        <v>651</v>
      </c>
    </row>
    <row r="63" hidden="1">
      <c r="A63" s="67" t="str">
        <f t="shared" si="1"/>
        <v>Sun</v>
      </c>
      <c r="B63" s="69">
        <v>43492.0</v>
      </c>
      <c r="F63" s="4" t="s">
        <v>651</v>
      </c>
      <c r="J63" s="4" t="s">
        <v>651</v>
      </c>
    </row>
    <row r="64" hidden="1">
      <c r="A64" s="67" t="str">
        <f t="shared" si="1"/>
        <v>Mon</v>
      </c>
      <c r="B64" s="69">
        <v>43493.0</v>
      </c>
      <c r="F64" s="4" t="s">
        <v>651</v>
      </c>
      <c r="J64" s="4" t="s">
        <v>651</v>
      </c>
    </row>
    <row r="65" hidden="1">
      <c r="A65" s="67" t="str">
        <f t="shared" si="1"/>
        <v>Tue</v>
      </c>
      <c r="B65" s="69">
        <v>43494.0</v>
      </c>
      <c r="F65" s="4" t="s">
        <v>651</v>
      </c>
      <c r="J65" s="4" t="s">
        <v>651</v>
      </c>
    </row>
    <row r="66" hidden="1">
      <c r="A66" s="67" t="str">
        <f t="shared" si="1"/>
        <v>Wed</v>
      </c>
      <c r="B66" s="69">
        <v>43495.0</v>
      </c>
      <c r="F66" s="4" t="s">
        <v>651</v>
      </c>
      <c r="J66" s="4" t="s">
        <v>651</v>
      </c>
    </row>
    <row r="67" hidden="1">
      <c r="A67" s="67" t="str">
        <f t="shared" si="1"/>
        <v>Thu</v>
      </c>
      <c r="B67" s="69">
        <v>43496.0</v>
      </c>
      <c r="F67" s="4" t="s">
        <v>651</v>
      </c>
      <c r="J67" s="4" t="s">
        <v>651</v>
      </c>
    </row>
    <row r="68" hidden="1">
      <c r="A68" s="67" t="str">
        <f t="shared" si="1"/>
        <v>Fri</v>
      </c>
      <c r="B68" s="69">
        <v>43497.0</v>
      </c>
      <c r="F68" s="4" t="s">
        <v>651</v>
      </c>
      <c r="J68" s="4" t="s">
        <v>651</v>
      </c>
    </row>
    <row r="69" hidden="1">
      <c r="A69" s="67" t="str">
        <f t="shared" si="1"/>
        <v>Sat</v>
      </c>
      <c r="B69" s="69">
        <v>43498.0</v>
      </c>
      <c r="F69" s="4" t="s">
        <v>651</v>
      </c>
      <c r="J69" s="4" t="s">
        <v>651</v>
      </c>
    </row>
    <row r="70" hidden="1">
      <c r="A70" s="67" t="str">
        <f t="shared" si="1"/>
        <v>Sun</v>
      </c>
      <c r="B70" s="69">
        <v>43499.0</v>
      </c>
      <c r="F70" s="4" t="s">
        <v>651</v>
      </c>
      <c r="J70" s="4" t="s">
        <v>651</v>
      </c>
    </row>
    <row r="71" hidden="1">
      <c r="A71" s="67" t="str">
        <f t="shared" si="1"/>
        <v>Mon</v>
      </c>
      <c r="B71" s="69">
        <v>43500.0</v>
      </c>
      <c r="F71" s="4" t="s">
        <v>651</v>
      </c>
      <c r="J71" s="4" t="s">
        <v>651</v>
      </c>
    </row>
    <row r="72" hidden="1">
      <c r="A72" s="67" t="str">
        <f t="shared" si="1"/>
        <v>Tue</v>
      </c>
      <c r="B72" s="69">
        <v>43501.0</v>
      </c>
      <c r="F72" s="4" t="s">
        <v>651</v>
      </c>
      <c r="J72" s="4" t="s">
        <v>651</v>
      </c>
    </row>
    <row r="73" hidden="1">
      <c r="A73" s="67" t="str">
        <f t="shared" si="1"/>
        <v>Wed</v>
      </c>
      <c r="B73" s="69">
        <v>43502.0</v>
      </c>
      <c r="F73" s="4" t="s">
        <v>651</v>
      </c>
      <c r="J73" s="4" t="s">
        <v>651</v>
      </c>
    </row>
    <row r="74" hidden="1">
      <c r="A74" s="67" t="str">
        <f t="shared" si="1"/>
        <v>Thu</v>
      </c>
      <c r="B74" s="69">
        <v>43503.0</v>
      </c>
      <c r="F74" s="4" t="s">
        <v>651</v>
      </c>
      <c r="J74" s="4" t="s">
        <v>651</v>
      </c>
    </row>
    <row r="75" hidden="1">
      <c r="A75" s="67" t="str">
        <f t="shared" si="1"/>
        <v>Fri</v>
      </c>
      <c r="B75" s="69">
        <v>43504.0</v>
      </c>
      <c r="F75" s="4" t="s">
        <v>651</v>
      </c>
      <c r="J75" s="4" t="s">
        <v>651</v>
      </c>
    </row>
    <row r="76" hidden="1">
      <c r="A76" s="67" t="str">
        <f t="shared" si="1"/>
        <v>Sat</v>
      </c>
      <c r="B76" s="69">
        <v>43505.0</v>
      </c>
      <c r="F76" s="4" t="s">
        <v>651</v>
      </c>
      <c r="J76" s="4" t="s">
        <v>651</v>
      </c>
    </row>
    <row r="77" hidden="1">
      <c r="A77" s="67" t="str">
        <f t="shared" si="1"/>
        <v>Sun</v>
      </c>
      <c r="B77" s="69">
        <v>43506.0</v>
      </c>
      <c r="F77" s="4" t="s">
        <v>651</v>
      </c>
      <c r="J77" s="4" t="s">
        <v>651</v>
      </c>
    </row>
    <row r="78" hidden="1">
      <c r="A78" s="67" t="str">
        <f t="shared" si="1"/>
        <v>Mon</v>
      </c>
      <c r="B78" s="69">
        <v>43507.0</v>
      </c>
      <c r="F78" s="4" t="s">
        <v>651</v>
      </c>
      <c r="J78" s="4" t="s">
        <v>651</v>
      </c>
    </row>
    <row r="79" hidden="1">
      <c r="A79" s="67" t="str">
        <f t="shared" si="1"/>
        <v>Tue</v>
      </c>
      <c r="B79" s="69">
        <v>43508.0</v>
      </c>
      <c r="F79" s="4" t="s">
        <v>651</v>
      </c>
      <c r="J79" s="4" t="s">
        <v>651</v>
      </c>
    </row>
    <row r="80" hidden="1">
      <c r="A80" s="67" t="str">
        <f t="shared" si="1"/>
        <v>Wed</v>
      </c>
      <c r="B80" s="69">
        <v>43509.0</v>
      </c>
      <c r="F80" s="4" t="s">
        <v>651</v>
      </c>
      <c r="J80" s="4" t="s">
        <v>651</v>
      </c>
    </row>
    <row r="81" hidden="1">
      <c r="A81" s="67" t="str">
        <f t="shared" si="1"/>
        <v>Thu</v>
      </c>
      <c r="B81" s="69">
        <v>43510.0</v>
      </c>
      <c r="F81" s="4" t="s">
        <v>651</v>
      </c>
      <c r="J81" s="4" t="s">
        <v>651</v>
      </c>
    </row>
    <row r="82" hidden="1">
      <c r="A82" s="67" t="str">
        <f t="shared" si="1"/>
        <v>Fri</v>
      </c>
      <c r="B82" s="69">
        <v>43511.0</v>
      </c>
      <c r="F82" s="4" t="s">
        <v>651</v>
      </c>
      <c r="J82" s="4" t="s">
        <v>651</v>
      </c>
    </row>
    <row r="83" hidden="1">
      <c r="A83" s="67" t="str">
        <f t="shared" si="1"/>
        <v>Sat</v>
      </c>
      <c r="B83" s="69">
        <v>43512.0</v>
      </c>
      <c r="F83" s="4" t="s">
        <v>651</v>
      </c>
      <c r="J83" s="4" t="s">
        <v>651</v>
      </c>
    </row>
    <row r="84" hidden="1">
      <c r="A84" s="67" t="str">
        <f t="shared" si="1"/>
        <v>Sun</v>
      </c>
      <c r="B84" s="69">
        <v>43513.0</v>
      </c>
      <c r="F84" s="4" t="s">
        <v>651</v>
      </c>
      <c r="J84" s="4" t="s">
        <v>651</v>
      </c>
    </row>
    <row r="85" hidden="1">
      <c r="A85" s="67" t="str">
        <f t="shared" si="1"/>
        <v>Mon</v>
      </c>
      <c r="B85" s="69">
        <v>43514.0</v>
      </c>
      <c r="F85" s="4" t="s">
        <v>651</v>
      </c>
      <c r="J85" s="4" t="s">
        <v>651</v>
      </c>
    </row>
    <row r="86" hidden="1">
      <c r="A86" s="67" t="str">
        <f t="shared" si="1"/>
        <v>Tue</v>
      </c>
      <c r="B86" s="69">
        <v>43515.0</v>
      </c>
      <c r="F86" s="4" t="s">
        <v>651</v>
      </c>
      <c r="J86" s="4" t="s">
        <v>651</v>
      </c>
    </row>
    <row r="87" hidden="1">
      <c r="A87" s="67" t="str">
        <f t="shared" si="1"/>
        <v>Wed</v>
      </c>
      <c r="B87" s="69">
        <v>43516.0</v>
      </c>
      <c r="F87" s="4" t="s">
        <v>651</v>
      </c>
      <c r="J87" s="4" t="s">
        <v>651</v>
      </c>
    </row>
    <row r="88" hidden="1">
      <c r="A88" s="67" t="str">
        <f t="shared" si="1"/>
        <v>Thu</v>
      </c>
      <c r="B88" s="69">
        <v>43517.0</v>
      </c>
      <c r="F88" s="4" t="s">
        <v>651</v>
      </c>
      <c r="J88" s="4" t="s">
        <v>651</v>
      </c>
    </row>
    <row r="89" hidden="1">
      <c r="A89" s="67" t="str">
        <f t="shared" si="1"/>
        <v>Fri</v>
      </c>
      <c r="B89" s="69">
        <v>43518.0</v>
      </c>
      <c r="F89" s="4" t="s">
        <v>651</v>
      </c>
      <c r="J89" s="4" t="s">
        <v>651</v>
      </c>
    </row>
    <row r="90" hidden="1">
      <c r="A90" s="67" t="str">
        <f t="shared" si="1"/>
        <v>Sat</v>
      </c>
      <c r="B90" s="69">
        <v>43519.0</v>
      </c>
      <c r="F90" s="4" t="s">
        <v>651</v>
      </c>
      <c r="J90" s="4" t="s">
        <v>651</v>
      </c>
    </row>
    <row r="91" hidden="1">
      <c r="A91" s="67" t="str">
        <f t="shared" si="1"/>
        <v>Sun</v>
      </c>
      <c r="B91" s="69">
        <v>43520.0</v>
      </c>
      <c r="F91" s="4" t="s">
        <v>651</v>
      </c>
      <c r="J91" s="4" t="s">
        <v>651</v>
      </c>
    </row>
    <row r="92" hidden="1">
      <c r="A92" s="67" t="str">
        <f t="shared" si="1"/>
        <v>Mon</v>
      </c>
      <c r="B92" s="69">
        <v>43521.0</v>
      </c>
      <c r="F92" s="4" t="s">
        <v>651</v>
      </c>
      <c r="J92" s="4" t="s">
        <v>651</v>
      </c>
    </row>
    <row r="93" hidden="1">
      <c r="A93" s="67" t="str">
        <f t="shared" si="1"/>
        <v>Tue</v>
      </c>
      <c r="B93" s="69">
        <v>43522.0</v>
      </c>
      <c r="F93" s="4" t="s">
        <v>651</v>
      </c>
      <c r="J93" s="4" t="s">
        <v>651</v>
      </c>
    </row>
    <row r="94" hidden="1">
      <c r="A94" s="67" t="str">
        <f t="shared" si="1"/>
        <v>Wed</v>
      </c>
      <c r="B94" s="69">
        <v>43523.0</v>
      </c>
      <c r="F94" s="4" t="s">
        <v>651</v>
      </c>
      <c r="J94" s="4" t="s">
        <v>651</v>
      </c>
    </row>
    <row r="95" hidden="1">
      <c r="A95" s="67" t="str">
        <f t="shared" si="1"/>
        <v>Thu</v>
      </c>
      <c r="B95" s="69">
        <v>43524.0</v>
      </c>
      <c r="F95" s="4" t="s">
        <v>651</v>
      </c>
      <c r="J95" s="4" t="s">
        <v>651</v>
      </c>
    </row>
    <row r="96" hidden="1">
      <c r="A96" s="67" t="str">
        <f t="shared" si="1"/>
        <v>Fri</v>
      </c>
      <c r="B96" s="69">
        <v>43525.0</v>
      </c>
      <c r="D96" s="161">
        <v>975.0</v>
      </c>
      <c r="E96" s="4" t="s">
        <v>337</v>
      </c>
      <c r="F96" s="4" t="s">
        <v>1731</v>
      </c>
      <c r="G96" s="4" t="s">
        <v>1731</v>
      </c>
      <c r="I96" s="4" t="s">
        <v>359</v>
      </c>
      <c r="K96" s="4" t="s">
        <v>231</v>
      </c>
      <c r="L96" s="4" t="s">
        <v>225</v>
      </c>
      <c r="M96" s="4" t="s">
        <v>1732</v>
      </c>
      <c r="Q96" s="4" t="s">
        <v>1733</v>
      </c>
      <c r="R96" s="4" t="s">
        <v>1734</v>
      </c>
      <c r="S96" s="4"/>
    </row>
    <row r="97" hidden="1">
      <c r="A97" s="67" t="str">
        <f t="shared" si="1"/>
        <v>Sat</v>
      </c>
      <c r="B97" s="69">
        <v>43526.0</v>
      </c>
      <c r="D97" s="161">
        <v>975.0</v>
      </c>
      <c r="E97" s="4" t="s">
        <v>337</v>
      </c>
      <c r="F97" s="4" t="s">
        <v>1731</v>
      </c>
      <c r="I97" s="4" t="s">
        <v>359</v>
      </c>
    </row>
    <row r="98" hidden="1">
      <c r="A98" s="67" t="str">
        <f t="shared" si="1"/>
        <v>Sun</v>
      </c>
      <c r="B98" s="69">
        <v>43527.0</v>
      </c>
      <c r="D98" s="161">
        <v>975.0</v>
      </c>
      <c r="E98" s="4" t="s">
        <v>337</v>
      </c>
      <c r="F98" s="4" t="s">
        <v>1731</v>
      </c>
      <c r="I98" s="4" t="s">
        <v>359</v>
      </c>
    </row>
    <row r="99" hidden="1">
      <c r="A99" s="67" t="str">
        <f t="shared" si="1"/>
        <v>Mon</v>
      </c>
      <c r="B99" s="69">
        <v>43528.0</v>
      </c>
      <c r="D99" s="161">
        <v>975.0</v>
      </c>
      <c r="E99" s="4" t="s">
        <v>337</v>
      </c>
      <c r="F99" s="4" t="s">
        <v>1731</v>
      </c>
      <c r="I99" s="4" t="s">
        <v>359</v>
      </c>
    </row>
    <row r="100" hidden="1">
      <c r="A100" s="67" t="str">
        <f t="shared" si="1"/>
        <v>Tue</v>
      </c>
      <c r="B100" s="69">
        <v>43529.0</v>
      </c>
      <c r="D100" s="4">
        <v>450.0</v>
      </c>
      <c r="E100" s="4" t="s">
        <v>337</v>
      </c>
      <c r="F100" s="4" t="s">
        <v>1735</v>
      </c>
      <c r="G100" s="4" t="s">
        <v>1735</v>
      </c>
      <c r="H100" s="4" t="s">
        <v>1731</v>
      </c>
      <c r="I100" s="4" t="s">
        <v>359</v>
      </c>
      <c r="K100" s="4" t="s">
        <v>231</v>
      </c>
      <c r="L100" s="4" t="s">
        <v>225</v>
      </c>
      <c r="M100" s="4" t="s">
        <v>226</v>
      </c>
      <c r="N100" s="4" t="s">
        <v>232</v>
      </c>
      <c r="O100" s="4" t="s">
        <v>264</v>
      </c>
      <c r="R100" s="4" t="s">
        <v>1736</v>
      </c>
      <c r="S100" s="4"/>
    </row>
    <row r="101" hidden="1">
      <c r="A101" s="67" t="str">
        <f t="shared" si="1"/>
        <v>Wed</v>
      </c>
      <c r="B101" s="69">
        <v>43530.0</v>
      </c>
      <c r="D101" s="161">
        <v>329.8</v>
      </c>
      <c r="E101" s="4" t="s">
        <v>222</v>
      </c>
      <c r="F101" s="4" t="s">
        <v>1737</v>
      </c>
      <c r="G101" s="4" t="s">
        <v>1737</v>
      </c>
      <c r="H101" s="4" t="s">
        <v>1735</v>
      </c>
      <c r="I101" s="4" t="s">
        <v>359</v>
      </c>
      <c r="K101" s="4" t="s">
        <v>231</v>
      </c>
      <c r="L101" s="4" t="s">
        <v>225</v>
      </c>
      <c r="M101" s="4" t="s">
        <v>226</v>
      </c>
      <c r="N101" s="4" t="s">
        <v>232</v>
      </c>
      <c r="O101" s="4" t="s">
        <v>264</v>
      </c>
    </row>
    <row r="102" hidden="1">
      <c r="A102" s="67" t="str">
        <f t="shared" si="1"/>
        <v>Thu</v>
      </c>
      <c r="B102" s="69">
        <v>43531.0</v>
      </c>
      <c r="D102" s="161">
        <v>329.8</v>
      </c>
      <c r="E102" s="4" t="s">
        <v>222</v>
      </c>
      <c r="F102" s="4" t="s">
        <v>1737</v>
      </c>
      <c r="I102" s="4" t="s">
        <v>359</v>
      </c>
    </row>
    <row r="103" hidden="1">
      <c r="A103" s="67" t="str">
        <f t="shared" si="1"/>
        <v>Fri</v>
      </c>
      <c r="B103" s="69">
        <v>43532.0</v>
      </c>
      <c r="D103" s="161">
        <v>329.8</v>
      </c>
      <c r="E103" s="4" t="s">
        <v>222</v>
      </c>
      <c r="F103" s="4" t="s">
        <v>1737</v>
      </c>
      <c r="I103" s="4" t="s">
        <v>359</v>
      </c>
    </row>
    <row r="104" hidden="1">
      <c r="A104" s="67" t="str">
        <f t="shared" si="1"/>
        <v>Sat</v>
      </c>
      <c r="B104" s="69">
        <v>43533.0</v>
      </c>
      <c r="D104" s="161">
        <v>329.8</v>
      </c>
      <c r="E104" s="4" t="s">
        <v>222</v>
      </c>
      <c r="F104" s="4" t="s">
        <v>1737</v>
      </c>
      <c r="I104" s="4" t="s">
        <v>359</v>
      </c>
    </row>
    <row r="105" hidden="1">
      <c r="A105" s="67" t="str">
        <f t="shared" si="1"/>
        <v>Sun</v>
      </c>
      <c r="B105" s="69">
        <v>43534.0</v>
      </c>
      <c r="D105" s="161">
        <v>329.8</v>
      </c>
      <c r="E105" s="4" t="s">
        <v>222</v>
      </c>
      <c r="F105" s="4" t="s">
        <v>1737</v>
      </c>
      <c r="I105" s="4" t="s">
        <v>359</v>
      </c>
    </row>
    <row r="106" hidden="1">
      <c r="A106" s="67" t="str">
        <f t="shared" si="1"/>
        <v>Mon</v>
      </c>
      <c r="B106" s="69">
        <v>43535.0</v>
      </c>
      <c r="H106" s="4" t="s">
        <v>1737</v>
      </c>
    </row>
    <row r="107" hidden="1">
      <c r="A107" s="67" t="str">
        <f t="shared" si="1"/>
        <v>Tue</v>
      </c>
      <c r="B107" s="69">
        <v>43536.0</v>
      </c>
      <c r="D107" s="161">
        <v>270.63</v>
      </c>
      <c r="E107" s="4" t="s">
        <v>222</v>
      </c>
      <c r="F107" s="4" t="s">
        <v>1738</v>
      </c>
      <c r="G107" s="4" t="s">
        <v>1738</v>
      </c>
      <c r="I107" s="4" t="s">
        <v>359</v>
      </c>
      <c r="K107" s="4"/>
      <c r="L107" s="4" t="s">
        <v>225</v>
      </c>
      <c r="M107" s="4" t="s">
        <v>226</v>
      </c>
      <c r="N107" s="4" t="s">
        <v>232</v>
      </c>
      <c r="O107" s="4" t="s">
        <v>264</v>
      </c>
    </row>
    <row r="108" hidden="1">
      <c r="A108" s="67" t="str">
        <f t="shared" si="1"/>
        <v>Wed</v>
      </c>
      <c r="B108" s="69">
        <v>43537.0</v>
      </c>
      <c r="D108" s="161">
        <v>270.63</v>
      </c>
      <c r="E108" s="4" t="s">
        <v>222</v>
      </c>
      <c r="F108" s="4" t="s">
        <v>1738</v>
      </c>
      <c r="I108" s="4" t="s">
        <v>359</v>
      </c>
    </row>
    <row r="109" hidden="1">
      <c r="A109" s="67" t="str">
        <f t="shared" si="1"/>
        <v>Thu</v>
      </c>
      <c r="B109" s="69">
        <v>43538.0</v>
      </c>
      <c r="D109" s="161">
        <v>270.63</v>
      </c>
      <c r="E109" s="4" t="s">
        <v>222</v>
      </c>
      <c r="F109" s="4" t="s">
        <v>1738</v>
      </c>
      <c r="I109" s="4" t="s">
        <v>359</v>
      </c>
    </row>
    <row r="110" hidden="1">
      <c r="A110" s="67" t="str">
        <f t="shared" si="1"/>
        <v>Fri</v>
      </c>
      <c r="B110" s="69">
        <v>43539.0</v>
      </c>
      <c r="D110" s="161">
        <v>270.63</v>
      </c>
      <c r="E110" s="4" t="s">
        <v>222</v>
      </c>
      <c r="F110" s="4" t="s">
        <v>1738</v>
      </c>
      <c r="I110" s="4" t="s">
        <v>359</v>
      </c>
    </row>
    <row r="111" hidden="1">
      <c r="A111" s="67" t="str">
        <f t="shared" si="1"/>
        <v>Sat</v>
      </c>
      <c r="B111" s="69">
        <v>43540.0</v>
      </c>
      <c r="D111" s="161">
        <v>270.63</v>
      </c>
      <c r="E111" s="4" t="s">
        <v>222</v>
      </c>
      <c r="F111" s="4" t="s">
        <v>1738</v>
      </c>
      <c r="I111" s="4" t="s">
        <v>359</v>
      </c>
    </row>
    <row r="112" hidden="1">
      <c r="A112" s="67" t="str">
        <f t="shared" si="1"/>
        <v>Sun</v>
      </c>
      <c r="B112" s="69">
        <v>43541.0</v>
      </c>
      <c r="D112" s="161">
        <v>270.63</v>
      </c>
      <c r="E112" s="4" t="s">
        <v>222</v>
      </c>
      <c r="F112" s="4" t="s">
        <v>1738</v>
      </c>
      <c r="I112" s="4" t="s">
        <v>359</v>
      </c>
    </row>
    <row r="113" hidden="1">
      <c r="A113" s="67" t="str">
        <f t="shared" si="1"/>
        <v>Mon</v>
      </c>
      <c r="B113" s="69">
        <v>43542.0</v>
      </c>
      <c r="D113" s="161">
        <v>270.63</v>
      </c>
      <c r="E113" s="4" t="s">
        <v>222</v>
      </c>
      <c r="F113" s="4" t="s">
        <v>1738</v>
      </c>
      <c r="I113" s="4" t="s">
        <v>359</v>
      </c>
    </row>
    <row r="114" hidden="1">
      <c r="A114" s="67" t="str">
        <f t="shared" si="1"/>
        <v>Tue</v>
      </c>
      <c r="B114" s="69">
        <v>43543.0</v>
      </c>
      <c r="D114" s="161">
        <v>270.63</v>
      </c>
      <c r="E114" s="4" t="s">
        <v>222</v>
      </c>
      <c r="F114" s="4" t="s">
        <v>1738</v>
      </c>
      <c r="I114" s="4" t="s">
        <v>359</v>
      </c>
    </row>
    <row r="115" hidden="1">
      <c r="A115" s="67" t="str">
        <f t="shared" si="1"/>
        <v>Wed</v>
      </c>
      <c r="B115" s="69">
        <v>43544.0</v>
      </c>
      <c r="D115" s="161">
        <v>270.63</v>
      </c>
      <c r="E115" s="4" t="s">
        <v>222</v>
      </c>
      <c r="F115" s="4" t="s">
        <v>1738</v>
      </c>
      <c r="I115" s="4" t="s">
        <v>359</v>
      </c>
    </row>
    <row r="116" hidden="1">
      <c r="A116" s="67" t="str">
        <f t="shared" si="1"/>
        <v>Thu</v>
      </c>
      <c r="B116" s="69">
        <v>43545.0</v>
      </c>
      <c r="D116" s="161">
        <v>270.63</v>
      </c>
      <c r="E116" s="4" t="s">
        <v>222</v>
      </c>
      <c r="F116" s="4" t="s">
        <v>1738</v>
      </c>
      <c r="I116" s="4" t="s">
        <v>359</v>
      </c>
    </row>
    <row r="117" hidden="1">
      <c r="A117" s="67" t="str">
        <f t="shared" si="1"/>
        <v>Fri</v>
      </c>
      <c r="B117" s="69">
        <v>43546.0</v>
      </c>
      <c r="D117" s="161">
        <v>309.43</v>
      </c>
      <c r="E117" s="4" t="s">
        <v>222</v>
      </c>
      <c r="F117" s="4" t="s">
        <v>1745</v>
      </c>
      <c r="G117" s="4" t="s">
        <v>1745</v>
      </c>
      <c r="H117" s="4" t="s">
        <v>1738</v>
      </c>
      <c r="I117" s="4" t="s">
        <v>359</v>
      </c>
      <c r="K117" s="4" t="s">
        <v>231</v>
      </c>
      <c r="L117" s="4" t="s">
        <v>225</v>
      </c>
      <c r="M117" s="4" t="s">
        <v>1746</v>
      </c>
      <c r="Q117" s="4" t="s">
        <v>1747</v>
      </c>
      <c r="R117" s="4" t="s">
        <v>1748</v>
      </c>
      <c r="S117" s="4"/>
    </row>
    <row r="118" hidden="1">
      <c r="A118" s="67" t="str">
        <f t="shared" si="1"/>
        <v>Sat</v>
      </c>
      <c r="B118" s="69">
        <v>43547.0</v>
      </c>
      <c r="D118" s="161">
        <v>309.43</v>
      </c>
      <c r="E118" s="4" t="s">
        <v>222</v>
      </c>
      <c r="F118" s="4" t="s">
        <v>1745</v>
      </c>
      <c r="I118" s="4" t="s">
        <v>359</v>
      </c>
    </row>
    <row r="119" hidden="1">
      <c r="A119" s="67" t="str">
        <f t="shared" si="1"/>
        <v>Sun</v>
      </c>
      <c r="B119" s="69">
        <v>43548.0</v>
      </c>
      <c r="D119">
        <f>1550/5</f>
        <v>310</v>
      </c>
      <c r="E119" s="4" t="s">
        <v>337</v>
      </c>
      <c r="F119" s="4" t="s">
        <v>1749</v>
      </c>
      <c r="G119" s="4" t="s">
        <v>1749</v>
      </c>
      <c r="H119" s="4" t="s">
        <v>1745</v>
      </c>
      <c r="I119" s="4" t="s">
        <v>359</v>
      </c>
      <c r="K119" s="4" t="s">
        <v>339</v>
      </c>
      <c r="L119" s="4" t="s">
        <v>229</v>
      </c>
      <c r="M119" s="4" t="s">
        <v>1750</v>
      </c>
      <c r="N119" s="4" t="s">
        <v>1751</v>
      </c>
      <c r="Q119" s="4" t="s">
        <v>1752</v>
      </c>
      <c r="R119" s="4" t="s">
        <v>1753</v>
      </c>
    </row>
    <row r="120" hidden="1">
      <c r="A120" s="67" t="str">
        <f t="shared" si="1"/>
        <v>Mon</v>
      </c>
      <c r="B120" s="69">
        <v>43549.0</v>
      </c>
      <c r="D120" s="4">
        <v>310.0</v>
      </c>
      <c r="E120" s="4" t="s">
        <v>337</v>
      </c>
      <c r="F120" s="4" t="s">
        <v>1749</v>
      </c>
      <c r="I120" s="4" t="s">
        <v>359</v>
      </c>
    </row>
    <row r="121" hidden="1">
      <c r="A121" s="67" t="str">
        <f t="shared" si="1"/>
        <v>Tue</v>
      </c>
      <c r="B121" s="69">
        <v>43550.0</v>
      </c>
      <c r="D121" s="4">
        <v>310.0</v>
      </c>
      <c r="E121" s="4" t="s">
        <v>337</v>
      </c>
      <c r="F121" s="4" t="s">
        <v>1749</v>
      </c>
      <c r="I121" s="4" t="s">
        <v>359</v>
      </c>
    </row>
    <row r="122" hidden="1">
      <c r="A122" s="67" t="str">
        <f t="shared" si="1"/>
        <v>Wed</v>
      </c>
      <c r="B122" s="69">
        <v>43551.0</v>
      </c>
      <c r="D122" s="4">
        <v>310.0</v>
      </c>
      <c r="E122" s="4" t="s">
        <v>337</v>
      </c>
      <c r="F122" s="4" t="s">
        <v>1749</v>
      </c>
      <c r="I122" s="4" t="s">
        <v>359</v>
      </c>
    </row>
    <row r="123" hidden="1">
      <c r="A123" s="67" t="str">
        <f t="shared" si="1"/>
        <v>Thu</v>
      </c>
      <c r="B123" s="69">
        <v>43552.0</v>
      </c>
      <c r="D123" s="4">
        <v>310.0</v>
      </c>
      <c r="E123" s="4" t="s">
        <v>337</v>
      </c>
      <c r="F123" s="4" t="s">
        <v>1749</v>
      </c>
      <c r="I123" s="4" t="s">
        <v>359</v>
      </c>
    </row>
    <row r="124" hidden="1">
      <c r="A124" s="67" t="str">
        <f t="shared" si="1"/>
        <v>Fri</v>
      </c>
      <c r="B124" s="69">
        <v>43553.0</v>
      </c>
      <c r="D124" s="161">
        <v>241.53</v>
      </c>
      <c r="E124" s="4" t="s">
        <v>222</v>
      </c>
      <c r="F124" s="4" t="s">
        <v>1754</v>
      </c>
      <c r="G124" s="4" t="s">
        <v>1754</v>
      </c>
      <c r="H124" s="4" t="s">
        <v>1749</v>
      </c>
      <c r="I124" s="4" t="s">
        <v>359</v>
      </c>
      <c r="K124" s="4"/>
      <c r="L124" s="4" t="s">
        <v>225</v>
      </c>
      <c r="M124" s="4" t="s">
        <v>226</v>
      </c>
      <c r="N124" s="4" t="s">
        <v>232</v>
      </c>
      <c r="O124" s="4" t="s">
        <v>264</v>
      </c>
    </row>
    <row r="125" hidden="1">
      <c r="A125" s="67" t="str">
        <f t="shared" si="1"/>
        <v>Sat</v>
      </c>
      <c r="B125" s="69">
        <v>43554.0</v>
      </c>
      <c r="D125" s="161">
        <v>241.53</v>
      </c>
      <c r="E125" s="4" t="s">
        <v>222</v>
      </c>
      <c r="F125" s="4" t="s">
        <v>1754</v>
      </c>
      <c r="I125" s="4" t="s">
        <v>359</v>
      </c>
    </row>
    <row r="126" hidden="1">
      <c r="A126" s="67" t="str">
        <f t="shared" si="1"/>
        <v>Sun</v>
      </c>
      <c r="B126" s="69">
        <v>43555.0</v>
      </c>
      <c r="D126" s="161">
        <v>241.53</v>
      </c>
      <c r="E126" s="4" t="s">
        <v>222</v>
      </c>
      <c r="F126" s="4" t="s">
        <v>1754</v>
      </c>
      <c r="I126" s="4" t="s">
        <v>359</v>
      </c>
    </row>
    <row r="127">
      <c r="A127" s="67" t="str">
        <f t="shared" si="1"/>
        <v>Mon</v>
      </c>
      <c r="B127" s="69">
        <v>43556.0</v>
      </c>
      <c r="H127" s="4" t="s">
        <v>1754</v>
      </c>
      <c r="J127" s="4"/>
    </row>
    <row r="128">
      <c r="A128" s="67" t="str">
        <f t="shared" si="1"/>
        <v>Tue</v>
      </c>
      <c r="B128" s="69">
        <v>43557.0</v>
      </c>
      <c r="J128" s="4"/>
    </row>
    <row r="129">
      <c r="A129" s="67" t="str">
        <f t="shared" si="1"/>
        <v>Wed</v>
      </c>
      <c r="B129" s="69">
        <v>43558.0</v>
      </c>
      <c r="D129" s="161">
        <v>232.79999999999998</v>
      </c>
      <c r="E129" s="4" t="s">
        <v>222</v>
      </c>
      <c r="F129" s="4" t="s">
        <v>1755</v>
      </c>
      <c r="G129" s="4" t="s">
        <v>1755</v>
      </c>
      <c r="I129" s="4" t="s">
        <v>224</v>
      </c>
      <c r="K129" s="4" t="s">
        <v>231</v>
      </c>
      <c r="L129" s="4" t="s">
        <v>225</v>
      </c>
      <c r="M129" s="4" t="s">
        <v>226</v>
      </c>
      <c r="N129" s="4" t="s">
        <v>232</v>
      </c>
      <c r="O129" s="4" t="s">
        <v>264</v>
      </c>
      <c r="R129" s="4" t="s">
        <v>1756</v>
      </c>
    </row>
    <row r="130">
      <c r="A130" s="67" t="str">
        <f t="shared" si="1"/>
        <v>Thu</v>
      </c>
      <c r="B130" s="69">
        <v>43559.0</v>
      </c>
      <c r="D130" s="161">
        <v>232.79999999999998</v>
      </c>
      <c r="E130" s="4" t="s">
        <v>222</v>
      </c>
      <c r="F130" s="4" t="s">
        <v>1755</v>
      </c>
      <c r="I130" s="4" t="s">
        <v>224</v>
      </c>
    </row>
    <row r="131">
      <c r="A131" s="67" t="str">
        <f t="shared" si="1"/>
        <v>Fri</v>
      </c>
      <c r="B131" s="69">
        <v>43560.0</v>
      </c>
      <c r="D131" s="161">
        <v>232.79999999999998</v>
      </c>
      <c r="E131" s="4" t="s">
        <v>222</v>
      </c>
      <c r="F131" s="4" t="s">
        <v>1755</v>
      </c>
      <c r="I131" s="4" t="s">
        <v>224</v>
      </c>
    </row>
    <row r="132">
      <c r="A132" s="67" t="str">
        <f t="shared" si="1"/>
        <v>Sat</v>
      </c>
      <c r="B132" s="69">
        <v>43561.0</v>
      </c>
      <c r="D132" s="161">
        <v>232.79999999999998</v>
      </c>
      <c r="E132" s="4" t="s">
        <v>222</v>
      </c>
      <c r="F132" s="4" t="s">
        <v>1755</v>
      </c>
      <c r="I132" s="4" t="s">
        <v>224</v>
      </c>
    </row>
    <row r="133">
      <c r="A133" s="67" t="str">
        <f t="shared" si="1"/>
        <v>Sun</v>
      </c>
      <c r="B133" s="69">
        <v>43562.0</v>
      </c>
      <c r="D133" s="161">
        <v>232.79999999999998</v>
      </c>
      <c r="E133" s="4" t="s">
        <v>222</v>
      </c>
      <c r="F133" s="4" t="s">
        <v>1755</v>
      </c>
      <c r="I133" s="4" t="s">
        <v>224</v>
      </c>
    </row>
    <row r="134">
      <c r="A134" s="67" t="str">
        <f t="shared" si="1"/>
        <v>Mon</v>
      </c>
      <c r="B134" s="69">
        <v>43563.0</v>
      </c>
      <c r="D134" s="161">
        <v>232.79999999999998</v>
      </c>
      <c r="E134" s="4" t="s">
        <v>222</v>
      </c>
      <c r="F134" s="4" t="s">
        <v>1755</v>
      </c>
      <c r="I134" s="4" t="s">
        <v>224</v>
      </c>
    </row>
    <row r="135">
      <c r="A135" s="67" t="str">
        <f t="shared" si="1"/>
        <v>Tue</v>
      </c>
      <c r="B135" s="69">
        <v>43564.0</v>
      </c>
      <c r="H135" s="4" t="s">
        <v>1755</v>
      </c>
      <c r="J135" s="4"/>
    </row>
    <row r="136">
      <c r="A136" s="67" t="str">
        <f t="shared" si="1"/>
        <v>Wed</v>
      </c>
      <c r="B136" s="69">
        <v>43565.0</v>
      </c>
      <c r="J136" s="4"/>
    </row>
    <row r="137">
      <c r="A137" s="67" t="str">
        <f t="shared" si="1"/>
        <v>Thu</v>
      </c>
      <c r="B137" s="69">
        <v>43566.0</v>
      </c>
      <c r="D137" s="4">
        <v>242.5</v>
      </c>
      <c r="E137" s="4" t="s">
        <v>222</v>
      </c>
      <c r="F137" s="4" t="s">
        <v>1757</v>
      </c>
      <c r="G137" s="4" t="s">
        <v>1757</v>
      </c>
      <c r="I137" s="4" t="s">
        <v>224</v>
      </c>
      <c r="J137" s="4"/>
      <c r="K137" s="4" t="s">
        <v>231</v>
      </c>
      <c r="L137" s="4" t="s">
        <v>229</v>
      </c>
      <c r="M137" s="4" t="s">
        <v>226</v>
      </c>
      <c r="N137" s="4" t="s">
        <v>232</v>
      </c>
      <c r="O137" s="4" t="s">
        <v>264</v>
      </c>
      <c r="Q137" s="4" t="s">
        <v>1758</v>
      </c>
      <c r="R137" s="4" t="s">
        <v>1759</v>
      </c>
      <c r="S137" s="4" t="s">
        <v>1760</v>
      </c>
    </row>
    <row r="138">
      <c r="A138" s="67" t="str">
        <f t="shared" si="1"/>
        <v>Fri</v>
      </c>
      <c r="B138" s="69">
        <v>43567.0</v>
      </c>
      <c r="D138" s="4">
        <v>0.0</v>
      </c>
      <c r="E138" s="4" t="s">
        <v>337</v>
      </c>
      <c r="F138" s="4" t="s">
        <v>1761</v>
      </c>
      <c r="G138" s="4" t="s">
        <v>1761</v>
      </c>
      <c r="H138" s="4" t="s">
        <v>1757</v>
      </c>
      <c r="I138" s="4" t="s">
        <v>292</v>
      </c>
      <c r="K138" s="4" t="s">
        <v>231</v>
      </c>
      <c r="L138" s="4" t="s">
        <v>225</v>
      </c>
      <c r="M138" s="4" t="s">
        <v>226</v>
      </c>
      <c r="N138" s="4" t="s">
        <v>232</v>
      </c>
      <c r="O138" s="4" t="s">
        <v>264</v>
      </c>
      <c r="S138" s="4" t="s">
        <v>1762</v>
      </c>
    </row>
    <row r="139">
      <c r="A139" s="67" t="str">
        <f t="shared" si="1"/>
        <v>Sat</v>
      </c>
      <c r="B139" s="69">
        <v>43568.0</v>
      </c>
      <c r="D139" s="4">
        <v>0.0</v>
      </c>
      <c r="E139" s="4" t="s">
        <v>337</v>
      </c>
      <c r="F139" s="4" t="s">
        <v>1761</v>
      </c>
      <c r="I139" s="4" t="s">
        <v>292</v>
      </c>
    </row>
    <row r="140">
      <c r="A140" s="67" t="str">
        <f t="shared" si="1"/>
        <v>Sun</v>
      </c>
      <c r="B140" s="69">
        <v>43569.0</v>
      </c>
      <c r="D140" s="4">
        <v>0.0</v>
      </c>
      <c r="E140" s="4" t="s">
        <v>337</v>
      </c>
      <c r="F140" s="4" t="s">
        <v>1761</v>
      </c>
      <c r="I140" s="4" t="s">
        <v>292</v>
      </c>
    </row>
    <row r="141">
      <c r="A141" s="67" t="str">
        <f t="shared" si="1"/>
        <v>Mon</v>
      </c>
      <c r="B141" s="69">
        <v>43570.0</v>
      </c>
      <c r="D141" s="161">
        <v>270.0</v>
      </c>
      <c r="E141" s="4" t="s">
        <v>337</v>
      </c>
      <c r="F141" s="4" t="s">
        <v>704</v>
      </c>
      <c r="G141" s="4" t="s">
        <v>704</v>
      </c>
      <c r="H141" s="4" t="s">
        <v>1761</v>
      </c>
      <c r="I141" s="4" t="s">
        <v>224</v>
      </c>
      <c r="J141" s="4"/>
      <c r="K141" s="4" t="s">
        <v>231</v>
      </c>
      <c r="L141" s="4" t="s">
        <v>225</v>
      </c>
      <c r="M141" s="4" t="s">
        <v>706</v>
      </c>
      <c r="N141" s="4" t="s">
        <v>707</v>
      </c>
      <c r="O141" s="4" t="s">
        <v>708</v>
      </c>
      <c r="Q141" s="4" t="s">
        <v>709</v>
      </c>
      <c r="R141" s="4" t="s">
        <v>710</v>
      </c>
      <c r="S141" s="161">
        <v>6.759875702E10</v>
      </c>
    </row>
    <row r="142">
      <c r="A142" s="67" t="str">
        <f t="shared" si="1"/>
        <v>Tue</v>
      </c>
      <c r="B142" s="69">
        <v>43571.0</v>
      </c>
      <c r="H142" s="4" t="s">
        <v>704</v>
      </c>
      <c r="J142" s="4"/>
    </row>
    <row r="143">
      <c r="A143" s="67" t="str">
        <f t="shared" si="1"/>
        <v>Wed</v>
      </c>
      <c r="B143" s="69">
        <v>43572.0</v>
      </c>
      <c r="D143" s="4">
        <v>200.0</v>
      </c>
      <c r="E143" s="4" t="s">
        <v>337</v>
      </c>
      <c r="F143" s="4" t="s">
        <v>1429</v>
      </c>
      <c r="G143" s="4" t="s">
        <v>1429</v>
      </c>
      <c r="I143" s="4" t="s">
        <v>395</v>
      </c>
      <c r="J143" s="4" t="s">
        <v>1763</v>
      </c>
      <c r="K143" s="4" t="s">
        <v>231</v>
      </c>
      <c r="L143" s="4" t="s">
        <v>225</v>
      </c>
      <c r="M143" s="4" t="s">
        <v>226</v>
      </c>
      <c r="N143" s="4" t="s">
        <v>232</v>
      </c>
      <c r="O143" s="4" t="s">
        <v>264</v>
      </c>
      <c r="Q143" s="4" t="s">
        <v>1764</v>
      </c>
      <c r="R143" s="4" t="s">
        <v>1458</v>
      </c>
      <c r="S143" s="4" t="s">
        <v>1765</v>
      </c>
    </row>
    <row r="144">
      <c r="A144" s="67" t="str">
        <f t="shared" si="1"/>
        <v>Thu</v>
      </c>
      <c r="B144" s="69">
        <v>43573.0</v>
      </c>
      <c r="H144" s="4" t="s">
        <v>1429</v>
      </c>
      <c r="J144" s="4"/>
    </row>
    <row r="145">
      <c r="A145" s="67" t="str">
        <f t="shared" si="1"/>
        <v>Fri</v>
      </c>
      <c r="B145" s="69">
        <v>43574.0</v>
      </c>
      <c r="D145" s="161">
        <v>384.25</v>
      </c>
      <c r="E145" s="4" t="s">
        <v>169</v>
      </c>
      <c r="F145" s="4" t="s">
        <v>1766</v>
      </c>
      <c r="I145" s="4" t="s">
        <v>224</v>
      </c>
      <c r="K145" s="4" t="s">
        <v>231</v>
      </c>
      <c r="L145" s="4" t="s">
        <v>225</v>
      </c>
      <c r="M145" s="4" t="s">
        <v>226</v>
      </c>
      <c r="N145" s="4" t="s">
        <v>232</v>
      </c>
      <c r="O145" s="4" t="s">
        <v>264</v>
      </c>
      <c r="R145" s="4" t="s">
        <v>1767</v>
      </c>
    </row>
    <row r="146">
      <c r="A146" s="67" t="str">
        <f t="shared" si="1"/>
        <v>Sat</v>
      </c>
      <c r="B146" s="69">
        <v>43575.0</v>
      </c>
      <c r="D146" s="161">
        <v>384.25</v>
      </c>
      <c r="E146" s="4" t="s">
        <v>169</v>
      </c>
      <c r="F146" s="4" t="s">
        <v>1766</v>
      </c>
      <c r="I146" s="4" t="s">
        <v>224</v>
      </c>
    </row>
    <row r="147">
      <c r="A147" s="67" t="str">
        <f t="shared" si="1"/>
        <v>Sun</v>
      </c>
      <c r="B147" s="69">
        <v>43576.0</v>
      </c>
      <c r="D147" s="161">
        <v>384.25</v>
      </c>
      <c r="E147" s="4" t="s">
        <v>169</v>
      </c>
      <c r="F147" s="4" t="s">
        <v>1766</v>
      </c>
      <c r="I147" s="4" t="s">
        <v>224</v>
      </c>
    </row>
    <row r="148">
      <c r="A148" s="67" t="str">
        <f t="shared" si="1"/>
        <v>Mon</v>
      </c>
      <c r="B148" s="69">
        <v>43577.0</v>
      </c>
      <c r="H148" s="4" t="s">
        <v>1766</v>
      </c>
    </row>
    <row r="149">
      <c r="A149" s="67" t="str">
        <f t="shared" si="1"/>
        <v>Tue</v>
      </c>
      <c r="B149" s="69">
        <v>43578.0</v>
      </c>
    </row>
    <row r="150">
      <c r="A150" s="67" t="str">
        <f t="shared" si="1"/>
        <v>Wed</v>
      </c>
      <c r="B150" s="69">
        <v>43579.0</v>
      </c>
      <c r="J150" s="4" t="s">
        <v>228</v>
      </c>
      <c r="L150" s="4" t="s">
        <v>229</v>
      </c>
      <c r="M150" s="4" t="s">
        <v>226</v>
      </c>
      <c r="N150" s="4" t="s">
        <v>232</v>
      </c>
      <c r="O150" s="4" t="s">
        <v>264</v>
      </c>
    </row>
    <row r="151">
      <c r="A151" s="67" t="str">
        <f t="shared" si="1"/>
        <v>Thu</v>
      </c>
      <c r="B151" s="69">
        <v>43580.0</v>
      </c>
      <c r="D151" s="4">
        <v>378.45</v>
      </c>
      <c r="E151" s="4" t="s">
        <v>169</v>
      </c>
      <c r="F151" s="4" t="s">
        <v>1768</v>
      </c>
      <c r="G151" s="4" t="s">
        <v>1768</v>
      </c>
      <c r="I151" s="4" t="s">
        <v>224</v>
      </c>
      <c r="K151" s="4" t="s">
        <v>231</v>
      </c>
      <c r="L151" s="4" t="s">
        <v>225</v>
      </c>
      <c r="M151" s="4" t="s">
        <v>226</v>
      </c>
      <c r="N151" s="4" t="s">
        <v>232</v>
      </c>
      <c r="O151" s="4" t="s">
        <v>264</v>
      </c>
      <c r="R151" s="4" t="s">
        <v>1769</v>
      </c>
    </row>
    <row r="152">
      <c r="A152" s="67" t="str">
        <f t="shared" si="1"/>
        <v>Fri</v>
      </c>
      <c r="B152" s="69">
        <v>43581.0</v>
      </c>
      <c r="D152" s="4">
        <v>378.45</v>
      </c>
      <c r="E152" s="4" t="s">
        <v>169</v>
      </c>
      <c r="F152" s="4" t="s">
        <v>1768</v>
      </c>
      <c r="G152" s="4"/>
      <c r="I152" s="4" t="s">
        <v>224</v>
      </c>
      <c r="M152" s="4"/>
      <c r="N152" s="4"/>
      <c r="O152" s="4"/>
    </row>
    <row r="153">
      <c r="A153" s="67" t="str">
        <f t="shared" si="1"/>
        <v>Sat</v>
      </c>
      <c r="B153" s="69">
        <v>43582.0</v>
      </c>
      <c r="D153" s="4">
        <v>378.45</v>
      </c>
      <c r="E153" s="4" t="s">
        <v>169</v>
      </c>
      <c r="F153" s="4" t="s">
        <v>1768</v>
      </c>
      <c r="I153" s="4" t="s">
        <v>224</v>
      </c>
    </row>
    <row r="154">
      <c r="A154" s="67" t="str">
        <f t="shared" si="1"/>
        <v>Sun</v>
      </c>
      <c r="B154" s="69">
        <v>43583.0</v>
      </c>
      <c r="F154" s="4"/>
      <c r="G154" s="4"/>
      <c r="H154" s="4" t="s">
        <v>1768</v>
      </c>
      <c r="N154" s="4"/>
      <c r="O154" s="4"/>
    </row>
    <row r="155">
      <c r="A155" s="67" t="str">
        <f t="shared" si="1"/>
        <v>Mon</v>
      </c>
      <c r="B155" s="69">
        <v>43584.0</v>
      </c>
      <c r="D155" s="161">
        <v>203.70000000000002</v>
      </c>
      <c r="E155" s="4" t="s">
        <v>222</v>
      </c>
      <c r="F155" s="4" t="s">
        <v>1770</v>
      </c>
      <c r="G155" s="4" t="s">
        <v>1770</v>
      </c>
      <c r="H155" s="4"/>
      <c r="I155" s="4" t="s">
        <v>224</v>
      </c>
      <c r="K155" s="4" t="s">
        <v>231</v>
      </c>
      <c r="L155" s="4" t="s">
        <v>225</v>
      </c>
      <c r="M155" s="6" t="s">
        <v>1771</v>
      </c>
      <c r="N155" s="4" t="s">
        <v>232</v>
      </c>
      <c r="O155" s="4" t="s">
        <v>264</v>
      </c>
      <c r="Q155" s="234" t="s">
        <v>1772</v>
      </c>
      <c r="R155" s="4" t="s">
        <v>1773</v>
      </c>
      <c r="S155" s="179">
        <v>3.7246196E7</v>
      </c>
    </row>
    <row r="156">
      <c r="A156" s="67" t="str">
        <f t="shared" si="1"/>
        <v>Tue</v>
      </c>
      <c r="B156" s="69">
        <v>43585.0</v>
      </c>
      <c r="D156" s="161">
        <f>203.7*2</f>
        <v>407.4</v>
      </c>
      <c r="E156" s="4" t="s">
        <v>222</v>
      </c>
      <c r="F156" s="4" t="s">
        <v>1770</v>
      </c>
      <c r="I156" s="4" t="s">
        <v>224</v>
      </c>
    </row>
    <row r="157">
      <c r="A157" s="67" t="str">
        <f t="shared" si="1"/>
        <v>Wed</v>
      </c>
      <c r="B157" s="69">
        <v>43586.0</v>
      </c>
      <c r="D157" s="4">
        <v>0.0</v>
      </c>
      <c r="E157" s="4" t="s">
        <v>222</v>
      </c>
      <c r="F157" s="4" t="s">
        <v>1770</v>
      </c>
      <c r="I157" s="4" t="s">
        <v>224</v>
      </c>
    </row>
    <row r="158">
      <c r="A158" s="67" t="str">
        <f t="shared" si="1"/>
        <v>Thu</v>
      </c>
      <c r="B158" s="69">
        <v>43587.0</v>
      </c>
      <c r="F158" s="4"/>
      <c r="G158" s="4"/>
      <c r="H158" s="4" t="s">
        <v>1770</v>
      </c>
      <c r="M158" s="4"/>
      <c r="N158" s="4"/>
      <c r="O158" s="4"/>
    </row>
    <row r="159">
      <c r="A159" s="67" t="str">
        <f t="shared" si="1"/>
        <v>Fri</v>
      </c>
      <c r="B159" s="69">
        <v>43588.0</v>
      </c>
      <c r="D159" s="4">
        <v>239.26</v>
      </c>
      <c r="E159" s="4" t="s">
        <v>222</v>
      </c>
      <c r="F159" s="4" t="s">
        <v>1775</v>
      </c>
      <c r="G159" s="4" t="s">
        <v>1775</v>
      </c>
      <c r="I159" s="4" t="s">
        <v>224</v>
      </c>
      <c r="L159" s="4" t="s">
        <v>229</v>
      </c>
      <c r="M159" s="4" t="s">
        <v>226</v>
      </c>
      <c r="N159" s="4" t="s">
        <v>232</v>
      </c>
      <c r="O159" s="4" t="s">
        <v>264</v>
      </c>
      <c r="R159" s="4" t="s">
        <v>1776</v>
      </c>
    </row>
    <row r="160">
      <c r="A160" s="67" t="str">
        <f t="shared" si="1"/>
        <v>Sat</v>
      </c>
      <c r="B160" s="69">
        <v>43589.0</v>
      </c>
      <c r="D160" s="4">
        <v>239.26</v>
      </c>
      <c r="E160" s="4" t="s">
        <v>222</v>
      </c>
      <c r="F160" s="4" t="s">
        <v>1775</v>
      </c>
      <c r="G160" s="4"/>
      <c r="H160" s="4"/>
      <c r="I160" s="4" t="s">
        <v>224</v>
      </c>
      <c r="M160" s="4"/>
      <c r="N160" s="4"/>
      <c r="O160" s="4"/>
    </row>
    <row r="161">
      <c r="A161" s="67" t="str">
        <f t="shared" si="1"/>
        <v>Sun</v>
      </c>
      <c r="B161" s="69">
        <v>43590.0</v>
      </c>
      <c r="D161" s="4">
        <v>239.26</v>
      </c>
      <c r="E161" s="4" t="s">
        <v>222</v>
      </c>
      <c r="F161" s="4" t="s">
        <v>1775</v>
      </c>
      <c r="G161" s="4"/>
      <c r="I161" s="4" t="s">
        <v>224</v>
      </c>
    </row>
    <row r="162">
      <c r="A162" s="67" t="str">
        <f t="shared" si="1"/>
        <v>Mon</v>
      </c>
      <c r="B162" s="69">
        <v>43591.0</v>
      </c>
      <c r="F162" s="4"/>
      <c r="G162" s="4"/>
      <c r="H162" s="4" t="s">
        <v>1775</v>
      </c>
      <c r="M162" s="4"/>
      <c r="N162" s="4"/>
      <c r="O162" s="4"/>
    </row>
    <row r="163">
      <c r="A163" s="67" t="str">
        <f t="shared" si="1"/>
        <v>Tue</v>
      </c>
      <c r="B163" s="69">
        <v>43592.0</v>
      </c>
      <c r="D163" s="235">
        <v>230.37</v>
      </c>
      <c r="E163" s="4" t="s">
        <v>222</v>
      </c>
      <c r="F163" s="4" t="s">
        <v>1777</v>
      </c>
      <c r="G163" s="4" t="s">
        <v>1777</v>
      </c>
      <c r="I163" s="4" t="s">
        <v>224</v>
      </c>
      <c r="L163" s="4" t="s">
        <v>225</v>
      </c>
      <c r="M163" s="4" t="s">
        <v>226</v>
      </c>
    </row>
    <row r="164">
      <c r="A164" s="67" t="str">
        <f t="shared" si="1"/>
        <v>Wed</v>
      </c>
      <c r="B164" s="69">
        <v>43593.0</v>
      </c>
      <c r="D164" s="34">
        <v>230.37</v>
      </c>
      <c r="E164" s="4" t="s">
        <v>222</v>
      </c>
      <c r="F164" s="4" t="s">
        <v>1777</v>
      </c>
      <c r="G164" s="4"/>
      <c r="H164" s="4"/>
      <c r="I164" s="4" t="s">
        <v>224</v>
      </c>
      <c r="M164" s="4"/>
      <c r="N164" s="4"/>
      <c r="O164" s="4"/>
    </row>
    <row r="165">
      <c r="A165" s="67" t="str">
        <f t="shared" si="1"/>
        <v>Thu</v>
      </c>
      <c r="B165" s="69">
        <v>43594.0</v>
      </c>
      <c r="D165" s="34">
        <v>230.37</v>
      </c>
      <c r="E165" s="4" t="s">
        <v>222</v>
      </c>
      <c r="F165" s="4" t="s">
        <v>1777</v>
      </c>
      <c r="I165" s="4" t="s">
        <v>224</v>
      </c>
    </row>
    <row r="166">
      <c r="A166" s="67" t="str">
        <f t="shared" si="1"/>
        <v>Fri</v>
      </c>
      <c r="B166" s="69">
        <v>43595.0</v>
      </c>
      <c r="D166" s="34">
        <v>230.37</v>
      </c>
      <c r="E166" s="4" t="s">
        <v>222</v>
      </c>
      <c r="F166" s="4" t="s">
        <v>1777</v>
      </c>
      <c r="H166" s="4"/>
      <c r="I166" s="4" t="s">
        <v>224</v>
      </c>
    </row>
    <row r="167">
      <c r="A167" s="67" t="str">
        <f t="shared" si="1"/>
        <v>Sat</v>
      </c>
      <c r="B167" s="69">
        <v>43596.0</v>
      </c>
      <c r="F167" s="4"/>
      <c r="G167" s="4"/>
      <c r="H167" s="4" t="s">
        <v>1777</v>
      </c>
      <c r="N167" s="4"/>
      <c r="O167" s="4"/>
    </row>
    <row r="168">
      <c r="A168" s="67" t="str">
        <f t="shared" si="1"/>
        <v>Sun</v>
      </c>
      <c r="B168" s="69">
        <v>43597.0</v>
      </c>
      <c r="F168" s="4"/>
    </row>
    <row r="169">
      <c r="A169" s="67" t="str">
        <f t="shared" si="1"/>
        <v>Mon</v>
      </c>
      <c r="B169" s="69">
        <v>43598.0</v>
      </c>
      <c r="F169" s="4"/>
      <c r="G169" s="4"/>
      <c r="H169" s="4"/>
      <c r="N169" s="4"/>
      <c r="O169" s="4"/>
    </row>
    <row r="170">
      <c r="A170" s="67" t="str">
        <f t="shared" si="1"/>
        <v>Tue</v>
      </c>
      <c r="B170" s="69">
        <v>43599.0</v>
      </c>
      <c r="F170" s="4"/>
    </row>
    <row r="171">
      <c r="A171" s="67" t="str">
        <f t="shared" si="1"/>
        <v>Wed</v>
      </c>
      <c r="B171" s="69">
        <v>43600.0</v>
      </c>
      <c r="F171" s="4"/>
      <c r="G171" s="4"/>
      <c r="H171" s="4"/>
      <c r="N171" s="4"/>
      <c r="O171" s="4"/>
    </row>
    <row r="172">
      <c r="A172" s="67" t="str">
        <f t="shared" si="1"/>
        <v>Thu</v>
      </c>
      <c r="B172" s="69">
        <v>43601.0</v>
      </c>
      <c r="F172" s="4"/>
    </row>
    <row r="173">
      <c r="A173" s="67" t="str">
        <f t="shared" si="1"/>
        <v>Fri</v>
      </c>
      <c r="B173" s="69">
        <v>43602.0</v>
      </c>
      <c r="D173" s="4">
        <v>266.75</v>
      </c>
      <c r="E173" s="4" t="s">
        <v>222</v>
      </c>
      <c r="F173" s="4" t="s">
        <v>1778</v>
      </c>
      <c r="G173" s="4" t="s">
        <v>1778</v>
      </c>
      <c r="I173" s="4" t="s">
        <v>224</v>
      </c>
      <c r="J173" s="4" t="s">
        <v>1779</v>
      </c>
      <c r="K173" s="4" t="s">
        <v>231</v>
      </c>
      <c r="L173" s="4" t="s">
        <v>225</v>
      </c>
      <c r="M173" s="4" t="s">
        <v>226</v>
      </c>
      <c r="N173" s="4"/>
      <c r="O173" s="4"/>
      <c r="R173" s="4" t="s">
        <v>1780</v>
      </c>
    </row>
    <row r="174">
      <c r="A174" s="67" t="str">
        <f t="shared" si="1"/>
        <v>Sat</v>
      </c>
      <c r="B174" s="69">
        <v>43603.0</v>
      </c>
      <c r="D174" s="4">
        <v>266.75</v>
      </c>
      <c r="E174" s="4" t="s">
        <v>222</v>
      </c>
      <c r="F174" s="4" t="s">
        <v>1778</v>
      </c>
      <c r="I174" s="4" t="s">
        <v>224</v>
      </c>
    </row>
    <row r="175">
      <c r="A175" s="67" t="str">
        <f t="shared" si="1"/>
        <v>Sun</v>
      </c>
      <c r="B175" s="69">
        <v>43604.0</v>
      </c>
      <c r="H175" s="4" t="s">
        <v>1778</v>
      </c>
    </row>
    <row r="176">
      <c r="A176" s="67" t="str">
        <f t="shared" si="1"/>
        <v>Mon</v>
      </c>
      <c r="B176" s="69">
        <v>43605.0</v>
      </c>
    </row>
    <row r="177">
      <c r="A177" s="67" t="str">
        <f t="shared" si="1"/>
        <v>Tue</v>
      </c>
      <c r="B177" s="69">
        <v>43606.0</v>
      </c>
    </row>
    <row r="178">
      <c r="A178" s="67" t="str">
        <f t="shared" si="1"/>
        <v>Wed</v>
      </c>
      <c r="B178" s="69">
        <v>43607.0</v>
      </c>
      <c r="D178" s="4">
        <v>218.25</v>
      </c>
      <c r="E178" s="4" t="s">
        <v>222</v>
      </c>
      <c r="F178" s="4" t="s">
        <v>1781</v>
      </c>
      <c r="G178" s="4" t="s">
        <v>1781</v>
      </c>
      <c r="I178" s="4" t="s">
        <v>224</v>
      </c>
      <c r="J178" s="4" t="s">
        <v>422</v>
      </c>
      <c r="K178" s="4" t="s">
        <v>231</v>
      </c>
      <c r="L178" s="4" t="s">
        <v>225</v>
      </c>
      <c r="M178" s="4" t="s">
        <v>1782</v>
      </c>
      <c r="N178" s="4"/>
      <c r="O178" s="4"/>
      <c r="Q178" s="4" t="s">
        <v>1783</v>
      </c>
      <c r="R178" s="4" t="s">
        <v>1784</v>
      </c>
      <c r="S178" s="4" t="s">
        <v>1785</v>
      </c>
    </row>
    <row r="179">
      <c r="A179" s="67" t="str">
        <f t="shared" si="1"/>
        <v>Thu</v>
      </c>
      <c r="B179" s="69">
        <v>43608.0</v>
      </c>
      <c r="D179" s="161">
        <v>314.28</v>
      </c>
      <c r="E179" s="4" t="s">
        <v>222</v>
      </c>
      <c r="F179" s="4" t="s">
        <v>1786</v>
      </c>
      <c r="G179" s="4" t="s">
        <v>1786</v>
      </c>
      <c r="H179" s="4" t="s">
        <v>1781</v>
      </c>
      <c r="I179" s="4" t="s">
        <v>359</v>
      </c>
      <c r="K179" s="4" t="s">
        <v>231</v>
      </c>
      <c r="L179" s="4" t="s">
        <v>225</v>
      </c>
      <c r="M179" s="4" t="s">
        <v>226</v>
      </c>
    </row>
    <row r="180">
      <c r="A180" s="67" t="str">
        <f t="shared" si="1"/>
        <v>Fri</v>
      </c>
      <c r="B180" s="69">
        <v>43609.0</v>
      </c>
      <c r="D180" s="161">
        <v>314.28</v>
      </c>
      <c r="E180" s="4" t="s">
        <v>222</v>
      </c>
      <c r="F180" s="4" t="s">
        <v>1786</v>
      </c>
      <c r="I180" s="4" t="s">
        <v>359</v>
      </c>
    </row>
    <row r="181">
      <c r="A181" s="67" t="str">
        <f t="shared" si="1"/>
        <v>Sat</v>
      </c>
      <c r="B181" s="69">
        <v>43610.0</v>
      </c>
      <c r="D181" s="161">
        <v>314.28</v>
      </c>
      <c r="E181" s="4" t="s">
        <v>222</v>
      </c>
      <c r="F181" s="4" t="s">
        <v>1786</v>
      </c>
      <c r="I181" s="4" t="s">
        <v>359</v>
      </c>
    </row>
    <row r="182">
      <c r="A182" s="67" t="str">
        <f t="shared" si="1"/>
        <v>Sun</v>
      </c>
      <c r="B182" s="69">
        <v>43611.0</v>
      </c>
      <c r="D182" s="161">
        <v>314.28</v>
      </c>
      <c r="E182" s="4" t="s">
        <v>222</v>
      </c>
      <c r="F182" s="4" t="s">
        <v>1786</v>
      </c>
      <c r="I182" s="4" t="s">
        <v>359</v>
      </c>
    </row>
    <row r="183">
      <c r="A183" s="67" t="str">
        <f t="shared" si="1"/>
        <v>Mon</v>
      </c>
      <c r="B183" s="69">
        <v>43612.0</v>
      </c>
      <c r="F183" s="4"/>
      <c r="G183" s="4"/>
      <c r="H183" s="4" t="s">
        <v>1786</v>
      </c>
      <c r="J183" s="4" t="s">
        <v>228</v>
      </c>
      <c r="L183" s="4" t="s">
        <v>229</v>
      </c>
      <c r="M183" s="4"/>
      <c r="N183" s="4"/>
      <c r="O183" s="4"/>
    </row>
    <row r="184">
      <c r="A184" s="67" t="str">
        <f t="shared" si="1"/>
        <v>Tue</v>
      </c>
      <c r="B184" s="69">
        <v>43613.0</v>
      </c>
      <c r="F184" s="4"/>
      <c r="J184" s="4" t="s">
        <v>228</v>
      </c>
    </row>
    <row r="185">
      <c r="A185" s="67" t="str">
        <f t="shared" si="1"/>
        <v>Wed</v>
      </c>
      <c r="B185" s="69">
        <v>43614.0</v>
      </c>
      <c r="D185" s="161">
        <v>212.1875</v>
      </c>
      <c r="E185" s="4" t="s">
        <v>222</v>
      </c>
      <c r="F185" s="4" t="s">
        <v>1787</v>
      </c>
      <c r="G185" s="4" t="s">
        <v>1787</v>
      </c>
      <c r="H185" s="4"/>
      <c r="I185" s="4" t="s">
        <v>224</v>
      </c>
      <c r="J185" s="4" t="s">
        <v>1628</v>
      </c>
      <c r="K185" s="4" t="s">
        <v>231</v>
      </c>
      <c r="L185" s="4" t="s">
        <v>225</v>
      </c>
      <c r="M185" s="4" t="s">
        <v>1788</v>
      </c>
      <c r="N185" s="4" t="s">
        <v>232</v>
      </c>
      <c r="O185" s="4" t="s">
        <v>264</v>
      </c>
      <c r="Q185" s="4" t="s">
        <v>1714</v>
      </c>
      <c r="R185" s="4" t="s">
        <v>1715</v>
      </c>
      <c r="S185" s="4" t="s">
        <v>1716</v>
      </c>
    </row>
    <row r="186">
      <c r="A186" s="67" t="str">
        <f t="shared" si="1"/>
        <v>Thu</v>
      </c>
      <c r="B186" s="69">
        <v>43615.0</v>
      </c>
      <c r="D186" s="161">
        <v>212.1875</v>
      </c>
      <c r="E186" s="4" t="s">
        <v>222</v>
      </c>
      <c r="F186" s="4" t="s">
        <v>1787</v>
      </c>
      <c r="I186" s="4" t="s">
        <v>224</v>
      </c>
    </row>
    <row r="187">
      <c r="A187" s="67" t="str">
        <f t="shared" si="1"/>
        <v>Fri</v>
      </c>
      <c r="B187" s="69">
        <v>43616.0</v>
      </c>
      <c r="D187" s="161">
        <v>212.1875</v>
      </c>
      <c r="E187" s="4" t="s">
        <v>222</v>
      </c>
      <c r="F187" s="4" t="s">
        <v>1787</v>
      </c>
      <c r="I187" s="4" t="s">
        <v>224</v>
      </c>
    </row>
    <row r="188">
      <c r="A188" s="67" t="str">
        <f t="shared" si="1"/>
        <v>Sat</v>
      </c>
      <c r="B188" s="69">
        <v>43617.0</v>
      </c>
      <c r="D188" s="161">
        <v>212.1875</v>
      </c>
      <c r="E188" s="4" t="s">
        <v>222</v>
      </c>
      <c r="F188" s="4" t="s">
        <v>1787</v>
      </c>
      <c r="I188" s="4" t="s">
        <v>224</v>
      </c>
    </row>
    <row r="189">
      <c r="A189" s="67" t="str">
        <f t="shared" si="1"/>
        <v>Sun</v>
      </c>
      <c r="B189" s="69">
        <v>43618.0</v>
      </c>
      <c r="H189" s="4" t="s">
        <v>1787</v>
      </c>
    </row>
    <row r="190">
      <c r="A190" s="67" t="str">
        <f t="shared" si="1"/>
        <v>Mon</v>
      </c>
      <c r="B190" s="69">
        <v>43619.0</v>
      </c>
    </row>
    <row r="191">
      <c r="A191" s="67" t="str">
        <f t="shared" si="1"/>
        <v>Tue</v>
      </c>
      <c r="B191" s="69">
        <v>43620.0</v>
      </c>
    </row>
    <row r="192">
      <c r="A192" s="67" t="str">
        <f t="shared" si="1"/>
        <v>Wed</v>
      </c>
      <c r="B192" s="69">
        <v>43621.0</v>
      </c>
    </row>
    <row r="193">
      <c r="A193" s="67" t="str">
        <f t="shared" si="1"/>
        <v>Thu</v>
      </c>
      <c r="B193" s="69">
        <v>43622.0</v>
      </c>
    </row>
    <row r="194">
      <c r="A194" s="67" t="str">
        <f t="shared" si="1"/>
        <v>Fri</v>
      </c>
      <c r="B194" s="69">
        <v>43623.0</v>
      </c>
    </row>
    <row r="195">
      <c r="A195" s="67" t="str">
        <f t="shared" si="1"/>
        <v>Sat</v>
      </c>
      <c r="B195" s="69">
        <v>43624.0</v>
      </c>
    </row>
    <row r="196">
      <c r="A196" s="67" t="str">
        <f t="shared" si="1"/>
        <v>Sun</v>
      </c>
      <c r="B196" s="69">
        <v>43625.0</v>
      </c>
    </row>
    <row r="197">
      <c r="A197" s="67" t="str">
        <f t="shared" si="1"/>
        <v>Mon</v>
      </c>
      <c r="B197" s="69">
        <v>43626.0</v>
      </c>
    </row>
    <row r="198">
      <c r="A198" s="67" t="str">
        <f t="shared" si="1"/>
        <v>Tue</v>
      </c>
      <c r="B198" s="69">
        <v>43627.0</v>
      </c>
    </row>
    <row r="199">
      <c r="A199" s="67" t="str">
        <f t="shared" si="1"/>
        <v>Wed</v>
      </c>
      <c r="B199" s="69">
        <v>43628.0</v>
      </c>
    </row>
    <row r="200">
      <c r="A200" s="67" t="str">
        <f t="shared" si="1"/>
        <v>Thu</v>
      </c>
      <c r="B200" s="69">
        <v>43629.0</v>
      </c>
    </row>
    <row r="201">
      <c r="A201" s="67" t="str">
        <f t="shared" si="1"/>
        <v>Fri</v>
      </c>
      <c r="B201" s="69">
        <v>43630.0</v>
      </c>
      <c r="D201">
        <v>246.21</v>
      </c>
      <c r="E201" s="6" t="s">
        <v>169</v>
      </c>
      <c r="F201" s="6" t="s">
        <v>1789</v>
      </c>
      <c r="G201" s="6" t="s">
        <v>1789</v>
      </c>
      <c r="I201" s="6" t="s">
        <v>359</v>
      </c>
      <c r="K201" s="6" t="s">
        <v>231</v>
      </c>
      <c r="L201" s="4" t="s">
        <v>240</v>
      </c>
      <c r="M201" s="4" t="s">
        <v>226</v>
      </c>
      <c r="N201" s="4" t="s">
        <v>232</v>
      </c>
      <c r="O201" s="4" t="s">
        <v>264</v>
      </c>
      <c r="R201" s="4" t="s">
        <v>1790</v>
      </c>
    </row>
    <row r="202">
      <c r="A202" s="67" t="str">
        <f t="shared" si="1"/>
        <v>Sat</v>
      </c>
      <c r="B202" s="69">
        <v>43631.0</v>
      </c>
      <c r="D202">
        <v>246.21</v>
      </c>
      <c r="E202" s="6" t="s">
        <v>169</v>
      </c>
      <c r="F202" s="6" t="s">
        <v>1789</v>
      </c>
      <c r="I202" s="6" t="s">
        <v>359</v>
      </c>
    </row>
    <row r="203">
      <c r="A203" s="67" t="str">
        <f t="shared" si="1"/>
        <v>Sun</v>
      </c>
      <c r="B203" s="69">
        <v>43632.0</v>
      </c>
      <c r="H203" s="6" t="s">
        <v>1789</v>
      </c>
    </row>
    <row r="204">
      <c r="A204" s="67" t="str">
        <f t="shared" si="1"/>
        <v>Mon</v>
      </c>
      <c r="B204" s="69">
        <v>43633.0</v>
      </c>
    </row>
    <row r="205">
      <c r="A205" s="67" t="str">
        <f t="shared" si="1"/>
        <v>Tue</v>
      </c>
      <c r="B205" s="69">
        <v>43634.0</v>
      </c>
    </row>
    <row r="206">
      <c r="A206" s="67" t="str">
        <f t="shared" si="1"/>
        <v>Wed</v>
      </c>
      <c r="B206" s="69">
        <v>43635.0</v>
      </c>
    </row>
    <row r="207">
      <c r="A207" s="67" t="str">
        <f t="shared" si="1"/>
        <v>Thu</v>
      </c>
      <c r="B207" s="69">
        <v>43636.0</v>
      </c>
    </row>
    <row r="208">
      <c r="A208" s="67" t="str">
        <f t="shared" si="1"/>
        <v>Fri</v>
      </c>
      <c r="B208" s="69">
        <v>43637.0</v>
      </c>
    </row>
    <row r="209">
      <c r="A209" s="67" t="str">
        <f t="shared" si="1"/>
        <v>Sat</v>
      </c>
      <c r="B209" s="69">
        <v>43638.0</v>
      </c>
    </row>
    <row r="210">
      <c r="A210" s="67" t="str">
        <f t="shared" si="1"/>
        <v>Sun</v>
      </c>
      <c r="B210" s="69">
        <v>43639.0</v>
      </c>
    </row>
    <row r="211">
      <c r="A211" s="67" t="str">
        <f t="shared" si="1"/>
        <v>Mon</v>
      </c>
      <c r="B211" s="69">
        <v>43640.0</v>
      </c>
    </row>
    <row r="212">
      <c r="A212" s="67" t="str">
        <f t="shared" si="1"/>
        <v>Tue</v>
      </c>
      <c r="B212" s="69">
        <v>43641.0</v>
      </c>
    </row>
    <row r="213">
      <c r="A213" s="67" t="str">
        <f t="shared" si="1"/>
        <v>Wed</v>
      </c>
      <c r="B213" s="69">
        <v>43642.0</v>
      </c>
    </row>
    <row r="214">
      <c r="A214" s="67" t="str">
        <f t="shared" si="1"/>
        <v>Thu</v>
      </c>
      <c r="B214" s="69">
        <v>43643.0</v>
      </c>
    </row>
    <row r="215">
      <c r="A215" s="67" t="str">
        <f t="shared" si="1"/>
        <v>Fri</v>
      </c>
      <c r="B215" s="69">
        <v>43644.0</v>
      </c>
      <c r="D215" s="4">
        <v>0.0</v>
      </c>
      <c r="E215" s="4" t="s">
        <v>267</v>
      </c>
      <c r="F215" s="4" t="s">
        <v>292</v>
      </c>
      <c r="G215" s="4" t="s">
        <v>292</v>
      </c>
      <c r="I215" s="4" t="s">
        <v>224</v>
      </c>
      <c r="K215" s="4" t="s">
        <v>231</v>
      </c>
      <c r="L215" s="4" t="s">
        <v>240</v>
      </c>
    </row>
    <row r="216">
      <c r="A216" s="67" t="str">
        <f t="shared" si="1"/>
        <v>Sat</v>
      </c>
      <c r="B216" s="69">
        <v>43645.0</v>
      </c>
      <c r="D216" s="4">
        <v>0.0</v>
      </c>
      <c r="E216" s="4" t="s">
        <v>267</v>
      </c>
      <c r="F216" s="4" t="s">
        <v>292</v>
      </c>
      <c r="I216" s="4" t="s">
        <v>224</v>
      </c>
    </row>
    <row r="217">
      <c r="A217" s="67" t="str">
        <f t="shared" si="1"/>
        <v>Sun</v>
      </c>
      <c r="B217" s="69">
        <v>43646.0</v>
      </c>
      <c r="D217" s="4">
        <v>0.0</v>
      </c>
      <c r="E217" s="4" t="s">
        <v>267</v>
      </c>
      <c r="F217" s="4" t="s">
        <v>292</v>
      </c>
      <c r="I217" s="4" t="s">
        <v>224</v>
      </c>
    </row>
    <row r="218">
      <c r="A218" s="67" t="str">
        <f t="shared" si="1"/>
        <v>Mon</v>
      </c>
      <c r="B218" s="69">
        <v>43647.0</v>
      </c>
      <c r="H218" s="4" t="s">
        <v>292</v>
      </c>
    </row>
    <row r="219">
      <c r="A219" s="67" t="str">
        <f t="shared" si="1"/>
        <v>Tue</v>
      </c>
      <c r="B219" s="69">
        <v>43648.0</v>
      </c>
    </row>
    <row r="220">
      <c r="A220" s="67" t="str">
        <f t="shared" si="1"/>
        <v>Wed</v>
      </c>
      <c r="B220" s="69">
        <v>43649.0</v>
      </c>
    </row>
    <row r="221">
      <c r="A221" s="67" t="str">
        <f t="shared" si="1"/>
        <v>Thu</v>
      </c>
      <c r="B221" s="69">
        <v>43650.0</v>
      </c>
    </row>
    <row r="222">
      <c r="A222" s="67" t="str">
        <f t="shared" si="1"/>
        <v>Fri</v>
      </c>
      <c r="B222" s="69">
        <v>43651.0</v>
      </c>
    </row>
    <row r="223">
      <c r="A223" s="67" t="str">
        <f t="shared" si="1"/>
        <v>Sat</v>
      </c>
      <c r="B223" s="69">
        <v>43652.0</v>
      </c>
    </row>
    <row r="224">
      <c r="A224" s="67" t="str">
        <f t="shared" si="1"/>
        <v>Sun</v>
      </c>
      <c r="B224" s="69">
        <v>43653.0</v>
      </c>
      <c r="D224" s="161">
        <v>225.0</v>
      </c>
      <c r="E224" s="4" t="s">
        <v>337</v>
      </c>
      <c r="F224" s="4" t="s">
        <v>1791</v>
      </c>
      <c r="G224" s="4" t="s">
        <v>1791</v>
      </c>
      <c r="I224" s="4" t="s">
        <v>224</v>
      </c>
      <c r="K224" s="4" t="s">
        <v>1229</v>
      </c>
      <c r="L224" s="4" t="s">
        <v>240</v>
      </c>
      <c r="M224" s="4" t="s">
        <v>1792</v>
      </c>
      <c r="N224" s="4" t="s">
        <v>1793</v>
      </c>
      <c r="O224" s="4" t="s">
        <v>1794</v>
      </c>
      <c r="Q224" s="4" t="s">
        <v>1724</v>
      </c>
      <c r="R224" s="4" t="s">
        <v>1725</v>
      </c>
      <c r="S224" s="161">
        <v>2.556252189E10</v>
      </c>
    </row>
    <row r="225">
      <c r="A225" s="67" t="str">
        <f t="shared" si="1"/>
        <v>Mon</v>
      </c>
      <c r="B225" s="69">
        <v>43654.0</v>
      </c>
      <c r="D225" s="161">
        <v>225.0</v>
      </c>
      <c r="E225" s="4" t="s">
        <v>337</v>
      </c>
      <c r="F225" s="4" t="s">
        <v>1791</v>
      </c>
      <c r="I225" s="4" t="s">
        <v>224</v>
      </c>
    </row>
    <row r="226">
      <c r="A226" s="67" t="str">
        <f t="shared" si="1"/>
        <v>Tue</v>
      </c>
      <c r="B226" s="69">
        <v>43655.0</v>
      </c>
      <c r="D226" s="161">
        <v>225.0</v>
      </c>
      <c r="E226" s="4" t="s">
        <v>337</v>
      </c>
      <c r="F226" s="4" t="s">
        <v>1791</v>
      </c>
      <c r="I226" s="4" t="s">
        <v>224</v>
      </c>
    </row>
    <row r="227">
      <c r="A227" s="67" t="str">
        <f t="shared" si="1"/>
        <v>Wed</v>
      </c>
      <c r="B227" s="69">
        <v>43656.0</v>
      </c>
      <c r="D227" s="161">
        <v>225.0</v>
      </c>
      <c r="E227" s="4" t="s">
        <v>337</v>
      </c>
      <c r="F227" s="4" t="s">
        <v>1791</v>
      </c>
      <c r="I227" s="4" t="s">
        <v>224</v>
      </c>
    </row>
    <row r="228">
      <c r="A228" s="67" t="str">
        <f t="shared" si="1"/>
        <v>Thu</v>
      </c>
      <c r="B228" s="69">
        <v>43657.0</v>
      </c>
      <c r="H228" s="4" t="s">
        <v>1791</v>
      </c>
    </row>
    <row r="229">
      <c r="A229" s="67" t="str">
        <f t="shared" si="1"/>
        <v>Fri</v>
      </c>
      <c r="B229" s="69">
        <v>43658.0</v>
      </c>
    </row>
    <row r="230">
      <c r="A230" s="67" t="str">
        <f t="shared" si="1"/>
        <v>Sat</v>
      </c>
      <c r="B230" s="69">
        <v>43659.0</v>
      </c>
    </row>
    <row r="231">
      <c r="A231" s="67" t="str">
        <f t="shared" si="1"/>
        <v>Sun</v>
      </c>
      <c r="B231" s="69">
        <v>43660.0</v>
      </c>
    </row>
    <row r="232">
      <c r="A232" s="67" t="str">
        <f t="shared" si="1"/>
        <v>Mon</v>
      </c>
      <c r="B232" s="69">
        <v>43661.0</v>
      </c>
    </row>
    <row r="233">
      <c r="A233" s="67" t="str">
        <f t="shared" si="1"/>
        <v>Tue</v>
      </c>
      <c r="B233" s="69">
        <v>43662.0</v>
      </c>
    </row>
    <row r="234">
      <c r="A234" s="67" t="str">
        <f t="shared" si="1"/>
        <v>Wed</v>
      </c>
      <c r="B234" s="69">
        <v>43663.0</v>
      </c>
    </row>
    <row r="235">
      <c r="A235" s="67" t="str">
        <f t="shared" si="1"/>
        <v>Thu</v>
      </c>
      <c r="B235" s="69">
        <v>43664.0</v>
      </c>
    </row>
    <row r="236">
      <c r="A236" s="67" t="str">
        <f t="shared" si="1"/>
        <v>Fri</v>
      </c>
      <c r="B236" s="69">
        <v>43665.0</v>
      </c>
      <c r="D236" s="161">
        <v>230.375</v>
      </c>
      <c r="E236" s="4" t="s">
        <v>222</v>
      </c>
      <c r="F236" s="4" t="s">
        <v>1795</v>
      </c>
      <c r="G236" s="4" t="s">
        <v>1795</v>
      </c>
      <c r="I236" s="4" t="s">
        <v>224</v>
      </c>
      <c r="K236" s="4" t="s">
        <v>231</v>
      </c>
      <c r="L236" s="4" t="s">
        <v>229</v>
      </c>
      <c r="M236" s="4" t="s">
        <v>1796</v>
      </c>
      <c r="N236" s="4" t="s">
        <v>1797</v>
      </c>
      <c r="R236" s="4" t="s">
        <v>1610</v>
      </c>
      <c r="S236" s="4">
        <v>2.87810496E9</v>
      </c>
    </row>
    <row r="237">
      <c r="A237" s="67" t="str">
        <f t="shared" si="1"/>
        <v>Sat</v>
      </c>
      <c r="B237" s="69">
        <v>43666.0</v>
      </c>
      <c r="D237" s="161">
        <v>230.375</v>
      </c>
      <c r="E237" s="4" t="s">
        <v>222</v>
      </c>
      <c r="F237" s="4" t="s">
        <v>1795</v>
      </c>
      <c r="I237" s="4" t="s">
        <v>224</v>
      </c>
    </row>
    <row r="238">
      <c r="A238" s="67" t="str">
        <f t="shared" si="1"/>
        <v>Sun</v>
      </c>
      <c r="B238" s="69">
        <v>43667.0</v>
      </c>
      <c r="D238" s="161">
        <v>230.375</v>
      </c>
      <c r="E238" s="4" t="s">
        <v>222</v>
      </c>
      <c r="F238" s="4" t="s">
        <v>1795</v>
      </c>
      <c r="I238" s="4" t="s">
        <v>224</v>
      </c>
    </row>
    <row r="239">
      <c r="A239" s="67" t="str">
        <f t="shared" si="1"/>
        <v>Mon</v>
      </c>
      <c r="B239" s="69">
        <v>43668.0</v>
      </c>
      <c r="D239" s="161">
        <v>230.375</v>
      </c>
      <c r="E239" s="4" t="s">
        <v>222</v>
      </c>
      <c r="F239" s="4" t="s">
        <v>1795</v>
      </c>
      <c r="I239" s="4" t="s">
        <v>224</v>
      </c>
    </row>
    <row r="240">
      <c r="A240" s="67" t="str">
        <f t="shared" si="1"/>
        <v>Tue</v>
      </c>
      <c r="B240" s="69">
        <v>43669.0</v>
      </c>
      <c r="D240" s="161">
        <v>230.375</v>
      </c>
      <c r="E240" s="4" t="s">
        <v>222</v>
      </c>
      <c r="F240" s="4" t="s">
        <v>1795</v>
      </c>
      <c r="I240" s="4" t="s">
        <v>224</v>
      </c>
    </row>
    <row r="241">
      <c r="A241" s="67" t="str">
        <f t="shared" si="1"/>
        <v>Wed</v>
      </c>
      <c r="B241" s="69">
        <v>43670.0</v>
      </c>
      <c r="D241" s="161">
        <v>230.375</v>
      </c>
      <c r="E241" s="4" t="s">
        <v>222</v>
      </c>
      <c r="F241" s="4" t="s">
        <v>1795</v>
      </c>
      <c r="I241" s="4" t="s">
        <v>224</v>
      </c>
    </row>
    <row r="242">
      <c r="A242" s="67" t="str">
        <f t="shared" si="1"/>
        <v>Thu</v>
      </c>
      <c r="B242" s="69">
        <v>43671.0</v>
      </c>
      <c r="H242" s="4" t="s">
        <v>1795</v>
      </c>
    </row>
    <row r="243">
      <c r="A243" s="67" t="str">
        <f t="shared" si="1"/>
        <v>Fri</v>
      </c>
      <c r="B243" s="69">
        <v>43672.0</v>
      </c>
    </row>
    <row r="244">
      <c r="A244" s="67" t="str">
        <f t="shared" si="1"/>
        <v>Sat</v>
      </c>
      <c r="B244" s="69">
        <v>43673.0</v>
      </c>
    </row>
    <row r="245">
      <c r="A245" s="67" t="str">
        <f t="shared" si="1"/>
        <v>Sun</v>
      </c>
      <c r="B245" s="69">
        <v>43674.0</v>
      </c>
    </row>
    <row r="246">
      <c r="A246" s="67" t="str">
        <f t="shared" si="1"/>
        <v>Mon</v>
      </c>
      <c r="B246" s="69">
        <v>43675.0</v>
      </c>
    </row>
    <row r="247">
      <c r="A247" s="67" t="str">
        <f t="shared" si="1"/>
        <v>Tue</v>
      </c>
      <c r="B247" s="69">
        <v>43676.0</v>
      </c>
    </row>
    <row r="248">
      <c r="A248" s="67" t="str">
        <f t="shared" si="1"/>
        <v>Wed</v>
      </c>
      <c r="B248" s="69">
        <v>43677.0</v>
      </c>
    </row>
    <row r="249">
      <c r="A249" s="67" t="str">
        <f t="shared" si="1"/>
        <v>Thu</v>
      </c>
      <c r="B249" s="69">
        <v>43678.0</v>
      </c>
    </row>
    <row r="250">
      <c r="A250" s="67" t="str">
        <f t="shared" si="1"/>
        <v>Fri</v>
      </c>
      <c r="B250" s="69">
        <v>43679.0</v>
      </c>
    </row>
    <row r="251">
      <c r="A251" s="67" t="str">
        <f t="shared" si="1"/>
        <v>Sat</v>
      </c>
      <c r="B251" s="69">
        <v>43680.0</v>
      </c>
    </row>
    <row r="252">
      <c r="A252" s="67" t="str">
        <f t="shared" si="1"/>
        <v>Sun</v>
      </c>
      <c r="B252" s="69">
        <v>43681.0</v>
      </c>
    </row>
    <row r="253">
      <c r="A253" s="67" t="str">
        <f t="shared" si="1"/>
        <v>Mon</v>
      </c>
      <c r="B253" s="69">
        <v>43682.0</v>
      </c>
    </row>
    <row r="254">
      <c r="A254" s="67" t="str">
        <f t="shared" si="1"/>
        <v>Tue</v>
      </c>
      <c r="B254" s="69">
        <v>43683.0</v>
      </c>
    </row>
    <row r="255">
      <c r="A255" s="67" t="str">
        <f t="shared" si="1"/>
        <v>Wed</v>
      </c>
      <c r="B255" s="69">
        <v>43684.0</v>
      </c>
    </row>
    <row r="256">
      <c r="A256" s="67" t="str">
        <f t="shared" si="1"/>
        <v>Thu</v>
      </c>
      <c r="B256" s="69">
        <v>43685.0</v>
      </c>
    </row>
    <row r="257">
      <c r="A257" s="67" t="str">
        <f t="shared" si="1"/>
        <v>Fri</v>
      </c>
      <c r="B257" s="69">
        <v>43686.0</v>
      </c>
    </row>
    <row r="258">
      <c r="A258" s="67" t="str">
        <f t="shared" si="1"/>
        <v>Sat</v>
      </c>
      <c r="B258" s="69">
        <v>43687.0</v>
      </c>
    </row>
    <row r="259">
      <c r="A259" s="67" t="str">
        <f t="shared" si="1"/>
        <v>Sun</v>
      </c>
      <c r="B259" s="69">
        <v>43688.0</v>
      </c>
    </row>
    <row r="260">
      <c r="A260" s="67" t="str">
        <f t="shared" si="1"/>
        <v>Mon</v>
      </c>
      <c r="B260" s="69">
        <v>43689.0</v>
      </c>
    </row>
    <row r="261">
      <c r="A261" s="67" t="str">
        <f t="shared" si="1"/>
        <v>Tue</v>
      </c>
      <c r="B261" s="69">
        <v>43690.0</v>
      </c>
    </row>
    <row r="262">
      <c r="A262" s="67" t="str">
        <f t="shared" si="1"/>
        <v>Wed</v>
      </c>
      <c r="B262" s="69">
        <v>43691.0</v>
      </c>
    </row>
    <row r="263">
      <c r="A263" s="67" t="str">
        <f t="shared" si="1"/>
        <v>Thu</v>
      </c>
      <c r="B263" s="69">
        <v>43692.0</v>
      </c>
    </row>
    <row r="264">
      <c r="A264" s="67" t="str">
        <f t="shared" si="1"/>
        <v>Fri</v>
      </c>
      <c r="B264" s="69">
        <v>43693.0</v>
      </c>
    </row>
    <row r="265">
      <c r="A265" s="67" t="str">
        <f t="shared" si="1"/>
        <v>Sat</v>
      </c>
      <c r="B265" s="69">
        <v>43694.0</v>
      </c>
    </row>
    <row r="266">
      <c r="A266" s="67" t="str">
        <f t="shared" si="1"/>
        <v>Sun</v>
      </c>
      <c r="B266" s="69">
        <v>43695.0</v>
      </c>
    </row>
    <row r="267">
      <c r="A267" s="67" t="str">
        <f t="shared" si="1"/>
        <v>Mon</v>
      </c>
      <c r="B267" s="69">
        <v>43696.0</v>
      </c>
    </row>
    <row r="268">
      <c r="A268" s="67" t="str">
        <f t="shared" si="1"/>
        <v>Tue</v>
      </c>
      <c r="B268" s="69">
        <v>43697.0</v>
      </c>
    </row>
    <row r="269">
      <c r="A269" s="67" t="str">
        <f t="shared" si="1"/>
        <v>Wed</v>
      </c>
      <c r="B269" s="69">
        <v>43698.0</v>
      </c>
    </row>
    <row r="270">
      <c r="A270" s="67" t="str">
        <f t="shared" si="1"/>
        <v>Thu</v>
      </c>
      <c r="B270" s="69">
        <v>43699.0</v>
      </c>
      <c r="D270" s="4">
        <v>254.14</v>
      </c>
      <c r="E270" s="4" t="s">
        <v>337</v>
      </c>
      <c r="F270" s="4" t="s">
        <v>1798</v>
      </c>
      <c r="G270" s="4" t="s">
        <v>1798</v>
      </c>
      <c r="I270" s="4" t="s">
        <v>224</v>
      </c>
      <c r="J270" s="4" t="s">
        <v>1799</v>
      </c>
      <c r="K270" s="4" t="s">
        <v>231</v>
      </c>
      <c r="L270" s="4" t="s">
        <v>229</v>
      </c>
      <c r="M270" s="4" t="s">
        <v>1800</v>
      </c>
      <c r="N270" s="4" t="s">
        <v>1801</v>
      </c>
      <c r="O270" s="4" t="s">
        <v>1802</v>
      </c>
      <c r="R270" s="4" t="s">
        <v>1803</v>
      </c>
    </row>
    <row r="271">
      <c r="A271" s="67" t="str">
        <f t="shared" si="1"/>
        <v>Fri</v>
      </c>
      <c r="B271" s="69">
        <v>43700.0</v>
      </c>
      <c r="D271" s="4">
        <v>254.14</v>
      </c>
      <c r="E271" s="4" t="s">
        <v>337</v>
      </c>
      <c r="F271" s="4" t="s">
        <v>1798</v>
      </c>
      <c r="I271" s="4" t="s">
        <v>224</v>
      </c>
    </row>
    <row r="272">
      <c r="A272" s="67" t="str">
        <f t="shared" si="1"/>
        <v>Sat</v>
      </c>
      <c r="B272" s="69">
        <v>43701.0</v>
      </c>
      <c r="D272" s="4">
        <v>254.14</v>
      </c>
      <c r="E272" s="4" t="s">
        <v>337</v>
      </c>
      <c r="F272" s="4" t="s">
        <v>1798</v>
      </c>
      <c r="I272" s="4" t="s">
        <v>224</v>
      </c>
    </row>
    <row r="273">
      <c r="A273" s="67" t="str">
        <f t="shared" si="1"/>
        <v>Sun</v>
      </c>
      <c r="B273" s="69">
        <v>43702.0</v>
      </c>
      <c r="H273" s="4" t="s">
        <v>1798</v>
      </c>
    </row>
    <row r="274">
      <c r="A274" s="67" t="str">
        <f t="shared" si="1"/>
        <v>Mon</v>
      </c>
      <c r="B274" s="69">
        <v>43703.0</v>
      </c>
    </row>
    <row r="275">
      <c r="A275" s="67" t="str">
        <f t="shared" si="1"/>
        <v>Tue</v>
      </c>
      <c r="B275" s="69">
        <v>43704.0</v>
      </c>
    </row>
    <row r="276">
      <c r="A276" s="67" t="str">
        <f t="shared" si="1"/>
        <v>Wed</v>
      </c>
      <c r="B276" s="69">
        <v>43705.0</v>
      </c>
    </row>
    <row r="277">
      <c r="A277" s="67" t="str">
        <f t="shared" si="1"/>
        <v>Thu</v>
      </c>
      <c r="B277" s="69">
        <v>43706.0</v>
      </c>
    </row>
    <row r="278">
      <c r="A278" s="67" t="str">
        <f t="shared" si="1"/>
        <v>Fri</v>
      </c>
      <c r="B278" s="69">
        <v>43707.0</v>
      </c>
    </row>
    <row r="279">
      <c r="A279" s="67" t="str">
        <f t="shared" si="1"/>
        <v>Sat</v>
      </c>
      <c r="B279" s="69">
        <v>43708.0</v>
      </c>
    </row>
    <row r="280">
      <c r="A280" s="67" t="str">
        <f t="shared" si="1"/>
        <v>Sun</v>
      </c>
      <c r="B280" s="69">
        <v>43709.0</v>
      </c>
    </row>
    <row r="281">
      <c r="A281" s="67" t="str">
        <f t="shared" si="1"/>
        <v>Mon</v>
      </c>
      <c r="B281" s="69">
        <v>43710.0</v>
      </c>
    </row>
    <row r="282">
      <c r="A282" s="67" t="str">
        <f t="shared" si="1"/>
        <v>Tue</v>
      </c>
      <c r="B282" s="69">
        <v>43711.0</v>
      </c>
    </row>
    <row r="283">
      <c r="A283" s="67" t="str">
        <f t="shared" si="1"/>
        <v>Wed</v>
      </c>
      <c r="B283" s="69">
        <v>43712.0</v>
      </c>
    </row>
    <row r="284">
      <c r="A284" s="67" t="str">
        <f t="shared" si="1"/>
        <v>Thu</v>
      </c>
      <c r="B284" s="69">
        <v>43713.0</v>
      </c>
    </row>
    <row r="285">
      <c r="A285" s="67" t="str">
        <f t="shared" si="1"/>
        <v>Fri</v>
      </c>
      <c r="B285" s="69">
        <v>43714.0</v>
      </c>
    </row>
    <row r="286">
      <c r="A286" s="67" t="str">
        <f t="shared" si="1"/>
        <v>Sat</v>
      </c>
      <c r="B286" s="69">
        <v>43715.0</v>
      </c>
    </row>
    <row r="287">
      <c r="A287" s="67" t="str">
        <f t="shared" si="1"/>
        <v>Sun</v>
      </c>
      <c r="B287" s="69">
        <v>43716.0</v>
      </c>
    </row>
    <row r="288">
      <c r="A288" s="67" t="str">
        <f t="shared" si="1"/>
        <v>Mon</v>
      </c>
      <c r="B288" s="69">
        <v>43717.0</v>
      </c>
    </row>
    <row r="289">
      <c r="A289" s="67" t="str">
        <f t="shared" si="1"/>
        <v>Tue</v>
      </c>
      <c r="B289" s="69">
        <v>43718.0</v>
      </c>
    </row>
    <row r="290">
      <c r="A290" s="67" t="str">
        <f t="shared" si="1"/>
        <v>Wed</v>
      </c>
      <c r="B290" s="69">
        <v>43719.0</v>
      </c>
    </row>
    <row r="291">
      <c r="A291" s="67" t="str">
        <f t="shared" si="1"/>
        <v>Thu</v>
      </c>
      <c r="B291" s="69">
        <v>43720.0</v>
      </c>
    </row>
    <row r="292">
      <c r="A292" s="67" t="str">
        <f t="shared" si="1"/>
        <v>Fri</v>
      </c>
      <c r="B292" s="69">
        <v>43721.0</v>
      </c>
    </row>
    <row r="293">
      <c r="A293" s="67" t="str">
        <f t="shared" si="1"/>
        <v>Sat</v>
      </c>
      <c r="B293" s="69">
        <v>43722.0</v>
      </c>
    </row>
    <row r="294">
      <c r="A294" s="67" t="str">
        <f t="shared" si="1"/>
        <v>Sun</v>
      </c>
      <c r="B294" s="69">
        <v>43723.0</v>
      </c>
    </row>
    <row r="295">
      <c r="A295" s="67" t="str">
        <f t="shared" si="1"/>
        <v>Mon</v>
      </c>
      <c r="B295" s="69">
        <v>43724.0</v>
      </c>
    </row>
    <row r="296">
      <c r="A296" s="67" t="str">
        <f t="shared" si="1"/>
        <v>Tue</v>
      </c>
      <c r="B296" s="69">
        <v>43725.0</v>
      </c>
    </row>
    <row r="297">
      <c r="A297" s="67" t="str">
        <f t="shared" si="1"/>
        <v>Wed</v>
      </c>
      <c r="B297" s="69">
        <v>43726.0</v>
      </c>
    </row>
    <row r="298">
      <c r="A298" s="67" t="str">
        <f t="shared" si="1"/>
        <v>Thu</v>
      </c>
      <c r="B298" s="69">
        <v>43727.0</v>
      </c>
    </row>
    <row r="299">
      <c r="A299" s="67" t="str">
        <f t="shared" si="1"/>
        <v>Fri</v>
      </c>
      <c r="B299" s="69">
        <v>43728.0</v>
      </c>
    </row>
    <row r="300">
      <c r="A300" s="67" t="str">
        <f t="shared" si="1"/>
        <v>Sat</v>
      </c>
      <c r="B300" s="69">
        <v>43729.0</v>
      </c>
    </row>
    <row r="301">
      <c r="A301" s="67" t="str">
        <f t="shared" si="1"/>
        <v>Sun</v>
      </c>
      <c r="B301" s="69">
        <v>43730.0</v>
      </c>
    </row>
    <row r="302">
      <c r="A302" s="67" t="str">
        <f t="shared" si="1"/>
        <v>Mon</v>
      </c>
      <c r="B302" s="69">
        <v>43731.0</v>
      </c>
    </row>
    <row r="303">
      <c r="A303" s="67" t="str">
        <f t="shared" si="1"/>
        <v>Tue</v>
      </c>
      <c r="B303" s="69">
        <v>43732.0</v>
      </c>
    </row>
    <row r="304">
      <c r="A304" s="67" t="str">
        <f t="shared" si="1"/>
        <v>Wed</v>
      </c>
      <c r="B304" s="69">
        <v>43733.0</v>
      </c>
    </row>
    <row r="305">
      <c r="A305" s="67" t="str">
        <f t="shared" si="1"/>
        <v>Thu</v>
      </c>
      <c r="B305" s="69">
        <v>43734.0</v>
      </c>
    </row>
    <row r="306">
      <c r="A306" s="67" t="str">
        <f t="shared" si="1"/>
        <v>Fri</v>
      </c>
      <c r="B306" s="69">
        <v>43735.0</v>
      </c>
    </row>
    <row r="307">
      <c r="A307" s="67" t="str">
        <f t="shared" si="1"/>
        <v>Sat</v>
      </c>
      <c r="B307" s="69">
        <v>43736.0</v>
      </c>
    </row>
    <row r="308">
      <c r="A308" s="67" t="str">
        <f t="shared" si="1"/>
        <v>Sun</v>
      </c>
      <c r="B308" s="69">
        <v>43737.0</v>
      </c>
    </row>
    <row r="309">
      <c r="A309" s="67" t="str">
        <f t="shared" si="1"/>
        <v>Mon</v>
      </c>
      <c r="B309" s="69">
        <v>43738.0</v>
      </c>
    </row>
    <row r="310">
      <c r="A310" s="67" t="str">
        <f t="shared" si="1"/>
        <v>Tue</v>
      </c>
      <c r="B310" s="69">
        <v>43739.0</v>
      </c>
    </row>
    <row r="311">
      <c r="A311" s="67" t="str">
        <f t="shared" si="1"/>
        <v>Wed</v>
      </c>
      <c r="B311" s="69">
        <v>43740.0</v>
      </c>
    </row>
    <row r="312">
      <c r="A312" s="67" t="str">
        <f t="shared" si="1"/>
        <v>Thu</v>
      </c>
      <c r="B312" s="69">
        <v>43741.0</v>
      </c>
    </row>
    <row r="313">
      <c r="A313" s="67" t="str">
        <f t="shared" si="1"/>
        <v>Fri</v>
      </c>
      <c r="B313" s="69">
        <v>43742.0</v>
      </c>
    </row>
    <row r="314">
      <c r="A314" s="67" t="str">
        <f t="shared" si="1"/>
        <v>Sat</v>
      </c>
      <c r="B314" s="69">
        <v>43743.0</v>
      </c>
    </row>
    <row r="315">
      <c r="A315" s="67" t="str">
        <f t="shared" si="1"/>
        <v>Sun</v>
      </c>
      <c r="B315" s="69">
        <v>43744.0</v>
      </c>
    </row>
    <row r="316">
      <c r="A316" s="67" t="str">
        <f t="shared" si="1"/>
        <v>Mon</v>
      </c>
      <c r="B316" s="69">
        <v>43745.0</v>
      </c>
    </row>
    <row r="317">
      <c r="A317" s="67" t="str">
        <f t="shared" si="1"/>
        <v>Tue</v>
      </c>
      <c r="B317" s="69">
        <v>43746.0</v>
      </c>
    </row>
    <row r="318">
      <c r="A318" s="67" t="str">
        <f t="shared" si="1"/>
        <v>Wed</v>
      </c>
      <c r="B318" s="69">
        <v>43747.0</v>
      </c>
    </row>
    <row r="319">
      <c r="A319" s="67" t="str">
        <f t="shared" si="1"/>
        <v>Thu</v>
      </c>
      <c r="B319" s="69">
        <v>43748.0</v>
      </c>
    </row>
    <row r="320">
      <c r="A320" s="67" t="str">
        <f t="shared" si="1"/>
        <v>Fri</v>
      </c>
      <c r="B320" s="69">
        <v>43749.0</v>
      </c>
    </row>
    <row r="321">
      <c r="A321" s="67" t="str">
        <f t="shared" si="1"/>
        <v>Sat</v>
      </c>
      <c r="B321" s="69">
        <v>43750.0</v>
      </c>
    </row>
    <row r="322">
      <c r="A322" s="67" t="str">
        <f t="shared" si="1"/>
        <v>Sun</v>
      </c>
      <c r="B322" s="69">
        <v>43751.0</v>
      </c>
    </row>
    <row r="323">
      <c r="A323" s="67" t="str">
        <f t="shared" si="1"/>
        <v>Mon</v>
      </c>
      <c r="B323" s="69">
        <v>43752.0</v>
      </c>
    </row>
    <row r="324">
      <c r="A324" s="67" t="str">
        <f t="shared" si="1"/>
        <v>Tue</v>
      </c>
      <c r="B324" s="69">
        <v>43753.0</v>
      </c>
    </row>
    <row r="325">
      <c r="A325" s="67" t="str">
        <f t="shared" si="1"/>
        <v>Wed</v>
      </c>
      <c r="B325" s="69">
        <v>43754.0</v>
      </c>
    </row>
    <row r="326">
      <c r="A326" s="67" t="str">
        <f t="shared" si="1"/>
        <v>Thu</v>
      </c>
      <c r="B326" s="69">
        <v>43755.0</v>
      </c>
    </row>
    <row r="327">
      <c r="A327" s="67" t="str">
        <f t="shared" si="1"/>
        <v>Fri</v>
      </c>
      <c r="B327" s="69">
        <v>43756.0</v>
      </c>
    </row>
    <row r="328">
      <c r="A328" s="67" t="str">
        <f t="shared" si="1"/>
        <v>Sat</v>
      </c>
      <c r="B328" s="69">
        <v>43757.0</v>
      </c>
    </row>
    <row r="329">
      <c r="A329" s="67" t="str">
        <f t="shared" si="1"/>
        <v>Sun</v>
      </c>
      <c r="B329" s="69">
        <v>43758.0</v>
      </c>
    </row>
    <row r="330">
      <c r="A330" s="67" t="str">
        <f t="shared" si="1"/>
        <v>Mon</v>
      </c>
      <c r="B330" s="69">
        <v>43759.0</v>
      </c>
    </row>
    <row r="331">
      <c r="A331" s="67" t="str">
        <f t="shared" si="1"/>
        <v>Tue</v>
      </c>
      <c r="B331" s="69">
        <v>43760.0</v>
      </c>
    </row>
    <row r="332">
      <c r="A332" s="67" t="str">
        <f t="shared" si="1"/>
        <v>Wed</v>
      </c>
      <c r="B332" s="69">
        <v>43761.0</v>
      </c>
    </row>
    <row r="333">
      <c r="A333" s="67" t="str">
        <f t="shared" si="1"/>
        <v>Thu</v>
      </c>
      <c r="B333" s="69">
        <v>43762.0</v>
      </c>
    </row>
    <row r="334">
      <c r="A334" s="67" t="str">
        <f t="shared" si="1"/>
        <v>Fri</v>
      </c>
      <c r="B334" s="69">
        <v>43763.0</v>
      </c>
    </row>
    <row r="335">
      <c r="A335" s="67" t="str">
        <f t="shared" si="1"/>
        <v>Sat</v>
      </c>
      <c r="B335" s="69">
        <v>43764.0</v>
      </c>
    </row>
    <row r="336">
      <c r="A336" s="67" t="str">
        <f t="shared" si="1"/>
        <v>Sun</v>
      </c>
      <c r="B336" s="69">
        <v>43765.0</v>
      </c>
    </row>
    <row r="337">
      <c r="A337" s="67" t="str">
        <f t="shared" si="1"/>
        <v>Mon</v>
      </c>
      <c r="B337" s="69">
        <v>43766.0</v>
      </c>
    </row>
    <row r="338">
      <c r="A338" s="67" t="str">
        <f t="shared" si="1"/>
        <v>Tue</v>
      </c>
      <c r="B338" s="69">
        <v>43767.0</v>
      </c>
    </row>
    <row r="339">
      <c r="A339" s="67" t="str">
        <f t="shared" si="1"/>
        <v>Wed</v>
      </c>
      <c r="B339" s="69">
        <v>43768.0</v>
      </c>
    </row>
    <row r="340">
      <c r="A340" s="67" t="str">
        <f t="shared" si="1"/>
        <v>Thu</v>
      </c>
      <c r="B340" s="69">
        <v>43769.0</v>
      </c>
    </row>
    <row r="341">
      <c r="A341" s="67" t="str">
        <f t="shared" si="1"/>
        <v>Fri</v>
      </c>
      <c r="B341" s="69">
        <v>43770.0</v>
      </c>
    </row>
    <row r="342">
      <c r="A342" s="67" t="str">
        <f t="shared" si="1"/>
        <v>Sat</v>
      </c>
      <c r="B342" s="69">
        <v>43771.0</v>
      </c>
    </row>
    <row r="343">
      <c r="A343" s="67" t="str">
        <f t="shared" si="1"/>
        <v>Sun</v>
      </c>
      <c r="B343" s="69">
        <v>43772.0</v>
      </c>
    </row>
    <row r="344">
      <c r="A344" s="67" t="str">
        <f t="shared" si="1"/>
        <v>Mon</v>
      </c>
      <c r="B344" s="69">
        <v>43773.0</v>
      </c>
    </row>
    <row r="345">
      <c r="A345" s="67" t="str">
        <f t="shared" si="1"/>
        <v>Tue</v>
      </c>
      <c r="B345" s="69">
        <v>43774.0</v>
      </c>
    </row>
    <row r="346">
      <c r="A346" s="67" t="str">
        <f t="shared" si="1"/>
        <v>Wed</v>
      </c>
      <c r="B346" s="69">
        <v>43775.0</v>
      </c>
    </row>
    <row r="347">
      <c r="A347" s="67" t="str">
        <f t="shared" si="1"/>
        <v>Thu</v>
      </c>
      <c r="B347" s="69">
        <v>43776.0</v>
      </c>
    </row>
    <row r="348">
      <c r="A348" s="67" t="str">
        <f t="shared" si="1"/>
        <v>Fri</v>
      </c>
      <c r="B348" s="69">
        <v>43777.0</v>
      </c>
    </row>
    <row r="349">
      <c r="A349" s="67" t="str">
        <f t="shared" si="1"/>
        <v>Sat</v>
      </c>
      <c r="B349" s="69">
        <v>43778.0</v>
      </c>
    </row>
    <row r="350">
      <c r="A350" s="67" t="str">
        <f t="shared" si="1"/>
        <v>Sun</v>
      </c>
      <c r="B350" s="69">
        <v>43779.0</v>
      </c>
    </row>
    <row r="351">
      <c r="A351" s="67" t="str">
        <f t="shared" si="1"/>
        <v>Mon</v>
      </c>
      <c r="B351" s="69">
        <v>43780.0</v>
      </c>
    </row>
    <row r="352">
      <c r="A352" s="67" t="str">
        <f t="shared" si="1"/>
        <v>Tue</v>
      </c>
      <c r="B352" s="69">
        <v>43781.0</v>
      </c>
    </row>
    <row r="353">
      <c r="A353" s="67" t="str">
        <f t="shared" si="1"/>
        <v>Wed</v>
      </c>
      <c r="B353" s="69">
        <v>43782.0</v>
      </c>
    </row>
    <row r="354">
      <c r="A354" s="67" t="str">
        <f t="shared" si="1"/>
        <v>Thu</v>
      </c>
      <c r="B354" s="69">
        <v>43783.0</v>
      </c>
    </row>
    <row r="355">
      <c r="A355" s="67" t="str">
        <f t="shared" si="1"/>
        <v>Fri</v>
      </c>
      <c r="B355" s="69">
        <v>43784.0</v>
      </c>
    </row>
    <row r="356">
      <c r="A356" s="67" t="str">
        <f t="shared" si="1"/>
        <v>Sat</v>
      </c>
      <c r="B356" s="69">
        <v>43785.0</v>
      </c>
    </row>
    <row r="357">
      <c r="A357" s="67" t="str">
        <f t="shared" si="1"/>
        <v>Sun</v>
      </c>
      <c r="B357" s="69">
        <v>43786.0</v>
      </c>
    </row>
    <row r="358">
      <c r="A358" s="67" t="str">
        <f t="shared" si="1"/>
        <v>Mon</v>
      </c>
      <c r="B358" s="69">
        <v>43787.0</v>
      </c>
    </row>
    <row r="359">
      <c r="A359" s="67" t="str">
        <f t="shared" si="1"/>
        <v>Tue</v>
      </c>
      <c r="B359" s="69">
        <v>43788.0</v>
      </c>
    </row>
    <row r="360">
      <c r="A360" s="67" t="str">
        <f t="shared" si="1"/>
        <v>Wed</v>
      </c>
      <c r="B360" s="69">
        <v>43789.0</v>
      </c>
    </row>
    <row r="361">
      <c r="A361" s="67" t="str">
        <f t="shared" si="1"/>
        <v>Thu</v>
      </c>
      <c r="B361" s="69">
        <v>43790.0</v>
      </c>
    </row>
    <row r="362">
      <c r="A362" s="67" t="str">
        <f t="shared" si="1"/>
        <v>Fri</v>
      </c>
      <c r="B362" s="69">
        <v>43791.0</v>
      </c>
    </row>
    <row r="363">
      <c r="A363" s="67" t="str">
        <f t="shared" si="1"/>
        <v>Sat</v>
      </c>
      <c r="B363" s="69">
        <v>43792.0</v>
      </c>
    </row>
    <row r="364">
      <c r="A364" s="67" t="str">
        <f t="shared" si="1"/>
        <v>Sun</v>
      </c>
      <c r="B364" s="69">
        <v>43793.0</v>
      </c>
    </row>
    <row r="365">
      <c r="A365" s="67" t="str">
        <f t="shared" si="1"/>
        <v>Mon</v>
      </c>
      <c r="B365" s="69">
        <v>43794.0</v>
      </c>
      <c r="D365" s="4">
        <v>340.0</v>
      </c>
      <c r="E365" s="4" t="s">
        <v>337</v>
      </c>
      <c r="F365" s="4" t="s">
        <v>1830</v>
      </c>
      <c r="G365" s="4" t="s">
        <v>1830</v>
      </c>
      <c r="I365" s="4" t="s">
        <v>224</v>
      </c>
      <c r="K365" s="4" t="s">
        <v>339</v>
      </c>
      <c r="L365" s="4" t="s">
        <v>225</v>
      </c>
      <c r="M365" s="4" t="s">
        <v>1831</v>
      </c>
      <c r="N365" s="178" t="s">
        <v>1832</v>
      </c>
      <c r="O365" s="178" t="s">
        <v>264</v>
      </c>
      <c r="Q365" s="4" t="s">
        <v>1833</v>
      </c>
      <c r="R365" s="4" t="s">
        <v>1834</v>
      </c>
      <c r="S365" s="4" t="s">
        <v>1835</v>
      </c>
    </row>
    <row r="366">
      <c r="A366" s="67" t="str">
        <f t="shared" si="1"/>
        <v>Tue</v>
      </c>
      <c r="B366" s="69">
        <v>43795.0</v>
      </c>
      <c r="D366" s="4">
        <v>340.0</v>
      </c>
      <c r="E366" s="4" t="s">
        <v>337</v>
      </c>
      <c r="F366" s="4" t="s">
        <v>1830</v>
      </c>
      <c r="I366" s="4" t="s">
        <v>224</v>
      </c>
    </row>
    <row r="367">
      <c r="A367" s="67" t="str">
        <f t="shared" si="1"/>
        <v>Wed</v>
      </c>
      <c r="B367" s="69">
        <v>43796.0</v>
      </c>
      <c r="D367" s="4">
        <v>340.0</v>
      </c>
      <c r="E367" s="4" t="s">
        <v>337</v>
      </c>
      <c r="F367" s="4" t="s">
        <v>1830</v>
      </c>
      <c r="I367" s="4" t="s">
        <v>224</v>
      </c>
    </row>
    <row r="368">
      <c r="A368" s="67" t="str">
        <f t="shared" si="1"/>
        <v>Thu</v>
      </c>
      <c r="B368" s="69">
        <v>43797.0</v>
      </c>
      <c r="D368" s="4">
        <v>340.0</v>
      </c>
      <c r="E368" s="4" t="s">
        <v>337</v>
      </c>
      <c r="F368" s="4" t="s">
        <v>1830</v>
      </c>
      <c r="I368" s="4" t="s">
        <v>224</v>
      </c>
    </row>
    <row r="369">
      <c r="A369" s="67" t="str">
        <f t="shared" si="1"/>
        <v>Fri</v>
      </c>
      <c r="B369" s="69">
        <v>43798.0</v>
      </c>
      <c r="D369" s="4">
        <v>340.0</v>
      </c>
      <c r="E369" s="4" t="s">
        <v>337</v>
      </c>
      <c r="F369" s="4" t="s">
        <v>1830</v>
      </c>
      <c r="I369" s="4" t="s">
        <v>224</v>
      </c>
    </row>
    <row r="370">
      <c r="A370" s="67" t="str">
        <f t="shared" si="1"/>
        <v>Sat</v>
      </c>
      <c r="B370" s="69">
        <v>43799.0</v>
      </c>
      <c r="D370" s="4">
        <v>340.0</v>
      </c>
      <c r="E370" s="4" t="s">
        <v>337</v>
      </c>
      <c r="F370" s="4" t="s">
        <v>1830</v>
      </c>
      <c r="I370" s="4" t="s">
        <v>224</v>
      </c>
    </row>
    <row r="371">
      <c r="A371" s="67" t="str">
        <f t="shared" si="1"/>
        <v>Sun</v>
      </c>
      <c r="B371" s="69">
        <v>43800.0</v>
      </c>
      <c r="D371" s="4">
        <v>340.0</v>
      </c>
      <c r="E371" s="4" t="s">
        <v>337</v>
      </c>
      <c r="F371" s="4" t="s">
        <v>1830</v>
      </c>
      <c r="I371" s="4" t="s">
        <v>224</v>
      </c>
    </row>
    <row r="372">
      <c r="A372" s="67" t="str">
        <f t="shared" si="1"/>
        <v>Mon</v>
      </c>
      <c r="B372" s="69">
        <v>43801.0</v>
      </c>
      <c r="D372" s="4">
        <v>340.0</v>
      </c>
      <c r="E372" s="4" t="s">
        <v>337</v>
      </c>
      <c r="F372" s="4" t="s">
        <v>1830</v>
      </c>
      <c r="I372" s="4" t="s">
        <v>224</v>
      </c>
    </row>
    <row r="373">
      <c r="A373" s="67" t="str">
        <f t="shared" si="1"/>
        <v>Tue</v>
      </c>
      <c r="B373" s="69">
        <v>43802.0</v>
      </c>
      <c r="D373" s="4">
        <v>340.0</v>
      </c>
      <c r="E373" s="4" t="s">
        <v>337</v>
      </c>
      <c r="F373" s="4" t="s">
        <v>1830</v>
      </c>
      <c r="I373" s="4" t="s">
        <v>224</v>
      </c>
    </row>
    <row r="374">
      <c r="A374" s="67" t="str">
        <f t="shared" si="1"/>
        <v>Wed</v>
      </c>
      <c r="B374" s="69">
        <v>43803.0</v>
      </c>
      <c r="D374" s="4">
        <v>340.0</v>
      </c>
      <c r="E374" s="4" t="s">
        <v>337</v>
      </c>
      <c r="F374" s="4" t="s">
        <v>1830</v>
      </c>
      <c r="I374" s="4" t="s">
        <v>224</v>
      </c>
    </row>
    <row r="375">
      <c r="A375" s="67" t="str">
        <f t="shared" si="1"/>
        <v>Thu</v>
      </c>
      <c r="B375" s="69">
        <v>43804.0</v>
      </c>
      <c r="D375" s="4">
        <v>340.0</v>
      </c>
      <c r="E375" s="4" t="s">
        <v>337</v>
      </c>
      <c r="F375" s="4" t="s">
        <v>1830</v>
      </c>
      <c r="I375" s="4" t="s">
        <v>224</v>
      </c>
    </row>
    <row r="376">
      <c r="A376" s="67" t="str">
        <f t="shared" si="1"/>
        <v>Fri</v>
      </c>
      <c r="B376" s="69">
        <v>43805.0</v>
      </c>
      <c r="D376" s="4">
        <v>340.0</v>
      </c>
      <c r="E376" s="4" t="s">
        <v>337</v>
      </c>
      <c r="F376" s="4" t="s">
        <v>1830</v>
      </c>
      <c r="I376" s="4" t="s">
        <v>224</v>
      </c>
    </row>
    <row r="377">
      <c r="A377" s="67" t="str">
        <f t="shared" si="1"/>
        <v>Sat</v>
      </c>
      <c r="B377" s="69">
        <v>43806.0</v>
      </c>
      <c r="D377" s="4">
        <v>340.0</v>
      </c>
      <c r="E377" s="4" t="s">
        <v>337</v>
      </c>
      <c r="F377" s="4" t="s">
        <v>1830</v>
      </c>
      <c r="I377" s="4" t="s">
        <v>224</v>
      </c>
    </row>
    <row r="378">
      <c r="A378" s="67" t="str">
        <f t="shared" si="1"/>
        <v>Sun</v>
      </c>
      <c r="B378" s="69">
        <v>43807.0</v>
      </c>
      <c r="D378" s="4">
        <v>340.0</v>
      </c>
      <c r="E378" s="4" t="s">
        <v>337</v>
      </c>
      <c r="F378" s="4" t="s">
        <v>1830</v>
      </c>
      <c r="I378" s="4" t="s">
        <v>224</v>
      </c>
    </row>
    <row r="379">
      <c r="A379" s="67" t="str">
        <f t="shared" si="1"/>
        <v>Mon</v>
      </c>
      <c r="B379" s="69">
        <v>43808.0</v>
      </c>
      <c r="D379" s="4">
        <v>340.0</v>
      </c>
      <c r="E379" s="4" t="s">
        <v>337</v>
      </c>
      <c r="F379" s="4" t="s">
        <v>1830</v>
      </c>
      <c r="I379" s="4" t="s">
        <v>224</v>
      </c>
    </row>
    <row r="380">
      <c r="A380" s="67" t="str">
        <f t="shared" si="1"/>
        <v>Tue</v>
      </c>
      <c r="B380" s="69">
        <v>43809.0</v>
      </c>
      <c r="H380" s="4" t="s">
        <v>1830</v>
      </c>
    </row>
    <row r="381">
      <c r="A381" s="67" t="str">
        <f t="shared" si="1"/>
        <v>Wed</v>
      </c>
      <c r="B381" s="69">
        <v>43810.0</v>
      </c>
    </row>
    <row r="382">
      <c r="A382" s="67" t="str">
        <f t="shared" si="1"/>
        <v>Thu</v>
      </c>
      <c r="B382" s="69">
        <v>43811.0</v>
      </c>
    </row>
    <row r="383">
      <c r="A383" s="67" t="str">
        <f t="shared" si="1"/>
        <v>Fri</v>
      </c>
      <c r="B383" s="69">
        <v>43812.0</v>
      </c>
    </row>
    <row r="384">
      <c r="A384" s="67" t="str">
        <f t="shared" si="1"/>
        <v>Sat</v>
      </c>
      <c r="B384" s="69">
        <v>43813.0</v>
      </c>
    </row>
    <row r="385">
      <c r="A385" s="67" t="str">
        <f t="shared" si="1"/>
        <v>Sun</v>
      </c>
      <c r="B385" s="69">
        <v>43814.0</v>
      </c>
    </row>
    <row r="386">
      <c r="A386" s="67" t="str">
        <f t="shared" si="1"/>
        <v>Mon</v>
      </c>
      <c r="B386" s="69">
        <v>43815.0</v>
      </c>
    </row>
    <row r="387">
      <c r="A387" s="67" t="str">
        <f t="shared" si="1"/>
        <v>Tue</v>
      </c>
      <c r="B387" s="69">
        <v>43816.0</v>
      </c>
    </row>
    <row r="388">
      <c r="A388" s="67" t="str">
        <f t="shared" si="1"/>
        <v>Wed</v>
      </c>
      <c r="B388" s="69">
        <v>43817.0</v>
      </c>
    </row>
    <row r="389">
      <c r="A389" s="67" t="str">
        <f t="shared" si="1"/>
        <v>Thu</v>
      </c>
      <c r="B389" s="69">
        <v>43818.0</v>
      </c>
    </row>
    <row r="390">
      <c r="A390" s="67" t="str">
        <f t="shared" si="1"/>
        <v>Fri</v>
      </c>
      <c r="B390" s="69">
        <v>43819.0</v>
      </c>
    </row>
    <row r="391">
      <c r="A391" s="67" t="str">
        <f t="shared" si="1"/>
        <v>Sat</v>
      </c>
      <c r="B391" s="69">
        <v>43820.0</v>
      </c>
    </row>
    <row r="392">
      <c r="A392" s="67" t="str">
        <f t="shared" si="1"/>
        <v>Sun</v>
      </c>
      <c r="B392" s="69">
        <v>43821.0</v>
      </c>
    </row>
    <row r="393">
      <c r="A393" s="67" t="str">
        <f t="shared" si="1"/>
        <v>Mon</v>
      </c>
      <c r="B393" s="69">
        <v>43822.0</v>
      </c>
    </row>
    <row r="394">
      <c r="A394" s="67" t="str">
        <f t="shared" si="1"/>
        <v>Tue</v>
      </c>
      <c r="B394" s="69">
        <v>43823.0</v>
      </c>
    </row>
    <row r="395">
      <c r="A395" s="67" t="str">
        <f t="shared" si="1"/>
        <v>Wed</v>
      </c>
      <c r="B395" s="69">
        <v>43824.0</v>
      </c>
    </row>
    <row r="396">
      <c r="A396" s="67" t="str">
        <f t="shared" si="1"/>
        <v>Thu</v>
      </c>
      <c r="B396" s="69">
        <v>43825.0</v>
      </c>
    </row>
    <row r="397">
      <c r="A397" s="67" t="str">
        <f t="shared" si="1"/>
        <v>Fri</v>
      </c>
      <c r="B397" s="69">
        <v>43826.0</v>
      </c>
    </row>
    <row r="398">
      <c r="A398" s="67" t="str">
        <f t="shared" si="1"/>
        <v>Sat</v>
      </c>
      <c r="B398" s="69">
        <v>43827.0</v>
      </c>
    </row>
    <row r="399">
      <c r="A399" s="67" t="str">
        <f t="shared" si="1"/>
        <v>Sun</v>
      </c>
      <c r="B399" s="69">
        <v>43828.0</v>
      </c>
    </row>
    <row r="400">
      <c r="A400" s="67" t="str">
        <f t="shared" si="1"/>
        <v>Mon</v>
      </c>
      <c r="B400" s="69">
        <v>43829.0</v>
      </c>
    </row>
    <row r="401">
      <c r="A401" s="67" t="str">
        <f t="shared" si="1"/>
        <v>Tue</v>
      </c>
      <c r="B401" s="69">
        <v>43830.0</v>
      </c>
    </row>
  </sheetData>
  <mergeCells count="5">
    <mergeCell ref="A1:C3"/>
    <mergeCell ref="E1:F1"/>
    <mergeCell ref="E2:F2"/>
    <mergeCell ref="E3:F3"/>
    <mergeCell ref="G1:R3"/>
  </mergeCells>
  <conditionalFormatting sqref="K270:L273">
    <cfRule type="cellIs" dxfId="0" priority="1" operator="equal">
      <formula>"Enviar email para hotel"</formula>
    </cfRule>
  </conditionalFormatting>
  <conditionalFormatting sqref="L201:L202">
    <cfRule type="cellIs" dxfId="0" priority="2" operator="equal">
      <formula>"Enviar email para hotel"</formula>
    </cfRule>
  </conditionalFormatting>
  <conditionalFormatting sqref="K4:L193 L198:L200 L203:L269 K211:K217 K219:K269 K274:L401">
    <cfRule type="cellIs" dxfId="0" priority="3" operator="equal">
      <formula>"Enviar email para hotel"</formula>
    </cfRule>
  </conditionalFormatting>
  <dataValidations>
    <dataValidation type="list" allowBlank="1" sqref="L96:L193 L198:L401">
      <formula1>"Enviar email para hotel,Enviado para o hotel,Código de reserva enviado para hóspede,Verificar dados com o hóspede,URGENTE,Fechado"</formula1>
    </dataValidation>
    <dataValidation type="list" allowBlank="1" sqref="K6:L95">
      <formula1>"Enviar email para hotel,Enviado para o hotel,Código de reserva enviado para hóspede,Fechado"</formula1>
    </dataValidation>
    <dataValidation type="list" allowBlank="1" sqref="K96:K193 K198:K401">
      <formula1>"A PAGAR,PARCIALMENTE PAGO,PAGO"</formula1>
    </dataValidation>
  </dataValidations>
  <hyperlinks>
    <hyperlink display="Sumario" location="Sumario!A1" ref="A4"/>
  </hyperlinks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13.57"/>
    <col customWidth="1" min="4" max="4" width="17.0"/>
  </cols>
  <sheetData>
    <row r="1">
      <c r="A1" s="1"/>
      <c r="B1" s="2"/>
      <c r="C1" s="3"/>
      <c r="D1" s="11" t="s">
        <v>198</v>
      </c>
      <c r="E1" s="153" t="s">
        <v>199</v>
      </c>
      <c r="F1" s="3"/>
      <c r="G1" s="154" t="s">
        <v>1774</v>
      </c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155"/>
    </row>
    <row r="2">
      <c r="A2" s="13"/>
      <c r="C2" s="15"/>
      <c r="D2" s="9" t="s">
        <v>201</v>
      </c>
      <c r="E2" s="156">
        <v>3413.0</v>
      </c>
      <c r="F2" s="15"/>
      <c r="R2" s="15"/>
      <c r="S2" s="155"/>
    </row>
    <row r="3">
      <c r="A3" s="17"/>
      <c r="B3" s="19"/>
      <c r="C3" s="21"/>
      <c r="D3" s="26" t="s">
        <v>202</v>
      </c>
      <c r="E3" s="157" t="s">
        <v>112</v>
      </c>
      <c r="F3" s="21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21"/>
      <c r="S3" s="155"/>
    </row>
    <row r="4">
      <c r="A4" s="158" t="s">
        <v>203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N4" s="30"/>
      <c r="O4" s="30"/>
      <c r="P4" s="30"/>
      <c r="Q4" s="30"/>
      <c r="R4" s="30"/>
      <c r="S4" s="30"/>
      <c r="T4" s="30"/>
      <c r="U4" s="30"/>
    </row>
    <row r="5">
      <c r="A5" s="42" t="s">
        <v>204</v>
      </c>
      <c r="B5" s="45" t="s">
        <v>33</v>
      </c>
      <c r="C5" s="45" t="s">
        <v>205</v>
      </c>
      <c r="D5" s="45" t="s">
        <v>206</v>
      </c>
      <c r="E5" s="45" t="s">
        <v>207</v>
      </c>
      <c r="F5" s="45" t="s">
        <v>208</v>
      </c>
      <c r="G5" s="45" t="s">
        <v>209</v>
      </c>
      <c r="H5" s="45" t="s">
        <v>210</v>
      </c>
      <c r="I5" s="45" t="s">
        <v>211</v>
      </c>
      <c r="J5" s="45" t="s">
        <v>212</v>
      </c>
      <c r="K5" s="45" t="s">
        <v>213</v>
      </c>
      <c r="L5" s="45" t="s">
        <v>214</v>
      </c>
      <c r="M5" s="45" t="s">
        <v>215</v>
      </c>
      <c r="N5" s="45" t="s">
        <v>216</v>
      </c>
      <c r="O5" s="45" t="s">
        <v>217</v>
      </c>
      <c r="P5" s="45" t="s">
        <v>218</v>
      </c>
      <c r="Q5" s="45" t="s">
        <v>219</v>
      </c>
      <c r="R5" s="160" t="s">
        <v>220</v>
      </c>
      <c r="S5" s="160" t="s">
        <v>221</v>
      </c>
    </row>
    <row r="6" hidden="1">
      <c r="A6" s="67" t="str">
        <f t="shared" ref="A6:A370" si="1">CHOOSE(weekday(B6),"Sun","Mon","Tue","Wed","Thu","Fri","Sat")</f>
        <v>Tue</v>
      </c>
      <c r="B6" s="69">
        <v>43466.0</v>
      </c>
      <c r="F6" s="4" t="s">
        <v>651</v>
      </c>
      <c r="J6" s="4" t="s">
        <v>651</v>
      </c>
    </row>
    <row r="7" hidden="1">
      <c r="A7" s="67" t="str">
        <f t="shared" si="1"/>
        <v>Wed</v>
      </c>
      <c r="B7" s="69">
        <v>43467.0</v>
      </c>
      <c r="F7" s="4" t="s">
        <v>651</v>
      </c>
      <c r="J7" s="4" t="s">
        <v>651</v>
      </c>
    </row>
    <row r="8" hidden="1">
      <c r="A8" s="67" t="str">
        <f t="shared" si="1"/>
        <v>Thu</v>
      </c>
      <c r="B8" s="69">
        <v>43468.0</v>
      </c>
      <c r="F8" s="4" t="s">
        <v>651</v>
      </c>
      <c r="J8" s="4" t="s">
        <v>651</v>
      </c>
    </row>
    <row r="9" hidden="1">
      <c r="A9" s="67" t="str">
        <f t="shared" si="1"/>
        <v>Fri</v>
      </c>
      <c r="B9" s="69">
        <v>43469.0</v>
      </c>
      <c r="F9" s="4" t="s">
        <v>651</v>
      </c>
      <c r="J9" s="4" t="s">
        <v>651</v>
      </c>
    </row>
    <row r="10" hidden="1">
      <c r="A10" s="67" t="str">
        <f t="shared" si="1"/>
        <v>Sat</v>
      </c>
      <c r="B10" s="69">
        <v>43470.0</v>
      </c>
      <c r="F10" s="4" t="s">
        <v>651</v>
      </c>
      <c r="J10" s="4" t="s">
        <v>651</v>
      </c>
    </row>
    <row r="11" hidden="1">
      <c r="A11" s="67" t="str">
        <f t="shared" si="1"/>
        <v>Sun</v>
      </c>
      <c r="B11" s="69">
        <v>43471.0</v>
      </c>
      <c r="F11" s="4" t="s">
        <v>651</v>
      </c>
      <c r="J11" s="4" t="s">
        <v>651</v>
      </c>
    </row>
    <row r="12" hidden="1">
      <c r="A12" s="67" t="str">
        <f t="shared" si="1"/>
        <v>Mon</v>
      </c>
      <c r="B12" s="69">
        <v>43472.0</v>
      </c>
      <c r="F12" s="4" t="s">
        <v>651</v>
      </c>
      <c r="J12" s="4" t="s">
        <v>651</v>
      </c>
    </row>
    <row r="13" hidden="1">
      <c r="A13" s="67" t="str">
        <f t="shared" si="1"/>
        <v>Tue</v>
      </c>
      <c r="B13" s="69">
        <v>43473.0</v>
      </c>
      <c r="F13" s="4" t="s">
        <v>651</v>
      </c>
      <c r="J13" s="4" t="s">
        <v>651</v>
      </c>
    </row>
    <row r="14" hidden="1">
      <c r="A14" s="67" t="str">
        <f t="shared" si="1"/>
        <v>Wed</v>
      </c>
      <c r="B14" s="69">
        <v>43474.0</v>
      </c>
      <c r="F14" s="4" t="s">
        <v>651</v>
      </c>
      <c r="J14" s="4" t="s">
        <v>651</v>
      </c>
    </row>
    <row r="15" hidden="1">
      <c r="A15" s="67" t="str">
        <f t="shared" si="1"/>
        <v>Thu</v>
      </c>
      <c r="B15" s="69">
        <v>43475.0</v>
      </c>
      <c r="F15" s="4" t="s">
        <v>651</v>
      </c>
      <c r="J15" s="4" t="s">
        <v>651</v>
      </c>
    </row>
    <row r="16" hidden="1">
      <c r="A16" s="67" t="str">
        <f t="shared" si="1"/>
        <v>Fri</v>
      </c>
      <c r="B16" s="69">
        <v>43476.0</v>
      </c>
      <c r="F16" s="4" t="s">
        <v>651</v>
      </c>
      <c r="J16" s="4" t="s">
        <v>651</v>
      </c>
    </row>
    <row r="17" hidden="1">
      <c r="A17" s="67" t="str">
        <f t="shared" si="1"/>
        <v>Sat</v>
      </c>
      <c r="B17" s="69">
        <v>43477.0</v>
      </c>
      <c r="F17" s="4" t="s">
        <v>651</v>
      </c>
      <c r="J17" s="4" t="s">
        <v>651</v>
      </c>
    </row>
    <row r="18" hidden="1">
      <c r="A18" s="67" t="str">
        <f t="shared" si="1"/>
        <v>Sun</v>
      </c>
      <c r="B18" s="69">
        <v>43478.0</v>
      </c>
      <c r="F18" s="4" t="s">
        <v>651</v>
      </c>
      <c r="J18" s="4" t="s">
        <v>651</v>
      </c>
    </row>
    <row r="19" hidden="1">
      <c r="A19" s="67" t="str">
        <f t="shared" si="1"/>
        <v>Mon</v>
      </c>
      <c r="B19" s="69">
        <v>43479.0</v>
      </c>
      <c r="F19" s="4" t="s">
        <v>651</v>
      </c>
      <c r="J19" s="4" t="s">
        <v>651</v>
      </c>
    </row>
    <row r="20" hidden="1">
      <c r="A20" s="67" t="str">
        <f t="shared" si="1"/>
        <v>Tue</v>
      </c>
      <c r="B20" s="69">
        <v>43480.0</v>
      </c>
      <c r="F20" s="4" t="s">
        <v>651</v>
      </c>
      <c r="J20" s="4" t="s">
        <v>651</v>
      </c>
    </row>
    <row r="21" hidden="1">
      <c r="A21" s="67" t="str">
        <f t="shared" si="1"/>
        <v>Wed</v>
      </c>
      <c r="B21" s="69">
        <v>43481.0</v>
      </c>
      <c r="F21" s="4" t="s">
        <v>651</v>
      </c>
      <c r="J21" s="4" t="s">
        <v>651</v>
      </c>
    </row>
    <row r="22" hidden="1">
      <c r="A22" s="67" t="str">
        <f t="shared" si="1"/>
        <v>Thu</v>
      </c>
      <c r="B22" s="69">
        <v>43482.0</v>
      </c>
      <c r="F22" s="4" t="s">
        <v>651</v>
      </c>
      <c r="J22" s="4" t="s">
        <v>651</v>
      </c>
    </row>
    <row r="23" hidden="1">
      <c r="A23" s="67" t="str">
        <f t="shared" si="1"/>
        <v>Fri</v>
      </c>
      <c r="B23" s="69">
        <v>43483.0</v>
      </c>
      <c r="F23" s="4" t="s">
        <v>651</v>
      </c>
      <c r="J23" s="4" t="s">
        <v>651</v>
      </c>
    </row>
    <row r="24" hidden="1">
      <c r="A24" s="67" t="str">
        <f t="shared" si="1"/>
        <v>Sat</v>
      </c>
      <c r="B24" s="69">
        <v>43484.0</v>
      </c>
      <c r="F24" s="4" t="s">
        <v>651</v>
      </c>
      <c r="J24" s="4" t="s">
        <v>651</v>
      </c>
    </row>
    <row r="25" hidden="1">
      <c r="A25" s="67" t="str">
        <f t="shared" si="1"/>
        <v>Sun</v>
      </c>
      <c r="B25" s="69">
        <v>43485.0</v>
      </c>
      <c r="F25" s="4" t="s">
        <v>651</v>
      </c>
      <c r="J25" s="4" t="s">
        <v>651</v>
      </c>
    </row>
    <row r="26" hidden="1">
      <c r="A26" s="67" t="str">
        <f t="shared" si="1"/>
        <v>Mon</v>
      </c>
      <c r="B26" s="69">
        <v>43486.0</v>
      </c>
      <c r="F26" s="4" t="s">
        <v>651</v>
      </c>
      <c r="J26" s="4" t="s">
        <v>651</v>
      </c>
    </row>
    <row r="27" hidden="1">
      <c r="A27" s="67" t="str">
        <f t="shared" si="1"/>
        <v>Tue</v>
      </c>
      <c r="B27" s="69">
        <v>43487.0</v>
      </c>
      <c r="F27" s="4" t="s">
        <v>651</v>
      </c>
      <c r="J27" s="4" t="s">
        <v>651</v>
      </c>
    </row>
    <row r="28" hidden="1">
      <c r="A28" s="67" t="str">
        <f t="shared" si="1"/>
        <v>Wed</v>
      </c>
      <c r="B28" s="69">
        <v>43488.0</v>
      </c>
      <c r="F28" s="4" t="s">
        <v>651</v>
      </c>
      <c r="J28" s="4" t="s">
        <v>651</v>
      </c>
    </row>
    <row r="29" hidden="1">
      <c r="A29" s="67" t="str">
        <f t="shared" si="1"/>
        <v>Thu</v>
      </c>
      <c r="B29" s="69">
        <v>43489.0</v>
      </c>
      <c r="F29" s="4" t="s">
        <v>651</v>
      </c>
      <c r="J29" s="4" t="s">
        <v>651</v>
      </c>
    </row>
    <row r="30" hidden="1">
      <c r="A30" s="67" t="str">
        <f t="shared" si="1"/>
        <v>Fri</v>
      </c>
      <c r="B30" s="69">
        <v>43490.0</v>
      </c>
      <c r="F30" s="4" t="s">
        <v>651</v>
      </c>
      <c r="J30" s="4" t="s">
        <v>651</v>
      </c>
    </row>
    <row r="31" hidden="1">
      <c r="A31" s="67" t="str">
        <f t="shared" si="1"/>
        <v>Sat</v>
      </c>
      <c r="B31" s="69">
        <v>43491.0</v>
      </c>
      <c r="F31" s="4" t="s">
        <v>651</v>
      </c>
      <c r="J31" s="4" t="s">
        <v>651</v>
      </c>
    </row>
    <row r="32" hidden="1">
      <c r="A32" s="67" t="str">
        <f t="shared" si="1"/>
        <v>Sun</v>
      </c>
      <c r="B32" s="69">
        <v>43492.0</v>
      </c>
      <c r="F32" s="4" t="s">
        <v>651</v>
      </c>
      <c r="J32" s="4" t="s">
        <v>651</v>
      </c>
    </row>
    <row r="33" hidden="1">
      <c r="A33" s="67" t="str">
        <f t="shared" si="1"/>
        <v>Mon</v>
      </c>
      <c r="B33" s="69">
        <v>43493.0</v>
      </c>
      <c r="F33" s="4" t="s">
        <v>651</v>
      </c>
      <c r="J33" s="4" t="s">
        <v>651</v>
      </c>
    </row>
    <row r="34" hidden="1">
      <c r="A34" s="67" t="str">
        <f t="shared" si="1"/>
        <v>Tue</v>
      </c>
      <c r="B34" s="69">
        <v>43494.0</v>
      </c>
      <c r="F34" s="4" t="s">
        <v>651</v>
      </c>
      <c r="J34" s="4" t="s">
        <v>651</v>
      </c>
    </row>
    <row r="35" hidden="1">
      <c r="A35" s="67" t="str">
        <f t="shared" si="1"/>
        <v>Wed</v>
      </c>
      <c r="B35" s="69">
        <v>43495.0</v>
      </c>
      <c r="F35" s="4" t="s">
        <v>651</v>
      </c>
      <c r="J35" s="4" t="s">
        <v>651</v>
      </c>
    </row>
    <row r="36" hidden="1">
      <c r="A36" s="67" t="str">
        <f t="shared" si="1"/>
        <v>Thu</v>
      </c>
      <c r="B36" s="69">
        <v>43496.0</v>
      </c>
      <c r="F36" s="4" t="s">
        <v>651</v>
      </c>
      <c r="J36" s="4" t="s">
        <v>651</v>
      </c>
    </row>
    <row r="37" hidden="1">
      <c r="A37" s="67" t="str">
        <f t="shared" si="1"/>
        <v>Fri</v>
      </c>
      <c r="B37" s="69">
        <v>43497.0</v>
      </c>
      <c r="F37" s="4" t="s">
        <v>651</v>
      </c>
      <c r="J37" s="4" t="s">
        <v>651</v>
      </c>
    </row>
    <row r="38" hidden="1">
      <c r="A38" s="67" t="str">
        <f t="shared" si="1"/>
        <v>Sat</v>
      </c>
      <c r="B38" s="69">
        <v>43498.0</v>
      </c>
      <c r="F38" s="4" t="s">
        <v>651</v>
      </c>
      <c r="J38" s="4" t="s">
        <v>651</v>
      </c>
    </row>
    <row r="39" hidden="1">
      <c r="A39" s="67" t="str">
        <f t="shared" si="1"/>
        <v>Sun</v>
      </c>
      <c r="B39" s="69">
        <v>43499.0</v>
      </c>
      <c r="F39" s="4" t="s">
        <v>651</v>
      </c>
      <c r="J39" s="4" t="s">
        <v>651</v>
      </c>
    </row>
    <row r="40" hidden="1">
      <c r="A40" s="67" t="str">
        <f t="shared" si="1"/>
        <v>Mon</v>
      </c>
      <c r="B40" s="69">
        <v>43500.0</v>
      </c>
      <c r="F40" s="4" t="s">
        <v>651</v>
      </c>
      <c r="J40" s="4" t="s">
        <v>651</v>
      </c>
    </row>
    <row r="41" hidden="1">
      <c r="A41" s="67" t="str">
        <f t="shared" si="1"/>
        <v>Tue</v>
      </c>
      <c r="B41" s="69">
        <v>43501.0</v>
      </c>
      <c r="F41" s="4" t="s">
        <v>651</v>
      </c>
      <c r="J41" s="4" t="s">
        <v>651</v>
      </c>
    </row>
    <row r="42" hidden="1">
      <c r="A42" s="67" t="str">
        <f t="shared" si="1"/>
        <v>Wed</v>
      </c>
      <c r="B42" s="69">
        <v>43502.0</v>
      </c>
      <c r="F42" s="4" t="s">
        <v>651</v>
      </c>
      <c r="J42" s="4" t="s">
        <v>651</v>
      </c>
    </row>
    <row r="43" hidden="1">
      <c r="A43" s="67" t="str">
        <f t="shared" si="1"/>
        <v>Thu</v>
      </c>
      <c r="B43" s="69">
        <v>43503.0</v>
      </c>
      <c r="F43" s="4" t="s">
        <v>651</v>
      </c>
      <c r="J43" s="4" t="s">
        <v>651</v>
      </c>
    </row>
    <row r="44" hidden="1">
      <c r="A44" s="67" t="str">
        <f t="shared" si="1"/>
        <v>Fri</v>
      </c>
      <c r="B44" s="69">
        <v>43504.0</v>
      </c>
      <c r="F44" s="4" t="s">
        <v>651</v>
      </c>
      <c r="J44" s="4" t="s">
        <v>651</v>
      </c>
    </row>
    <row r="45" hidden="1">
      <c r="A45" s="67" t="str">
        <f t="shared" si="1"/>
        <v>Sat</v>
      </c>
      <c r="B45" s="69">
        <v>43505.0</v>
      </c>
      <c r="F45" s="4" t="s">
        <v>651</v>
      </c>
      <c r="J45" s="4" t="s">
        <v>651</v>
      </c>
    </row>
    <row r="46" hidden="1">
      <c r="A46" s="67" t="str">
        <f t="shared" si="1"/>
        <v>Sun</v>
      </c>
      <c r="B46" s="69">
        <v>43506.0</v>
      </c>
      <c r="F46" s="4" t="s">
        <v>651</v>
      </c>
      <c r="J46" s="4" t="s">
        <v>651</v>
      </c>
    </row>
    <row r="47" hidden="1">
      <c r="A47" s="67" t="str">
        <f t="shared" si="1"/>
        <v>Mon</v>
      </c>
      <c r="B47" s="69">
        <v>43507.0</v>
      </c>
      <c r="F47" s="4" t="s">
        <v>651</v>
      </c>
      <c r="J47" s="4" t="s">
        <v>651</v>
      </c>
    </row>
    <row r="48" hidden="1">
      <c r="A48" s="67" t="str">
        <f t="shared" si="1"/>
        <v>Tue</v>
      </c>
      <c r="B48" s="69">
        <v>43508.0</v>
      </c>
      <c r="F48" s="4" t="s">
        <v>651</v>
      </c>
      <c r="J48" s="4" t="s">
        <v>651</v>
      </c>
    </row>
    <row r="49" hidden="1">
      <c r="A49" s="67" t="str">
        <f t="shared" si="1"/>
        <v>Wed</v>
      </c>
      <c r="B49" s="69">
        <v>43509.0</v>
      </c>
      <c r="F49" s="4" t="s">
        <v>651</v>
      </c>
      <c r="J49" s="4" t="s">
        <v>651</v>
      </c>
    </row>
    <row r="50" hidden="1">
      <c r="A50" s="67" t="str">
        <f t="shared" si="1"/>
        <v>Thu</v>
      </c>
      <c r="B50" s="69">
        <v>43510.0</v>
      </c>
      <c r="F50" s="4" t="s">
        <v>651</v>
      </c>
      <c r="J50" s="4" t="s">
        <v>651</v>
      </c>
    </row>
    <row r="51" hidden="1">
      <c r="A51" s="67" t="str">
        <f t="shared" si="1"/>
        <v>Fri</v>
      </c>
      <c r="B51" s="69">
        <v>43511.0</v>
      </c>
      <c r="F51" s="4" t="s">
        <v>651</v>
      </c>
      <c r="J51" s="4" t="s">
        <v>651</v>
      </c>
    </row>
    <row r="52" hidden="1">
      <c r="A52" s="67" t="str">
        <f t="shared" si="1"/>
        <v>Sat</v>
      </c>
      <c r="B52" s="69">
        <v>43512.0</v>
      </c>
      <c r="F52" s="4" t="s">
        <v>651</v>
      </c>
      <c r="J52" s="4" t="s">
        <v>651</v>
      </c>
    </row>
    <row r="53" hidden="1">
      <c r="A53" s="67" t="str">
        <f t="shared" si="1"/>
        <v>Sun</v>
      </c>
      <c r="B53" s="69">
        <v>43513.0</v>
      </c>
      <c r="F53" s="4" t="s">
        <v>651</v>
      </c>
      <c r="J53" s="4" t="s">
        <v>651</v>
      </c>
    </row>
    <row r="54" hidden="1">
      <c r="A54" s="67" t="str">
        <f t="shared" si="1"/>
        <v>Mon</v>
      </c>
      <c r="B54" s="69">
        <v>43514.0</v>
      </c>
      <c r="F54" s="4" t="s">
        <v>651</v>
      </c>
      <c r="J54" s="4" t="s">
        <v>651</v>
      </c>
    </row>
    <row r="55" hidden="1">
      <c r="A55" s="67" t="str">
        <f t="shared" si="1"/>
        <v>Tue</v>
      </c>
      <c r="B55" s="69">
        <v>43515.0</v>
      </c>
      <c r="F55" s="4" t="s">
        <v>651</v>
      </c>
      <c r="J55" s="4" t="s">
        <v>651</v>
      </c>
    </row>
    <row r="56" hidden="1">
      <c r="A56" s="67" t="str">
        <f t="shared" si="1"/>
        <v>Wed</v>
      </c>
      <c r="B56" s="69">
        <v>43516.0</v>
      </c>
      <c r="F56" s="4" t="s">
        <v>651</v>
      </c>
      <c r="J56" s="4" t="s">
        <v>651</v>
      </c>
    </row>
    <row r="57" hidden="1">
      <c r="A57" s="67" t="str">
        <f t="shared" si="1"/>
        <v>Thu</v>
      </c>
      <c r="B57" s="69">
        <v>43517.0</v>
      </c>
      <c r="F57" s="4" t="s">
        <v>651</v>
      </c>
      <c r="J57" s="4" t="s">
        <v>651</v>
      </c>
    </row>
    <row r="58" hidden="1">
      <c r="A58" s="67" t="str">
        <f t="shared" si="1"/>
        <v>Fri</v>
      </c>
      <c r="B58" s="69">
        <v>43518.0</v>
      </c>
      <c r="F58" s="4" t="s">
        <v>651</v>
      </c>
      <c r="J58" s="4" t="s">
        <v>651</v>
      </c>
    </row>
    <row r="59" hidden="1">
      <c r="A59" s="67" t="str">
        <f t="shared" si="1"/>
        <v>Sat</v>
      </c>
      <c r="B59" s="69">
        <v>43519.0</v>
      </c>
      <c r="F59" s="4" t="s">
        <v>651</v>
      </c>
      <c r="J59" s="4" t="s">
        <v>651</v>
      </c>
    </row>
    <row r="60" hidden="1">
      <c r="A60" s="67" t="str">
        <f t="shared" si="1"/>
        <v>Sun</v>
      </c>
      <c r="B60" s="69">
        <v>43520.0</v>
      </c>
      <c r="F60" s="4" t="s">
        <v>651</v>
      </c>
      <c r="J60" s="4" t="s">
        <v>651</v>
      </c>
    </row>
    <row r="61" hidden="1">
      <c r="A61" s="67" t="str">
        <f t="shared" si="1"/>
        <v>Mon</v>
      </c>
      <c r="B61" s="69">
        <v>43521.0</v>
      </c>
      <c r="F61" s="4" t="s">
        <v>651</v>
      </c>
      <c r="J61" s="4" t="s">
        <v>651</v>
      </c>
    </row>
    <row r="62" hidden="1">
      <c r="A62" s="67" t="str">
        <f t="shared" si="1"/>
        <v>Tue</v>
      </c>
      <c r="B62" s="69">
        <v>43522.0</v>
      </c>
      <c r="F62" s="4" t="s">
        <v>651</v>
      </c>
      <c r="J62" s="4" t="s">
        <v>651</v>
      </c>
    </row>
    <row r="63" hidden="1">
      <c r="A63" s="67" t="str">
        <f t="shared" si="1"/>
        <v>Wed</v>
      </c>
      <c r="B63" s="69">
        <v>43523.0</v>
      </c>
      <c r="F63" s="4" t="s">
        <v>651</v>
      </c>
      <c r="J63" s="4" t="s">
        <v>651</v>
      </c>
    </row>
    <row r="64" hidden="1">
      <c r="A64" s="67" t="str">
        <f t="shared" si="1"/>
        <v>Thu</v>
      </c>
      <c r="B64" s="69">
        <v>43524.0</v>
      </c>
      <c r="F64" s="4" t="s">
        <v>651</v>
      </c>
      <c r="J64" s="4" t="s">
        <v>651</v>
      </c>
    </row>
    <row r="65" hidden="1">
      <c r="A65" s="67" t="str">
        <f t="shared" si="1"/>
        <v>Fri</v>
      </c>
      <c r="B65" s="69">
        <v>43525.0</v>
      </c>
      <c r="F65" s="4" t="s">
        <v>651</v>
      </c>
      <c r="J65" s="4" t="s">
        <v>651</v>
      </c>
      <c r="R65" s="4"/>
      <c r="S65" s="4"/>
    </row>
    <row r="66" hidden="1">
      <c r="A66" s="67" t="str">
        <f t="shared" si="1"/>
        <v>Sat</v>
      </c>
      <c r="B66" s="69">
        <v>43526.0</v>
      </c>
      <c r="F66" s="4" t="s">
        <v>651</v>
      </c>
      <c r="J66" s="4" t="s">
        <v>651</v>
      </c>
    </row>
    <row r="67" hidden="1">
      <c r="A67" s="67" t="str">
        <f t="shared" si="1"/>
        <v>Sun</v>
      </c>
      <c r="B67" s="69">
        <v>43527.0</v>
      </c>
      <c r="F67" s="4" t="s">
        <v>651</v>
      </c>
      <c r="J67" s="4" t="s">
        <v>651</v>
      </c>
    </row>
    <row r="68" hidden="1">
      <c r="A68" s="67" t="str">
        <f t="shared" si="1"/>
        <v>Mon</v>
      </c>
      <c r="B68" s="69">
        <v>43528.0</v>
      </c>
      <c r="F68" s="4" t="s">
        <v>651</v>
      </c>
      <c r="J68" s="4" t="s">
        <v>651</v>
      </c>
    </row>
    <row r="69" hidden="1">
      <c r="A69" s="67" t="str">
        <f t="shared" si="1"/>
        <v>Tue</v>
      </c>
      <c r="B69" s="69">
        <v>43529.0</v>
      </c>
      <c r="F69" s="4" t="s">
        <v>651</v>
      </c>
      <c r="J69" s="4" t="s">
        <v>651</v>
      </c>
    </row>
    <row r="70" hidden="1">
      <c r="A70" s="67" t="str">
        <f t="shared" si="1"/>
        <v>Wed</v>
      </c>
      <c r="B70" s="69">
        <v>43530.0</v>
      </c>
      <c r="F70" s="4" t="s">
        <v>651</v>
      </c>
      <c r="J70" s="4" t="s">
        <v>651</v>
      </c>
    </row>
    <row r="71" hidden="1">
      <c r="A71" s="67" t="str">
        <f t="shared" si="1"/>
        <v>Thu</v>
      </c>
      <c r="B71" s="69">
        <v>43531.0</v>
      </c>
      <c r="F71" s="4" t="s">
        <v>651</v>
      </c>
      <c r="J71" s="4" t="s">
        <v>651</v>
      </c>
    </row>
    <row r="72" hidden="1">
      <c r="A72" s="67" t="str">
        <f t="shared" si="1"/>
        <v>Fri</v>
      </c>
      <c r="B72" s="69">
        <v>43532.0</v>
      </c>
      <c r="F72" s="4" t="s">
        <v>651</v>
      </c>
      <c r="J72" s="4" t="s">
        <v>651</v>
      </c>
    </row>
    <row r="73" hidden="1">
      <c r="A73" s="67" t="str">
        <f t="shared" si="1"/>
        <v>Sat</v>
      </c>
      <c r="B73" s="69">
        <v>43533.0</v>
      </c>
      <c r="F73" s="4" t="s">
        <v>651</v>
      </c>
      <c r="J73" s="4" t="s">
        <v>651</v>
      </c>
    </row>
    <row r="74" hidden="1">
      <c r="A74" s="67" t="str">
        <f t="shared" si="1"/>
        <v>Sun</v>
      </c>
      <c r="B74" s="69">
        <v>43534.0</v>
      </c>
      <c r="F74" s="4" t="s">
        <v>651</v>
      </c>
      <c r="J74" s="4" t="s">
        <v>651</v>
      </c>
    </row>
    <row r="75" hidden="1">
      <c r="A75" s="67" t="str">
        <f t="shared" si="1"/>
        <v>Mon</v>
      </c>
      <c r="B75" s="69">
        <v>43535.0</v>
      </c>
      <c r="F75" s="4" t="s">
        <v>651</v>
      </c>
      <c r="J75" s="4" t="s">
        <v>651</v>
      </c>
    </row>
    <row r="76" hidden="1">
      <c r="A76" s="67" t="str">
        <f t="shared" si="1"/>
        <v>Tue</v>
      </c>
      <c r="B76" s="69">
        <v>43536.0</v>
      </c>
      <c r="F76" s="4" t="s">
        <v>651</v>
      </c>
      <c r="J76" s="4" t="s">
        <v>651</v>
      </c>
    </row>
    <row r="77" hidden="1">
      <c r="A77" s="67" t="str">
        <f t="shared" si="1"/>
        <v>Wed</v>
      </c>
      <c r="B77" s="69">
        <v>43537.0</v>
      </c>
      <c r="F77" s="4" t="s">
        <v>651</v>
      </c>
      <c r="J77" s="4" t="s">
        <v>651</v>
      </c>
    </row>
    <row r="78" hidden="1">
      <c r="A78" s="67" t="str">
        <f t="shared" si="1"/>
        <v>Thu</v>
      </c>
      <c r="B78" s="69">
        <v>43538.0</v>
      </c>
      <c r="F78" s="4" t="s">
        <v>651</v>
      </c>
      <c r="J78" s="4" t="s">
        <v>651</v>
      </c>
    </row>
    <row r="79" hidden="1">
      <c r="A79" s="67" t="str">
        <f t="shared" si="1"/>
        <v>Fri</v>
      </c>
      <c r="B79" s="69">
        <v>43539.0</v>
      </c>
      <c r="F79" s="4" t="s">
        <v>651</v>
      </c>
      <c r="J79" s="4" t="s">
        <v>651</v>
      </c>
    </row>
    <row r="80" hidden="1">
      <c r="A80" s="67" t="str">
        <f t="shared" si="1"/>
        <v>Sat</v>
      </c>
      <c r="B80" s="69">
        <v>43540.0</v>
      </c>
      <c r="F80" s="4" t="s">
        <v>651</v>
      </c>
      <c r="J80" s="4" t="s">
        <v>651</v>
      </c>
    </row>
    <row r="81" hidden="1">
      <c r="A81" s="67" t="str">
        <f t="shared" si="1"/>
        <v>Sun</v>
      </c>
      <c r="B81" s="69">
        <v>43541.0</v>
      </c>
      <c r="F81" s="4" t="s">
        <v>651</v>
      </c>
      <c r="J81" s="4" t="s">
        <v>651</v>
      </c>
    </row>
    <row r="82" hidden="1">
      <c r="A82" s="67" t="str">
        <f t="shared" si="1"/>
        <v>Mon</v>
      </c>
      <c r="B82" s="69">
        <v>43542.0</v>
      </c>
      <c r="F82" s="4" t="s">
        <v>651</v>
      </c>
      <c r="J82" s="4" t="s">
        <v>651</v>
      </c>
    </row>
    <row r="83" hidden="1">
      <c r="A83" s="67" t="str">
        <f t="shared" si="1"/>
        <v>Tue</v>
      </c>
      <c r="B83" s="69">
        <v>43543.0</v>
      </c>
      <c r="F83" s="4" t="s">
        <v>651</v>
      </c>
      <c r="J83" s="4" t="s">
        <v>651</v>
      </c>
    </row>
    <row r="84" hidden="1">
      <c r="A84" s="67" t="str">
        <f t="shared" si="1"/>
        <v>Wed</v>
      </c>
      <c r="B84" s="69">
        <v>43544.0</v>
      </c>
      <c r="F84" s="4" t="s">
        <v>651</v>
      </c>
      <c r="J84" s="4" t="s">
        <v>651</v>
      </c>
    </row>
    <row r="85" hidden="1">
      <c r="A85" s="67" t="str">
        <f t="shared" si="1"/>
        <v>Thu</v>
      </c>
      <c r="B85" s="69">
        <v>43545.0</v>
      </c>
      <c r="F85" s="4" t="s">
        <v>651</v>
      </c>
      <c r="J85" s="4" t="s">
        <v>651</v>
      </c>
    </row>
    <row r="86" hidden="1">
      <c r="A86" s="67" t="str">
        <f t="shared" si="1"/>
        <v>Fri</v>
      </c>
      <c r="B86" s="69">
        <v>43546.0</v>
      </c>
      <c r="F86" s="4" t="s">
        <v>651</v>
      </c>
      <c r="J86" s="4" t="s">
        <v>651</v>
      </c>
    </row>
    <row r="87" hidden="1">
      <c r="A87" s="67" t="str">
        <f t="shared" si="1"/>
        <v>Sat</v>
      </c>
      <c r="B87" s="69">
        <v>43547.0</v>
      </c>
      <c r="F87" s="4" t="s">
        <v>651</v>
      </c>
      <c r="J87" s="4" t="s">
        <v>651</v>
      </c>
    </row>
    <row r="88" hidden="1">
      <c r="A88" s="67" t="str">
        <f t="shared" si="1"/>
        <v>Sun</v>
      </c>
      <c r="B88" s="69">
        <v>43548.0</v>
      </c>
      <c r="F88" s="4" t="s">
        <v>651</v>
      </c>
      <c r="J88" s="4" t="s">
        <v>651</v>
      </c>
    </row>
    <row r="89" hidden="1">
      <c r="A89" s="67" t="str">
        <f t="shared" si="1"/>
        <v>Mon</v>
      </c>
      <c r="B89" s="69">
        <v>43549.0</v>
      </c>
      <c r="F89" s="4" t="s">
        <v>651</v>
      </c>
      <c r="J89" s="4" t="s">
        <v>651</v>
      </c>
    </row>
    <row r="90" hidden="1">
      <c r="A90" s="67" t="str">
        <f t="shared" si="1"/>
        <v>Tue</v>
      </c>
      <c r="B90" s="69">
        <v>43550.0</v>
      </c>
      <c r="F90" s="4" t="s">
        <v>651</v>
      </c>
      <c r="J90" s="4" t="s">
        <v>651</v>
      </c>
    </row>
    <row r="91" hidden="1">
      <c r="A91" s="67" t="str">
        <f t="shared" si="1"/>
        <v>Wed</v>
      </c>
      <c r="B91" s="69">
        <v>43551.0</v>
      </c>
      <c r="F91" s="4" t="s">
        <v>651</v>
      </c>
      <c r="J91" s="4" t="s">
        <v>651</v>
      </c>
    </row>
    <row r="92" hidden="1">
      <c r="A92" s="67" t="str">
        <f t="shared" si="1"/>
        <v>Thu</v>
      </c>
      <c r="B92" s="69">
        <v>43552.0</v>
      </c>
      <c r="F92" s="4" t="s">
        <v>651</v>
      </c>
      <c r="J92" s="4" t="s">
        <v>651</v>
      </c>
    </row>
    <row r="93" hidden="1">
      <c r="A93" s="67" t="str">
        <f t="shared" si="1"/>
        <v>Fri</v>
      </c>
      <c r="B93" s="69">
        <v>43553.0</v>
      </c>
      <c r="F93" s="4" t="s">
        <v>651</v>
      </c>
      <c r="J93" s="4" t="s">
        <v>651</v>
      </c>
    </row>
    <row r="94" hidden="1">
      <c r="A94" s="67" t="str">
        <f t="shared" si="1"/>
        <v>Sat</v>
      </c>
      <c r="B94" s="69">
        <v>43554.0</v>
      </c>
      <c r="F94" s="4" t="s">
        <v>651</v>
      </c>
      <c r="J94" s="4" t="s">
        <v>651</v>
      </c>
    </row>
    <row r="95" hidden="1">
      <c r="A95" s="67" t="str">
        <f t="shared" si="1"/>
        <v>Sun</v>
      </c>
      <c r="B95" s="69">
        <v>43555.0</v>
      </c>
      <c r="F95" s="4" t="s">
        <v>651</v>
      </c>
      <c r="J95" s="4" t="s">
        <v>651</v>
      </c>
    </row>
    <row r="96" hidden="1">
      <c r="A96" s="67" t="str">
        <f t="shared" si="1"/>
        <v>Mon</v>
      </c>
      <c r="B96" s="69">
        <v>43556.0</v>
      </c>
      <c r="F96" s="4" t="s">
        <v>651</v>
      </c>
      <c r="J96" s="4" t="s">
        <v>651</v>
      </c>
    </row>
    <row r="97" hidden="1">
      <c r="A97" s="67" t="str">
        <f t="shared" si="1"/>
        <v>Tue</v>
      </c>
      <c r="B97" s="69">
        <v>43557.0</v>
      </c>
      <c r="F97" s="4" t="s">
        <v>651</v>
      </c>
      <c r="J97" s="4" t="s">
        <v>651</v>
      </c>
    </row>
    <row r="98" hidden="1">
      <c r="A98" s="67" t="str">
        <f t="shared" si="1"/>
        <v>Wed</v>
      </c>
      <c r="B98" s="69">
        <v>43558.0</v>
      </c>
      <c r="F98" s="4" t="s">
        <v>651</v>
      </c>
      <c r="J98" s="4" t="s">
        <v>651</v>
      </c>
    </row>
    <row r="99" hidden="1">
      <c r="A99" s="67" t="str">
        <f t="shared" si="1"/>
        <v>Thu</v>
      </c>
      <c r="B99" s="69">
        <v>43559.0</v>
      </c>
      <c r="F99" s="4" t="s">
        <v>651</v>
      </c>
      <c r="J99" s="4" t="s">
        <v>651</v>
      </c>
    </row>
    <row r="100" hidden="1">
      <c r="A100" s="67" t="str">
        <f t="shared" si="1"/>
        <v>Fri</v>
      </c>
      <c r="B100" s="69">
        <v>43560.0</v>
      </c>
      <c r="F100" s="4" t="s">
        <v>651</v>
      </c>
      <c r="J100" s="4" t="s">
        <v>651</v>
      </c>
    </row>
    <row r="101" hidden="1">
      <c r="A101" s="67" t="str">
        <f t="shared" si="1"/>
        <v>Sat</v>
      </c>
      <c r="B101" s="69">
        <v>43561.0</v>
      </c>
      <c r="F101" s="4" t="s">
        <v>651</v>
      </c>
      <c r="J101" s="4" t="s">
        <v>651</v>
      </c>
    </row>
    <row r="102" hidden="1">
      <c r="A102" s="67" t="str">
        <f t="shared" si="1"/>
        <v>Sun</v>
      </c>
      <c r="B102" s="69">
        <v>43562.0</v>
      </c>
      <c r="F102" s="4" t="s">
        <v>651</v>
      </c>
      <c r="J102" s="4" t="s">
        <v>651</v>
      </c>
    </row>
    <row r="103" hidden="1">
      <c r="A103" s="67" t="str">
        <f t="shared" si="1"/>
        <v>Mon</v>
      </c>
      <c r="B103" s="69">
        <v>43563.0</v>
      </c>
      <c r="F103" s="4" t="s">
        <v>651</v>
      </c>
      <c r="J103" s="4" t="s">
        <v>651</v>
      </c>
    </row>
    <row r="104" hidden="1">
      <c r="A104" s="67" t="str">
        <f t="shared" si="1"/>
        <v>Tue</v>
      </c>
      <c r="B104" s="69">
        <v>43564.0</v>
      </c>
      <c r="F104" s="4" t="s">
        <v>651</v>
      </c>
      <c r="J104" s="4" t="s">
        <v>651</v>
      </c>
    </row>
    <row r="105" hidden="1">
      <c r="A105" s="67" t="str">
        <f t="shared" si="1"/>
        <v>Wed</v>
      </c>
      <c r="B105" s="69">
        <v>43565.0</v>
      </c>
      <c r="F105" s="4" t="s">
        <v>651</v>
      </c>
      <c r="J105" s="4" t="s">
        <v>651</v>
      </c>
    </row>
    <row r="106" hidden="1">
      <c r="A106" s="67" t="str">
        <f t="shared" si="1"/>
        <v>Thu</v>
      </c>
      <c r="B106" s="69">
        <v>43566.0</v>
      </c>
      <c r="F106" s="4" t="s">
        <v>651</v>
      </c>
      <c r="J106" s="4" t="s">
        <v>651</v>
      </c>
    </row>
    <row r="107" hidden="1">
      <c r="A107" s="67" t="str">
        <f t="shared" si="1"/>
        <v>Fri</v>
      </c>
      <c r="B107" s="69">
        <v>43567.0</v>
      </c>
      <c r="F107" s="4" t="s">
        <v>651</v>
      </c>
      <c r="J107" s="4" t="s">
        <v>651</v>
      </c>
    </row>
    <row r="108" hidden="1">
      <c r="A108" s="67" t="str">
        <f t="shared" si="1"/>
        <v>Sat</v>
      </c>
      <c r="B108" s="69">
        <v>43568.0</v>
      </c>
      <c r="F108" s="4" t="s">
        <v>651</v>
      </c>
      <c r="J108" s="4" t="s">
        <v>651</v>
      </c>
    </row>
    <row r="109" hidden="1">
      <c r="A109" s="67" t="str">
        <f t="shared" si="1"/>
        <v>Sun</v>
      </c>
      <c r="B109" s="69">
        <v>43569.0</v>
      </c>
      <c r="F109" s="4" t="s">
        <v>651</v>
      </c>
      <c r="J109" s="4" t="s">
        <v>651</v>
      </c>
    </row>
    <row r="110" hidden="1">
      <c r="A110" s="67" t="str">
        <f t="shared" si="1"/>
        <v>Mon</v>
      </c>
      <c r="B110" s="69">
        <v>43570.0</v>
      </c>
      <c r="F110" s="4" t="s">
        <v>651</v>
      </c>
      <c r="J110" s="4" t="s">
        <v>651</v>
      </c>
    </row>
    <row r="111" hidden="1">
      <c r="A111" s="67" t="str">
        <f t="shared" si="1"/>
        <v>Tue</v>
      </c>
      <c r="B111" s="69">
        <v>43571.0</v>
      </c>
      <c r="F111" s="4" t="s">
        <v>651</v>
      </c>
      <c r="J111" s="4" t="s">
        <v>651</v>
      </c>
    </row>
    <row r="112" hidden="1">
      <c r="A112" s="67" t="str">
        <f t="shared" si="1"/>
        <v>Wed</v>
      </c>
      <c r="B112" s="69">
        <v>43572.0</v>
      </c>
      <c r="F112" s="4" t="s">
        <v>651</v>
      </c>
      <c r="J112" s="4" t="s">
        <v>651</v>
      </c>
    </row>
    <row r="113" hidden="1">
      <c r="A113" s="67" t="str">
        <f t="shared" si="1"/>
        <v>Thu</v>
      </c>
      <c r="B113" s="69">
        <v>43573.0</v>
      </c>
      <c r="F113" s="4" t="s">
        <v>651</v>
      </c>
      <c r="J113" s="4" t="s">
        <v>651</v>
      </c>
    </row>
    <row r="114" hidden="1">
      <c r="A114" s="67" t="str">
        <f t="shared" si="1"/>
        <v>Fri</v>
      </c>
      <c r="B114" s="69">
        <v>43574.0</v>
      </c>
      <c r="F114" s="4" t="s">
        <v>651</v>
      </c>
      <c r="J114" s="4" t="s">
        <v>651</v>
      </c>
    </row>
    <row r="115" hidden="1">
      <c r="A115" s="67" t="str">
        <f t="shared" si="1"/>
        <v>Sat</v>
      </c>
      <c r="B115" s="69">
        <v>43575.0</v>
      </c>
      <c r="F115" s="4" t="s">
        <v>651</v>
      </c>
      <c r="J115" s="4" t="s">
        <v>651</v>
      </c>
    </row>
    <row r="116">
      <c r="A116" s="67" t="str">
        <f t="shared" si="1"/>
        <v>Sun</v>
      </c>
      <c r="B116" s="69">
        <v>43576.0</v>
      </c>
      <c r="J116" s="4"/>
      <c r="L116" s="4" t="s">
        <v>229</v>
      </c>
      <c r="M116" s="4" t="s">
        <v>226</v>
      </c>
      <c r="N116" s="4" t="s">
        <v>232</v>
      </c>
      <c r="O116" s="4" t="s">
        <v>264</v>
      </c>
    </row>
    <row r="117">
      <c r="A117" s="67" t="str">
        <f t="shared" si="1"/>
        <v>Mon</v>
      </c>
      <c r="B117" s="69">
        <v>43577.0</v>
      </c>
      <c r="J117" s="4"/>
    </row>
    <row r="118">
      <c r="A118" s="67" t="str">
        <f t="shared" si="1"/>
        <v>Tue</v>
      </c>
      <c r="B118" s="69">
        <v>43578.0</v>
      </c>
    </row>
    <row r="119">
      <c r="A119" s="67" t="str">
        <f t="shared" si="1"/>
        <v>Wed</v>
      </c>
      <c r="B119" s="69">
        <v>43579.0</v>
      </c>
      <c r="J119" s="4" t="s">
        <v>228</v>
      </c>
      <c r="L119" s="4" t="s">
        <v>229</v>
      </c>
    </row>
    <row r="120">
      <c r="A120" s="67" t="str">
        <f t="shared" si="1"/>
        <v>Thu</v>
      </c>
      <c r="B120" s="69">
        <v>43580.0</v>
      </c>
      <c r="D120" s="161">
        <v>208.55</v>
      </c>
      <c r="E120" s="4" t="s">
        <v>222</v>
      </c>
      <c r="F120" s="4" t="s">
        <v>1804</v>
      </c>
      <c r="G120" s="4" t="s">
        <v>1804</v>
      </c>
      <c r="I120" s="4" t="s">
        <v>224</v>
      </c>
      <c r="J120" s="4"/>
      <c r="K120" s="4" t="s">
        <v>231</v>
      </c>
      <c r="L120" s="4" t="s">
        <v>225</v>
      </c>
      <c r="M120" s="4" t="s">
        <v>226</v>
      </c>
      <c r="N120" s="4" t="s">
        <v>232</v>
      </c>
      <c r="O120" s="4" t="s">
        <v>264</v>
      </c>
      <c r="R120" s="4" t="s">
        <v>1805</v>
      </c>
    </row>
    <row r="121">
      <c r="A121" s="67" t="str">
        <f t="shared" si="1"/>
        <v>Fri</v>
      </c>
      <c r="B121" s="69">
        <v>43581.0</v>
      </c>
      <c r="D121" s="161">
        <v>208.55</v>
      </c>
      <c r="E121" s="4" t="s">
        <v>222</v>
      </c>
      <c r="F121" s="4" t="s">
        <v>1804</v>
      </c>
      <c r="I121" s="4" t="s">
        <v>224</v>
      </c>
      <c r="J121" s="4"/>
      <c r="M121" s="4"/>
      <c r="N121" s="4"/>
      <c r="O121" s="4"/>
    </row>
    <row r="122">
      <c r="A122" s="67" t="str">
        <f t="shared" si="1"/>
        <v>Sat</v>
      </c>
      <c r="B122" s="69">
        <v>43582.0</v>
      </c>
      <c r="D122" s="161">
        <v>208.55</v>
      </c>
      <c r="E122" s="4" t="s">
        <v>222</v>
      </c>
      <c r="F122" s="4" t="s">
        <v>1804</v>
      </c>
      <c r="I122" s="4" t="s">
        <v>224</v>
      </c>
      <c r="J122" s="4"/>
    </row>
    <row r="123">
      <c r="A123" s="67" t="str">
        <f t="shared" si="1"/>
        <v>Sun</v>
      </c>
      <c r="B123" s="69">
        <v>43583.0</v>
      </c>
      <c r="D123" s="161">
        <v>208.55</v>
      </c>
      <c r="E123" s="4" t="s">
        <v>222</v>
      </c>
      <c r="F123" s="4" t="s">
        <v>1804</v>
      </c>
      <c r="I123" s="4" t="s">
        <v>224</v>
      </c>
    </row>
    <row r="124">
      <c r="A124" s="67" t="str">
        <f t="shared" si="1"/>
        <v>Mon</v>
      </c>
      <c r="B124" s="69">
        <v>43584.0</v>
      </c>
      <c r="F124" s="4"/>
      <c r="G124" s="4"/>
      <c r="H124" s="4" t="s">
        <v>1804</v>
      </c>
      <c r="N124" s="4"/>
      <c r="O124" s="4"/>
    </row>
    <row r="125">
      <c r="A125" s="67" t="str">
        <f t="shared" si="1"/>
        <v>Tue</v>
      </c>
      <c r="B125" s="69">
        <v>43585.0</v>
      </c>
      <c r="D125" s="4">
        <v>0.0</v>
      </c>
      <c r="E125" s="4" t="s">
        <v>222</v>
      </c>
      <c r="F125" s="6" t="s">
        <v>1806</v>
      </c>
      <c r="G125" s="6" t="s">
        <v>1806</v>
      </c>
      <c r="I125" s="4" t="s">
        <v>224</v>
      </c>
      <c r="L125" s="4" t="s">
        <v>225</v>
      </c>
      <c r="M125" s="6" t="s">
        <v>1807</v>
      </c>
      <c r="Q125" s="4" t="s">
        <v>1808</v>
      </c>
      <c r="R125" s="4" t="s">
        <v>1809</v>
      </c>
      <c r="S125" s="6" t="s">
        <v>1810</v>
      </c>
    </row>
    <row r="126">
      <c r="A126" s="67" t="str">
        <f t="shared" si="1"/>
        <v>Wed</v>
      </c>
      <c r="B126" s="69">
        <v>43586.0</v>
      </c>
      <c r="D126" s="4">
        <f>2*213.4</f>
        <v>426.8</v>
      </c>
      <c r="E126" s="4" t="s">
        <v>222</v>
      </c>
      <c r="F126" s="6" t="s">
        <v>1806</v>
      </c>
      <c r="G126" s="4"/>
      <c r="I126" s="4" t="s">
        <v>224</v>
      </c>
      <c r="M126" s="4"/>
      <c r="N126" s="4"/>
      <c r="O126" s="4"/>
    </row>
    <row r="127">
      <c r="A127" s="67" t="str">
        <f t="shared" si="1"/>
        <v>Thu</v>
      </c>
      <c r="B127" s="69">
        <v>43587.0</v>
      </c>
      <c r="D127" s="4">
        <v>213.4</v>
      </c>
      <c r="E127" s="4" t="s">
        <v>222</v>
      </c>
      <c r="F127" s="6" t="s">
        <v>1806</v>
      </c>
      <c r="I127" s="4" t="s">
        <v>224</v>
      </c>
    </row>
    <row r="128">
      <c r="A128" s="67" t="str">
        <f t="shared" si="1"/>
        <v>Fri</v>
      </c>
      <c r="B128" s="69">
        <v>43588.0</v>
      </c>
      <c r="D128" s="4">
        <v>236.1</v>
      </c>
      <c r="E128" s="4" t="s">
        <v>337</v>
      </c>
      <c r="F128" s="6" t="s">
        <v>1806</v>
      </c>
      <c r="G128" s="4"/>
      <c r="I128" s="4" t="s">
        <v>224</v>
      </c>
      <c r="N128" s="4"/>
      <c r="O128" s="4"/>
    </row>
    <row r="129">
      <c r="A129" s="67" t="str">
        <f t="shared" si="1"/>
        <v>Sat</v>
      </c>
      <c r="B129" s="69">
        <v>43589.0</v>
      </c>
      <c r="D129" s="161">
        <v>246.21</v>
      </c>
      <c r="E129" s="4" t="s">
        <v>169</v>
      </c>
      <c r="F129" s="4" t="s">
        <v>1811</v>
      </c>
      <c r="G129" s="4" t="s">
        <v>1811</v>
      </c>
      <c r="H129" s="6" t="s">
        <v>1806</v>
      </c>
      <c r="I129" s="4" t="s">
        <v>359</v>
      </c>
      <c r="K129" s="4" t="s">
        <v>231</v>
      </c>
      <c r="L129" s="4" t="s">
        <v>225</v>
      </c>
      <c r="M129" s="4" t="s">
        <v>1812</v>
      </c>
      <c r="N129" s="4" t="s">
        <v>1813</v>
      </c>
      <c r="O129" s="4" t="s">
        <v>1814</v>
      </c>
      <c r="Q129" s="4" t="s">
        <v>1815</v>
      </c>
      <c r="R129" s="4" t="s">
        <v>1816</v>
      </c>
      <c r="S129" s="4"/>
    </row>
    <row r="130">
      <c r="A130" s="67" t="str">
        <f t="shared" si="1"/>
        <v>Sun</v>
      </c>
      <c r="B130" s="69">
        <v>43590.0</v>
      </c>
      <c r="D130" s="161">
        <v>246.21</v>
      </c>
      <c r="E130" s="4" t="s">
        <v>169</v>
      </c>
      <c r="F130" s="4" t="s">
        <v>1811</v>
      </c>
      <c r="I130" s="4" t="s">
        <v>359</v>
      </c>
    </row>
    <row r="131">
      <c r="A131" s="67" t="str">
        <f t="shared" si="1"/>
        <v>Mon</v>
      </c>
      <c r="B131" s="69">
        <v>43591.0</v>
      </c>
      <c r="F131" s="4"/>
      <c r="G131" s="4"/>
      <c r="H131" s="4" t="s">
        <v>1811</v>
      </c>
      <c r="N131" s="4"/>
      <c r="O131" s="4"/>
    </row>
    <row r="132">
      <c r="A132" s="67" t="str">
        <f t="shared" si="1"/>
        <v>Tue</v>
      </c>
      <c r="B132" s="69">
        <v>43592.0</v>
      </c>
      <c r="F132" s="4"/>
    </row>
    <row r="133">
      <c r="A133" s="67" t="str">
        <f t="shared" si="1"/>
        <v>Wed</v>
      </c>
      <c r="B133" s="69">
        <v>43593.0</v>
      </c>
      <c r="F133" s="4"/>
      <c r="G133" s="4"/>
      <c r="H133" s="4"/>
      <c r="N133" s="4"/>
      <c r="O133" s="4"/>
    </row>
    <row r="134">
      <c r="A134" s="67" t="str">
        <f t="shared" si="1"/>
        <v>Thu</v>
      </c>
      <c r="B134" s="69">
        <v>43594.0</v>
      </c>
      <c r="F134" s="4"/>
    </row>
    <row r="135">
      <c r="A135" s="67" t="str">
        <f t="shared" si="1"/>
        <v>Fri</v>
      </c>
      <c r="B135" s="69">
        <v>43595.0</v>
      </c>
      <c r="D135" s="161">
        <v>291.0</v>
      </c>
      <c r="E135" s="4" t="s">
        <v>222</v>
      </c>
      <c r="F135" s="4" t="s">
        <v>1817</v>
      </c>
      <c r="G135" s="4" t="s">
        <v>1817</v>
      </c>
      <c r="H135" s="4"/>
      <c r="I135" s="4" t="s">
        <v>224</v>
      </c>
      <c r="J135" s="4" t="s">
        <v>1818</v>
      </c>
      <c r="K135" s="4" t="s">
        <v>231</v>
      </c>
      <c r="L135" s="4" t="s">
        <v>225</v>
      </c>
      <c r="M135" s="4" t="s">
        <v>226</v>
      </c>
      <c r="R135" s="4" t="s">
        <v>1819</v>
      </c>
    </row>
    <row r="136">
      <c r="A136" s="67" t="str">
        <f t="shared" si="1"/>
        <v>Sat</v>
      </c>
      <c r="B136" s="69">
        <v>43596.0</v>
      </c>
      <c r="D136" s="161">
        <v>291.0</v>
      </c>
      <c r="E136" s="4" t="s">
        <v>222</v>
      </c>
      <c r="F136" s="4" t="s">
        <v>1817</v>
      </c>
      <c r="I136" s="4" t="s">
        <v>224</v>
      </c>
      <c r="J136" s="4" t="s">
        <v>1818</v>
      </c>
    </row>
    <row r="137">
      <c r="A137" s="67" t="str">
        <f t="shared" si="1"/>
        <v>Sun</v>
      </c>
      <c r="B137" s="69">
        <v>43597.0</v>
      </c>
      <c r="F137" s="4"/>
      <c r="G137" s="4"/>
      <c r="H137" s="4" t="s">
        <v>1817</v>
      </c>
      <c r="N137" s="4"/>
      <c r="O137" s="4"/>
    </row>
    <row r="138">
      <c r="A138" s="67" t="str">
        <f t="shared" si="1"/>
        <v>Mon</v>
      </c>
      <c r="B138" s="69">
        <v>43598.0</v>
      </c>
      <c r="F138" s="4"/>
    </row>
    <row r="139">
      <c r="A139" s="67" t="str">
        <f t="shared" si="1"/>
        <v>Tue</v>
      </c>
      <c r="B139" s="69">
        <v>43599.0</v>
      </c>
      <c r="F139" s="4"/>
      <c r="G139" s="4"/>
      <c r="H139" s="4"/>
      <c r="N139" s="4"/>
      <c r="O139" s="4"/>
    </row>
    <row r="140">
      <c r="A140" s="67" t="str">
        <f t="shared" si="1"/>
        <v>Wed</v>
      </c>
      <c r="B140" s="69">
        <v>43600.0</v>
      </c>
      <c r="F140" s="4"/>
    </row>
    <row r="141">
      <c r="A141" s="67" t="str">
        <f t="shared" si="1"/>
        <v>Thu</v>
      </c>
      <c r="B141" s="69">
        <v>43601.0</v>
      </c>
      <c r="F141" s="4"/>
      <c r="G141" s="4"/>
      <c r="H141" s="4"/>
      <c r="N141" s="4"/>
      <c r="O141" s="4"/>
    </row>
    <row r="142">
      <c r="A142" s="67" t="str">
        <f t="shared" si="1"/>
        <v>Fri</v>
      </c>
      <c r="B142" s="69">
        <v>43602.0</v>
      </c>
      <c r="F142" s="4"/>
    </row>
    <row r="143">
      <c r="A143" s="67" t="str">
        <f t="shared" si="1"/>
        <v>Sat</v>
      </c>
      <c r="B143" s="69">
        <v>43603.0</v>
      </c>
      <c r="D143" s="4">
        <v>266.75</v>
      </c>
      <c r="E143" s="4" t="s">
        <v>222</v>
      </c>
      <c r="F143" s="4" t="s">
        <v>1820</v>
      </c>
      <c r="G143" s="4" t="s">
        <v>1820</v>
      </c>
      <c r="H143" s="4"/>
      <c r="I143" s="4" t="s">
        <v>224</v>
      </c>
      <c r="L143" s="4" t="s">
        <v>225</v>
      </c>
      <c r="M143" s="4" t="s">
        <v>226</v>
      </c>
      <c r="R143" s="4" t="s">
        <v>1821</v>
      </c>
    </row>
    <row r="144">
      <c r="A144" s="67" t="str">
        <f t="shared" si="1"/>
        <v>Sun</v>
      </c>
      <c r="B144" s="69">
        <v>43604.0</v>
      </c>
      <c r="D144" s="4">
        <v>275.0</v>
      </c>
      <c r="E144" s="4" t="s">
        <v>337</v>
      </c>
      <c r="F144" s="4" t="s">
        <v>1822</v>
      </c>
      <c r="G144" s="4" t="s">
        <v>1822</v>
      </c>
      <c r="H144" s="4" t="s">
        <v>1820</v>
      </c>
      <c r="I144" s="4" t="s">
        <v>224</v>
      </c>
      <c r="J144" s="4" t="s">
        <v>1823</v>
      </c>
      <c r="K144" s="4" t="s">
        <v>231</v>
      </c>
      <c r="L144" s="4" t="s">
        <v>225</v>
      </c>
      <c r="M144" s="4" t="s">
        <v>226</v>
      </c>
      <c r="N144" s="4" t="s">
        <v>232</v>
      </c>
      <c r="O144" s="4" t="s">
        <v>264</v>
      </c>
    </row>
    <row r="145">
      <c r="A145" s="67" t="str">
        <f t="shared" si="1"/>
        <v>Mon</v>
      </c>
      <c r="B145" s="69">
        <v>43605.0</v>
      </c>
      <c r="H145" s="4" t="s">
        <v>1822</v>
      </c>
    </row>
    <row r="146">
      <c r="A146" s="67" t="str">
        <f t="shared" si="1"/>
        <v>Tue</v>
      </c>
      <c r="B146" s="69">
        <v>43606.0</v>
      </c>
    </row>
    <row r="147">
      <c r="A147" s="67" t="str">
        <f t="shared" si="1"/>
        <v>Wed</v>
      </c>
      <c r="B147" s="69">
        <v>43607.0</v>
      </c>
      <c r="F147" s="4"/>
      <c r="G147" s="4"/>
      <c r="N147" s="4"/>
      <c r="O147" s="4"/>
    </row>
    <row r="148">
      <c r="A148" s="67" t="str">
        <f t="shared" si="1"/>
        <v>Thu</v>
      </c>
      <c r="B148" s="69">
        <v>43608.0</v>
      </c>
      <c r="F148" s="4"/>
    </row>
    <row r="149">
      <c r="A149" s="67" t="str">
        <f t="shared" si="1"/>
        <v>Fri</v>
      </c>
      <c r="B149" s="69">
        <v>43609.0</v>
      </c>
      <c r="F149" s="4"/>
      <c r="G149" s="4"/>
      <c r="H149" s="4"/>
      <c r="N149" s="4"/>
      <c r="O149" s="4"/>
    </row>
    <row r="150">
      <c r="A150" s="67" t="str">
        <f t="shared" si="1"/>
        <v>Sat</v>
      </c>
      <c r="B150" s="69">
        <v>43610.0</v>
      </c>
      <c r="D150" s="4">
        <v>388.0</v>
      </c>
      <c r="E150" s="4" t="s">
        <v>222</v>
      </c>
      <c r="F150" s="4" t="s">
        <v>1824</v>
      </c>
      <c r="G150" s="4" t="s">
        <v>1824</v>
      </c>
      <c r="I150" s="4" t="s">
        <v>224</v>
      </c>
      <c r="K150" s="4" t="s">
        <v>231</v>
      </c>
      <c r="L150" s="4" t="s">
        <v>225</v>
      </c>
      <c r="M150" s="4" t="s">
        <v>226</v>
      </c>
      <c r="R150" s="4" t="s">
        <v>1825</v>
      </c>
    </row>
    <row r="151">
      <c r="A151" s="67" t="str">
        <f t="shared" si="1"/>
        <v>Sun</v>
      </c>
      <c r="B151" s="69">
        <v>43611.0</v>
      </c>
      <c r="D151" s="4">
        <v>400.0</v>
      </c>
      <c r="E151" s="4" t="s">
        <v>337</v>
      </c>
      <c r="F151" s="4" t="s">
        <v>1824</v>
      </c>
      <c r="G151" s="4"/>
      <c r="I151" s="4" t="s">
        <v>224</v>
      </c>
      <c r="M151" s="4"/>
      <c r="N151" s="4"/>
      <c r="O151" s="4"/>
    </row>
    <row r="152">
      <c r="A152" s="67" t="str">
        <f t="shared" si="1"/>
        <v>Mon</v>
      </c>
      <c r="B152" s="69">
        <v>43612.0</v>
      </c>
      <c r="F152" s="4"/>
      <c r="H152" s="4" t="s">
        <v>1824</v>
      </c>
    </row>
    <row r="153">
      <c r="A153" s="67" t="str">
        <f t="shared" si="1"/>
        <v>Tue</v>
      </c>
      <c r="B153" s="69">
        <v>43613.0</v>
      </c>
      <c r="F153" s="4"/>
      <c r="G153" s="4"/>
      <c r="H153" s="4"/>
      <c r="J153" s="4" t="s">
        <v>228</v>
      </c>
      <c r="L153" s="4" t="s">
        <v>229</v>
      </c>
      <c r="M153" s="4"/>
      <c r="N153" s="4"/>
      <c r="O153" s="4"/>
    </row>
    <row r="154">
      <c r="A154" s="67" t="str">
        <f t="shared" si="1"/>
        <v>Wed</v>
      </c>
      <c r="B154" s="69">
        <v>43614.0</v>
      </c>
      <c r="F154" s="4"/>
      <c r="J154" s="4" t="s">
        <v>228</v>
      </c>
    </row>
    <row r="155">
      <c r="A155" s="67" t="str">
        <f t="shared" si="1"/>
        <v>Thu</v>
      </c>
      <c r="B155" s="69">
        <v>43615.0</v>
      </c>
      <c r="D155" s="161">
        <v>242.5</v>
      </c>
      <c r="E155" s="4" t="s">
        <v>222</v>
      </c>
      <c r="F155" s="4" t="s">
        <v>1826</v>
      </c>
      <c r="G155" s="4" t="s">
        <v>1826</v>
      </c>
      <c r="H155" s="4"/>
      <c r="I155" s="4" t="s">
        <v>224</v>
      </c>
      <c r="K155" s="4" t="s">
        <v>231</v>
      </c>
      <c r="L155" s="4" t="s">
        <v>225</v>
      </c>
      <c r="M155" s="4" t="s">
        <v>1827</v>
      </c>
      <c r="N155" s="4" t="s">
        <v>1828</v>
      </c>
      <c r="O155" s="4" t="s">
        <v>264</v>
      </c>
      <c r="Q155" s="4" t="s">
        <v>1634</v>
      </c>
      <c r="R155" s="4" t="s">
        <v>1635</v>
      </c>
      <c r="S155" s="4" t="s">
        <v>1829</v>
      </c>
    </row>
    <row r="156">
      <c r="A156" s="67" t="str">
        <f t="shared" si="1"/>
        <v>Fri</v>
      </c>
      <c r="B156" s="69">
        <v>43616.0</v>
      </c>
      <c r="D156" s="161">
        <v>242.5</v>
      </c>
      <c r="E156" s="4" t="s">
        <v>222</v>
      </c>
      <c r="F156" s="4" t="s">
        <v>1826</v>
      </c>
      <c r="I156" s="4" t="s">
        <v>224</v>
      </c>
    </row>
    <row r="157">
      <c r="A157" s="67" t="str">
        <f t="shared" si="1"/>
        <v>Sat</v>
      </c>
      <c r="B157" s="69">
        <v>43617.0</v>
      </c>
      <c r="D157" s="161">
        <v>242.5</v>
      </c>
      <c r="E157" s="4" t="s">
        <v>222</v>
      </c>
      <c r="F157" s="4" t="s">
        <v>1826</v>
      </c>
      <c r="I157" s="4" t="s">
        <v>224</v>
      </c>
    </row>
    <row r="158">
      <c r="A158" s="67" t="str">
        <f t="shared" si="1"/>
        <v>Sun</v>
      </c>
      <c r="B158" s="69">
        <v>43618.0</v>
      </c>
      <c r="H158" s="4" t="s">
        <v>1826</v>
      </c>
    </row>
    <row r="159">
      <c r="A159" s="67" t="str">
        <f t="shared" si="1"/>
        <v>Mon</v>
      </c>
      <c r="B159" s="69">
        <v>43619.0</v>
      </c>
    </row>
    <row r="160">
      <c r="A160" s="67" t="str">
        <f t="shared" si="1"/>
        <v>Tue</v>
      </c>
      <c r="B160" s="69">
        <v>43620.0</v>
      </c>
    </row>
    <row r="161">
      <c r="A161" s="67" t="str">
        <f t="shared" si="1"/>
        <v>Wed</v>
      </c>
      <c r="B161" s="69">
        <v>43621.0</v>
      </c>
    </row>
    <row r="162">
      <c r="A162" s="67" t="str">
        <f t="shared" si="1"/>
        <v>Thu</v>
      </c>
      <c r="B162" s="69">
        <v>43622.0</v>
      </c>
    </row>
    <row r="163">
      <c r="A163" s="67" t="str">
        <f t="shared" si="1"/>
        <v>Fri</v>
      </c>
      <c r="B163" s="69">
        <v>43623.0</v>
      </c>
    </row>
    <row r="164">
      <c r="A164" s="67" t="str">
        <f t="shared" si="1"/>
        <v>Sat</v>
      </c>
      <c r="B164" s="69">
        <v>43624.0</v>
      </c>
    </row>
    <row r="165">
      <c r="A165" s="67" t="str">
        <f t="shared" si="1"/>
        <v>Sun</v>
      </c>
      <c r="B165" s="69">
        <v>43625.0</v>
      </c>
    </row>
    <row r="166">
      <c r="A166" s="67" t="str">
        <f t="shared" si="1"/>
        <v>Mon</v>
      </c>
      <c r="B166" s="69">
        <v>43626.0</v>
      </c>
    </row>
    <row r="167">
      <c r="A167" s="67" t="str">
        <f t="shared" si="1"/>
        <v>Tue</v>
      </c>
      <c r="B167" s="69">
        <v>43627.0</v>
      </c>
    </row>
    <row r="168">
      <c r="A168" s="67" t="str">
        <f t="shared" si="1"/>
        <v>Wed</v>
      </c>
      <c r="B168" s="69">
        <v>43628.0</v>
      </c>
    </row>
    <row r="169">
      <c r="A169" s="67" t="str">
        <f t="shared" si="1"/>
        <v>Thu</v>
      </c>
      <c r="B169" s="69">
        <v>43629.0</v>
      </c>
    </row>
    <row r="170">
      <c r="A170" s="67" t="str">
        <f t="shared" si="1"/>
        <v>Fri</v>
      </c>
      <c r="B170" s="69">
        <v>43630.0</v>
      </c>
    </row>
    <row r="171">
      <c r="A171" s="67" t="str">
        <f t="shared" si="1"/>
        <v>Sat</v>
      </c>
      <c r="B171" s="69">
        <v>43631.0</v>
      </c>
    </row>
    <row r="172">
      <c r="A172" s="67" t="str">
        <f t="shared" si="1"/>
        <v>Sun</v>
      </c>
      <c r="B172" s="69">
        <v>43632.0</v>
      </c>
    </row>
    <row r="173">
      <c r="A173" s="67" t="str">
        <f t="shared" si="1"/>
        <v>Mon</v>
      </c>
      <c r="B173" s="69">
        <v>43633.0</v>
      </c>
    </row>
    <row r="174">
      <c r="A174" s="67" t="str">
        <f t="shared" si="1"/>
        <v>Tue</v>
      </c>
      <c r="B174" s="69">
        <v>43634.0</v>
      </c>
    </row>
    <row r="175">
      <c r="A175" s="67" t="str">
        <f t="shared" si="1"/>
        <v>Wed</v>
      </c>
      <c r="B175" s="69">
        <v>43635.0</v>
      </c>
    </row>
    <row r="176">
      <c r="A176" s="67" t="str">
        <f t="shared" si="1"/>
        <v>Thu</v>
      </c>
      <c r="B176" s="69">
        <v>43636.0</v>
      </c>
    </row>
    <row r="177">
      <c r="A177" s="67" t="str">
        <f t="shared" si="1"/>
        <v>Fri</v>
      </c>
      <c r="B177" s="69">
        <v>43637.0</v>
      </c>
    </row>
    <row r="178">
      <c r="A178" s="67" t="str">
        <f t="shared" si="1"/>
        <v>Sat</v>
      </c>
      <c r="B178" s="69">
        <v>43638.0</v>
      </c>
    </row>
    <row r="179">
      <c r="A179" s="67" t="str">
        <f t="shared" si="1"/>
        <v>Sun</v>
      </c>
      <c r="B179" s="69">
        <v>43639.0</v>
      </c>
    </row>
    <row r="180">
      <c r="A180" s="67" t="str">
        <f t="shared" si="1"/>
        <v>Mon</v>
      </c>
      <c r="B180" s="69">
        <v>43640.0</v>
      </c>
    </row>
    <row r="181">
      <c r="A181" s="67" t="str">
        <f t="shared" si="1"/>
        <v>Tue</v>
      </c>
      <c r="B181" s="69">
        <v>43641.0</v>
      </c>
    </row>
    <row r="182">
      <c r="A182" s="67" t="str">
        <f t="shared" si="1"/>
        <v>Wed</v>
      </c>
      <c r="B182" s="69">
        <v>43642.0</v>
      </c>
    </row>
    <row r="183">
      <c r="A183" s="67" t="str">
        <f t="shared" si="1"/>
        <v>Thu</v>
      </c>
      <c r="B183" s="69">
        <v>43643.0</v>
      </c>
    </row>
    <row r="184">
      <c r="A184" s="67" t="str">
        <f t="shared" si="1"/>
        <v>Fri</v>
      </c>
      <c r="B184" s="69">
        <v>43644.0</v>
      </c>
    </row>
    <row r="185">
      <c r="A185" s="67" t="str">
        <f t="shared" si="1"/>
        <v>Sat</v>
      </c>
      <c r="B185" s="69">
        <v>43645.0</v>
      </c>
    </row>
    <row r="186">
      <c r="A186" s="67" t="str">
        <f t="shared" si="1"/>
        <v>Sun</v>
      </c>
      <c r="B186" s="69">
        <v>43646.0</v>
      </c>
    </row>
    <row r="187">
      <c r="A187" s="67" t="str">
        <f t="shared" si="1"/>
        <v>Mon</v>
      </c>
      <c r="B187" s="69">
        <v>43647.0</v>
      </c>
    </row>
    <row r="188">
      <c r="A188" s="67" t="str">
        <f t="shared" si="1"/>
        <v>Tue</v>
      </c>
      <c r="B188" s="69">
        <v>43648.0</v>
      </c>
    </row>
    <row r="189">
      <c r="A189" s="67" t="str">
        <f t="shared" si="1"/>
        <v>Wed</v>
      </c>
      <c r="B189" s="69">
        <v>43649.0</v>
      </c>
    </row>
    <row r="190">
      <c r="A190" s="67" t="str">
        <f t="shared" si="1"/>
        <v>Thu</v>
      </c>
      <c r="B190" s="69">
        <v>43650.0</v>
      </c>
    </row>
    <row r="191">
      <c r="A191" s="67" t="str">
        <f t="shared" si="1"/>
        <v>Fri</v>
      </c>
      <c r="B191" s="69">
        <v>43651.0</v>
      </c>
    </row>
    <row r="192">
      <c r="A192" s="67" t="str">
        <f t="shared" si="1"/>
        <v>Sat</v>
      </c>
      <c r="B192" s="69">
        <v>43652.0</v>
      </c>
    </row>
    <row r="193">
      <c r="A193" s="67" t="str">
        <f t="shared" si="1"/>
        <v>Sun</v>
      </c>
      <c r="B193" s="69">
        <v>43653.0</v>
      </c>
    </row>
    <row r="194">
      <c r="A194" s="67" t="str">
        <f t="shared" si="1"/>
        <v>Mon</v>
      </c>
      <c r="B194" s="69">
        <v>43654.0</v>
      </c>
    </row>
    <row r="195">
      <c r="A195" s="67" t="str">
        <f t="shared" si="1"/>
        <v>Tue</v>
      </c>
      <c r="B195" s="69">
        <v>43655.0</v>
      </c>
    </row>
    <row r="196">
      <c r="A196" s="67" t="str">
        <f t="shared" si="1"/>
        <v>Wed</v>
      </c>
      <c r="B196" s="69">
        <v>43656.0</v>
      </c>
    </row>
    <row r="197">
      <c r="A197" s="67" t="str">
        <f t="shared" si="1"/>
        <v>Thu</v>
      </c>
      <c r="B197" s="69">
        <v>43657.0</v>
      </c>
    </row>
    <row r="198">
      <c r="A198" s="67" t="str">
        <f t="shared" si="1"/>
        <v>Fri</v>
      </c>
      <c r="B198" s="69">
        <v>43658.0</v>
      </c>
    </row>
    <row r="199">
      <c r="A199" s="67" t="str">
        <f t="shared" si="1"/>
        <v>Sat</v>
      </c>
      <c r="B199" s="69">
        <v>43659.0</v>
      </c>
    </row>
    <row r="200">
      <c r="A200" s="67" t="str">
        <f t="shared" si="1"/>
        <v>Sun</v>
      </c>
      <c r="B200" s="69">
        <v>43660.0</v>
      </c>
    </row>
    <row r="201">
      <c r="A201" s="67" t="str">
        <f t="shared" si="1"/>
        <v>Mon</v>
      </c>
      <c r="B201" s="69">
        <v>43661.0</v>
      </c>
    </row>
    <row r="202">
      <c r="A202" s="67" t="str">
        <f t="shared" si="1"/>
        <v>Tue</v>
      </c>
      <c r="B202" s="69">
        <v>43662.0</v>
      </c>
    </row>
    <row r="203">
      <c r="A203" s="67" t="str">
        <f t="shared" si="1"/>
        <v>Wed</v>
      </c>
      <c r="B203" s="69">
        <v>43663.0</v>
      </c>
    </row>
    <row r="204">
      <c r="A204" s="67" t="str">
        <f t="shared" si="1"/>
        <v>Thu</v>
      </c>
      <c r="B204" s="69">
        <v>43664.0</v>
      </c>
    </row>
    <row r="205">
      <c r="A205" s="67" t="str">
        <f t="shared" si="1"/>
        <v>Fri</v>
      </c>
      <c r="B205" s="69">
        <v>43665.0</v>
      </c>
    </row>
    <row r="206">
      <c r="A206" s="67" t="str">
        <f t="shared" si="1"/>
        <v>Sat</v>
      </c>
      <c r="B206" s="69">
        <v>43666.0</v>
      </c>
    </row>
    <row r="207">
      <c r="A207" s="67" t="str">
        <f t="shared" si="1"/>
        <v>Sun</v>
      </c>
      <c r="B207" s="69">
        <v>43667.0</v>
      </c>
    </row>
    <row r="208">
      <c r="A208" s="67" t="str">
        <f t="shared" si="1"/>
        <v>Mon</v>
      </c>
      <c r="B208" s="69">
        <v>43668.0</v>
      </c>
    </row>
    <row r="209">
      <c r="A209" s="67" t="str">
        <f t="shared" si="1"/>
        <v>Tue</v>
      </c>
      <c r="B209" s="69">
        <v>43669.0</v>
      </c>
    </row>
    <row r="210">
      <c r="A210" s="67" t="str">
        <f t="shared" si="1"/>
        <v>Wed</v>
      </c>
      <c r="B210" s="69">
        <v>43670.0</v>
      </c>
    </row>
    <row r="211">
      <c r="A211" s="67" t="str">
        <f t="shared" si="1"/>
        <v>Thu</v>
      </c>
      <c r="B211" s="69">
        <v>43671.0</v>
      </c>
    </row>
    <row r="212">
      <c r="A212" s="67" t="str">
        <f t="shared" si="1"/>
        <v>Fri</v>
      </c>
      <c r="B212" s="69">
        <v>43672.0</v>
      </c>
    </row>
    <row r="213">
      <c r="A213" s="67" t="str">
        <f t="shared" si="1"/>
        <v>Sat</v>
      </c>
      <c r="B213" s="69">
        <v>43673.0</v>
      </c>
    </row>
    <row r="214">
      <c r="A214" s="67" t="str">
        <f t="shared" si="1"/>
        <v>Sun</v>
      </c>
      <c r="B214" s="69">
        <v>43674.0</v>
      </c>
    </row>
    <row r="215">
      <c r="A215" s="67" t="str">
        <f t="shared" si="1"/>
        <v>Mon</v>
      </c>
      <c r="B215" s="69">
        <v>43675.0</v>
      </c>
    </row>
    <row r="216">
      <c r="A216" s="67" t="str">
        <f t="shared" si="1"/>
        <v>Tue</v>
      </c>
      <c r="B216" s="69">
        <v>43676.0</v>
      </c>
    </row>
    <row r="217">
      <c r="A217" s="67" t="str">
        <f t="shared" si="1"/>
        <v>Wed</v>
      </c>
      <c r="B217" s="69">
        <v>43677.0</v>
      </c>
    </row>
    <row r="218">
      <c r="A218" s="67" t="str">
        <f t="shared" si="1"/>
        <v>Thu</v>
      </c>
      <c r="B218" s="69">
        <v>43678.0</v>
      </c>
    </row>
    <row r="219">
      <c r="A219" s="67" t="str">
        <f t="shared" si="1"/>
        <v>Fri</v>
      </c>
      <c r="B219" s="69">
        <v>43679.0</v>
      </c>
    </row>
    <row r="220">
      <c r="A220" s="67" t="str">
        <f t="shared" si="1"/>
        <v>Sat</v>
      </c>
      <c r="B220" s="69">
        <v>43680.0</v>
      </c>
    </row>
    <row r="221">
      <c r="A221" s="67" t="str">
        <f t="shared" si="1"/>
        <v>Sun</v>
      </c>
      <c r="B221" s="69">
        <v>43681.0</v>
      </c>
    </row>
    <row r="222">
      <c r="A222" s="67" t="str">
        <f t="shared" si="1"/>
        <v>Mon</v>
      </c>
      <c r="B222" s="69">
        <v>43682.0</v>
      </c>
    </row>
    <row r="223">
      <c r="A223" s="67" t="str">
        <f t="shared" si="1"/>
        <v>Tue</v>
      </c>
      <c r="B223" s="69">
        <v>43683.0</v>
      </c>
    </row>
    <row r="224">
      <c r="A224" s="67" t="str">
        <f t="shared" si="1"/>
        <v>Wed</v>
      </c>
      <c r="B224" s="69">
        <v>43684.0</v>
      </c>
    </row>
    <row r="225">
      <c r="A225" s="67" t="str">
        <f t="shared" si="1"/>
        <v>Thu</v>
      </c>
      <c r="B225" s="69">
        <v>43685.0</v>
      </c>
    </row>
    <row r="226">
      <c r="A226" s="67" t="str">
        <f t="shared" si="1"/>
        <v>Fri</v>
      </c>
      <c r="B226" s="69">
        <v>43686.0</v>
      </c>
    </row>
    <row r="227">
      <c r="A227" s="67" t="str">
        <f t="shared" si="1"/>
        <v>Sat</v>
      </c>
      <c r="B227" s="69">
        <v>43687.0</v>
      </c>
    </row>
    <row r="228">
      <c r="A228" s="67" t="str">
        <f t="shared" si="1"/>
        <v>Sun</v>
      </c>
      <c r="B228" s="69">
        <v>43688.0</v>
      </c>
    </row>
    <row r="229">
      <c r="A229" s="67" t="str">
        <f t="shared" si="1"/>
        <v>Mon</v>
      </c>
      <c r="B229" s="69">
        <v>43689.0</v>
      </c>
    </row>
    <row r="230">
      <c r="A230" s="67" t="str">
        <f t="shared" si="1"/>
        <v>Tue</v>
      </c>
      <c r="B230" s="69">
        <v>43690.0</v>
      </c>
    </row>
    <row r="231">
      <c r="A231" s="67" t="str">
        <f t="shared" si="1"/>
        <v>Wed</v>
      </c>
      <c r="B231" s="69">
        <v>43691.0</v>
      </c>
    </row>
    <row r="232">
      <c r="A232" s="67" t="str">
        <f t="shared" si="1"/>
        <v>Thu</v>
      </c>
      <c r="B232" s="69">
        <v>43692.0</v>
      </c>
    </row>
    <row r="233">
      <c r="A233" s="67" t="str">
        <f t="shared" si="1"/>
        <v>Fri</v>
      </c>
      <c r="B233" s="69">
        <v>43693.0</v>
      </c>
    </row>
    <row r="234">
      <c r="A234" s="67" t="str">
        <f t="shared" si="1"/>
        <v>Sat</v>
      </c>
      <c r="B234" s="69">
        <v>43694.0</v>
      </c>
    </row>
    <row r="235">
      <c r="A235" s="67" t="str">
        <f t="shared" si="1"/>
        <v>Sun</v>
      </c>
      <c r="B235" s="69">
        <v>43695.0</v>
      </c>
    </row>
    <row r="236">
      <c r="A236" s="67" t="str">
        <f t="shared" si="1"/>
        <v>Mon</v>
      </c>
      <c r="B236" s="69">
        <v>43696.0</v>
      </c>
    </row>
    <row r="237">
      <c r="A237" s="67" t="str">
        <f t="shared" si="1"/>
        <v>Tue</v>
      </c>
      <c r="B237" s="69">
        <v>43697.0</v>
      </c>
    </row>
    <row r="238">
      <c r="A238" s="67" t="str">
        <f t="shared" si="1"/>
        <v>Wed</v>
      </c>
      <c r="B238" s="69">
        <v>43698.0</v>
      </c>
    </row>
    <row r="239">
      <c r="A239" t="str">
        <f t="shared" si="1"/>
        <v>Thu</v>
      </c>
      <c r="B239" s="187">
        <v>43699.0</v>
      </c>
    </row>
    <row r="240">
      <c r="A240" s="67" t="str">
        <f t="shared" si="1"/>
        <v>Fri</v>
      </c>
      <c r="B240" s="69">
        <v>43700.0</v>
      </c>
    </row>
    <row r="241">
      <c r="A241" s="67" t="str">
        <f t="shared" si="1"/>
        <v>Sat</v>
      </c>
      <c r="B241" s="69">
        <v>43701.0</v>
      </c>
    </row>
    <row r="242">
      <c r="A242" s="67" t="str">
        <f t="shared" si="1"/>
        <v>Sun</v>
      </c>
      <c r="B242" s="69">
        <v>43702.0</v>
      </c>
    </row>
    <row r="243">
      <c r="A243" s="67" t="str">
        <f t="shared" si="1"/>
        <v>Mon</v>
      </c>
      <c r="B243" s="69">
        <v>43703.0</v>
      </c>
    </row>
    <row r="244">
      <c r="A244" s="67" t="str">
        <f t="shared" si="1"/>
        <v>Tue</v>
      </c>
      <c r="B244" s="69">
        <v>43704.0</v>
      </c>
    </row>
    <row r="245">
      <c r="A245" s="67" t="str">
        <f t="shared" si="1"/>
        <v>Wed</v>
      </c>
      <c r="B245" s="69">
        <v>43705.0</v>
      </c>
    </row>
    <row r="246">
      <c r="A246" s="67" t="str">
        <f t="shared" si="1"/>
        <v>Thu</v>
      </c>
      <c r="B246" s="69">
        <v>43706.0</v>
      </c>
    </row>
    <row r="247">
      <c r="A247" s="67" t="str">
        <f t="shared" si="1"/>
        <v>Fri</v>
      </c>
      <c r="B247" s="69">
        <v>43707.0</v>
      </c>
    </row>
    <row r="248">
      <c r="A248" s="67" t="str">
        <f t="shared" si="1"/>
        <v>Sat</v>
      </c>
      <c r="B248" s="69">
        <v>43708.0</v>
      </c>
    </row>
    <row r="249">
      <c r="A249" s="67" t="str">
        <f t="shared" si="1"/>
        <v>Sun</v>
      </c>
      <c r="B249" s="69">
        <v>43709.0</v>
      </c>
    </row>
    <row r="250">
      <c r="A250" s="67" t="str">
        <f t="shared" si="1"/>
        <v>Mon</v>
      </c>
      <c r="B250" s="69">
        <v>43710.0</v>
      </c>
    </row>
    <row r="251">
      <c r="A251" s="67" t="str">
        <f t="shared" si="1"/>
        <v>Tue</v>
      </c>
      <c r="B251" s="69">
        <v>43711.0</v>
      </c>
    </row>
    <row r="252">
      <c r="A252" s="67" t="str">
        <f t="shared" si="1"/>
        <v>Wed</v>
      </c>
      <c r="B252" s="69">
        <v>43712.0</v>
      </c>
    </row>
    <row r="253">
      <c r="A253" s="67" t="str">
        <f t="shared" si="1"/>
        <v>Thu</v>
      </c>
      <c r="B253" s="69">
        <v>43713.0</v>
      </c>
    </row>
    <row r="254">
      <c r="A254" s="67" t="str">
        <f t="shared" si="1"/>
        <v>Fri</v>
      </c>
      <c r="B254" s="69">
        <v>43714.0</v>
      </c>
    </row>
    <row r="255">
      <c r="A255" s="67" t="str">
        <f t="shared" si="1"/>
        <v>Sat</v>
      </c>
      <c r="B255" s="69">
        <v>43715.0</v>
      </c>
    </row>
    <row r="256">
      <c r="A256" s="67" t="str">
        <f t="shared" si="1"/>
        <v>Sun</v>
      </c>
      <c r="B256" s="69">
        <v>43716.0</v>
      </c>
    </row>
    <row r="257">
      <c r="A257" s="67" t="str">
        <f t="shared" si="1"/>
        <v>Mon</v>
      </c>
      <c r="B257" s="69">
        <v>43717.0</v>
      </c>
    </row>
    <row r="258">
      <c r="A258" s="67" t="str">
        <f t="shared" si="1"/>
        <v>Tue</v>
      </c>
      <c r="B258" s="69">
        <v>43718.0</v>
      </c>
    </row>
    <row r="259">
      <c r="A259" s="67" t="str">
        <f t="shared" si="1"/>
        <v>Wed</v>
      </c>
      <c r="B259" s="69">
        <v>43719.0</v>
      </c>
    </row>
    <row r="260">
      <c r="A260" s="67" t="str">
        <f t="shared" si="1"/>
        <v>Thu</v>
      </c>
      <c r="B260" s="69">
        <v>43720.0</v>
      </c>
    </row>
    <row r="261">
      <c r="A261" s="67" t="str">
        <f t="shared" si="1"/>
        <v>Fri</v>
      </c>
      <c r="B261" s="69">
        <v>43721.0</v>
      </c>
    </row>
    <row r="262">
      <c r="A262" s="67" t="str">
        <f t="shared" si="1"/>
        <v>Sat</v>
      </c>
      <c r="B262" s="69">
        <v>43722.0</v>
      </c>
    </row>
    <row r="263">
      <c r="A263" s="67" t="str">
        <f t="shared" si="1"/>
        <v>Sun</v>
      </c>
      <c r="B263" s="69">
        <v>43723.0</v>
      </c>
    </row>
    <row r="264">
      <c r="A264" s="67" t="str">
        <f t="shared" si="1"/>
        <v>Mon</v>
      </c>
      <c r="B264" s="69">
        <v>43724.0</v>
      </c>
    </row>
    <row r="265">
      <c r="A265" s="67" t="str">
        <f t="shared" si="1"/>
        <v>Tue</v>
      </c>
      <c r="B265" s="69">
        <v>43725.0</v>
      </c>
    </row>
    <row r="266">
      <c r="A266" s="67" t="str">
        <f t="shared" si="1"/>
        <v>Wed</v>
      </c>
      <c r="B266" s="69">
        <v>43726.0</v>
      </c>
    </row>
    <row r="267">
      <c r="A267" s="67" t="str">
        <f t="shared" si="1"/>
        <v>Thu</v>
      </c>
      <c r="B267" s="69">
        <v>43727.0</v>
      </c>
    </row>
    <row r="268">
      <c r="A268" s="67" t="str">
        <f t="shared" si="1"/>
        <v>Fri</v>
      </c>
      <c r="B268" s="69">
        <v>43728.0</v>
      </c>
    </row>
    <row r="269">
      <c r="A269" s="67" t="str">
        <f t="shared" si="1"/>
        <v>Sat</v>
      </c>
      <c r="B269" s="69">
        <v>43729.0</v>
      </c>
    </row>
    <row r="270">
      <c r="A270" s="67" t="str">
        <f t="shared" si="1"/>
        <v>Sun</v>
      </c>
      <c r="B270" s="69">
        <v>43730.0</v>
      </c>
    </row>
    <row r="271">
      <c r="A271" s="67" t="str">
        <f t="shared" si="1"/>
        <v>Mon</v>
      </c>
      <c r="B271" s="69">
        <v>43731.0</v>
      </c>
    </row>
    <row r="272">
      <c r="A272" s="67" t="str">
        <f t="shared" si="1"/>
        <v>Tue</v>
      </c>
      <c r="B272" s="69">
        <v>43732.0</v>
      </c>
    </row>
    <row r="273">
      <c r="A273" s="67" t="str">
        <f t="shared" si="1"/>
        <v>Wed</v>
      </c>
      <c r="B273" s="69">
        <v>43733.0</v>
      </c>
    </row>
    <row r="274">
      <c r="A274" s="67" t="str">
        <f t="shared" si="1"/>
        <v>Thu</v>
      </c>
      <c r="B274" s="69">
        <v>43734.0</v>
      </c>
    </row>
    <row r="275">
      <c r="A275" s="67" t="str">
        <f t="shared" si="1"/>
        <v>Fri</v>
      </c>
      <c r="B275" s="69">
        <v>43735.0</v>
      </c>
    </row>
    <row r="276">
      <c r="A276" s="67" t="str">
        <f t="shared" si="1"/>
        <v>Sat</v>
      </c>
      <c r="B276" s="69">
        <v>43736.0</v>
      </c>
    </row>
    <row r="277">
      <c r="A277" s="67" t="str">
        <f t="shared" si="1"/>
        <v>Sun</v>
      </c>
      <c r="B277" s="69">
        <v>43737.0</v>
      </c>
    </row>
    <row r="278">
      <c r="A278" s="67" t="str">
        <f t="shared" si="1"/>
        <v>Mon</v>
      </c>
      <c r="B278" s="69">
        <v>43738.0</v>
      </c>
    </row>
    <row r="279">
      <c r="A279" s="67" t="str">
        <f t="shared" si="1"/>
        <v>Tue</v>
      </c>
      <c r="B279" s="69">
        <v>43739.0</v>
      </c>
    </row>
    <row r="280">
      <c r="A280" s="67" t="str">
        <f t="shared" si="1"/>
        <v>Wed</v>
      </c>
      <c r="B280" s="69">
        <v>43740.0</v>
      </c>
    </row>
    <row r="281">
      <c r="A281" s="67" t="str">
        <f t="shared" si="1"/>
        <v>Thu</v>
      </c>
      <c r="B281" s="69">
        <v>43741.0</v>
      </c>
    </row>
    <row r="282">
      <c r="A282" s="67" t="str">
        <f t="shared" si="1"/>
        <v>Fri</v>
      </c>
      <c r="B282" s="69">
        <v>43742.0</v>
      </c>
    </row>
    <row r="283">
      <c r="A283" s="67" t="str">
        <f t="shared" si="1"/>
        <v>Sat</v>
      </c>
      <c r="B283" s="69">
        <v>43743.0</v>
      </c>
    </row>
    <row r="284">
      <c r="A284" s="67" t="str">
        <f t="shared" si="1"/>
        <v>Sun</v>
      </c>
      <c r="B284" s="69">
        <v>43744.0</v>
      </c>
    </row>
    <row r="285">
      <c r="A285" s="67" t="str">
        <f t="shared" si="1"/>
        <v>Mon</v>
      </c>
      <c r="B285" s="69">
        <v>43745.0</v>
      </c>
    </row>
    <row r="286">
      <c r="A286" s="67" t="str">
        <f t="shared" si="1"/>
        <v>Tue</v>
      </c>
      <c r="B286" s="69">
        <v>43746.0</v>
      </c>
    </row>
    <row r="287">
      <c r="A287" s="67" t="str">
        <f t="shared" si="1"/>
        <v>Wed</v>
      </c>
      <c r="B287" s="69">
        <v>43747.0</v>
      </c>
    </row>
    <row r="288">
      <c r="A288" s="67" t="str">
        <f t="shared" si="1"/>
        <v>Thu</v>
      </c>
      <c r="B288" s="69">
        <v>43748.0</v>
      </c>
    </row>
    <row r="289">
      <c r="A289" s="67" t="str">
        <f t="shared" si="1"/>
        <v>Fri</v>
      </c>
      <c r="B289" s="69">
        <v>43749.0</v>
      </c>
    </row>
    <row r="290">
      <c r="A290" s="67" t="str">
        <f t="shared" si="1"/>
        <v>Sat</v>
      </c>
      <c r="B290" s="69">
        <v>43750.0</v>
      </c>
    </row>
    <row r="291">
      <c r="A291" s="67" t="str">
        <f t="shared" si="1"/>
        <v>Sun</v>
      </c>
      <c r="B291" s="69">
        <v>43751.0</v>
      </c>
    </row>
    <row r="292">
      <c r="A292" s="67" t="str">
        <f t="shared" si="1"/>
        <v>Mon</v>
      </c>
      <c r="B292" s="69">
        <v>43752.0</v>
      </c>
    </row>
    <row r="293">
      <c r="A293" s="67" t="str">
        <f t="shared" si="1"/>
        <v>Tue</v>
      </c>
      <c r="B293" s="69">
        <v>43753.0</v>
      </c>
    </row>
    <row r="294">
      <c r="A294" s="67" t="str">
        <f t="shared" si="1"/>
        <v>Wed</v>
      </c>
      <c r="B294" s="69">
        <v>43754.0</v>
      </c>
    </row>
    <row r="295">
      <c r="A295" s="67" t="str">
        <f t="shared" si="1"/>
        <v>Thu</v>
      </c>
      <c r="B295" s="69">
        <v>43755.0</v>
      </c>
    </row>
    <row r="296">
      <c r="A296" s="67" t="str">
        <f t="shared" si="1"/>
        <v>Fri</v>
      </c>
      <c r="B296" s="69">
        <v>43756.0</v>
      </c>
    </row>
    <row r="297">
      <c r="A297" s="67" t="str">
        <f t="shared" si="1"/>
        <v>Sat</v>
      </c>
      <c r="B297" s="69">
        <v>43757.0</v>
      </c>
    </row>
    <row r="298">
      <c r="A298" s="67" t="str">
        <f t="shared" si="1"/>
        <v>Sun</v>
      </c>
      <c r="B298" s="69">
        <v>43758.0</v>
      </c>
    </row>
    <row r="299">
      <c r="A299" s="67" t="str">
        <f t="shared" si="1"/>
        <v>Mon</v>
      </c>
      <c r="B299" s="69">
        <v>43759.0</v>
      </c>
    </row>
    <row r="300">
      <c r="A300" s="67" t="str">
        <f t="shared" si="1"/>
        <v>Tue</v>
      </c>
      <c r="B300" s="69">
        <v>43760.0</v>
      </c>
    </row>
    <row r="301">
      <c r="A301" s="67" t="str">
        <f t="shared" si="1"/>
        <v>Wed</v>
      </c>
      <c r="B301" s="69">
        <v>43761.0</v>
      </c>
    </row>
    <row r="302">
      <c r="A302" s="67" t="str">
        <f t="shared" si="1"/>
        <v>Thu</v>
      </c>
      <c r="B302" s="69">
        <v>43762.0</v>
      </c>
    </row>
    <row r="303">
      <c r="A303" s="67" t="str">
        <f t="shared" si="1"/>
        <v>Fri</v>
      </c>
      <c r="B303" s="69">
        <v>43763.0</v>
      </c>
    </row>
    <row r="304">
      <c r="A304" s="67" t="str">
        <f t="shared" si="1"/>
        <v>Sat</v>
      </c>
      <c r="B304" s="69">
        <v>43764.0</v>
      </c>
    </row>
    <row r="305">
      <c r="A305" s="67" t="str">
        <f t="shared" si="1"/>
        <v>Sun</v>
      </c>
      <c r="B305" s="69">
        <v>43765.0</v>
      </c>
    </row>
    <row r="306">
      <c r="A306" s="67" t="str">
        <f t="shared" si="1"/>
        <v>Mon</v>
      </c>
      <c r="B306" s="69">
        <v>43766.0</v>
      </c>
    </row>
    <row r="307">
      <c r="A307" s="67" t="str">
        <f t="shared" si="1"/>
        <v>Tue</v>
      </c>
      <c r="B307" s="69">
        <v>43767.0</v>
      </c>
    </row>
    <row r="308">
      <c r="A308" s="67" t="str">
        <f t="shared" si="1"/>
        <v>Wed</v>
      </c>
      <c r="B308" s="69">
        <v>43768.0</v>
      </c>
    </row>
    <row r="309">
      <c r="A309" s="67" t="str">
        <f t="shared" si="1"/>
        <v>Thu</v>
      </c>
      <c r="B309" s="69">
        <v>43769.0</v>
      </c>
    </row>
    <row r="310">
      <c r="A310" s="67" t="str">
        <f t="shared" si="1"/>
        <v>Fri</v>
      </c>
      <c r="B310" s="69">
        <v>43770.0</v>
      </c>
    </row>
    <row r="311">
      <c r="A311" s="67" t="str">
        <f t="shared" si="1"/>
        <v>Sat</v>
      </c>
      <c r="B311" s="69">
        <v>43771.0</v>
      </c>
    </row>
    <row r="312">
      <c r="A312" s="67" t="str">
        <f t="shared" si="1"/>
        <v>Sun</v>
      </c>
      <c r="B312" s="69">
        <v>43772.0</v>
      </c>
    </row>
    <row r="313">
      <c r="A313" s="67" t="str">
        <f t="shared" si="1"/>
        <v>Mon</v>
      </c>
      <c r="B313" s="69">
        <v>43773.0</v>
      </c>
    </row>
    <row r="314">
      <c r="A314" s="67" t="str">
        <f t="shared" si="1"/>
        <v>Tue</v>
      </c>
      <c r="B314" s="69">
        <v>43774.0</v>
      </c>
    </row>
    <row r="315">
      <c r="A315" s="67" t="str">
        <f t="shared" si="1"/>
        <v>Wed</v>
      </c>
      <c r="B315" s="69">
        <v>43775.0</v>
      </c>
    </row>
    <row r="316">
      <c r="A316" s="67" t="str">
        <f t="shared" si="1"/>
        <v>Thu</v>
      </c>
      <c r="B316" s="69">
        <v>43776.0</v>
      </c>
    </row>
    <row r="317">
      <c r="A317" s="67" t="str">
        <f t="shared" si="1"/>
        <v>Fri</v>
      </c>
      <c r="B317" s="69">
        <v>43777.0</v>
      </c>
    </row>
    <row r="318">
      <c r="A318" s="67" t="str">
        <f t="shared" si="1"/>
        <v>Sat</v>
      </c>
      <c r="B318" s="69">
        <v>43778.0</v>
      </c>
    </row>
    <row r="319">
      <c r="A319" s="67" t="str">
        <f t="shared" si="1"/>
        <v>Sun</v>
      </c>
      <c r="B319" s="69">
        <v>43779.0</v>
      </c>
    </row>
    <row r="320">
      <c r="A320" s="67" t="str">
        <f t="shared" si="1"/>
        <v>Mon</v>
      </c>
      <c r="B320" s="69">
        <v>43780.0</v>
      </c>
    </row>
    <row r="321">
      <c r="A321" s="67" t="str">
        <f t="shared" si="1"/>
        <v>Tue</v>
      </c>
      <c r="B321" s="69">
        <v>43781.0</v>
      </c>
    </row>
    <row r="322">
      <c r="A322" s="67" t="str">
        <f t="shared" si="1"/>
        <v>Wed</v>
      </c>
      <c r="B322" s="69">
        <v>43782.0</v>
      </c>
    </row>
    <row r="323">
      <c r="A323" s="67" t="str">
        <f t="shared" si="1"/>
        <v>Thu</v>
      </c>
      <c r="B323" s="69">
        <v>43783.0</v>
      </c>
    </row>
    <row r="324">
      <c r="A324" s="67" t="str">
        <f t="shared" si="1"/>
        <v>Fri</v>
      </c>
      <c r="B324" s="69">
        <v>43784.0</v>
      </c>
    </row>
    <row r="325">
      <c r="A325" s="67" t="str">
        <f t="shared" si="1"/>
        <v>Sat</v>
      </c>
      <c r="B325" s="69">
        <v>43785.0</v>
      </c>
    </row>
    <row r="326">
      <c r="A326" s="67" t="str">
        <f t="shared" si="1"/>
        <v>Sun</v>
      </c>
      <c r="B326" s="69">
        <v>43786.0</v>
      </c>
    </row>
    <row r="327">
      <c r="A327" s="67" t="str">
        <f t="shared" si="1"/>
        <v>Mon</v>
      </c>
      <c r="B327" s="69">
        <v>43787.0</v>
      </c>
    </row>
    <row r="328">
      <c r="A328" s="67" t="str">
        <f t="shared" si="1"/>
        <v>Tue</v>
      </c>
      <c r="B328" s="69">
        <v>43788.0</v>
      </c>
    </row>
    <row r="329">
      <c r="A329" s="67" t="str">
        <f t="shared" si="1"/>
        <v>Wed</v>
      </c>
      <c r="B329" s="69">
        <v>43789.0</v>
      </c>
    </row>
    <row r="330">
      <c r="A330" s="67" t="str">
        <f t="shared" si="1"/>
        <v>Thu</v>
      </c>
      <c r="B330" s="69">
        <v>43790.0</v>
      </c>
    </row>
    <row r="331">
      <c r="A331" s="67" t="str">
        <f t="shared" si="1"/>
        <v>Fri</v>
      </c>
      <c r="B331" s="69">
        <v>43791.0</v>
      </c>
    </row>
    <row r="332">
      <c r="A332" s="67" t="str">
        <f t="shared" si="1"/>
        <v>Sat</v>
      </c>
      <c r="B332" s="69">
        <v>43792.0</v>
      </c>
    </row>
    <row r="333">
      <c r="A333" s="67" t="str">
        <f t="shared" si="1"/>
        <v>Sun</v>
      </c>
      <c r="B333" s="69">
        <v>43793.0</v>
      </c>
    </row>
    <row r="334">
      <c r="A334" s="67" t="str">
        <f t="shared" si="1"/>
        <v>Mon</v>
      </c>
      <c r="B334" s="69">
        <v>43794.0</v>
      </c>
    </row>
    <row r="335">
      <c r="A335" s="67" t="str">
        <f t="shared" si="1"/>
        <v>Tue</v>
      </c>
      <c r="B335" s="69">
        <v>43795.0</v>
      </c>
    </row>
    <row r="336">
      <c r="A336" s="67" t="str">
        <f t="shared" si="1"/>
        <v>Wed</v>
      </c>
      <c r="B336" s="69">
        <v>43796.0</v>
      </c>
    </row>
    <row r="337">
      <c r="A337" s="67" t="str">
        <f t="shared" si="1"/>
        <v>Thu</v>
      </c>
      <c r="B337" s="69">
        <v>43797.0</v>
      </c>
    </row>
    <row r="338">
      <c r="A338" s="67" t="str">
        <f t="shared" si="1"/>
        <v>Fri</v>
      </c>
      <c r="B338" s="69">
        <v>43798.0</v>
      </c>
    </row>
    <row r="339">
      <c r="A339" s="67" t="str">
        <f t="shared" si="1"/>
        <v>Sat</v>
      </c>
      <c r="B339" s="69">
        <v>43799.0</v>
      </c>
    </row>
    <row r="340">
      <c r="A340" s="67" t="str">
        <f t="shared" si="1"/>
        <v>Sun</v>
      </c>
      <c r="B340" s="69">
        <v>43800.0</v>
      </c>
    </row>
    <row r="341">
      <c r="A341" s="67" t="str">
        <f t="shared" si="1"/>
        <v>Mon</v>
      </c>
      <c r="B341" s="69">
        <v>43801.0</v>
      </c>
    </row>
    <row r="342">
      <c r="A342" s="67" t="str">
        <f t="shared" si="1"/>
        <v>Tue</v>
      </c>
      <c r="B342" s="69">
        <v>43802.0</v>
      </c>
    </row>
    <row r="343">
      <c r="A343" s="67" t="str">
        <f t="shared" si="1"/>
        <v>Wed</v>
      </c>
      <c r="B343" s="69">
        <v>43803.0</v>
      </c>
    </row>
    <row r="344">
      <c r="A344" s="67" t="str">
        <f t="shared" si="1"/>
        <v>Thu</v>
      </c>
      <c r="B344" s="69">
        <v>43804.0</v>
      </c>
    </row>
    <row r="345">
      <c r="A345" s="67" t="str">
        <f t="shared" si="1"/>
        <v>Fri</v>
      </c>
      <c r="B345" s="69">
        <v>43805.0</v>
      </c>
    </row>
    <row r="346">
      <c r="A346" s="67" t="str">
        <f t="shared" si="1"/>
        <v>Sat</v>
      </c>
      <c r="B346" s="69">
        <v>43806.0</v>
      </c>
    </row>
    <row r="347">
      <c r="A347" s="67" t="str">
        <f t="shared" si="1"/>
        <v>Sun</v>
      </c>
      <c r="B347" s="69">
        <v>43807.0</v>
      </c>
    </row>
    <row r="348">
      <c r="A348" s="67" t="str">
        <f t="shared" si="1"/>
        <v>Mon</v>
      </c>
      <c r="B348" s="69">
        <v>43808.0</v>
      </c>
    </row>
    <row r="349">
      <c r="A349" s="67" t="str">
        <f t="shared" si="1"/>
        <v>Tue</v>
      </c>
      <c r="B349" s="69">
        <v>43809.0</v>
      </c>
    </row>
    <row r="350">
      <c r="A350" s="67" t="str">
        <f t="shared" si="1"/>
        <v>Wed</v>
      </c>
      <c r="B350" s="69">
        <v>43810.0</v>
      </c>
    </row>
    <row r="351">
      <c r="A351" s="67" t="str">
        <f t="shared" si="1"/>
        <v>Thu</v>
      </c>
      <c r="B351" s="69">
        <v>43811.0</v>
      </c>
    </row>
    <row r="352">
      <c r="A352" s="67" t="str">
        <f t="shared" si="1"/>
        <v>Fri</v>
      </c>
      <c r="B352" s="69">
        <v>43812.0</v>
      </c>
    </row>
    <row r="353">
      <c r="A353" s="67" t="str">
        <f t="shared" si="1"/>
        <v>Sat</v>
      </c>
      <c r="B353" s="69">
        <v>43813.0</v>
      </c>
    </row>
    <row r="354">
      <c r="A354" s="67" t="str">
        <f t="shared" si="1"/>
        <v>Sun</v>
      </c>
      <c r="B354" s="69">
        <v>43814.0</v>
      </c>
    </row>
    <row r="355">
      <c r="A355" s="67" t="str">
        <f t="shared" si="1"/>
        <v>Mon</v>
      </c>
      <c r="B355" s="69">
        <v>43815.0</v>
      </c>
    </row>
    <row r="356">
      <c r="A356" s="67" t="str">
        <f t="shared" si="1"/>
        <v>Tue</v>
      </c>
      <c r="B356" s="69">
        <v>43816.0</v>
      </c>
    </row>
    <row r="357">
      <c r="A357" s="67" t="str">
        <f t="shared" si="1"/>
        <v>Wed</v>
      </c>
      <c r="B357" s="69">
        <v>43817.0</v>
      </c>
    </row>
    <row r="358">
      <c r="A358" s="67" t="str">
        <f t="shared" si="1"/>
        <v>Thu</v>
      </c>
      <c r="B358" s="69">
        <v>43818.0</v>
      </c>
    </row>
    <row r="359">
      <c r="A359" s="67" t="str">
        <f t="shared" si="1"/>
        <v>Fri</v>
      </c>
      <c r="B359" s="69">
        <v>43819.0</v>
      </c>
    </row>
    <row r="360">
      <c r="A360" s="67" t="str">
        <f t="shared" si="1"/>
        <v>Sat</v>
      </c>
      <c r="B360" s="69">
        <v>43820.0</v>
      </c>
    </row>
    <row r="361">
      <c r="A361" s="67" t="str">
        <f t="shared" si="1"/>
        <v>Sun</v>
      </c>
      <c r="B361" s="69">
        <v>43821.0</v>
      </c>
    </row>
    <row r="362">
      <c r="A362" s="67" t="str">
        <f t="shared" si="1"/>
        <v>Mon</v>
      </c>
      <c r="B362" s="69">
        <v>43822.0</v>
      </c>
    </row>
    <row r="363">
      <c r="A363" s="67" t="str">
        <f t="shared" si="1"/>
        <v>Tue</v>
      </c>
      <c r="B363" s="69">
        <v>43823.0</v>
      </c>
    </row>
    <row r="364">
      <c r="A364" s="67" t="str">
        <f t="shared" si="1"/>
        <v>Wed</v>
      </c>
      <c r="B364" s="69">
        <v>43824.0</v>
      </c>
    </row>
    <row r="365">
      <c r="A365" s="67" t="str">
        <f t="shared" si="1"/>
        <v>Thu</v>
      </c>
      <c r="B365" s="69">
        <v>43825.0</v>
      </c>
    </row>
    <row r="366">
      <c r="A366" s="67" t="str">
        <f t="shared" si="1"/>
        <v>Fri</v>
      </c>
      <c r="B366" s="69">
        <v>43826.0</v>
      </c>
    </row>
    <row r="367">
      <c r="A367" s="67" t="str">
        <f t="shared" si="1"/>
        <v>Sat</v>
      </c>
      <c r="B367" s="69">
        <v>43827.0</v>
      </c>
    </row>
    <row r="368">
      <c r="A368" s="67" t="str">
        <f t="shared" si="1"/>
        <v>Sun</v>
      </c>
      <c r="B368" s="69">
        <v>43828.0</v>
      </c>
    </row>
    <row r="369">
      <c r="A369" s="67" t="str">
        <f t="shared" si="1"/>
        <v>Mon</v>
      </c>
      <c r="B369" s="69">
        <v>43829.0</v>
      </c>
    </row>
    <row r="370">
      <c r="A370" s="67" t="str">
        <f t="shared" si="1"/>
        <v>Tue</v>
      </c>
      <c r="B370" s="69">
        <v>43830.0</v>
      </c>
    </row>
  </sheetData>
  <mergeCells count="5">
    <mergeCell ref="A1:C3"/>
    <mergeCell ref="G1:R3"/>
    <mergeCell ref="E1:F1"/>
    <mergeCell ref="E2:F2"/>
    <mergeCell ref="E3:F3"/>
  </mergeCells>
  <conditionalFormatting sqref="K4:L370">
    <cfRule type="cellIs" dxfId="0" priority="1" operator="equal">
      <formula>"Enviar email para hotel"</formula>
    </cfRule>
  </conditionalFormatting>
  <dataValidations>
    <dataValidation type="list" allowBlank="1" sqref="L65:L370">
      <formula1>"Enviar email para hotel,Enviado para o hotel,Código de reserva enviado para hóspede,Verificar dados com o hóspede,URGENTE,Fechado"</formula1>
    </dataValidation>
    <dataValidation type="list" allowBlank="1" sqref="K6:L64">
      <formula1>"Enviar email para hotel,Enviado para o hotel,Código de reserva enviado para hóspede,Fechado"</formula1>
    </dataValidation>
    <dataValidation type="list" allowBlank="1" sqref="K65:K370">
      <formula1>"A PAGAR,PARCIALMENTE PAGO,PAGO"</formula1>
    </dataValidation>
  </dataValidations>
  <hyperlinks>
    <hyperlink display="Sumario" location="Sumario!A1" ref="A4"/>
  </hyperlinks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13.57"/>
    <col customWidth="1" min="4" max="4" width="17.0"/>
  </cols>
  <sheetData>
    <row r="1">
      <c r="A1" s="1"/>
      <c r="B1" s="2"/>
      <c r="C1" s="3"/>
      <c r="D1" s="11" t="s">
        <v>198</v>
      </c>
      <c r="E1" s="153" t="s">
        <v>199</v>
      </c>
      <c r="F1" s="3"/>
      <c r="G1" s="154" t="s">
        <v>1836</v>
      </c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155"/>
    </row>
    <row r="2">
      <c r="A2" s="13"/>
      <c r="C2" s="15"/>
      <c r="D2" s="9" t="s">
        <v>201</v>
      </c>
      <c r="E2" s="156">
        <v>3415.0</v>
      </c>
      <c r="F2" s="15"/>
      <c r="R2" s="15"/>
      <c r="S2" s="155"/>
    </row>
    <row r="3" ht="24.75" customHeight="1">
      <c r="A3" s="17"/>
      <c r="B3" s="19"/>
      <c r="C3" s="21"/>
      <c r="D3" s="26" t="s">
        <v>202</v>
      </c>
      <c r="E3" s="157" t="s">
        <v>112</v>
      </c>
      <c r="F3" s="21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21"/>
      <c r="S3" s="155"/>
    </row>
    <row r="4">
      <c r="A4" s="158" t="s">
        <v>203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N4" s="30"/>
      <c r="O4" s="30"/>
      <c r="P4" s="30"/>
      <c r="Q4" s="30"/>
      <c r="R4" s="30"/>
      <c r="S4" s="30"/>
      <c r="T4" s="30"/>
      <c r="U4" s="30"/>
    </row>
    <row r="5">
      <c r="A5" s="42" t="s">
        <v>204</v>
      </c>
      <c r="B5" s="45" t="s">
        <v>33</v>
      </c>
      <c r="C5" s="45" t="s">
        <v>205</v>
      </c>
      <c r="D5" s="45" t="s">
        <v>206</v>
      </c>
      <c r="E5" s="45" t="s">
        <v>207</v>
      </c>
      <c r="F5" s="45" t="s">
        <v>208</v>
      </c>
      <c r="G5" s="45" t="s">
        <v>209</v>
      </c>
      <c r="H5" s="45" t="s">
        <v>210</v>
      </c>
      <c r="I5" s="45" t="s">
        <v>211</v>
      </c>
      <c r="J5" s="45" t="s">
        <v>212</v>
      </c>
      <c r="K5" s="45" t="s">
        <v>213</v>
      </c>
      <c r="L5" s="45" t="s">
        <v>214</v>
      </c>
      <c r="M5" s="45" t="s">
        <v>215</v>
      </c>
      <c r="N5" s="45" t="s">
        <v>216</v>
      </c>
      <c r="O5" s="45" t="s">
        <v>217</v>
      </c>
      <c r="P5" s="45" t="s">
        <v>218</v>
      </c>
      <c r="Q5" s="45" t="s">
        <v>219</v>
      </c>
      <c r="R5" s="160" t="s">
        <v>220</v>
      </c>
      <c r="S5" s="160" t="s">
        <v>221</v>
      </c>
    </row>
    <row r="6" hidden="1">
      <c r="A6" s="67" t="str">
        <f t="shared" ref="A6:A398" si="1">CHOOSE(weekday(B6),"Sun","Mon","Tue","Wed","Thu","Fri","Sat")</f>
        <v>Tue</v>
      </c>
      <c r="B6" s="69">
        <v>43438.0</v>
      </c>
      <c r="F6" s="4" t="s">
        <v>651</v>
      </c>
      <c r="J6" s="4" t="s">
        <v>651</v>
      </c>
    </row>
    <row r="7" hidden="1">
      <c r="A7" s="67" t="str">
        <f t="shared" si="1"/>
        <v>Wed</v>
      </c>
      <c r="B7" s="69">
        <v>43439.0</v>
      </c>
      <c r="F7" s="4" t="s">
        <v>651</v>
      </c>
      <c r="J7" s="4" t="s">
        <v>651</v>
      </c>
    </row>
    <row r="8" hidden="1">
      <c r="A8" s="67" t="str">
        <f t="shared" si="1"/>
        <v>Thu</v>
      </c>
      <c r="B8" s="69">
        <v>43440.0</v>
      </c>
      <c r="F8" s="4" t="s">
        <v>651</v>
      </c>
      <c r="J8" s="4" t="s">
        <v>651</v>
      </c>
    </row>
    <row r="9" hidden="1">
      <c r="A9" s="67" t="str">
        <f t="shared" si="1"/>
        <v>Fri</v>
      </c>
      <c r="B9" s="69">
        <v>43441.0</v>
      </c>
      <c r="F9" s="4" t="s">
        <v>651</v>
      </c>
      <c r="J9" s="4" t="s">
        <v>651</v>
      </c>
    </row>
    <row r="10" hidden="1">
      <c r="A10" s="67" t="str">
        <f t="shared" si="1"/>
        <v>Sat</v>
      </c>
      <c r="B10" s="69">
        <v>43442.0</v>
      </c>
      <c r="F10" s="4" t="s">
        <v>651</v>
      </c>
      <c r="J10" s="4" t="s">
        <v>651</v>
      </c>
    </row>
    <row r="11" hidden="1">
      <c r="A11" s="67" t="str">
        <f t="shared" si="1"/>
        <v>Sun</v>
      </c>
      <c r="B11" s="69">
        <v>43443.0</v>
      </c>
      <c r="F11" s="4" t="s">
        <v>651</v>
      </c>
      <c r="J11" s="4" t="s">
        <v>651</v>
      </c>
    </row>
    <row r="12" hidden="1">
      <c r="A12" s="67" t="str">
        <f t="shared" si="1"/>
        <v>Mon</v>
      </c>
      <c r="B12" s="69">
        <v>43444.0</v>
      </c>
      <c r="F12" s="4" t="s">
        <v>651</v>
      </c>
      <c r="J12" s="4" t="s">
        <v>651</v>
      </c>
    </row>
    <row r="13" hidden="1">
      <c r="A13" s="67" t="str">
        <f t="shared" si="1"/>
        <v>Tue</v>
      </c>
      <c r="B13" s="69">
        <v>43445.0</v>
      </c>
      <c r="F13" s="4" t="s">
        <v>651</v>
      </c>
      <c r="J13" s="4" t="s">
        <v>651</v>
      </c>
    </row>
    <row r="14" hidden="1">
      <c r="A14" s="67" t="str">
        <f t="shared" si="1"/>
        <v>Wed</v>
      </c>
      <c r="B14" s="69">
        <v>43446.0</v>
      </c>
      <c r="F14" s="4" t="s">
        <v>651</v>
      </c>
      <c r="J14" s="4" t="s">
        <v>651</v>
      </c>
    </row>
    <row r="15" hidden="1">
      <c r="A15" s="67" t="str">
        <f t="shared" si="1"/>
        <v>Thu</v>
      </c>
      <c r="B15" s="69">
        <v>43447.0</v>
      </c>
      <c r="F15" s="4" t="s">
        <v>651</v>
      </c>
      <c r="J15" s="4" t="s">
        <v>651</v>
      </c>
    </row>
    <row r="16" hidden="1">
      <c r="A16" s="67" t="str">
        <f t="shared" si="1"/>
        <v>Fri</v>
      </c>
      <c r="B16" s="69">
        <v>43448.0</v>
      </c>
      <c r="F16" s="4" t="s">
        <v>651</v>
      </c>
      <c r="J16" s="4" t="s">
        <v>651</v>
      </c>
    </row>
    <row r="17" hidden="1">
      <c r="A17" s="67" t="str">
        <f t="shared" si="1"/>
        <v>Sat</v>
      </c>
      <c r="B17" s="69">
        <v>43449.0</v>
      </c>
      <c r="F17" s="4" t="s">
        <v>651</v>
      </c>
      <c r="J17" s="4" t="s">
        <v>651</v>
      </c>
    </row>
    <row r="18" hidden="1">
      <c r="A18" s="67" t="str">
        <f t="shared" si="1"/>
        <v>Sun</v>
      </c>
      <c r="B18" s="69">
        <v>43450.0</v>
      </c>
      <c r="F18" s="4" t="s">
        <v>651</v>
      </c>
      <c r="J18" s="4" t="s">
        <v>651</v>
      </c>
      <c r="M18" s="166"/>
      <c r="N18" s="166"/>
      <c r="O18" s="166"/>
      <c r="P18" s="166"/>
      <c r="Q18" s="166"/>
      <c r="R18" s="166"/>
      <c r="S18" s="166"/>
    </row>
    <row r="19" hidden="1">
      <c r="A19" s="67" t="str">
        <f t="shared" si="1"/>
        <v>Mon</v>
      </c>
      <c r="B19" s="69">
        <v>43451.0</v>
      </c>
      <c r="F19" s="4" t="s">
        <v>651</v>
      </c>
      <c r="J19" s="4" t="s">
        <v>651</v>
      </c>
    </row>
    <row r="20" hidden="1">
      <c r="A20" s="67" t="str">
        <f t="shared" si="1"/>
        <v>Tue</v>
      </c>
      <c r="B20" s="69">
        <v>43452.0</v>
      </c>
      <c r="F20" s="4" t="s">
        <v>651</v>
      </c>
      <c r="J20" s="4" t="s">
        <v>651</v>
      </c>
    </row>
    <row r="21" hidden="1">
      <c r="A21" s="67" t="str">
        <f t="shared" si="1"/>
        <v>Wed</v>
      </c>
      <c r="B21" s="69">
        <v>43453.0</v>
      </c>
      <c r="F21" s="4" t="s">
        <v>651</v>
      </c>
      <c r="J21" s="4" t="s">
        <v>651</v>
      </c>
    </row>
    <row r="22" hidden="1">
      <c r="A22" s="67" t="str">
        <f t="shared" si="1"/>
        <v>Thu</v>
      </c>
      <c r="B22" s="69">
        <v>43454.0</v>
      </c>
      <c r="F22" s="4" t="s">
        <v>651</v>
      </c>
      <c r="J22" s="4" t="s">
        <v>651</v>
      </c>
    </row>
    <row r="23" hidden="1">
      <c r="A23" s="67" t="str">
        <f t="shared" si="1"/>
        <v>Fri</v>
      </c>
      <c r="B23" s="69">
        <v>43455.0</v>
      </c>
      <c r="F23" s="4" t="s">
        <v>651</v>
      </c>
      <c r="J23" s="4" t="s">
        <v>651</v>
      </c>
    </row>
    <row r="24" hidden="1">
      <c r="A24" s="67" t="str">
        <f t="shared" si="1"/>
        <v>Sat</v>
      </c>
      <c r="B24" s="69">
        <v>43456.0</v>
      </c>
      <c r="F24" s="4" t="s">
        <v>651</v>
      </c>
      <c r="J24" s="4" t="s">
        <v>651</v>
      </c>
    </row>
    <row r="25" hidden="1">
      <c r="A25" s="67" t="str">
        <f t="shared" si="1"/>
        <v>Sun</v>
      </c>
      <c r="B25" s="69">
        <v>43457.0</v>
      </c>
      <c r="F25" s="4" t="s">
        <v>651</v>
      </c>
      <c r="J25" s="4" t="s">
        <v>651</v>
      </c>
    </row>
    <row r="26" hidden="1">
      <c r="A26" s="67" t="str">
        <f t="shared" si="1"/>
        <v>Mon</v>
      </c>
      <c r="B26" s="69">
        <v>43458.0</v>
      </c>
      <c r="F26" s="4" t="s">
        <v>651</v>
      </c>
      <c r="J26" s="4" t="s">
        <v>651</v>
      </c>
    </row>
    <row r="27" hidden="1">
      <c r="A27" s="67" t="str">
        <f t="shared" si="1"/>
        <v>Tue</v>
      </c>
      <c r="B27" s="69">
        <v>43459.0</v>
      </c>
      <c r="F27" s="4" t="s">
        <v>651</v>
      </c>
      <c r="J27" s="4" t="s">
        <v>651</v>
      </c>
    </row>
    <row r="28" hidden="1">
      <c r="A28" s="67" t="str">
        <f t="shared" si="1"/>
        <v>Wed</v>
      </c>
      <c r="B28" s="69">
        <v>43460.0</v>
      </c>
      <c r="F28" s="4" t="s">
        <v>651</v>
      </c>
      <c r="J28" s="4" t="s">
        <v>651</v>
      </c>
    </row>
    <row r="29" hidden="1">
      <c r="A29" s="67" t="str">
        <f t="shared" si="1"/>
        <v>Thu</v>
      </c>
      <c r="B29" s="69">
        <v>43461.0</v>
      </c>
      <c r="F29" s="4" t="s">
        <v>651</v>
      </c>
      <c r="J29" s="4" t="s">
        <v>651</v>
      </c>
    </row>
    <row r="30" hidden="1">
      <c r="A30" s="67" t="str">
        <f t="shared" si="1"/>
        <v>Fri</v>
      </c>
      <c r="B30" s="69">
        <v>43462.0</v>
      </c>
      <c r="F30" s="4" t="s">
        <v>651</v>
      </c>
      <c r="J30" s="4" t="s">
        <v>651</v>
      </c>
    </row>
    <row r="31" hidden="1">
      <c r="A31" s="67" t="str">
        <f t="shared" si="1"/>
        <v>Sat</v>
      </c>
      <c r="B31" s="69">
        <v>43463.0</v>
      </c>
      <c r="F31" s="4" t="s">
        <v>651</v>
      </c>
      <c r="J31" s="4" t="s">
        <v>651</v>
      </c>
    </row>
    <row r="32" hidden="1">
      <c r="A32" s="67" t="str">
        <f t="shared" si="1"/>
        <v>Sun</v>
      </c>
      <c r="B32" s="69">
        <v>43464.0</v>
      </c>
      <c r="F32" s="4" t="s">
        <v>651</v>
      </c>
      <c r="J32" s="4" t="s">
        <v>651</v>
      </c>
    </row>
    <row r="33" hidden="1">
      <c r="A33" s="67" t="str">
        <f t="shared" si="1"/>
        <v>Mon</v>
      </c>
      <c r="B33" s="69">
        <v>43465.0</v>
      </c>
      <c r="F33" s="4" t="s">
        <v>651</v>
      </c>
      <c r="J33" s="4" t="s">
        <v>651</v>
      </c>
    </row>
    <row r="34" hidden="1">
      <c r="A34" s="67" t="str">
        <f t="shared" si="1"/>
        <v>Tue</v>
      </c>
      <c r="B34" s="69">
        <v>43466.0</v>
      </c>
      <c r="F34" s="4" t="s">
        <v>651</v>
      </c>
      <c r="J34" s="4" t="s">
        <v>651</v>
      </c>
    </row>
    <row r="35" hidden="1">
      <c r="A35" s="67" t="str">
        <f t="shared" si="1"/>
        <v>Wed</v>
      </c>
      <c r="B35" s="69">
        <v>43467.0</v>
      </c>
      <c r="F35" s="4" t="s">
        <v>651</v>
      </c>
      <c r="J35" s="4" t="s">
        <v>651</v>
      </c>
    </row>
    <row r="36" hidden="1">
      <c r="A36" s="67" t="str">
        <f t="shared" si="1"/>
        <v>Thu</v>
      </c>
      <c r="B36" s="69">
        <v>43468.0</v>
      </c>
      <c r="F36" s="4" t="s">
        <v>651</v>
      </c>
      <c r="J36" s="4" t="s">
        <v>651</v>
      </c>
    </row>
    <row r="37" hidden="1">
      <c r="A37" s="67" t="str">
        <f t="shared" si="1"/>
        <v>Fri</v>
      </c>
      <c r="B37" s="69">
        <v>43469.0</v>
      </c>
      <c r="F37" s="4" t="s">
        <v>651</v>
      </c>
      <c r="J37" s="4" t="s">
        <v>651</v>
      </c>
    </row>
    <row r="38" hidden="1">
      <c r="A38" s="67" t="str">
        <f t="shared" si="1"/>
        <v>Sat</v>
      </c>
      <c r="B38" s="69">
        <v>43470.0</v>
      </c>
      <c r="F38" s="4" t="s">
        <v>651</v>
      </c>
      <c r="J38" s="4" t="s">
        <v>651</v>
      </c>
    </row>
    <row r="39" hidden="1">
      <c r="A39" s="67" t="str">
        <f t="shared" si="1"/>
        <v>Sun</v>
      </c>
      <c r="B39" s="69">
        <v>43471.0</v>
      </c>
      <c r="F39" s="4" t="s">
        <v>651</v>
      </c>
      <c r="J39" s="4" t="s">
        <v>651</v>
      </c>
    </row>
    <row r="40" hidden="1">
      <c r="A40" s="67" t="str">
        <f t="shared" si="1"/>
        <v>Mon</v>
      </c>
      <c r="B40" s="69">
        <v>43472.0</v>
      </c>
      <c r="F40" s="4" t="s">
        <v>651</v>
      </c>
      <c r="J40" s="4" t="s">
        <v>651</v>
      </c>
    </row>
    <row r="41" hidden="1">
      <c r="A41" s="67" t="str">
        <f t="shared" si="1"/>
        <v>Tue</v>
      </c>
      <c r="B41" s="69">
        <v>43473.0</v>
      </c>
      <c r="F41" s="4" t="s">
        <v>651</v>
      </c>
      <c r="J41" s="4" t="s">
        <v>651</v>
      </c>
    </row>
    <row r="42" hidden="1">
      <c r="A42" s="67" t="str">
        <f t="shared" si="1"/>
        <v>Wed</v>
      </c>
      <c r="B42" s="69">
        <v>43474.0</v>
      </c>
      <c r="F42" s="4" t="s">
        <v>651</v>
      </c>
      <c r="J42" s="4" t="s">
        <v>651</v>
      </c>
    </row>
    <row r="43" hidden="1">
      <c r="A43" s="67" t="str">
        <f t="shared" si="1"/>
        <v>Thu</v>
      </c>
      <c r="B43" s="69">
        <v>43475.0</v>
      </c>
      <c r="F43" s="4" t="s">
        <v>651</v>
      </c>
      <c r="J43" s="4" t="s">
        <v>651</v>
      </c>
    </row>
    <row r="44" hidden="1">
      <c r="A44" s="67" t="str">
        <f t="shared" si="1"/>
        <v>Fri</v>
      </c>
      <c r="B44" s="69">
        <v>43476.0</v>
      </c>
      <c r="F44" s="4" t="s">
        <v>651</v>
      </c>
      <c r="J44" s="4" t="s">
        <v>651</v>
      </c>
    </row>
    <row r="45" hidden="1">
      <c r="A45" s="67" t="str">
        <f t="shared" si="1"/>
        <v>Sat</v>
      </c>
      <c r="B45" s="69">
        <v>43477.0</v>
      </c>
      <c r="F45" s="4" t="s">
        <v>651</v>
      </c>
      <c r="J45" s="4" t="s">
        <v>651</v>
      </c>
    </row>
    <row r="46" hidden="1">
      <c r="A46" s="67" t="str">
        <f t="shared" si="1"/>
        <v>Sun</v>
      </c>
      <c r="B46" s="69">
        <v>43478.0</v>
      </c>
      <c r="F46" s="4" t="s">
        <v>651</v>
      </c>
      <c r="J46" s="4" t="s">
        <v>651</v>
      </c>
    </row>
    <row r="47" hidden="1">
      <c r="A47" s="67" t="str">
        <f t="shared" si="1"/>
        <v>Mon</v>
      </c>
      <c r="B47" s="69">
        <v>43479.0</v>
      </c>
      <c r="F47" s="4" t="s">
        <v>651</v>
      </c>
      <c r="J47" s="4" t="s">
        <v>651</v>
      </c>
    </row>
    <row r="48" hidden="1">
      <c r="A48" s="67" t="str">
        <f t="shared" si="1"/>
        <v>Tue</v>
      </c>
      <c r="B48" s="69">
        <v>43480.0</v>
      </c>
      <c r="F48" s="4" t="s">
        <v>651</v>
      </c>
      <c r="J48" s="4" t="s">
        <v>651</v>
      </c>
    </row>
    <row r="49" hidden="1">
      <c r="A49" s="67" t="str">
        <f t="shared" si="1"/>
        <v>Wed</v>
      </c>
      <c r="B49" s="69">
        <v>43481.0</v>
      </c>
      <c r="F49" s="4" t="s">
        <v>651</v>
      </c>
      <c r="J49" s="4" t="s">
        <v>651</v>
      </c>
    </row>
    <row r="50" hidden="1">
      <c r="A50" s="67" t="str">
        <f t="shared" si="1"/>
        <v>Thu</v>
      </c>
      <c r="B50" s="69">
        <v>43482.0</v>
      </c>
      <c r="F50" s="4" t="s">
        <v>651</v>
      </c>
      <c r="J50" s="4" t="s">
        <v>651</v>
      </c>
    </row>
    <row r="51" hidden="1">
      <c r="A51" s="67" t="str">
        <f t="shared" si="1"/>
        <v>Fri</v>
      </c>
      <c r="B51" s="69">
        <v>43483.0</v>
      </c>
      <c r="F51" s="4" t="s">
        <v>651</v>
      </c>
      <c r="J51" s="4" t="s">
        <v>651</v>
      </c>
    </row>
    <row r="52" hidden="1">
      <c r="A52" s="67" t="str">
        <f t="shared" si="1"/>
        <v>Sat</v>
      </c>
      <c r="B52" s="69">
        <v>43484.0</v>
      </c>
      <c r="F52" s="4" t="s">
        <v>651</v>
      </c>
      <c r="J52" s="4" t="s">
        <v>651</v>
      </c>
    </row>
    <row r="53" hidden="1">
      <c r="A53" s="67" t="str">
        <f t="shared" si="1"/>
        <v>Sun</v>
      </c>
      <c r="B53" s="69">
        <v>43485.0</v>
      </c>
      <c r="F53" s="4" t="s">
        <v>651</v>
      </c>
      <c r="J53" s="4" t="s">
        <v>651</v>
      </c>
    </row>
    <row r="54" hidden="1">
      <c r="A54" s="67" t="str">
        <f t="shared" si="1"/>
        <v>Mon</v>
      </c>
      <c r="B54" s="69">
        <v>43486.0</v>
      </c>
      <c r="F54" s="4" t="s">
        <v>651</v>
      </c>
      <c r="J54" s="4" t="s">
        <v>651</v>
      </c>
    </row>
    <row r="55" hidden="1">
      <c r="A55" s="67" t="str">
        <f t="shared" si="1"/>
        <v>Tue</v>
      </c>
      <c r="B55" s="69">
        <v>43487.0</v>
      </c>
      <c r="F55" s="4" t="s">
        <v>651</v>
      </c>
      <c r="J55" s="4" t="s">
        <v>651</v>
      </c>
    </row>
    <row r="56" hidden="1">
      <c r="A56" s="67" t="str">
        <f t="shared" si="1"/>
        <v>Wed</v>
      </c>
      <c r="B56" s="69">
        <v>43488.0</v>
      </c>
      <c r="F56" s="4" t="s">
        <v>651</v>
      </c>
      <c r="J56" s="4" t="s">
        <v>651</v>
      </c>
    </row>
    <row r="57" hidden="1">
      <c r="A57" s="67" t="str">
        <f t="shared" si="1"/>
        <v>Thu</v>
      </c>
      <c r="B57" s="69">
        <v>43489.0</v>
      </c>
      <c r="F57" s="4" t="s">
        <v>651</v>
      </c>
      <c r="J57" s="4" t="s">
        <v>651</v>
      </c>
    </row>
    <row r="58" hidden="1">
      <c r="A58" s="67" t="str">
        <f t="shared" si="1"/>
        <v>Fri</v>
      </c>
      <c r="B58" s="69">
        <v>43490.0</v>
      </c>
      <c r="F58" s="4" t="s">
        <v>651</v>
      </c>
      <c r="J58" s="4" t="s">
        <v>651</v>
      </c>
    </row>
    <row r="59" hidden="1">
      <c r="A59" s="67" t="str">
        <f t="shared" si="1"/>
        <v>Sat</v>
      </c>
      <c r="B59" s="69">
        <v>43491.0</v>
      </c>
      <c r="F59" s="4" t="s">
        <v>651</v>
      </c>
      <c r="J59" s="4" t="s">
        <v>651</v>
      </c>
    </row>
    <row r="60" hidden="1">
      <c r="A60" s="67" t="str">
        <f t="shared" si="1"/>
        <v>Sun</v>
      </c>
      <c r="B60" s="69">
        <v>43492.0</v>
      </c>
      <c r="F60" s="4" t="s">
        <v>651</v>
      </c>
      <c r="J60" s="4" t="s">
        <v>651</v>
      </c>
    </row>
    <row r="61" hidden="1">
      <c r="A61" s="67" t="str">
        <f t="shared" si="1"/>
        <v>Mon</v>
      </c>
      <c r="B61" s="69">
        <v>43493.0</v>
      </c>
      <c r="F61" s="4" t="s">
        <v>651</v>
      </c>
      <c r="J61" s="4" t="s">
        <v>651</v>
      </c>
    </row>
    <row r="62" hidden="1">
      <c r="A62" s="67" t="str">
        <f t="shared" si="1"/>
        <v>Tue</v>
      </c>
      <c r="B62" s="69">
        <v>43494.0</v>
      </c>
      <c r="F62" s="4" t="s">
        <v>651</v>
      </c>
      <c r="J62" s="4" t="s">
        <v>651</v>
      </c>
    </row>
    <row r="63" hidden="1">
      <c r="A63" s="67" t="str">
        <f t="shared" si="1"/>
        <v>Wed</v>
      </c>
      <c r="B63" s="69">
        <v>43495.0</v>
      </c>
      <c r="F63" s="4" t="s">
        <v>651</v>
      </c>
      <c r="J63" s="4" t="s">
        <v>651</v>
      </c>
    </row>
    <row r="64" hidden="1">
      <c r="A64" s="67" t="str">
        <f t="shared" si="1"/>
        <v>Thu</v>
      </c>
      <c r="B64" s="69">
        <v>43496.0</v>
      </c>
      <c r="F64" s="4" t="s">
        <v>651</v>
      </c>
      <c r="J64" s="4" t="s">
        <v>651</v>
      </c>
    </row>
    <row r="65" hidden="1">
      <c r="A65" s="67" t="str">
        <f t="shared" si="1"/>
        <v>Fri</v>
      </c>
      <c r="B65" s="69">
        <v>43497.0</v>
      </c>
      <c r="F65" s="4" t="s">
        <v>651</v>
      </c>
      <c r="J65" s="4" t="s">
        <v>651</v>
      </c>
    </row>
    <row r="66" hidden="1">
      <c r="A66" s="67" t="str">
        <f t="shared" si="1"/>
        <v>Sat</v>
      </c>
      <c r="B66" s="69">
        <v>43498.0</v>
      </c>
      <c r="F66" s="4" t="s">
        <v>651</v>
      </c>
      <c r="J66" s="4" t="s">
        <v>651</v>
      </c>
    </row>
    <row r="67" hidden="1">
      <c r="A67" s="67" t="str">
        <f t="shared" si="1"/>
        <v>Sun</v>
      </c>
      <c r="B67" s="69">
        <v>43499.0</v>
      </c>
      <c r="F67" s="4" t="s">
        <v>651</v>
      </c>
      <c r="J67" s="4" t="s">
        <v>651</v>
      </c>
    </row>
    <row r="68" hidden="1">
      <c r="A68" s="67" t="str">
        <f t="shared" si="1"/>
        <v>Mon</v>
      </c>
      <c r="B68" s="69">
        <v>43500.0</v>
      </c>
      <c r="F68" s="4" t="s">
        <v>651</v>
      </c>
      <c r="J68" s="4" t="s">
        <v>651</v>
      </c>
    </row>
    <row r="69" hidden="1">
      <c r="A69" s="67" t="str">
        <f t="shared" si="1"/>
        <v>Tue</v>
      </c>
      <c r="B69" s="69">
        <v>43501.0</v>
      </c>
      <c r="F69" s="4" t="s">
        <v>651</v>
      </c>
      <c r="J69" s="4" t="s">
        <v>651</v>
      </c>
    </row>
    <row r="70" hidden="1">
      <c r="A70" s="67" t="str">
        <f t="shared" si="1"/>
        <v>Wed</v>
      </c>
      <c r="B70" s="69">
        <v>43502.0</v>
      </c>
      <c r="F70" s="4" t="s">
        <v>651</v>
      </c>
      <c r="J70" s="4" t="s">
        <v>651</v>
      </c>
    </row>
    <row r="71" hidden="1">
      <c r="A71" s="67" t="str">
        <f t="shared" si="1"/>
        <v>Thu</v>
      </c>
      <c r="B71" s="69">
        <v>43503.0</v>
      </c>
      <c r="F71" s="4" t="s">
        <v>651</v>
      </c>
      <c r="J71" s="4" t="s">
        <v>651</v>
      </c>
    </row>
    <row r="72" hidden="1">
      <c r="A72" s="67" t="str">
        <f t="shared" si="1"/>
        <v>Fri</v>
      </c>
      <c r="B72" s="69">
        <v>43504.0</v>
      </c>
      <c r="F72" s="4" t="s">
        <v>651</v>
      </c>
      <c r="J72" s="4" t="s">
        <v>651</v>
      </c>
    </row>
    <row r="73" hidden="1">
      <c r="A73" s="67" t="str">
        <f t="shared" si="1"/>
        <v>Sat</v>
      </c>
      <c r="B73" s="69">
        <v>43505.0</v>
      </c>
      <c r="F73" s="4" t="s">
        <v>651</v>
      </c>
      <c r="J73" s="4" t="s">
        <v>651</v>
      </c>
    </row>
    <row r="74" hidden="1">
      <c r="A74" s="67" t="str">
        <f t="shared" si="1"/>
        <v>Sun</v>
      </c>
      <c r="B74" s="69">
        <v>43506.0</v>
      </c>
      <c r="F74" s="4" t="s">
        <v>651</v>
      </c>
      <c r="J74" s="4" t="s">
        <v>651</v>
      </c>
    </row>
    <row r="75" hidden="1">
      <c r="A75" s="67" t="str">
        <f t="shared" si="1"/>
        <v>Mon</v>
      </c>
      <c r="B75" s="69">
        <v>43507.0</v>
      </c>
      <c r="F75" s="4" t="s">
        <v>651</v>
      </c>
      <c r="J75" s="4" t="s">
        <v>651</v>
      </c>
    </row>
    <row r="76" hidden="1">
      <c r="A76" s="67" t="str">
        <f t="shared" si="1"/>
        <v>Tue</v>
      </c>
      <c r="B76" s="69">
        <v>43508.0</v>
      </c>
      <c r="F76" s="4" t="s">
        <v>651</v>
      </c>
      <c r="J76" s="4" t="s">
        <v>651</v>
      </c>
    </row>
    <row r="77" hidden="1">
      <c r="A77" s="67" t="str">
        <f t="shared" si="1"/>
        <v>Wed</v>
      </c>
      <c r="B77" s="69">
        <v>43509.0</v>
      </c>
      <c r="F77" s="4" t="s">
        <v>651</v>
      </c>
      <c r="J77" s="4" t="s">
        <v>651</v>
      </c>
    </row>
    <row r="78" hidden="1">
      <c r="A78" s="67" t="str">
        <f t="shared" si="1"/>
        <v>Thu</v>
      </c>
      <c r="B78" s="69">
        <v>43510.0</v>
      </c>
      <c r="F78" s="4" t="s">
        <v>651</v>
      </c>
      <c r="J78" s="4" t="s">
        <v>651</v>
      </c>
    </row>
    <row r="79" hidden="1">
      <c r="A79" s="67" t="str">
        <f t="shared" si="1"/>
        <v>Fri</v>
      </c>
      <c r="B79" s="69">
        <v>43511.0</v>
      </c>
      <c r="F79" s="4" t="s">
        <v>651</v>
      </c>
      <c r="J79" s="4" t="s">
        <v>651</v>
      </c>
    </row>
    <row r="80" hidden="1">
      <c r="A80" s="67" t="str">
        <f t="shared" si="1"/>
        <v>Sat</v>
      </c>
      <c r="B80" s="69">
        <v>43512.0</v>
      </c>
      <c r="F80" s="4" t="s">
        <v>651</v>
      </c>
      <c r="J80" s="4" t="s">
        <v>651</v>
      </c>
    </row>
    <row r="81" hidden="1">
      <c r="A81" s="67" t="str">
        <f t="shared" si="1"/>
        <v>Sun</v>
      </c>
      <c r="B81" s="69">
        <v>43513.0</v>
      </c>
      <c r="F81" s="4" t="s">
        <v>651</v>
      </c>
      <c r="J81" s="4" t="s">
        <v>651</v>
      </c>
    </row>
    <row r="82" hidden="1">
      <c r="A82" s="67" t="str">
        <f t="shared" si="1"/>
        <v>Mon</v>
      </c>
      <c r="B82" s="69">
        <v>43514.0</v>
      </c>
      <c r="F82" s="4" t="s">
        <v>651</v>
      </c>
      <c r="J82" s="4" t="s">
        <v>651</v>
      </c>
    </row>
    <row r="83" hidden="1">
      <c r="A83" s="67" t="str">
        <f t="shared" si="1"/>
        <v>Tue</v>
      </c>
      <c r="B83" s="69">
        <v>43515.0</v>
      </c>
      <c r="F83" s="4" t="s">
        <v>651</v>
      </c>
      <c r="J83" s="4" t="s">
        <v>651</v>
      </c>
    </row>
    <row r="84" hidden="1">
      <c r="A84" s="67" t="str">
        <f t="shared" si="1"/>
        <v>Wed</v>
      </c>
      <c r="B84" s="69">
        <v>43516.0</v>
      </c>
      <c r="F84" s="4" t="s">
        <v>651</v>
      </c>
      <c r="J84" s="4" t="s">
        <v>651</v>
      </c>
    </row>
    <row r="85" hidden="1">
      <c r="A85" s="67" t="str">
        <f t="shared" si="1"/>
        <v>Thu</v>
      </c>
      <c r="B85" s="69">
        <v>43517.0</v>
      </c>
      <c r="F85" s="4" t="s">
        <v>651</v>
      </c>
      <c r="J85" s="4" t="s">
        <v>651</v>
      </c>
    </row>
    <row r="86" hidden="1">
      <c r="A86" s="67" t="str">
        <f t="shared" si="1"/>
        <v>Fri</v>
      </c>
      <c r="B86" s="69">
        <v>43518.0</v>
      </c>
      <c r="F86" s="4" t="s">
        <v>651</v>
      </c>
      <c r="J86" s="4" t="s">
        <v>651</v>
      </c>
    </row>
    <row r="87" hidden="1">
      <c r="A87" s="67" t="str">
        <f t="shared" si="1"/>
        <v>Sat</v>
      </c>
      <c r="B87" s="69">
        <v>43519.0</v>
      </c>
      <c r="F87" s="4" t="s">
        <v>651</v>
      </c>
      <c r="J87" s="4" t="s">
        <v>651</v>
      </c>
    </row>
    <row r="88" hidden="1">
      <c r="A88" s="67" t="str">
        <f t="shared" si="1"/>
        <v>Sun</v>
      </c>
      <c r="B88" s="69">
        <v>43520.0</v>
      </c>
      <c r="F88" s="4" t="s">
        <v>651</v>
      </c>
      <c r="J88" s="4" t="s">
        <v>651</v>
      </c>
    </row>
    <row r="89" hidden="1">
      <c r="A89" s="67" t="str">
        <f t="shared" si="1"/>
        <v>Mon</v>
      </c>
      <c r="B89" s="69">
        <v>43521.0</v>
      </c>
      <c r="F89" s="4" t="s">
        <v>651</v>
      </c>
      <c r="J89" s="4" t="s">
        <v>651</v>
      </c>
    </row>
    <row r="90" hidden="1">
      <c r="A90" s="67" t="str">
        <f t="shared" si="1"/>
        <v>Tue</v>
      </c>
      <c r="B90" s="69">
        <v>43522.0</v>
      </c>
      <c r="F90" s="4" t="s">
        <v>651</v>
      </c>
      <c r="J90" s="4" t="s">
        <v>651</v>
      </c>
    </row>
    <row r="91" hidden="1">
      <c r="A91" s="67" t="str">
        <f t="shared" si="1"/>
        <v>Wed</v>
      </c>
      <c r="B91" s="69">
        <v>43523.0</v>
      </c>
      <c r="F91" s="4" t="s">
        <v>651</v>
      </c>
      <c r="J91" s="4" t="s">
        <v>651</v>
      </c>
    </row>
    <row r="92" hidden="1">
      <c r="A92" s="67" t="str">
        <f t="shared" si="1"/>
        <v>Thu</v>
      </c>
      <c r="B92" s="69">
        <v>43524.0</v>
      </c>
      <c r="F92" s="4" t="s">
        <v>651</v>
      </c>
      <c r="J92" s="4" t="s">
        <v>651</v>
      </c>
    </row>
    <row r="93" hidden="1">
      <c r="A93" s="67" t="str">
        <f t="shared" si="1"/>
        <v>Fri</v>
      </c>
      <c r="B93" s="69">
        <v>43525.0</v>
      </c>
      <c r="F93" s="4" t="s">
        <v>651</v>
      </c>
      <c r="J93" s="4" t="s">
        <v>651</v>
      </c>
      <c r="R93" s="4"/>
      <c r="S93" s="4"/>
    </row>
    <row r="94" hidden="1">
      <c r="A94" s="67" t="str">
        <f t="shared" si="1"/>
        <v>Sat</v>
      </c>
      <c r="B94" s="69">
        <v>43526.0</v>
      </c>
      <c r="F94" s="4" t="s">
        <v>651</v>
      </c>
      <c r="J94" s="4" t="s">
        <v>651</v>
      </c>
    </row>
    <row r="95" hidden="1">
      <c r="A95" s="67" t="str">
        <f t="shared" si="1"/>
        <v>Sun</v>
      </c>
      <c r="B95" s="69">
        <v>43527.0</v>
      </c>
      <c r="F95" s="4" t="s">
        <v>651</v>
      </c>
      <c r="J95" s="4" t="s">
        <v>651</v>
      </c>
    </row>
    <row r="96" hidden="1">
      <c r="A96" s="67" t="str">
        <f t="shared" si="1"/>
        <v>Mon</v>
      </c>
      <c r="B96" s="69">
        <v>43528.0</v>
      </c>
      <c r="F96" s="4" t="s">
        <v>651</v>
      </c>
      <c r="J96" s="4" t="s">
        <v>651</v>
      </c>
    </row>
    <row r="97" hidden="1">
      <c r="A97" s="67" t="str">
        <f t="shared" si="1"/>
        <v>Tue</v>
      </c>
      <c r="B97" s="69">
        <v>43529.0</v>
      </c>
      <c r="F97" s="4" t="s">
        <v>651</v>
      </c>
      <c r="J97" s="4" t="s">
        <v>651</v>
      </c>
    </row>
    <row r="98" hidden="1">
      <c r="A98" s="67" t="str">
        <f t="shared" si="1"/>
        <v>Wed</v>
      </c>
      <c r="B98" s="69">
        <v>43530.0</v>
      </c>
      <c r="F98" s="4" t="s">
        <v>651</v>
      </c>
      <c r="J98" s="4" t="s">
        <v>651</v>
      </c>
    </row>
    <row r="99" hidden="1">
      <c r="A99" s="67" t="str">
        <f t="shared" si="1"/>
        <v>Thu</v>
      </c>
      <c r="B99" s="69">
        <v>43531.0</v>
      </c>
      <c r="F99" s="4" t="s">
        <v>651</v>
      </c>
      <c r="J99" s="4" t="s">
        <v>651</v>
      </c>
    </row>
    <row r="100" hidden="1">
      <c r="A100" s="67" t="str">
        <f t="shared" si="1"/>
        <v>Fri</v>
      </c>
      <c r="B100" s="69">
        <v>43532.0</v>
      </c>
      <c r="F100" s="4" t="s">
        <v>651</v>
      </c>
      <c r="J100" s="4" t="s">
        <v>651</v>
      </c>
    </row>
    <row r="101" hidden="1">
      <c r="A101" s="67" t="str">
        <f t="shared" si="1"/>
        <v>Sat</v>
      </c>
      <c r="B101" s="69">
        <v>43533.0</v>
      </c>
      <c r="F101" s="4" t="s">
        <v>651</v>
      </c>
      <c r="J101" s="4" t="s">
        <v>651</v>
      </c>
    </row>
    <row r="102" hidden="1">
      <c r="A102" s="67" t="str">
        <f t="shared" si="1"/>
        <v>Sun</v>
      </c>
      <c r="B102" s="69">
        <v>43534.0</v>
      </c>
      <c r="F102" s="4" t="s">
        <v>651</v>
      </c>
      <c r="J102" s="4" t="s">
        <v>651</v>
      </c>
    </row>
    <row r="103" hidden="1">
      <c r="A103" s="67" t="str">
        <f t="shared" si="1"/>
        <v>Mon</v>
      </c>
      <c r="B103" s="69">
        <v>43535.0</v>
      </c>
      <c r="F103" s="4" t="s">
        <v>651</v>
      </c>
      <c r="J103" s="4" t="s">
        <v>651</v>
      </c>
    </row>
    <row r="104" hidden="1">
      <c r="A104" s="67" t="str">
        <f t="shared" si="1"/>
        <v>Tue</v>
      </c>
      <c r="B104" s="69">
        <v>43536.0</v>
      </c>
      <c r="F104" s="4" t="s">
        <v>651</v>
      </c>
      <c r="J104" s="4" t="s">
        <v>651</v>
      </c>
    </row>
    <row r="105" hidden="1">
      <c r="A105" s="67" t="str">
        <f t="shared" si="1"/>
        <v>Wed</v>
      </c>
      <c r="B105" s="69">
        <v>43537.0</v>
      </c>
      <c r="F105" s="4" t="s">
        <v>651</v>
      </c>
      <c r="J105" s="4" t="s">
        <v>651</v>
      </c>
    </row>
    <row r="106" hidden="1">
      <c r="A106" s="67" t="str">
        <f t="shared" si="1"/>
        <v>Thu</v>
      </c>
      <c r="B106" s="69">
        <v>43538.0</v>
      </c>
      <c r="F106" s="4" t="s">
        <v>651</v>
      </c>
      <c r="J106" s="4" t="s">
        <v>651</v>
      </c>
    </row>
    <row r="107" hidden="1">
      <c r="A107" s="67" t="str">
        <f t="shared" si="1"/>
        <v>Fri</v>
      </c>
      <c r="B107" s="69">
        <v>43539.0</v>
      </c>
      <c r="F107" s="4" t="s">
        <v>651</v>
      </c>
      <c r="J107" s="4" t="s">
        <v>651</v>
      </c>
    </row>
    <row r="108" hidden="1">
      <c r="A108" s="67" t="str">
        <f t="shared" si="1"/>
        <v>Sat</v>
      </c>
      <c r="B108" s="69">
        <v>43540.0</v>
      </c>
      <c r="F108" s="4" t="s">
        <v>651</v>
      </c>
      <c r="J108" s="4" t="s">
        <v>651</v>
      </c>
    </row>
    <row r="109" hidden="1">
      <c r="A109" s="67" t="str">
        <f t="shared" si="1"/>
        <v>Sun</v>
      </c>
      <c r="B109" s="69">
        <v>43541.0</v>
      </c>
      <c r="F109" s="4" t="s">
        <v>651</v>
      </c>
      <c r="J109" s="4" t="s">
        <v>651</v>
      </c>
    </row>
    <row r="110" hidden="1">
      <c r="A110" s="67" t="str">
        <f t="shared" si="1"/>
        <v>Mon</v>
      </c>
      <c r="B110" s="69">
        <v>43542.0</v>
      </c>
      <c r="F110" s="4" t="s">
        <v>651</v>
      </c>
      <c r="J110" s="4" t="s">
        <v>651</v>
      </c>
    </row>
    <row r="111" hidden="1">
      <c r="A111" s="67" t="str">
        <f t="shared" si="1"/>
        <v>Tue</v>
      </c>
      <c r="B111" s="69">
        <v>43543.0</v>
      </c>
      <c r="F111" s="4" t="s">
        <v>651</v>
      </c>
      <c r="J111" s="4" t="s">
        <v>651</v>
      </c>
    </row>
    <row r="112" hidden="1">
      <c r="A112" s="67" t="str">
        <f t="shared" si="1"/>
        <v>Wed</v>
      </c>
      <c r="B112" s="69">
        <v>43544.0</v>
      </c>
      <c r="F112" s="4" t="s">
        <v>651</v>
      </c>
      <c r="J112" s="4" t="s">
        <v>651</v>
      </c>
    </row>
    <row r="113" hidden="1">
      <c r="A113" s="67" t="str">
        <f t="shared" si="1"/>
        <v>Thu</v>
      </c>
      <c r="B113" s="69">
        <v>43545.0</v>
      </c>
      <c r="F113" s="4" t="s">
        <v>651</v>
      </c>
      <c r="J113" s="4" t="s">
        <v>651</v>
      </c>
    </row>
    <row r="114" hidden="1">
      <c r="A114" s="67" t="str">
        <f t="shared" si="1"/>
        <v>Fri</v>
      </c>
      <c r="B114" s="69">
        <v>43546.0</v>
      </c>
      <c r="F114" s="4" t="s">
        <v>651</v>
      </c>
      <c r="J114" s="4" t="s">
        <v>651</v>
      </c>
    </row>
    <row r="115" hidden="1">
      <c r="A115" s="67" t="str">
        <f t="shared" si="1"/>
        <v>Sat</v>
      </c>
      <c r="B115" s="69">
        <v>43547.0</v>
      </c>
      <c r="F115" s="4" t="s">
        <v>651</v>
      </c>
      <c r="J115" s="4" t="s">
        <v>651</v>
      </c>
    </row>
    <row r="116" hidden="1">
      <c r="A116" s="67" t="str">
        <f t="shared" si="1"/>
        <v>Sun</v>
      </c>
      <c r="B116" s="69">
        <v>43548.0</v>
      </c>
      <c r="F116" s="4" t="s">
        <v>651</v>
      </c>
      <c r="J116" s="4" t="s">
        <v>651</v>
      </c>
    </row>
    <row r="117" hidden="1">
      <c r="A117" s="67" t="str">
        <f t="shared" si="1"/>
        <v>Mon</v>
      </c>
      <c r="B117" s="69">
        <v>43549.0</v>
      </c>
      <c r="F117" s="4" t="s">
        <v>651</v>
      </c>
      <c r="J117" s="4" t="s">
        <v>651</v>
      </c>
    </row>
    <row r="118" hidden="1">
      <c r="A118" s="67" t="str">
        <f t="shared" si="1"/>
        <v>Tue</v>
      </c>
      <c r="B118" s="69">
        <v>43550.0</v>
      </c>
      <c r="F118" s="4" t="s">
        <v>651</v>
      </c>
      <c r="J118" s="4" t="s">
        <v>651</v>
      </c>
    </row>
    <row r="119" hidden="1">
      <c r="A119" s="67" t="str">
        <f t="shared" si="1"/>
        <v>Wed</v>
      </c>
      <c r="B119" s="69">
        <v>43551.0</v>
      </c>
      <c r="F119" s="4" t="s">
        <v>651</v>
      </c>
      <c r="J119" s="4" t="s">
        <v>651</v>
      </c>
    </row>
    <row r="120" hidden="1">
      <c r="A120" s="67" t="str">
        <f t="shared" si="1"/>
        <v>Thu</v>
      </c>
      <c r="B120" s="69">
        <v>43552.0</v>
      </c>
      <c r="F120" s="4" t="s">
        <v>651</v>
      </c>
      <c r="J120" s="4" t="s">
        <v>651</v>
      </c>
    </row>
    <row r="121" hidden="1">
      <c r="A121" s="67" t="str">
        <f t="shared" si="1"/>
        <v>Fri</v>
      </c>
      <c r="B121" s="69">
        <v>43553.0</v>
      </c>
      <c r="F121" s="4" t="s">
        <v>651</v>
      </c>
      <c r="J121" s="4" t="s">
        <v>651</v>
      </c>
    </row>
    <row r="122" hidden="1">
      <c r="A122" s="67" t="str">
        <f t="shared" si="1"/>
        <v>Sat</v>
      </c>
      <c r="B122" s="69">
        <v>43554.0</v>
      </c>
      <c r="F122" s="4" t="s">
        <v>651</v>
      </c>
      <c r="J122" s="4" t="s">
        <v>651</v>
      </c>
    </row>
    <row r="123" hidden="1">
      <c r="A123" s="67" t="str">
        <f t="shared" si="1"/>
        <v>Sun</v>
      </c>
      <c r="B123" s="69">
        <v>43555.0</v>
      </c>
      <c r="F123" s="4" t="s">
        <v>651</v>
      </c>
      <c r="J123" s="4" t="s">
        <v>651</v>
      </c>
    </row>
    <row r="124" hidden="1">
      <c r="A124" s="67" t="str">
        <f t="shared" si="1"/>
        <v>Mon</v>
      </c>
      <c r="B124" s="69">
        <v>43556.0</v>
      </c>
      <c r="F124" s="4" t="s">
        <v>651</v>
      </c>
      <c r="J124" s="4" t="s">
        <v>651</v>
      </c>
    </row>
    <row r="125" hidden="1">
      <c r="A125" s="67" t="str">
        <f t="shared" si="1"/>
        <v>Tue</v>
      </c>
      <c r="B125" s="69">
        <v>43557.0</v>
      </c>
      <c r="F125" s="4" t="s">
        <v>651</v>
      </c>
      <c r="J125" s="4" t="s">
        <v>651</v>
      </c>
    </row>
    <row r="126" hidden="1">
      <c r="A126" s="67" t="str">
        <f t="shared" si="1"/>
        <v>Wed</v>
      </c>
      <c r="B126" s="69">
        <v>43558.0</v>
      </c>
      <c r="F126" s="4" t="s">
        <v>651</v>
      </c>
      <c r="J126" s="4" t="s">
        <v>651</v>
      </c>
    </row>
    <row r="127" hidden="1">
      <c r="A127" s="67" t="str">
        <f t="shared" si="1"/>
        <v>Thu</v>
      </c>
      <c r="B127" s="69">
        <v>43559.0</v>
      </c>
      <c r="F127" s="4" t="s">
        <v>651</v>
      </c>
      <c r="J127" s="4" t="s">
        <v>651</v>
      </c>
    </row>
    <row r="128" hidden="1">
      <c r="A128" s="67" t="str">
        <f t="shared" si="1"/>
        <v>Fri</v>
      </c>
      <c r="B128" s="69">
        <v>43560.0</v>
      </c>
      <c r="F128" s="4" t="s">
        <v>651</v>
      </c>
      <c r="J128" s="4" t="s">
        <v>651</v>
      </c>
    </row>
    <row r="129" hidden="1">
      <c r="A129" s="67" t="str">
        <f t="shared" si="1"/>
        <v>Sat</v>
      </c>
      <c r="B129" s="69">
        <v>43561.0</v>
      </c>
      <c r="F129" s="4" t="s">
        <v>651</v>
      </c>
      <c r="J129" s="4" t="s">
        <v>651</v>
      </c>
    </row>
    <row r="130" hidden="1">
      <c r="A130" s="67" t="str">
        <f t="shared" si="1"/>
        <v>Sun</v>
      </c>
      <c r="B130" s="69">
        <v>43562.0</v>
      </c>
      <c r="F130" s="4" t="s">
        <v>651</v>
      </c>
      <c r="J130" s="4" t="s">
        <v>651</v>
      </c>
    </row>
    <row r="131" hidden="1">
      <c r="A131" s="67" t="str">
        <f t="shared" si="1"/>
        <v>Mon</v>
      </c>
      <c r="B131" s="69">
        <v>43563.0</v>
      </c>
      <c r="F131" s="4" t="s">
        <v>651</v>
      </c>
      <c r="J131" s="4" t="s">
        <v>651</v>
      </c>
    </row>
    <row r="132" hidden="1">
      <c r="A132" s="67" t="str">
        <f t="shared" si="1"/>
        <v>Tue</v>
      </c>
      <c r="B132" s="69">
        <v>43564.0</v>
      </c>
      <c r="F132" s="4" t="s">
        <v>651</v>
      </c>
      <c r="J132" s="4" t="s">
        <v>651</v>
      </c>
    </row>
    <row r="133" hidden="1">
      <c r="A133" s="67" t="str">
        <f t="shared" si="1"/>
        <v>Wed</v>
      </c>
      <c r="B133" s="69">
        <v>43565.0</v>
      </c>
      <c r="F133" s="4" t="s">
        <v>651</v>
      </c>
      <c r="J133" s="4" t="s">
        <v>651</v>
      </c>
    </row>
    <row r="134" hidden="1">
      <c r="A134" s="67" t="str">
        <f t="shared" si="1"/>
        <v>Thu</v>
      </c>
      <c r="B134" s="69">
        <v>43566.0</v>
      </c>
      <c r="F134" s="4" t="s">
        <v>651</v>
      </c>
      <c r="J134" s="4" t="s">
        <v>651</v>
      </c>
    </row>
    <row r="135" hidden="1">
      <c r="A135" s="67" t="str">
        <f t="shared" si="1"/>
        <v>Fri</v>
      </c>
      <c r="B135" s="69">
        <v>43567.0</v>
      </c>
      <c r="F135" s="4" t="s">
        <v>651</v>
      </c>
      <c r="J135" s="4" t="s">
        <v>651</v>
      </c>
    </row>
    <row r="136" hidden="1">
      <c r="A136" s="67" t="str">
        <f t="shared" si="1"/>
        <v>Sat</v>
      </c>
      <c r="B136" s="69">
        <v>43568.0</v>
      </c>
      <c r="F136" s="4" t="s">
        <v>651</v>
      </c>
      <c r="J136" s="4" t="s">
        <v>651</v>
      </c>
    </row>
    <row r="137" hidden="1">
      <c r="A137" s="67" t="str">
        <f t="shared" si="1"/>
        <v>Sun</v>
      </c>
      <c r="B137" s="69">
        <v>43569.0</v>
      </c>
      <c r="F137" s="4" t="s">
        <v>651</v>
      </c>
      <c r="J137" s="4" t="s">
        <v>651</v>
      </c>
    </row>
    <row r="138" hidden="1">
      <c r="A138" s="67" t="str">
        <f t="shared" si="1"/>
        <v>Mon</v>
      </c>
      <c r="B138" s="69">
        <v>43570.0</v>
      </c>
      <c r="F138" s="4" t="s">
        <v>651</v>
      </c>
      <c r="J138" s="4" t="s">
        <v>651</v>
      </c>
    </row>
    <row r="139" hidden="1">
      <c r="A139" s="67" t="str">
        <f t="shared" si="1"/>
        <v>Tue</v>
      </c>
      <c r="B139" s="69">
        <v>43571.0</v>
      </c>
      <c r="F139" s="4" t="s">
        <v>651</v>
      </c>
      <c r="J139" s="4" t="s">
        <v>651</v>
      </c>
    </row>
    <row r="140" hidden="1">
      <c r="A140" s="67" t="str">
        <f t="shared" si="1"/>
        <v>Wed</v>
      </c>
      <c r="B140" s="69">
        <v>43572.0</v>
      </c>
      <c r="F140" s="4" t="s">
        <v>651</v>
      </c>
      <c r="J140" s="4" t="s">
        <v>651</v>
      </c>
    </row>
    <row r="141" hidden="1">
      <c r="A141" s="67" t="str">
        <f t="shared" si="1"/>
        <v>Thu</v>
      </c>
      <c r="B141" s="69">
        <v>43573.0</v>
      </c>
      <c r="F141" s="4" t="s">
        <v>651</v>
      </c>
      <c r="J141" s="4" t="s">
        <v>651</v>
      </c>
    </row>
    <row r="142" hidden="1">
      <c r="A142" s="67" t="str">
        <f t="shared" si="1"/>
        <v>Fri</v>
      </c>
      <c r="B142" s="69">
        <v>43574.0</v>
      </c>
      <c r="F142" s="4" t="s">
        <v>651</v>
      </c>
      <c r="J142" s="4" t="s">
        <v>651</v>
      </c>
    </row>
    <row r="143">
      <c r="A143" s="67" t="str">
        <f t="shared" si="1"/>
        <v>Sat</v>
      </c>
      <c r="B143" s="69">
        <v>43575.0</v>
      </c>
      <c r="D143" s="161">
        <v>323.98</v>
      </c>
      <c r="E143" s="4" t="s">
        <v>222</v>
      </c>
      <c r="F143" s="4" t="s">
        <v>1843</v>
      </c>
      <c r="G143" s="4" t="s">
        <v>1843</v>
      </c>
      <c r="I143" s="4" t="s">
        <v>224</v>
      </c>
      <c r="K143" s="4" t="s">
        <v>231</v>
      </c>
      <c r="L143" s="4" t="s">
        <v>225</v>
      </c>
      <c r="M143" s="4" t="s">
        <v>1844</v>
      </c>
      <c r="N143" s="4" t="s">
        <v>232</v>
      </c>
      <c r="O143" s="4" t="s">
        <v>264</v>
      </c>
      <c r="Q143" s="4" t="s">
        <v>1845</v>
      </c>
      <c r="R143" s="4" t="s">
        <v>1846</v>
      </c>
      <c r="S143" s="4" t="s">
        <v>1847</v>
      </c>
    </row>
    <row r="144">
      <c r="A144" s="67" t="str">
        <f t="shared" si="1"/>
        <v>Sun</v>
      </c>
      <c r="B144" s="69">
        <v>43576.0</v>
      </c>
      <c r="D144" s="161">
        <v>323.98</v>
      </c>
      <c r="E144" s="4" t="s">
        <v>222</v>
      </c>
      <c r="F144" s="4" t="s">
        <v>1843</v>
      </c>
      <c r="I144" s="4" t="s">
        <v>224</v>
      </c>
    </row>
    <row r="145">
      <c r="A145" s="67" t="str">
        <f t="shared" si="1"/>
        <v>Mon</v>
      </c>
      <c r="B145" s="69">
        <v>43577.0</v>
      </c>
      <c r="D145" s="161">
        <v>323.98</v>
      </c>
      <c r="E145" s="4" t="s">
        <v>222</v>
      </c>
      <c r="F145" s="4" t="s">
        <v>1843</v>
      </c>
      <c r="I145" s="4" t="s">
        <v>224</v>
      </c>
    </row>
    <row r="146">
      <c r="A146" s="67" t="str">
        <f t="shared" si="1"/>
        <v>Tue</v>
      </c>
      <c r="B146" s="69">
        <v>43578.0</v>
      </c>
      <c r="D146" s="161">
        <v>323.98</v>
      </c>
      <c r="E146" s="4" t="s">
        <v>222</v>
      </c>
      <c r="F146" s="4" t="s">
        <v>1843</v>
      </c>
      <c r="I146" s="4" t="s">
        <v>224</v>
      </c>
    </row>
    <row r="147">
      <c r="A147" s="67" t="str">
        <f t="shared" si="1"/>
        <v>Wed</v>
      </c>
      <c r="B147" s="69">
        <v>43579.0</v>
      </c>
      <c r="D147" s="161">
        <v>323.98</v>
      </c>
      <c r="E147" s="4" t="s">
        <v>222</v>
      </c>
      <c r="F147" s="4" t="s">
        <v>1843</v>
      </c>
      <c r="I147" s="4" t="s">
        <v>224</v>
      </c>
    </row>
    <row r="148">
      <c r="A148" s="67" t="str">
        <f t="shared" si="1"/>
        <v>Thu</v>
      </c>
      <c r="B148" s="69">
        <v>43580.0</v>
      </c>
      <c r="D148" s="4">
        <v>271.6</v>
      </c>
      <c r="E148" s="4" t="s">
        <v>222</v>
      </c>
      <c r="F148" s="4" t="s">
        <v>1848</v>
      </c>
      <c r="G148" s="4" t="s">
        <v>1848</v>
      </c>
      <c r="H148" s="4" t="s">
        <v>1843</v>
      </c>
      <c r="I148" s="4" t="s">
        <v>224</v>
      </c>
      <c r="L148" s="4" t="s">
        <v>225</v>
      </c>
      <c r="M148" s="4" t="s">
        <v>226</v>
      </c>
      <c r="N148" s="4" t="s">
        <v>232</v>
      </c>
      <c r="O148" s="4" t="s">
        <v>264</v>
      </c>
    </row>
    <row r="149">
      <c r="A149" s="67" t="str">
        <f t="shared" si="1"/>
        <v>Fri</v>
      </c>
      <c r="B149" s="69">
        <v>43581.0</v>
      </c>
      <c r="D149" s="4">
        <v>242.5</v>
      </c>
      <c r="E149" s="4" t="s">
        <v>222</v>
      </c>
      <c r="F149" s="4" t="s">
        <v>1849</v>
      </c>
      <c r="G149" s="4" t="s">
        <v>1849</v>
      </c>
      <c r="H149" s="4" t="s">
        <v>1848</v>
      </c>
      <c r="I149" s="4" t="s">
        <v>359</v>
      </c>
      <c r="J149" s="4" t="s">
        <v>1850</v>
      </c>
      <c r="K149" s="4" t="s">
        <v>231</v>
      </c>
      <c r="L149" s="4" t="s">
        <v>225</v>
      </c>
      <c r="M149" s="4" t="s">
        <v>1851</v>
      </c>
      <c r="N149" s="4" t="s">
        <v>1852</v>
      </c>
      <c r="O149" s="4" t="s">
        <v>264</v>
      </c>
    </row>
    <row r="150">
      <c r="A150" s="67" t="str">
        <f t="shared" si="1"/>
        <v>Sat</v>
      </c>
      <c r="B150" s="69">
        <v>43582.0</v>
      </c>
      <c r="D150" s="4">
        <v>242.5</v>
      </c>
      <c r="E150" s="4" t="s">
        <v>222</v>
      </c>
      <c r="F150" s="4" t="s">
        <v>1849</v>
      </c>
      <c r="G150" s="4"/>
      <c r="I150" s="4" t="s">
        <v>359</v>
      </c>
      <c r="M150" s="4"/>
      <c r="N150" s="4"/>
      <c r="O150" s="4"/>
    </row>
    <row r="151">
      <c r="A151" s="67" t="str">
        <f t="shared" si="1"/>
        <v>Sun</v>
      </c>
      <c r="B151" s="69">
        <v>43583.0</v>
      </c>
      <c r="D151" s="4">
        <v>203.7</v>
      </c>
      <c r="E151" s="4" t="s">
        <v>222</v>
      </c>
      <c r="F151" s="6" t="s">
        <v>1853</v>
      </c>
      <c r="G151" s="6" t="s">
        <v>1853</v>
      </c>
      <c r="H151" s="6" t="s">
        <v>1849</v>
      </c>
      <c r="I151" s="4" t="s">
        <v>224</v>
      </c>
      <c r="K151" s="4" t="s">
        <v>231</v>
      </c>
      <c r="L151" s="4" t="s">
        <v>225</v>
      </c>
      <c r="M151" s="6" t="s">
        <v>1854</v>
      </c>
      <c r="R151" s="4" t="s">
        <v>1855</v>
      </c>
    </row>
    <row r="152">
      <c r="A152" s="67" t="str">
        <f t="shared" si="1"/>
        <v>Mon</v>
      </c>
      <c r="B152" s="69">
        <v>43584.0</v>
      </c>
      <c r="D152" s="4">
        <v>203.7</v>
      </c>
      <c r="E152" s="4" t="s">
        <v>222</v>
      </c>
      <c r="F152" s="6" t="s">
        <v>1853</v>
      </c>
      <c r="H152" s="6"/>
      <c r="I152" s="4" t="s">
        <v>224</v>
      </c>
      <c r="M152" s="4"/>
      <c r="N152" s="4"/>
      <c r="O152" s="4"/>
    </row>
    <row r="153">
      <c r="A153" s="67" t="str">
        <f t="shared" si="1"/>
        <v>Tue</v>
      </c>
      <c r="B153" s="69">
        <v>43585.0</v>
      </c>
      <c r="F153" s="6"/>
      <c r="H153" s="6" t="s">
        <v>1853</v>
      </c>
    </row>
    <row r="154">
      <c r="A154" s="67" t="str">
        <f t="shared" si="1"/>
        <v>Wed</v>
      </c>
      <c r="B154" s="69">
        <v>43586.0</v>
      </c>
      <c r="F154" s="4"/>
      <c r="G154" s="4"/>
      <c r="H154" s="6"/>
      <c r="N154" s="4"/>
      <c r="O154" s="4"/>
    </row>
    <row r="155">
      <c r="A155" s="67" t="str">
        <f t="shared" si="1"/>
        <v>Thu</v>
      </c>
      <c r="B155" s="69">
        <v>43587.0</v>
      </c>
      <c r="D155" s="161">
        <v>250.0</v>
      </c>
      <c r="E155" s="4" t="s">
        <v>337</v>
      </c>
      <c r="F155" s="4" t="s">
        <v>1857</v>
      </c>
      <c r="G155" s="4" t="s">
        <v>1857</v>
      </c>
      <c r="I155" s="4" t="s">
        <v>224</v>
      </c>
      <c r="J155" s="4"/>
      <c r="K155" s="4" t="s">
        <v>231</v>
      </c>
      <c r="L155" s="4" t="s">
        <v>225</v>
      </c>
      <c r="M155" s="4" t="s">
        <v>1858</v>
      </c>
      <c r="Q155" s="4" t="s">
        <v>1859</v>
      </c>
      <c r="R155" s="4" t="s">
        <v>1860</v>
      </c>
      <c r="S155" s="161">
        <v>3.715872462E10</v>
      </c>
    </row>
    <row r="156">
      <c r="A156" s="67" t="str">
        <f t="shared" si="1"/>
        <v>Fri</v>
      </c>
      <c r="B156" s="69">
        <v>43588.0</v>
      </c>
      <c r="D156" s="161">
        <v>250.0</v>
      </c>
      <c r="E156" s="4" t="s">
        <v>337</v>
      </c>
      <c r="F156" s="4" t="s">
        <v>1857</v>
      </c>
      <c r="H156" s="4"/>
      <c r="I156" s="4" t="s">
        <v>224</v>
      </c>
    </row>
    <row r="157">
      <c r="A157" s="67" t="str">
        <f t="shared" si="1"/>
        <v>Sat</v>
      </c>
      <c r="B157" s="69">
        <v>43589.0</v>
      </c>
      <c r="D157" s="161">
        <v>250.0</v>
      </c>
      <c r="E157" s="4" t="s">
        <v>337</v>
      </c>
      <c r="F157" s="4" t="s">
        <v>1857</v>
      </c>
      <c r="I157" s="4" t="s">
        <v>224</v>
      </c>
    </row>
    <row r="158">
      <c r="A158" s="67" t="str">
        <f t="shared" si="1"/>
        <v>Sun</v>
      </c>
      <c r="B158" s="69">
        <v>43590.0</v>
      </c>
      <c r="D158" s="161">
        <v>250.0</v>
      </c>
      <c r="E158" s="4" t="s">
        <v>337</v>
      </c>
      <c r="F158" s="4" t="s">
        <v>1857</v>
      </c>
      <c r="I158" s="4" t="s">
        <v>224</v>
      </c>
    </row>
    <row r="159">
      <c r="A159" s="67" t="str">
        <f t="shared" si="1"/>
        <v>Mon</v>
      </c>
      <c r="B159" s="69">
        <v>43591.0</v>
      </c>
      <c r="D159" s="161">
        <v>250.0</v>
      </c>
      <c r="E159" s="4" t="s">
        <v>337</v>
      </c>
      <c r="F159" s="4" t="s">
        <v>1857</v>
      </c>
      <c r="I159" s="4" t="s">
        <v>224</v>
      </c>
    </row>
    <row r="160">
      <c r="A160" s="67" t="str">
        <f t="shared" si="1"/>
        <v>Tue</v>
      </c>
      <c r="B160" s="69">
        <v>43592.0</v>
      </c>
      <c r="D160" s="161">
        <v>250.0</v>
      </c>
      <c r="E160" s="4" t="s">
        <v>337</v>
      </c>
      <c r="F160" s="4" t="s">
        <v>1857</v>
      </c>
      <c r="I160" s="4" t="s">
        <v>224</v>
      </c>
    </row>
    <row r="161">
      <c r="A161" s="67" t="str">
        <f t="shared" si="1"/>
        <v>Wed</v>
      </c>
      <c r="B161" s="69">
        <v>43593.0</v>
      </c>
      <c r="D161" s="161">
        <v>203.7</v>
      </c>
      <c r="E161" s="4" t="s">
        <v>222</v>
      </c>
      <c r="F161" s="4" t="s">
        <v>1861</v>
      </c>
      <c r="G161" s="4" t="s">
        <v>1861</v>
      </c>
      <c r="H161" s="4" t="s">
        <v>1857</v>
      </c>
      <c r="I161" s="4" t="s">
        <v>224</v>
      </c>
      <c r="J161" s="4" t="s">
        <v>1862</v>
      </c>
      <c r="K161" s="4" t="s">
        <v>231</v>
      </c>
      <c r="L161" s="4" t="s">
        <v>225</v>
      </c>
      <c r="M161" s="4" t="s">
        <v>226</v>
      </c>
      <c r="N161" s="4" t="s">
        <v>232</v>
      </c>
      <c r="O161" s="4" t="s">
        <v>264</v>
      </c>
    </row>
    <row r="162">
      <c r="A162" s="67" t="str">
        <f t="shared" si="1"/>
        <v>Thu</v>
      </c>
      <c r="B162" s="69">
        <v>43594.0</v>
      </c>
      <c r="F162" s="4"/>
      <c r="H162" s="4" t="s">
        <v>1861</v>
      </c>
    </row>
    <row r="163">
      <c r="A163" s="67" t="str">
        <f t="shared" si="1"/>
        <v>Fri</v>
      </c>
      <c r="B163" s="69">
        <v>43595.0</v>
      </c>
      <c r="D163" s="161">
        <v>291.0</v>
      </c>
      <c r="E163" s="4" t="s">
        <v>222</v>
      </c>
      <c r="F163" s="4" t="s">
        <v>1817</v>
      </c>
      <c r="G163" s="4" t="s">
        <v>1817</v>
      </c>
      <c r="H163" s="4"/>
      <c r="I163" s="4" t="s">
        <v>224</v>
      </c>
      <c r="J163" s="4" t="s">
        <v>1818</v>
      </c>
      <c r="K163" s="4" t="s">
        <v>231</v>
      </c>
      <c r="L163" s="4" t="s">
        <v>225</v>
      </c>
      <c r="M163" s="4" t="s">
        <v>226</v>
      </c>
      <c r="R163" s="4" t="s">
        <v>1819</v>
      </c>
    </row>
    <row r="164">
      <c r="A164" s="67" t="str">
        <f t="shared" si="1"/>
        <v>Sat</v>
      </c>
      <c r="B164" s="69">
        <v>43596.0</v>
      </c>
      <c r="D164" s="161">
        <v>291.0</v>
      </c>
      <c r="E164" s="4" t="s">
        <v>222</v>
      </c>
      <c r="F164" s="4" t="s">
        <v>1817</v>
      </c>
      <c r="I164" s="4" t="s">
        <v>224</v>
      </c>
      <c r="J164" s="4" t="s">
        <v>1818</v>
      </c>
    </row>
    <row r="165">
      <c r="A165" s="67" t="str">
        <f t="shared" si="1"/>
        <v>Sun</v>
      </c>
      <c r="B165" s="69">
        <v>43597.0</v>
      </c>
      <c r="F165" s="4"/>
      <c r="G165" s="4"/>
      <c r="H165" s="4" t="s">
        <v>1817</v>
      </c>
      <c r="N165" s="4"/>
      <c r="O165" s="4"/>
    </row>
    <row r="166">
      <c r="A166" s="67" t="str">
        <f t="shared" si="1"/>
        <v>Mon</v>
      </c>
      <c r="B166" s="69">
        <v>43598.0</v>
      </c>
      <c r="F166" s="4"/>
    </row>
    <row r="167">
      <c r="A167" s="67" t="str">
        <f t="shared" si="1"/>
        <v>Tue</v>
      </c>
      <c r="B167" s="69">
        <v>43599.0</v>
      </c>
      <c r="F167" s="4"/>
      <c r="G167" s="4"/>
      <c r="H167" s="4"/>
      <c r="N167" s="4"/>
      <c r="O167" s="4"/>
    </row>
    <row r="168">
      <c r="A168" s="67" t="str">
        <f t="shared" si="1"/>
        <v>Wed</v>
      </c>
      <c r="B168" s="69">
        <v>43600.0</v>
      </c>
      <c r="F168" s="4"/>
    </row>
    <row r="169">
      <c r="A169" s="67" t="str">
        <f t="shared" si="1"/>
        <v>Thu</v>
      </c>
      <c r="B169" s="69">
        <v>43601.0</v>
      </c>
      <c r="F169" s="4"/>
      <c r="G169" s="4"/>
      <c r="H169" s="4"/>
      <c r="N169" s="4"/>
      <c r="O169" s="4"/>
    </row>
    <row r="170">
      <c r="A170" s="67" t="str">
        <f t="shared" si="1"/>
        <v>Fri</v>
      </c>
      <c r="B170" s="69">
        <v>43602.0</v>
      </c>
      <c r="F170" s="4"/>
    </row>
    <row r="171">
      <c r="A171" s="67" t="str">
        <f t="shared" si="1"/>
        <v>Sat</v>
      </c>
      <c r="B171" s="69">
        <v>43603.0</v>
      </c>
      <c r="D171" s="4">
        <v>266.75</v>
      </c>
      <c r="E171" s="4" t="s">
        <v>222</v>
      </c>
      <c r="F171" s="4" t="s">
        <v>1867</v>
      </c>
      <c r="G171" s="4" t="s">
        <v>1867</v>
      </c>
      <c r="H171" s="4"/>
      <c r="I171" s="4" t="s">
        <v>224</v>
      </c>
      <c r="K171" s="4" t="s">
        <v>231</v>
      </c>
      <c r="L171" s="4" t="s">
        <v>225</v>
      </c>
      <c r="M171" s="4" t="s">
        <v>226</v>
      </c>
      <c r="N171" s="4"/>
      <c r="O171" s="4"/>
      <c r="R171" s="4" t="s">
        <v>1868</v>
      </c>
    </row>
    <row r="172">
      <c r="A172" s="67" t="str">
        <f t="shared" si="1"/>
        <v>Sun</v>
      </c>
      <c r="B172" s="69">
        <v>43604.0</v>
      </c>
      <c r="D172" s="4">
        <v>266.75</v>
      </c>
      <c r="E172" s="4" t="s">
        <v>222</v>
      </c>
      <c r="F172" s="4" t="s">
        <v>1867</v>
      </c>
      <c r="I172" s="4" t="s">
        <v>224</v>
      </c>
    </row>
    <row r="173">
      <c r="A173" s="67" t="str">
        <f t="shared" si="1"/>
        <v>Mon</v>
      </c>
      <c r="B173" s="69">
        <v>43605.0</v>
      </c>
      <c r="H173" s="4" t="s">
        <v>1867</v>
      </c>
    </row>
    <row r="174">
      <c r="A174" s="67" t="str">
        <f t="shared" si="1"/>
        <v>Tue</v>
      </c>
      <c r="B174" s="69">
        <v>43606.0</v>
      </c>
    </row>
    <row r="175">
      <c r="A175" s="67" t="str">
        <f t="shared" si="1"/>
        <v>Wed</v>
      </c>
      <c r="B175" s="69">
        <v>43607.0</v>
      </c>
      <c r="F175" s="4"/>
      <c r="G175" s="4"/>
      <c r="N175" s="4"/>
      <c r="O175" s="4"/>
    </row>
    <row r="176">
      <c r="A176" s="67" t="str">
        <f t="shared" si="1"/>
        <v>Thu</v>
      </c>
      <c r="B176" s="69">
        <v>43608.0</v>
      </c>
      <c r="F176" s="4"/>
    </row>
    <row r="177">
      <c r="A177" s="67" t="str">
        <f t="shared" si="1"/>
        <v>Fri</v>
      </c>
      <c r="B177" s="69">
        <v>43609.0</v>
      </c>
      <c r="D177" s="161">
        <v>485.0</v>
      </c>
      <c r="E177" s="4" t="s">
        <v>222</v>
      </c>
      <c r="F177" s="4" t="s">
        <v>1875</v>
      </c>
      <c r="G177" s="4" t="s">
        <v>1875</v>
      </c>
      <c r="H177" s="4"/>
      <c r="I177" s="4" t="s">
        <v>224</v>
      </c>
      <c r="J177" s="4"/>
      <c r="K177" s="4" t="s">
        <v>231</v>
      </c>
      <c r="L177" s="4" t="s">
        <v>225</v>
      </c>
      <c r="M177" s="4" t="s">
        <v>226</v>
      </c>
      <c r="N177" s="4"/>
      <c r="O177" s="4"/>
      <c r="R177" s="4" t="s">
        <v>1876</v>
      </c>
    </row>
    <row r="178">
      <c r="A178" s="67" t="str">
        <f t="shared" si="1"/>
        <v>Sat</v>
      </c>
      <c r="B178" s="69">
        <v>43610.0</v>
      </c>
      <c r="D178" s="161">
        <v>485.0</v>
      </c>
      <c r="E178" s="4" t="s">
        <v>222</v>
      </c>
      <c r="F178" s="4" t="s">
        <v>1875</v>
      </c>
      <c r="I178" s="4" t="s">
        <v>224</v>
      </c>
      <c r="J178" s="4"/>
    </row>
    <row r="179">
      <c r="A179" s="67" t="str">
        <f t="shared" si="1"/>
        <v>Sun</v>
      </c>
      <c r="B179" s="69">
        <v>43611.0</v>
      </c>
      <c r="F179" s="4"/>
      <c r="G179" s="4"/>
      <c r="H179" s="4" t="s">
        <v>1875</v>
      </c>
      <c r="J179" s="4" t="s">
        <v>228</v>
      </c>
      <c r="L179" s="4" t="s">
        <v>229</v>
      </c>
      <c r="M179" s="4"/>
      <c r="N179" s="4"/>
      <c r="O179" s="4"/>
    </row>
    <row r="180">
      <c r="A180" s="67" t="str">
        <f t="shared" si="1"/>
        <v>Mon</v>
      </c>
      <c r="B180" s="69">
        <v>43612.0</v>
      </c>
      <c r="F180" s="4"/>
      <c r="J180" s="4" t="s">
        <v>228</v>
      </c>
    </row>
    <row r="181">
      <c r="A181" s="67" t="str">
        <f t="shared" si="1"/>
        <v>Tue</v>
      </c>
      <c r="B181" s="69">
        <v>43613.0</v>
      </c>
      <c r="F181" s="4"/>
      <c r="G181" s="4"/>
      <c r="H181" s="4"/>
      <c r="J181" s="4" t="s">
        <v>228</v>
      </c>
      <c r="L181" s="4" t="s">
        <v>229</v>
      </c>
      <c r="M181" s="4"/>
      <c r="N181" s="4"/>
      <c r="O181" s="4"/>
    </row>
    <row r="182">
      <c r="A182" s="67" t="str">
        <f t="shared" si="1"/>
        <v>Wed</v>
      </c>
      <c r="B182" s="69">
        <v>43614.0</v>
      </c>
      <c r="F182" s="4"/>
      <c r="J182" s="4" t="s">
        <v>228</v>
      </c>
    </row>
    <row r="183">
      <c r="A183" s="67" t="str">
        <f t="shared" si="1"/>
        <v>Thu</v>
      </c>
      <c r="B183" s="69">
        <v>43615.0</v>
      </c>
      <c r="F183" s="4"/>
      <c r="G183" s="4"/>
      <c r="H183" s="4"/>
      <c r="J183" s="4" t="s">
        <v>295</v>
      </c>
      <c r="L183" s="4" t="s">
        <v>229</v>
      </c>
      <c r="M183" s="4"/>
      <c r="N183" s="4"/>
      <c r="O183" s="4"/>
    </row>
    <row r="184">
      <c r="A184" s="67" t="str">
        <f t="shared" si="1"/>
        <v>Fri</v>
      </c>
      <c r="B184" s="69">
        <v>43616.0</v>
      </c>
      <c r="F184" s="4"/>
      <c r="G184" s="4"/>
      <c r="H184" s="4"/>
      <c r="J184" s="4" t="s">
        <v>295</v>
      </c>
      <c r="L184" s="4" t="s">
        <v>229</v>
      </c>
      <c r="M184" s="4"/>
      <c r="N184" s="4"/>
      <c r="O184" s="4"/>
    </row>
    <row r="185">
      <c r="A185" s="67" t="str">
        <f t="shared" si="1"/>
        <v>Sat</v>
      </c>
      <c r="B185" s="69">
        <v>43617.0</v>
      </c>
      <c r="H185" s="4"/>
    </row>
    <row r="186">
      <c r="A186" s="67" t="str">
        <f t="shared" si="1"/>
        <v>Sun</v>
      </c>
      <c r="B186" s="69">
        <v>43618.0</v>
      </c>
    </row>
    <row r="187">
      <c r="A187" s="67" t="str">
        <f t="shared" si="1"/>
        <v>Mon</v>
      </c>
      <c r="B187" s="69">
        <v>43619.0</v>
      </c>
    </row>
    <row r="188">
      <c r="A188" s="67" t="str">
        <f t="shared" si="1"/>
        <v>Tue</v>
      </c>
      <c r="B188" s="69">
        <v>43620.0</v>
      </c>
    </row>
    <row r="189">
      <c r="A189" s="67" t="str">
        <f t="shared" si="1"/>
        <v>Wed</v>
      </c>
      <c r="B189" s="69">
        <v>43621.0</v>
      </c>
    </row>
    <row r="190">
      <c r="A190" s="67" t="str">
        <f t="shared" si="1"/>
        <v>Thu</v>
      </c>
      <c r="B190" s="69">
        <v>43622.0</v>
      </c>
    </row>
    <row r="191">
      <c r="A191" s="67" t="str">
        <f t="shared" si="1"/>
        <v>Fri</v>
      </c>
      <c r="B191" s="69">
        <v>43623.0</v>
      </c>
    </row>
    <row r="192">
      <c r="A192" s="67" t="str">
        <f t="shared" si="1"/>
        <v>Sat</v>
      </c>
      <c r="B192" s="69">
        <v>43624.0</v>
      </c>
    </row>
    <row r="193">
      <c r="A193" s="67" t="str">
        <f t="shared" si="1"/>
        <v>Sun</v>
      </c>
      <c r="B193" s="69">
        <v>43625.0</v>
      </c>
    </row>
    <row r="194">
      <c r="A194" s="67" t="str">
        <f t="shared" si="1"/>
        <v>Mon</v>
      </c>
      <c r="B194" s="69">
        <v>43626.0</v>
      </c>
    </row>
    <row r="195">
      <c r="A195" s="67" t="str">
        <f t="shared" si="1"/>
        <v>Tue</v>
      </c>
      <c r="B195" s="69">
        <v>43627.0</v>
      </c>
    </row>
    <row r="196">
      <c r="A196" s="67" t="str">
        <f t="shared" si="1"/>
        <v>Wed</v>
      </c>
      <c r="B196" s="69">
        <v>43628.0</v>
      </c>
    </row>
    <row r="197">
      <c r="A197" s="67" t="str">
        <f t="shared" si="1"/>
        <v>Thu</v>
      </c>
      <c r="B197" s="69">
        <v>43629.0</v>
      </c>
    </row>
    <row r="198">
      <c r="A198" s="67" t="str">
        <f t="shared" si="1"/>
        <v>Fri</v>
      </c>
      <c r="B198" s="69">
        <v>43630.0</v>
      </c>
    </row>
    <row r="199">
      <c r="A199" s="67" t="str">
        <f t="shared" si="1"/>
        <v>Sat</v>
      </c>
      <c r="B199" s="69">
        <v>43631.0</v>
      </c>
    </row>
    <row r="200">
      <c r="A200" s="67" t="str">
        <f t="shared" si="1"/>
        <v>Sun</v>
      </c>
      <c r="B200" s="69">
        <v>43632.0</v>
      </c>
    </row>
    <row r="201">
      <c r="A201" s="67" t="str">
        <f t="shared" si="1"/>
        <v>Mon</v>
      </c>
      <c r="B201" s="69">
        <v>43633.0</v>
      </c>
    </row>
    <row r="202">
      <c r="A202" s="67" t="str">
        <f t="shared" si="1"/>
        <v>Tue</v>
      </c>
      <c r="B202" s="69">
        <v>43634.0</v>
      </c>
    </row>
    <row r="203">
      <c r="A203" s="67" t="str">
        <f t="shared" si="1"/>
        <v>Wed</v>
      </c>
      <c r="B203" s="69">
        <v>43635.0</v>
      </c>
    </row>
    <row r="204">
      <c r="A204" s="67" t="str">
        <f t="shared" si="1"/>
        <v>Thu</v>
      </c>
      <c r="B204" s="69">
        <v>43636.0</v>
      </c>
      <c r="D204" s="161">
        <v>541.575</v>
      </c>
      <c r="E204" s="4" t="s">
        <v>169</v>
      </c>
      <c r="F204" s="4" t="s">
        <v>1890</v>
      </c>
      <c r="G204" s="4" t="s">
        <v>1890</v>
      </c>
      <c r="I204" s="4" t="s">
        <v>224</v>
      </c>
      <c r="K204" s="4" t="s">
        <v>231</v>
      </c>
      <c r="L204" s="4" t="s">
        <v>240</v>
      </c>
      <c r="M204" s="4" t="s">
        <v>226</v>
      </c>
    </row>
    <row r="205">
      <c r="A205" s="67" t="str">
        <f t="shared" si="1"/>
        <v>Fri</v>
      </c>
      <c r="B205" s="69">
        <v>43637.0</v>
      </c>
      <c r="D205" s="161">
        <v>541.575</v>
      </c>
      <c r="E205" s="4" t="s">
        <v>169</v>
      </c>
      <c r="F205" s="4" t="s">
        <v>1890</v>
      </c>
      <c r="I205" s="4" t="s">
        <v>224</v>
      </c>
    </row>
    <row r="206">
      <c r="A206" s="67" t="str">
        <f t="shared" si="1"/>
        <v>Sat</v>
      </c>
      <c r="B206" s="69">
        <v>43638.0</v>
      </c>
      <c r="D206" s="161">
        <v>541.575</v>
      </c>
      <c r="E206" s="4" t="s">
        <v>169</v>
      </c>
      <c r="F206" s="4" t="s">
        <v>1890</v>
      </c>
      <c r="I206" s="4" t="s">
        <v>224</v>
      </c>
    </row>
    <row r="207">
      <c r="A207" s="67" t="str">
        <f t="shared" si="1"/>
        <v>Sun</v>
      </c>
      <c r="B207" s="69">
        <v>43639.0</v>
      </c>
      <c r="D207" s="161">
        <v>541.575</v>
      </c>
      <c r="E207" s="4" t="s">
        <v>169</v>
      </c>
      <c r="F207" s="4" t="s">
        <v>1890</v>
      </c>
      <c r="I207" s="4" t="s">
        <v>224</v>
      </c>
    </row>
    <row r="208">
      <c r="A208" s="67" t="str">
        <f t="shared" si="1"/>
        <v>Mon</v>
      </c>
      <c r="B208" s="69">
        <v>43640.0</v>
      </c>
      <c r="H208" s="4" t="s">
        <v>1890</v>
      </c>
    </row>
    <row r="209">
      <c r="A209" s="67" t="str">
        <f t="shared" si="1"/>
        <v>Tue</v>
      </c>
      <c r="B209" s="69">
        <v>43641.0</v>
      </c>
    </row>
    <row r="210">
      <c r="A210" s="67" t="str">
        <f t="shared" si="1"/>
        <v>Wed</v>
      </c>
      <c r="B210" s="69">
        <v>43642.0</v>
      </c>
    </row>
    <row r="211">
      <c r="A211" s="67" t="str">
        <f t="shared" si="1"/>
        <v>Thu</v>
      </c>
      <c r="B211" s="69">
        <v>43643.0</v>
      </c>
    </row>
    <row r="212">
      <c r="A212" s="67" t="str">
        <f t="shared" si="1"/>
        <v>Fri</v>
      </c>
      <c r="B212" s="69">
        <v>43644.0</v>
      </c>
    </row>
    <row r="213">
      <c r="A213" s="67" t="str">
        <f t="shared" si="1"/>
        <v>Sat</v>
      </c>
      <c r="B213" s="69">
        <v>43645.0</v>
      </c>
    </row>
    <row r="214">
      <c r="A214" s="67" t="str">
        <f t="shared" si="1"/>
        <v>Sun</v>
      </c>
      <c r="B214" s="69">
        <v>43646.0</v>
      </c>
    </row>
    <row r="215">
      <c r="A215" s="67" t="str">
        <f t="shared" si="1"/>
        <v>Mon</v>
      </c>
      <c r="B215" s="69">
        <v>43647.0</v>
      </c>
    </row>
    <row r="216">
      <c r="A216" s="67" t="str">
        <f t="shared" si="1"/>
        <v>Tue</v>
      </c>
      <c r="B216" s="69">
        <v>43648.0</v>
      </c>
    </row>
    <row r="217">
      <c r="A217" s="67" t="str">
        <f t="shared" si="1"/>
        <v>Wed</v>
      </c>
      <c r="B217" s="69">
        <v>43649.0</v>
      </c>
    </row>
    <row r="218">
      <c r="A218" s="67" t="str">
        <f t="shared" si="1"/>
        <v>Thu</v>
      </c>
      <c r="B218" s="69">
        <v>43650.0</v>
      </c>
    </row>
    <row r="219">
      <c r="A219" s="67" t="str">
        <f t="shared" si="1"/>
        <v>Fri</v>
      </c>
      <c r="B219" s="69">
        <v>43651.0</v>
      </c>
    </row>
    <row r="220">
      <c r="A220" s="67" t="str">
        <f t="shared" si="1"/>
        <v>Sat</v>
      </c>
      <c r="B220" s="69">
        <v>43652.0</v>
      </c>
    </row>
    <row r="221">
      <c r="A221" s="67" t="str">
        <f t="shared" si="1"/>
        <v>Sun</v>
      </c>
      <c r="B221" s="69">
        <v>43653.0</v>
      </c>
    </row>
    <row r="222">
      <c r="A222" s="67" t="str">
        <f t="shared" si="1"/>
        <v>Mon</v>
      </c>
      <c r="B222" s="69">
        <v>43654.0</v>
      </c>
    </row>
    <row r="223">
      <c r="A223" s="67" t="str">
        <f t="shared" si="1"/>
        <v>Tue</v>
      </c>
      <c r="B223" s="69">
        <v>43655.0</v>
      </c>
    </row>
    <row r="224">
      <c r="A224" s="67" t="str">
        <f t="shared" si="1"/>
        <v>Wed</v>
      </c>
      <c r="B224" s="69">
        <v>43656.0</v>
      </c>
    </row>
    <row r="225">
      <c r="A225" s="67" t="str">
        <f t="shared" si="1"/>
        <v>Thu</v>
      </c>
      <c r="B225" s="69">
        <v>43657.0</v>
      </c>
    </row>
    <row r="226">
      <c r="A226" s="67" t="str">
        <f t="shared" si="1"/>
        <v>Fri</v>
      </c>
      <c r="B226" s="69">
        <v>43658.0</v>
      </c>
    </row>
    <row r="227">
      <c r="A227" s="67" t="str">
        <f t="shared" si="1"/>
        <v>Sat</v>
      </c>
      <c r="B227" s="69">
        <v>43659.0</v>
      </c>
    </row>
    <row r="228">
      <c r="A228" s="67" t="str">
        <f t="shared" si="1"/>
        <v>Sun</v>
      </c>
      <c r="B228" s="69">
        <v>43660.0</v>
      </c>
    </row>
    <row r="229">
      <c r="A229" s="67" t="str">
        <f t="shared" si="1"/>
        <v>Mon</v>
      </c>
      <c r="B229" s="69">
        <v>43661.0</v>
      </c>
    </row>
    <row r="230">
      <c r="A230" s="67" t="str">
        <f t="shared" si="1"/>
        <v>Tue</v>
      </c>
      <c r="B230" s="69">
        <v>43662.0</v>
      </c>
    </row>
    <row r="231">
      <c r="A231" s="67" t="str">
        <f t="shared" si="1"/>
        <v>Wed</v>
      </c>
      <c r="B231" s="69">
        <v>43663.0</v>
      </c>
    </row>
    <row r="232">
      <c r="A232" s="67" t="str">
        <f t="shared" si="1"/>
        <v>Thu</v>
      </c>
      <c r="B232" s="69">
        <v>43664.0</v>
      </c>
    </row>
    <row r="233">
      <c r="A233" s="67" t="str">
        <f t="shared" si="1"/>
        <v>Fri</v>
      </c>
      <c r="B233" s="69">
        <v>43665.0</v>
      </c>
    </row>
    <row r="234">
      <c r="A234" s="67" t="str">
        <f t="shared" si="1"/>
        <v>Sat</v>
      </c>
      <c r="B234" s="69">
        <v>43666.0</v>
      </c>
    </row>
    <row r="235">
      <c r="A235" s="67" t="str">
        <f t="shared" si="1"/>
        <v>Sun</v>
      </c>
      <c r="B235" s="69">
        <v>43667.0</v>
      </c>
    </row>
    <row r="236">
      <c r="A236" s="67" t="str">
        <f t="shared" si="1"/>
        <v>Mon</v>
      </c>
      <c r="B236" s="69">
        <v>43668.0</v>
      </c>
    </row>
    <row r="237">
      <c r="A237" s="67" t="str">
        <f t="shared" si="1"/>
        <v>Tue</v>
      </c>
      <c r="B237" s="69">
        <v>43669.0</v>
      </c>
    </row>
    <row r="238">
      <c r="A238" s="67" t="str">
        <f t="shared" si="1"/>
        <v>Wed</v>
      </c>
      <c r="B238" s="69">
        <v>43670.0</v>
      </c>
    </row>
    <row r="239">
      <c r="A239" s="67" t="str">
        <f t="shared" si="1"/>
        <v>Thu</v>
      </c>
      <c r="B239" s="69">
        <v>43671.0</v>
      </c>
    </row>
    <row r="240">
      <c r="A240" s="67" t="str">
        <f t="shared" si="1"/>
        <v>Fri</v>
      </c>
      <c r="B240" s="69">
        <v>43672.0</v>
      </c>
    </row>
    <row r="241">
      <c r="A241" s="67" t="str">
        <f t="shared" si="1"/>
        <v>Sat</v>
      </c>
      <c r="B241" s="69">
        <v>43673.0</v>
      </c>
    </row>
    <row r="242">
      <c r="A242" s="67" t="str">
        <f t="shared" si="1"/>
        <v>Sun</v>
      </c>
      <c r="B242" s="69">
        <v>43674.0</v>
      </c>
    </row>
    <row r="243">
      <c r="A243" s="67" t="str">
        <f t="shared" si="1"/>
        <v>Mon</v>
      </c>
      <c r="B243" s="69">
        <v>43675.0</v>
      </c>
    </row>
    <row r="244">
      <c r="A244" s="67" t="str">
        <f t="shared" si="1"/>
        <v>Tue</v>
      </c>
      <c r="B244" s="69">
        <v>43676.0</v>
      </c>
    </row>
    <row r="245">
      <c r="A245" s="67" t="str">
        <f t="shared" si="1"/>
        <v>Wed</v>
      </c>
      <c r="B245" s="69">
        <v>43677.0</v>
      </c>
    </row>
    <row r="246">
      <c r="A246" s="67" t="str">
        <f t="shared" si="1"/>
        <v>Thu</v>
      </c>
      <c r="B246" s="69">
        <v>43678.0</v>
      </c>
    </row>
    <row r="247">
      <c r="A247" s="67" t="str">
        <f t="shared" si="1"/>
        <v>Fri</v>
      </c>
      <c r="B247" s="69">
        <v>43679.0</v>
      </c>
    </row>
    <row r="248">
      <c r="A248" s="67" t="str">
        <f t="shared" si="1"/>
        <v>Sat</v>
      </c>
      <c r="B248" s="69">
        <v>43680.0</v>
      </c>
    </row>
    <row r="249">
      <c r="A249" s="67" t="str">
        <f t="shared" si="1"/>
        <v>Sun</v>
      </c>
      <c r="B249" s="69">
        <v>43681.0</v>
      </c>
    </row>
    <row r="250">
      <c r="A250" s="67" t="str">
        <f t="shared" si="1"/>
        <v>Mon</v>
      </c>
      <c r="B250" s="69">
        <v>43682.0</v>
      </c>
    </row>
    <row r="251">
      <c r="A251" s="67" t="str">
        <f t="shared" si="1"/>
        <v>Tue</v>
      </c>
      <c r="B251" s="69">
        <v>43683.0</v>
      </c>
    </row>
    <row r="252">
      <c r="A252" s="67" t="str">
        <f t="shared" si="1"/>
        <v>Wed</v>
      </c>
      <c r="B252" s="69">
        <v>43684.0</v>
      </c>
    </row>
    <row r="253">
      <c r="A253" s="67" t="str">
        <f t="shared" si="1"/>
        <v>Thu</v>
      </c>
      <c r="B253" s="69">
        <v>43685.0</v>
      </c>
    </row>
    <row r="254">
      <c r="A254" s="67" t="str">
        <f t="shared" si="1"/>
        <v>Fri</v>
      </c>
      <c r="B254" s="69">
        <v>43686.0</v>
      </c>
    </row>
    <row r="255">
      <c r="A255" s="67" t="str">
        <f t="shared" si="1"/>
        <v>Sat</v>
      </c>
      <c r="B255" s="69">
        <v>43687.0</v>
      </c>
    </row>
    <row r="256">
      <c r="A256" s="67" t="str">
        <f t="shared" si="1"/>
        <v>Sun</v>
      </c>
      <c r="B256" s="69">
        <v>43688.0</v>
      </c>
    </row>
    <row r="257">
      <c r="A257" s="67" t="str">
        <f t="shared" si="1"/>
        <v>Mon</v>
      </c>
      <c r="B257" s="69">
        <v>43689.0</v>
      </c>
    </row>
    <row r="258">
      <c r="A258" s="67" t="str">
        <f t="shared" si="1"/>
        <v>Tue</v>
      </c>
      <c r="B258" s="69">
        <v>43690.0</v>
      </c>
    </row>
    <row r="259">
      <c r="A259" s="67" t="str">
        <f t="shared" si="1"/>
        <v>Wed</v>
      </c>
      <c r="B259" s="69">
        <v>43691.0</v>
      </c>
    </row>
    <row r="260">
      <c r="A260" s="67" t="str">
        <f t="shared" si="1"/>
        <v>Thu</v>
      </c>
      <c r="B260" s="69">
        <v>43692.0</v>
      </c>
    </row>
    <row r="261">
      <c r="A261" s="67" t="str">
        <f t="shared" si="1"/>
        <v>Fri</v>
      </c>
      <c r="B261" s="69">
        <v>43693.0</v>
      </c>
    </row>
    <row r="262">
      <c r="A262" s="67" t="str">
        <f t="shared" si="1"/>
        <v>Sat</v>
      </c>
      <c r="B262" s="69">
        <v>43694.0</v>
      </c>
    </row>
    <row r="263">
      <c r="A263" s="67" t="str">
        <f t="shared" si="1"/>
        <v>Sun</v>
      </c>
      <c r="B263" s="69">
        <v>43695.0</v>
      </c>
    </row>
    <row r="264">
      <c r="A264" s="67" t="str">
        <f t="shared" si="1"/>
        <v>Mon</v>
      </c>
      <c r="B264" s="69">
        <v>43696.0</v>
      </c>
    </row>
    <row r="265">
      <c r="A265" s="67" t="str">
        <f t="shared" si="1"/>
        <v>Tue</v>
      </c>
      <c r="B265" s="69">
        <v>43697.0</v>
      </c>
    </row>
    <row r="266">
      <c r="A266" s="67" t="str">
        <f t="shared" si="1"/>
        <v>Wed</v>
      </c>
      <c r="B266" s="69">
        <v>43698.0</v>
      </c>
    </row>
    <row r="267">
      <c r="A267" t="str">
        <f t="shared" si="1"/>
        <v>Thu</v>
      </c>
      <c r="B267" s="187">
        <v>43699.0</v>
      </c>
    </row>
    <row r="268">
      <c r="A268" s="67" t="str">
        <f t="shared" si="1"/>
        <v>Fri</v>
      </c>
      <c r="B268" s="69">
        <v>43700.0</v>
      </c>
    </row>
    <row r="269">
      <c r="A269" s="67" t="str">
        <f t="shared" si="1"/>
        <v>Sat</v>
      </c>
      <c r="B269" s="69">
        <v>43701.0</v>
      </c>
    </row>
    <row r="270">
      <c r="A270" s="67" t="str">
        <f t="shared" si="1"/>
        <v>Sun</v>
      </c>
      <c r="B270" s="69">
        <v>43702.0</v>
      </c>
    </row>
    <row r="271">
      <c r="A271" s="67" t="str">
        <f t="shared" si="1"/>
        <v>Mon</v>
      </c>
      <c r="B271" s="69">
        <v>43703.0</v>
      </c>
    </row>
    <row r="272">
      <c r="A272" s="67" t="str">
        <f t="shared" si="1"/>
        <v>Tue</v>
      </c>
      <c r="B272" s="69">
        <v>43704.0</v>
      </c>
    </row>
    <row r="273">
      <c r="A273" s="67" t="str">
        <f t="shared" si="1"/>
        <v>Wed</v>
      </c>
      <c r="B273" s="69">
        <v>43705.0</v>
      </c>
    </row>
    <row r="274">
      <c r="A274" s="67" t="str">
        <f t="shared" si="1"/>
        <v>Thu</v>
      </c>
      <c r="B274" s="69">
        <v>43706.0</v>
      </c>
    </row>
    <row r="275">
      <c r="A275" s="67" t="str">
        <f t="shared" si="1"/>
        <v>Fri</v>
      </c>
      <c r="B275" s="69">
        <v>43707.0</v>
      </c>
    </row>
    <row r="276">
      <c r="A276" s="67" t="str">
        <f t="shared" si="1"/>
        <v>Sat</v>
      </c>
      <c r="B276" s="69">
        <v>43708.0</v>
      </c>
    </row>
    <row r="277">
      <c r="A277" s="67" t="str">
        <f t="shared" si="1"/>
        <v>Sun</v>
      </c>
      <c r="B277" s="69">
        <v>43709.0</v>
      </c>
    </row>
    <row r="278">
      <c r="A278" s="67" t="str">
        <f t="shared" si="1"/>
        <v>Mon</v>
      </c>
      <c r="B278" s="69">
        <v>43710.0</v>
      </c>
    </row>
    <row r="279">
      <c r="A279" s="67" t="str">
        <f t="shared" si="1"/>
        <v>Tue</v>
      </c>
      <c r="B279" s="69">
        <v>43711.0</v>
      </c>
    </row>
    <row r="280">
      <c r="A280" s="67" t="str">
        <f t="shared" si="1"/>
        <v>Wed</v>
      </c>
      <c r="B280" s="69">
        <v>43712.0</v>
      </c>
    </row>
    <row r="281">
      <c r="A281" s="67" t="str">
        <f t="shared" si="1"/>
        <v>Thu</v>
      </c>
      <c r="B281" s="69">
        <v>43713.0</v>
      </c>
    </row>
    <row r="282">
      <c r="A282" s="67" t="str">
        <f t="shared" si="1"/>
        <v>Fri</v>
      </c>
      <c r="B282" s="69">
        <v>43714.0</v>
      </c>
    </row>
    <row r="283">
      <c r="A283" s="67" t="str">
        <f t="shared" si="1"/>
        <v>Sat</v>
      </c>
      <c r="B283" s="69">
        <v>43715.0</v>
      </c>
    </row>
    <row r="284">
      <c r="A284" s="67" t="str">
        <f t="shared" si="1"/>
        <v>Sun</v>
      </c>
      <c r="B284" s="69">
        <v>43716.0</v>
      </c>
    </row>
    <row r="285">
      <c r="A285" s="67" t="str">
        <f t="shared" si="1"/>
        <v>Mon</v>
      </c>
      <c r="B285" s="69">
        <v>43717.0</v>
      </c>
    </row>
    <row r="286">
      <c r="A286" s="67" t="str">
        <f t="shared" si="1"/>
        <v>Tue</v>
      </c>
      <c r="B286" s="69">
        <v>43718.0</v>
      </c>
    </row>
    <row r="287">
      <c r="A287" s="67" t="str">
        <f t="shared" si="1"/>
        <v>Wed</v>
      </c>
      <c r="B287" s="69">
        <v>43719.0</v>
      </c>
    </row>
    <row r="288">
      <c r="A288" s="67" t="str">
        <f t="shared" si="1"/>
        <v>Thu</v>
      </c>
      <c r="B288" s="69">
        <v>43720.0</v>
      </c>
    </row>
    <row r="289">
      <c r="A289" s="67" t="str">
        <f t="shared" si="1"/>
        <v>Fri</v>
      </c>
      <c r="B289" s="69">
        <v>43721.0</v>
      </c>
    </row>
    <row r="290">
      <c r="A290" s="67" t="str">
        <f t="shared" si="1"/>
        <v>Sat</v>
      </c>
      <c r="B290" s="69">
        <v>43722.0</v>
      </c>
    </row>
    <row r="291">
      <c r="A291" s="67" t="str">
        <f t="shared" si="1"/>
        <v>Sun</v>
      </c>
      <c r="B291" s="69">
        <v>43723.0</v>
      </c>
    </row>
    <row r="292">
      <c r="A292" s="67" t="str">
        <f t="shared" si="1"/>
        <v>Mon</v>
      </c>
      <c r="B292" s="69">
        <v>43724.0</v>
      </c>
    </row>
    <row r="293">
      <c r="A293" s="67" t="str">
        <f t="shared" si="1"/>
        <v>Tue</v>
      </c>
      <c r="B293" s="69">
        <v>43725.0</v>
      </c>
    </row>
    <row r="294">
      <c r="A294" s="67" t="str">
        <f t="shared" si="1"/>
        <v>Wed</v>
      </c>
      <c r="B294" s="69">
        <v>43726.0</v>
      </c>
    </row>
    <row r="295">
      <c r="A295" s="67" t="str">
        <f t="shared" si="1"/>
        <v>Thu</v>
      </c>
      <c r="B295" s="69">
        <v>43727.0</v>
      </c>
    </row>
    <row r="296">
      <c r="A296" s="67" t="str">
        <f t="shared" si="1"/>
        <v>Fri</v>
      </c>
      <c r="B296" s="69">
        <v>43728.0</v>
      </c>
    </row>
    <row r="297">
      <c r="A297" s="67" t="str">
        <f t="shared" si="1"/>
        <v>Sat</v>
      </c>
      <c r="B297" s="69">
        <v>43729.0</v>
      </c>
    </row>
    <row r="298">
      <c r="A298" s="67" t="str">
        <f t="shared" si="1"/>
        <v>Sun</v>
      </c>
      <c r="B298" s="69">
        <v>43730.0</v>
      </c>
    </row>
    <row r="299">
      <c r="A299" s="67" t="str">
        <f t="shared" si="1"/>
        <v>Mon</v>
      </c>
      <c r="B299" s="69">
        <v>43731.0</v>
      </c>
    </row>
    <row r="300">
      <c r="A300" s="67" t="str">
        <f t="shared" si="1"/>
        <v>Tue</v>
      </c>
      <c r="B300" s="69">
        <v>43732.0</v>
      </c>
    </row>
    <row r="301">
      <c r="A301" s="67" t="str">
        <f t="shared" si="1"/>
        <v>Wed</v>
      </c>
      <c r="B301" s="69">
        <v>43733.0</v>
      </c>
    </row>
    <row r="302">
      <c r="A302" s="67" t="str">
        <f t="shared" si="1"/>
        <v>Thu</v>
      </c>
      <c r="B302" s="69">
        <v>43734.0</v>
      </c>
    </row>
    <row r="303">
      <c r="A303" s="67" t="str">
        <f t="shared" si="1"/>
        <v>Fri</v>
      </c>
      <c r="B303" s="69">
        <v>43735.0</v>
      </c>
    </row>
    <row r="304">
      <c r="A304" s="67" t="str">
        <f t="shared" si="1"/>
        <v>Sat</v>
      </c>
      <c r="B304" s="69">
        <v>43736.0</v>
      </c>
    </row>
    <row r="305">
      <c r="A305" s="67" t="str">
        <f t="shared" si="1"/>
        <v>Sun</v>
      </c>
      <c r="B305" s="69">
        <v>43737.0</v>
      </c>
    </row>
    <row r="306">
      <c r="A306" s="67" t="str">
        <f t="shared" si="1"/>
        <v>Mon</v>
      </c>
      <c r="B306" s="69">
        <v>43738.0</v>
      </c>
    </row>
    <row r="307">
      <c r="A307" s="67" t="str">
        <f t="shared" si="1"/>
        <v>Tue</v>
      </c>
      <c r="B307" s="69">
        <v>43739.0</v>
      </c>
    </row>
    <row r="308">
      <c r="A308" s="67" t="str">
        <f t="shared" si="1"/>
        <v>Wed</v>
      </c>
      <c r="B308" s="69">
        <v>43740.0</v>
      </c>
    </row>
    <row r="309">
      <c r="A309" s="67" t="str">
        <f t="shared" si="1"/>
        <v>Thu</v>
      </c>
      <c r="B309" s="69">
        <v>43741.0</v>
      </c>
    </row>
    <row r="310">
      <c r="A310" s="67" t="str">
        <f t="shared" si="1"/>
        <v>Fri</v>
      </c>
      <c r="B310" s="69">
        <v>43742.0</v>
      </c>
    </row>
    <row r="311">
      <c r="A311" s="67" t="str">
        <f t="shared" si="1"/>
        <v>Sat</v>
      </c>
      <c r="B311" s="69">
        <v>43743.0</v>
      </c>
    </row>
    <row r="312">
      <c r="A312" s="67" t="str">
        <f t="shared" si="1"/>
        <v>Sun</v>
      </c>
      <c r="B312" s="69">
        <v>43744.0</v>
      </c>
    </row>
    <row r="313">
      <c r="A313" s="67" t="str">
        <f t="shared" si="1"/>
        <v>Mon</v>
      </c>
      <c r="B313" s="69">
        <v>43745.0</v>
      </c>
    </row>
    <row r="314">
      <c r="A314" s="67" t="str">
        <f t="shared" si="1"/>
        <v>Tue</v>
      </c>
      <c r="B314" s="69">
        <v>43746.0</v>
      </c>
    </row>
    <row r="315">
      <c r="A315" s="67" t="str">
        <f t="shared" si="1"/>
        <v>Wed</v>
      </c>
      <c r="B315" s="69">
        <v>43747.0</v>
      </c>
    </row>
    <row r="316">
      <c r="A316" s="67" t="str">
        <f t="shared" si="1"/>
        <v>Thu</v>
      </c>
      <c r="B316" s="69">
        <v>43748.0</v>
      </c>
    </row>
    <row r="317">
      <c r="A317" s="67" t="str">
        <f t="shared" si="1"/>
        <v>Fri</v>
      </c>
      <c r="B317" s="69">
        <v>43749.0</v>
      </c>
    </row>
    <row r="318">
      <c r="A318" s="67" t="str">
        <f t="shared" si="1"/>
        <v>Sat</v>
      </c>
      <c r="B318" s="69">
        <v>43750.0</v>
      </c>
    </row>
    <row r="319">
      <c r="A319" s="67" t="str">
        <f t="shared" si="1"/>
        <v>Sun</v>
      </c>
      <c r="B319" s="69">
        <v>43751.0</v>
      </c>
    </row>
    <row r="320">
      <c r="A320" s="67" t="str">
        <f t="shared" si="1"/>
        <v>Mon</v>
      </c>
      <c r="B320" s="69">
        <v>43752.0</v>
      </c>
    </row>
    <row r="321">
      <c r="A321" s="67" t="str">
        <f t="shared" si="1"/>
        <v>Tue</v>
      </c>
      <c r="B321" s="69">
        <v>43753.0</v>
      </c>
    </row>
    <row r="322">
      <c r="A322" s="67" t="str">
        <f t="shared" si="1"/>
        <v>Wed</v>
      </c>
      <c r="B322" s="69">
        <v>43754.0</v>
      </c>
    </row>
    <row r="323">
      <c r="A323" s="67" t="str">
        <f t="shared" si="1"/>
        <v>Thu</v>
      </c>
      <c r="B323" s="69">
        <v>43755.0</v>
      </c>
    </row>
    <row r="324">
      <c r="A324" s="67" t="str">
        <f t="shared" si="1"/>
        <v>Fri</v>
      </c>
      <c r="B324" s="69">
        <v>43756.0</v>
      </c>
    </row>
    <row r="325">
      <c r="A325" s="67" t="str">
        <f t="shared" si="1"/>
        <v>Sat</v>
      </c>
      <c r="B325" s="69">
        <v>43757.0</v>
      </c>
    </row>
    <row r="326">
      <c r="A326" s="67" t="str">
        <f t="shared" si="1"/>
        <v>Sun</v>
      </c>
      <c r="B326" s="69">
        <v>43758.0</v>
      </c>
    </row>
    <row r="327">
      <c r="A327" s="67" t="str">
        <f t="shared" si="1"/>
        <v>Mon</v>
      </c>
      <c r="B327" s="69">
        <v>43759.0</v>
      </c>
    </row>
    <row r="328">
      <c r="A328" s="67" t="str">
        <f t="shared" si="1"/>
        <v>Tue</v>
      </c>
      <c r="B328" s="69">
        <v>43760.0</v>
      </c>
    </row>
    <row r="329">
      <c r="A329" s="67" t="str">
        <f t="shared" si="1"/>
        <v>Wed</v>
      </c>
      <c r="B329" s="69">
        <v>43761.0</v>
      </c>
    </row>
    <row r="330">
      <c r="A330" s="67" t="str">
        <f t="shared" si="1"/>
        <v>Thu</v>
      </c>
      <c r="B330" s="69">
        <v>43762.0</v>
      </c>
    </row>
    <row r="331">
      <c r="A331" s="67" t="str">
        <f t="shared" si="1"/>
        <v>Fri</v>
      </c>
      <c r="B331" s="69">
        <v>43763.0</v>
      </c>
    </row>
    <row r="332">
      <c r="A332" s="67" t="str">
        <f t="shared" si="1"/>
        <v>Sat</v>
      </c>
      <c r="B332" s="69">
        <v>43764.0</v>
      </c>
    </row>
    <row r="333">
      <c r="A333" s="67" t="str">
        <f t="shared" si="1"/>
        <v>Sun</v>
      </c>
      <c r="B333" s="69">
        <v>43765.0</v>
      </c>
    </row>
    <row r="334">
      <c r="A334" s="67" t="str">
        <f t="shared" si="1"/>
        <v>Mon</v>
      </c>
      <c r="B334" s="69">
        <v>43766.0</v>
      </c>
    </row>
    <row r="335">
      <c r="A335" s="67" t="str">
        <f t="shared" si="1"/>
        <v>Tue</v>
      </c>
      <c r="B335" s="69">
        <v>43767.0</v>
      </c>
    </row>
    <row r="336">
      <c r="A336" s="67" t="str">
        <f t="shared" si="1"/>
        <v>Wed</v>
      </c>
      <c r="B336" s="69">
        <v>43768.0</v>
      </c>
    </row>
    <row r="337">
      <c r="A337" s="67" t="str">
        <f t="shared" si="1"/>
        <v>Thu</v>
      </c>
      <c r="B337" s="69">
        <v>43769.0</v>
      </c>
    </row>
    <row r="338">
      <c r="A338" s="67" t="str">
        <f t="shared" si="1"/>
        <v>Fri</v>
      </c>
      <c r="B338" s="69">
        <v>43770.0</v>
      </c>
    </row>
    <row r="339">
      <c r="A339" s="67" t="str">
        <f t="shared" si="1"/>
        <v>Sat</v>
      </c>
      <c r="B339" s="69">
        <v>43771.0</v>
      </c>
    </row>
    <row r="340">
      <c r="A340" s="67" t="str">
        <f t="shared" si="1"/>
        <v>Sun</v>
      </c>
      <c r="B340" s="69">
        <v>43772.0</v>
      </c>
    </row>
    <row r="341">
      <c r="A341" s="67" t="str">
        <f t="shared" si="1"/>
        <v>Mon</v>
      </c>
      <c r="B341" s="69">
        <v>43773.0</v>
      </c>
    </row>
    <row r="342">
      <c r="A342" s="67" t="str">
        <f t="shared" si="1"/>
        <v>Tue</v>
      </c>
      <c r="B342" s="69">
        <v>43774.0</v>
      </c>
    </row>
    <row r="343">
      <c r="A343" s="67" t="str">
        <f t="shared" si="1"/>
        <v>Wed</v>
      </c>
      <c r="B343" s="69">
        <v>43775.0</v>
      </c>
    </row>
    <row r="344">
      <c r="A344" s="67" t="str">
        <f t="shared" si="1"/>
        <v>Thu</v>
      </c>
      <c r="B344" s="69">
        <v>43776.0</v>
      </c>
    </row>
    <row r="345">
      <c r="A345" s="67" t="str">
        <f t="shared" si="1"/>
        <v>Fri</v>
      </c>
      <c r="B345" s="69">
        <v>43777.0</v>
      </c>
    </row>
    <row r="346">
      <c r="A346" s="67" t="str">
        <f t="shared" si="1"/>
        <v>Sat</v>
      </c>
      <c r="B346" s="69">
        <v>43778.0</v>
      </c>
    </row>
    <row r="347">
      <c r="A347" s="67" t="str">
        <f t="shared" si="1"/>
        <v>Sun</v>
      </c>
      <c r="B347" s="69">
        <v>43779.0</v>
      </c>
    </row>
    <row r="348">
      <c r="A348" s="67" t="str">
        <f t="shared" si="1"/>
        <v>Mon</v>
      </c>
      <c r="B348" s="69">
        <v>43780.0</v>
      </c>
    </row>
    <row r="349">
      <c r="A349" s="67" t="str">
        <f t="shared" si="1"/>
        <v>Tue</v>
      </c>
      <c r="B349" s="69">
        <v>43781.0</v>
      </c>
    </row>
    <row r="350">
      <c r="A350" s="67" t="str">
        <f t="shared" si="1"/>
        <v>Wed</v>
      </c>
      <c r="B350" s="69">
        <v>43782.0</v>
      </c>
    </row>
    <row r="351">
      <c r="A351" s="67" t="str">
        <f t="shared" si="1"/>
        <v>Thu</v>
      </c>
      <c r="B351" s="69">
        <v>43783.0</v>
      </c>
    </row>
    <row r="352">
      <c r="A352" s="67" t="str">
        <f t="shared" si="1"/>
        <v>Fri</v>
      </c>
      <c r="B352" s="69">
        <v>43784.0</v>
      </c>
    </row>
    <row r="353">
      <c r="A353" s="67" t="str">
        <f t="shared" si="1"/>
        <v>Sat</v>
      </c>
      <c r="B353" s="69">
        <v>43785.0</v>
      </c>
    </row>
    <row r="354">
      <c r="A354" s="67" t="str">
        <f t="shared" si="1"/>
        <v>Sun</v>
      </c>
      <c r="B354" s="69">
        <v>43786.0</v>
      </c>
    </row>
    <row r="355">
      <c r="A355" s="67" t="str">
        <f t="shared" si="1"/>
        <v>Mon</v>
      </c>
      <c r="B355" s="69">
        <v>43787.0</v>
      </c>
    </row>
    <row r="356">
      <c r="A356" s="67" t="str">
        <f t="shared" si="1"/>
        <v>Tue</v>
      </c>
      <c r="B356" s="69">
        <v>43788.0</v>
      </c>
    </row>
    <row r="357">
      <c r="A357" s="67" t="str">
        <f t="shared" si="1"/>
        <v>Wed</v>
      </c>
      <c r="B357" s="69">
        <v>43789.0</v>
      </c>
    </row>
    <row r="358">
      <c r="A358" s="67" t="str">
        <f t="shared" si="1"/>
        <v>Thu</v>
      </c>
      <c r="B358" s="69">
        <v>43790.0</v>
      </c>
    </row>
    <row r="359">
      <c r="A359" s="67" t="str">
        <f t="shared" si="1"/>
        <v>Fri</v>
      </c>
      <c r="B359" s="69">
        <v>43791.0</v>
      </c>
    </row>
    <row r="360">
      <c r="A360" s="67" t="str">
        <f t="shared" si="1"/>
        <v>Sat</v>
      </c>
      <c r="B360" s="69">
        <v>43792.0</v>
      </c>
    </row>
    <row r="361">
      <c r="A361" s="67" t="str">
        <f t="shared" si="1"/>
        <v>Sun</v>
      </c>
      <c r="B361" s="69">
        <v>43793.0</v>
      </c>
    </row>
    <row r="362">
      <c r="A362" s="67" t="str">
        <f t="shared" si="1"/>
        <v>Mon</v>
      </c>
      <c r="B362" s="69">
        <v>43794.0</v>
      </c>
    </row>
    <row r="363">
      <c r="A363" s="67" t="str">
        <f t="shared" si="1"/>
        <v>Tue</v>
      </c>
      <c r="B363" s="69">
        <v>43795.0</v>
      </c>
    </row>
    <row r="364">
      <c r="A364" s="67" t="str">
        <f t="shared" si="1"/>
        <v>Wed</v>
      </c>
      <c r="B364" s="69">
        <v>43796.0</v>
      </c>
    </row>
    <row r="365">
      <c r="A365" s="67" t="str">
        <f t="shared" si="1"/>
        <v>Thu</v>
      </c>
      <c r="B365" s="69">
        <v>43797.0</v>
      </c>
    </row>
    <row r="366">
      <c r="A366" s="67" t="str">
        <f t="shared" si="1"/>
        <v>Fri</v>
      </c>
      <c r="B366" s="69">
        <v>43798.0</v>
      </c>
    </row>
    <row r="367">
      <c r="A367" s="67" t="str">
        <f t="shared" si="1"/>
        <v>Sat</v>
      </c>
      <c r="B367" s="69">
        <v>43799.0</v>
      </c>
    </row>
    <row r="368">
      <c r="A368" s="67" t="str">
        <f t="shared" si="1"/>
        <v>Sun</v>
      </c>
      <c r="B368" s="69">
        <v>43800.0</v>
      </c>
    </row>
    <row r="369">
      <c r="A369" s="67" t="str">
        <f t="shared" si="1"/>
        <v>Mon</v>
      </c>
      <c r="B369" s="69">
        <v>43801.0</v>
      </c>
    </row>
    <row r="370">
      <c r="A370" s="67" t="str">
        <f t="shared" si="1"/>
        <v>Tue</v>
      </c>
      <c r="B370" s="69">
        <v>43802.0</v>
      </c>
    </row>
    <row r="371">
      <c r="A371" s="67" t="str">
        <f t="shared" si="1"/>
        <v>Wed</v>
      </c>
      <c r="B371" s="69">
        <v>43803.0</v>
      </c>
    </row>
    <row r="372">
      <c r="A372" s="67" t="str">
        <f t="shared" si="1"/>
        <v>Thu</v>
      </c>
      <c r="B372" s="69">
        <v>43804.0</v>
      </c>
    </row>
    <row r="373">
      <c r="A373" s="67" t="str">
        <f t="shared" si="1"/>
        <v>Fri</v>
      </c>
      <c r="B373" s="69">
        <v>43805.0</v>
      </c>
    </row>
    <row r="374">
      <c r="A374" s="67" t="str">
        <f t="shared" si="1"/>
        <v>Sat</v>
      </c>
      <c r="B374" s="69">
        <v>43806.0</v>
      </c>
    </row>
    <row r="375">
      <c r="A375" s="67" t="str">
        <f t="shared" si="1"/>
        <v>Sun</v>
      </c>
      <c r="B375" s="69">
        <v>43807.0</v>
      </c>
    </row>
    <row r="376">
      <c r="A376" s="67" t="str">
        <f t="shared" si="1"/>
        <v>Mon</v>
      </c>
      <c r="B376" s="69">
        <v>43808.0</v>
      </c>
    </row>
    <row r="377">
      <c r="A377" s="67" t="str">
        <f t="shared" si="1"/>
        <v>Tue</v>
      </c>
      <c r="B377" s="69">
        <v>43809.0</v>
      </c>
    </row>
    <row r="378">
      <c r="A378" s="67" t="str">
        <f t="shared" si="1"/>
        <v>Wed</v>
      </c>
      <c r="B378" s="69">
        <v>43810.0</v>
      </c>
    </row>
    <row r="379">
      <c r="A379" s="67" t="str">
        <f t="shared" si="1"/>
        <v>Thu</v>
      </c>
      <c r="B379" s="69">
        <v>43811.0</v>
      </c>
    </row>
    <row r="380">
      <c r="A380" s="67" t="str">
        <f t="shared" si="1"/>
        <v>Fri</v>
      </c>
      <c r="B380" s="69">
        <v>43812.0</v>
      </c>
    </row>
    <row r="381">
      <c r="A381" s="67" t="str">
        <f t="shared" si="1"/>
        <v>Sat</v>
      </c>
      <c r="B381" s="69">
        <v>43813.0</v>
      </c>
    </row>
    <row r="382">
      <c r="A382" s="67" t="str">
        <f t="shared" si="1"/>
        <v>Sun</v>
      </c>
      <c r="B382" s="69">
        <v>43814.0</v>
      </c>
    </row>
    <row r="383">
      <c r="A383" s="67" t="str">
        <f t="shared" si="1"/>
        <v>Mon</v>
      </c>
      <c r="B383" s="69">
        <v>43815.0</v>
      </c>
    </row>
    <row r="384">
      <c r="A384" s="67" t="str">
        <f t="shared" si="1"/>
        <v>Tue</v>
      </c>
      <c r="B384" s="69">
        <v>43816.0</v>
      </c>
    </row>
    <row r="385">
      <c r="A385" s="67" t="str">
        <f t="shared" si="1"/>
        <v>Wed</v>
      </c>
      <c r="B385" s="69">
        <v>43817.0</v>
      </c>
    </row>
    <row r="386">
      <c r="A386" s="67" t="str">
        <f t="shared" si="1"/>
        <v>Thu</v>
      </c>
      <c r="B386" s="69">
        <v>43818.0</v>
      </c>
    </row>
    <row r="387">
      <c r="A387" s="67" t="str">
        <f t="shared" si="1"/>
        <v>Fri</v>
      </c>
      <c r="B387" s="69">
        <v>43819.0</v>
      </c>
    </row>
    <row r="388">
      <c r="A388" s="67" t="str">
        <f t="shared" si="1"/>
        <v>Sat</v>
      </c>
      <c r="B388" s="69">
        <v>43820.0</v>
      </c>
    </row>
    <row r="389">
      <c r="A389" s="67" t="str">
        <f t="shared" si="1"/>
        <v>Sun</v>
      </c>
      <c r="B389" s="69">
        <v>43821.0</v>
      </c>
    </row>
    <row r="390">
      <c r="A390" s="67" t="str">
        <f t="shared" si="1"/>
        <v>Mon</v>
      </c>
      <c r="B390" s="69">
        <v>43822.0</v>
      </c>
    </row>
    <row r="391">
      <c r="A391" s="67" t="str">
        <f t="shared" si="1"/>
        <v>Tue</v>
      </c>
      <c r="B391" s="69">
        <v>43823.0</v>
      </c>
    </row>
    <row r="392">
      <c r="A392" s="67" t="str">
        <f t="shared" si="1"/>
        <v>Wed</v>
      </c>
      <c r="B392" s="69">
        <v>43824.0</v>
      </c>
    </row>
    <row r="393">
      <c r="A393" s="67" t="str">
        <f t="shared" si="1"/>
        <v>Thu</v>
      </c>
      <c r="B393" s="69">
        <v>43825.0</v>
      </c>
    </row>
    <row r="394">
      <c r="A394" s="67" t="str">
        <f t="shared" si="1"/>
        <v>Fri</v>
      </c>
      <c r="B394" s="69">
        <v>43826.0</v>
      </c>
    </row>
    <row r="395">
      <c r="A395" s="67" t="str">
        <f t="shared" si="1"/>
        <v>Sat</v>
      </c>
      <c r="B395" s="69">
        <v>43827.0</v>
      </c>
    </row>
    <row r="396">
      <c r="A396" s="67" t="str">
        <f t="shared" si="1"/>
        <v>Sun</v>
      </c>
      <c r="B396" s="69">
        <v>43828.0</v>
      </c>
    </row>
    <row r="397">
      <c r="A397" s="67" t="str">
        <f t="shared" si="1"/>
        <v>Mon</v>
      </c>
      <c r="B397" s="69">
        <v>43829.0</v>
      </c>
    </row>
    <row r="398">
      <c r="A398" s="67" t="str">
        <f t="shared" si="1"/>
        <v>Tue</v>
      </c>
      <c r="B398" s="69">
        <v>43830.0</v>
      </c>
    </row>
  </sheetData>
  <mergeCells count="5">
    <mergeCell ref="A1:C3"/>
    <mergeCell ref="E1:F1"/>
    <mergeCell ref="E2:F2"/>
    <mergeCell ref="E3:F3"/>
    <mergeCell ref="G1:R3"/>
  </mergeCells>
  <conditionalFormatting sqref="K4:L398">
    <cfRule type="cellIs" dxfId="0" priority="1" operator="equal">
      <formula>"Enviar email para hotel"</formula>
    </cfRule>
  </conditionalFormatting>
  <dataValidations>
    <dataValidation type="list" allowBlank="1" sqref="L93:L398">
      <formula1>"Enviar email para hotel,Enviado para o hotel,Código de reserva enviado para hóspede,Verificar dados com o hóspede,URGENTE,Fechado"</formula1>
    </dataValidation>
    <dataValidation type="list" allowBlank="1" sqref="K6:L92">
      <formula1>"Enviar email para hotel,Enviado para o hotel,Código de reserva enviado para hóspede,Fechado"</formula1>
    </dataValidation>
    <dataValidation type="list" allowBlank="1" sqref="K93:K398">
      <formula1>"A PAGAR,PARCIALMENTE PAGO,PAGO"</formula1>
    </dataValidation>
  </dataValidations>
  <hyperlinks>
    <hyperlink display="Sumario" location="Sumario!A1" ref="A4"/>
  </hyperlinks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13.57"/>
    <col customWidth="1" min="4" max="4" width="17.0"/>
  </cols>
  <sheetData>
    <row r="1">
      <c r="A1" s="1"/>
      <c r="B1" s="2"/>
      <c r="C1" s="3"/>
      <c r="D1" s="11" t="s">
        <v>198</v>
      </c>
      <c r="E1" s="153" t="s">
        <v>199</v>
      </c>
      <c r="F1" s="3"/>
      <c r="G1" s="154" t="s">
        <v>1837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>
      <c r="A2" s="13"/>
      <c r="C2" s="15"/>
      <c r="D2" s="9" t="s">
        <v>201</v>
      </c>
      <c r="E2" s="156">
        <v>4406.0</v>
      </c>
      <c r="F2" s="15"/>
      <c r="S2" s="15"/>
    </row>
    <row r="3">
      <c r="A3" s="17"/>
      <c r="B3" s="19"/>
      <c r="C3" s="21"/>
      <c r="D3" s="26" t="s">
        <v>202</v>
      </c>
      <c r="E3" s="157" t="s">
        <v>95</v>
      </c>
      <c r="F3" s="21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21"/>
    </row>
    <row r="4">
      <c r="A4" s="158" t="s">
        <v>203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N4" s="30"/>
      <c r="O4" s="30"/>
      <c r="P4" s="30"/>
      <c r="Q4" s="30"/>
      <c r="R4" s="30"/>
      <c r="S4" s="30"/>
      <c r="T4" s="30"/>
      <c r="U4" s="30"/>
    </row>
    <row r="5">
      <c r="A5" s="42" t="s">
        <v>204</v>
      </c>
      <c r="B5" s="45" t="s">
        <v>33</v>
      </c>
      <c r="C5" s="45" t="s">
        <v>205</v>
      </c>
      <c r="D5" s="45" t="s">
        <v>206</v>
      </c>
      <c r="E5" s="45" t="s">
        <v>207</v>
      </c>
      <c r="F5" s="45" t="s">
        <v>208</v>
      </c>
      <c r="G5" s="45" t="s">
        <v>209</v>
      </c>
      <c r="H5" s="45" t="s">
        <v>210</v>
      </c>
      <c r="I5" s="45" t="s">
        <v>211</v>
      </c>
      <c r="J5" s="45" t="s">
        <v>212</v>
      </c>
      <c r="K5" s="45" t="s">
        <v>213</v>
      </c>
      <c r="L5" s="45" t="s">
        <v>214</v>
      </c>
      <c r="M5" s="45" t="s">
        <v>215</v>
      </c>
      <c r="N5" s="45" t="s">
        <v>216</v>
      </c>
      <c r="O5" s="45" t="s">
        <v>217</v>
      </c>
      <c r="P5" s="45" t="s">
        <v>218</v>
      </c>
      <c r="Q5" s="45" t="s">
        <v>219</v>
      </c>
      <c r="R5" s="45" t="s">
        <v>220</v>
      </c>
      <c r="S5" s="159" t="s">
        <v>221</v>
      </c>
    </row>
    <row r="6" hidden="1">
      <c r="A6" s="67" t="str">
        <f t="shared" ref="A6:A339" si="1">CHOOSE(weekday(B6),"Sun","Mon","Tue","Wed","Thu","Fri","Sat")</f>
        <v>Fri</v>
      </c>
      <c r="B6" s="69">
        <v>43497.0</v>
      </c>
      <c r="S6" s="15"/>
    </row>
    <row r="7" hidden="1">
      <c r="A7" s="67" t="str">
        <f t="shared" si="1"/>
        <v>Sat</v>
      </c>
      <c r="B7" s="69">
        <v>43498.0</v>
      </c>
      <c r="S7" s="15"/>
    </row>
    <row r="8" hidden="1">
      <c r="A8" s="67" t="str">
        <f t="shared" si="1"/>
        <v>Sun</v>
      </c>
      <c r="B8" s="69">
        <v>43499.0</v>
      </c>
      <c r="S8" s="15"/>
    </row>
    <row r="9" hidden="1">
      <c r="A9" s="67" t="str">
        <f t="shared" si="1"/>
        <v>Mon</v>
      </c>
      <c r="B9" s="69">
        <v>43500.0</v>
      </c>
      <c r="S9" s="15"/>
    </row>
    <row r="10" hidden="1">
      <c r="A10" s="67" t="str">
        <f t="shared" si="1"/>
        <v>Tue</v>
      </c>
      <c r="B10" s="69">
        <v>43501.0</v>
      </c>
      <c r="S10" s="15"/>
    </row>
    <row r="11" hidden="1">
      <c r="A11" s="67" t="str">
        <f t="shared" si="1"/>
        <v>Wed</v>
      </c>
      <c r="B11" s="69">
        <v>43502.0</v>
      </c>
      <c r="S11" s="15"/>
    </row>
    <row r="12" hidden="1">
      <c r="A12" s="67" t="str">
        <f t="shared" si="1"/>
        <v>Thu</v>
      </c>
      <c r="B12" s="69">
        <v>43503.0</v>
      </c>
      <c r="S12" s="15"/>
    </row>
    <row r="13" hidden="1">
      <c r="A13" s="67" t="str">
        <f t="shared" si="1"/>
        <v>Fri</v>
      </c>
      <c r="B13" s="69">
        <v>43504.0</v>
      </c>
      <c r="S13" s="15"/>
    </row>
    <row r="14" hidden="1">
      <c r="A14" s="67" t="str">
        <f t="shared" si="1"/>
        <v>Sat</v>
      </c>
      <c r="B14" s="69">
        <v>43505.0</v>
      </c>
      <c r="S14" s="15"/>
    </row>
    <row r="15" hidden="1">
      <c r="A15" s="67" t="str">
        <f t="shared" si="1"/>
        <v>Sun</v>
      </c>
      <c r="B15" s="69">
        <v>43506.0</v>
      </c>
      <c r="M15" s="4"/>
      <c r="N15" s="4"/>
      <c r="O15" s="4"/>
      <c r="S15" s="15"/>
    </row>
    <row r="16" hidden="1">
      <c r="A16" s="67" t="str">
        <f t="shared" si="1"/>
        <v>Mon</v>
      </c>
      <c r="B16" s="69">
        <v>43507.0</v>
      </c>
      <c r="M16" s="4"/>
      <c r="N16" s="4"/>
      <c r="O16" s="4"/>
      <c r="S16" s="15"/>
    </row>
    <row r="17" hidden="1">
      <c r="A17" s="67" t="str">
        <f t="shared" si="1"/>
        <v>Tue</v>
      </c>
      <c r="B17" s="69">
        <v>43508.0</v>
      </c>
      <c r="S17" s="15"/>
    </row>
    <row r="18" hidden="1">
      <c r="A18" s="67" t="str">
        <f t="shared" si="1"/>
        <v>Wed</v>
      </c>
      <c r="B18" s="69">
        <v>43509.0</v>
      </c>
      <c r="D18" s="193">
        <v>600.0</v>
      </c>
      <c r="E18" s="4" t="s">
        <v>337</v>
      </c>
      <c r="F18" s="4" t="s">
        <v>1838</v>
      </c>
      <c r="G18" s="4" t="s">
        <v>1838</v>
      </c>
      <c r="I18" s="4" t="s">
        <v>292</v>
      </c>
      <c r="J18" s="4" t="s">
        <v>1839</v>
      </c>
      <c r="L18" s="4" t="s">
        <v>225</v>
      </c>
      <c r="N18" s="4"/>
      <c r="O18" s="4"/>
      <c r="S18" s="15"/>
    </row>
    <row r="19" hidden="1">
      <c r="A19" s="67" t="str">
        <f t="shared" si="1"/>
        <v>Thu</v>
      </c>
      <c r="B19" s="69">
        <v>43510.0</v>
      </c>
      <c r="F19" s="4"/>
      <c r="G19" s="4"/>
      <c r="H19" s="4" t="s">
        <v>1838</v>
      </c>
      <c r="J19" s="4"/>
      <c r="L19" s="4" t="s">
        <v>225</v>
      </c>
      <c r="M19" s="4"/>
      <c r="N19" s="4"/>
      <c r="O19" s="4"/>
      <c r="S19" s="15"/>
    </row>
    <row r="20" hidden="1">
      <c r="A20" s="67" t="str">
        <f t="shared" si="1"/>
        <v>Fri</v>
      </c>
      <c r="B20" s="69">
        <v>43511.0</v>
      </c>
      <c r="F20" s="4" t="s">
        <v>1840</v>
      </c>
      <c r="G20" s="4" t="s">
        <v>1840</v>
      </c>
      <c r="H20" s="4"/>
      <c r="I20" s="4" t="s">
        <v>292</v>
      </c>
      <c r="L20" s="4" t="s">
        <v>225</v>
      </c>
      <c r="M20" s="4" t="s">
        <v>226</v>
      </c>
      <c r="N20" s="4" t="s">
        <v>232</v>
      </c>
      <c r="O20" s="4" t="s">
        <v>264</v>
      </c>
      <c r="S20" s="15"/>
    </row>
    <row r="21" hidden="1">
      <c r="A21" s="67" t="str">
        <f t="shared" si="1"/>
        <v>Sat</v>
      </c>
      <c r="B21" s="69">
        <v>43512.0</v>
      </c>
      <c r="F21" s="4" t="s">
        <v>1840</v>
      </c>
      <c r="G21" s="4"/>
      <c r="I21" s="4" t="s">
        <v>292</v>
      </c>
      <c r="S21" s="15"/>
    </row>
    <row r="22" hidden="1">
      <c r="A22" s="67" t="str">
        <f t="shared" si="1"/>
        <v>Sun</v>
      </c>
      <c r="B22" s="69">
        <v>43513.0</v>
      </c>
      <c r="G22" s="4"/>
      <c r="H22" s="4" t="s">
        <v>1840</v>
      </c>
      <c r="S22" s="15"/>
    </row>
    <row r="23" hidden="1">
      <c r="A23" s="67" t="str">
        <f t="shared" si="1"/>
        <v>Mon</v>
      </c>
      <c r="B23" s="69">
        <v>43514.0</v>
      </c>
      <c r="G23" s="4"/>
      <c r="S23" s="15"/>
    </row>
    <row r="24" hidden="1">
      <c r="A24" s="67" t="str">
        <f t="shared" si="1"/>
        <v>Tue</v>
      </c>
      <c r="B24" s="69">
        <v>43515.0</v>
      </c>
      <c r="G24" s="4"/>
      <c r="H24" s="4"/>
      <c r="S24" s="15"/>
    </row>
    <row r="25" hidden="1">
      <c r="A25" s="67" t="str">
        <f t="shared" si="1"/>
        <v>Wed</v>
      </c>
      <c r="B25" s="69">
        <v>43516.0</v>
      </c>
      <c r="G25" s="4"/>
      <c r="S25" s="15"/>
    </row>
    <row r="26" hidden="1">
      <c r="A26" s="67" t="str">
        <f t="shared" si="1"/>
        <v>Thu</v>
      </c>
      <c r="B26" s="69">
        <v>43517.0</v>
      </c>
      <c r="G26" s="4"/>
      <c r="H26" s="4"/>
      <c r="S26" s="15"/>
    </row>
    <row r="27" hidden="1">
      <c r="A27" s="67" t="str">
        <f t="shared" si="1"/>
        <v>Fri</v>
      </c>
      <c r="B27" s="69">
        <v>43518.0</v>
      </c>
      <c r="G27" s="4"/>
      <c r="S27" s="15"/>
    </row>
    <row r="28" hidden="1">
      <c r="A28" s="67" t="str">
        <f t="shared" si="1"/>
        <v>Sat</v>
      </c>
      <c r="B28" s="69">
        <v>43519.0</v>
      </c>
      <c r="G28" s="4"/>
      <c r="H28" s="4"/>
      <c r="S28" s="15"/>
    </row>
    <row r="29" hidden="1">
      <c r="A29" s="67" t="str">
        <f t="shared" si="1"/>
        <v>Sun</v>
      </c>
      <c r="B29" s="69">
        <v>43520.0</v>
      </c>
      <c r="G29" s="4"/>
      <c r="S29" s="15"/>
    </row>
    <row r="30" hidden="1">
      <c r="A30" s="67" t="str">
        <f t="shared" si="1"/>
        <v>Mon</v>
      </c>
      <c r="B30" s="69">
        <v>43521.0</v>
      </c>
      <c r="F30" s="4"/>
      <c r="G30" s="4"/>
      <c r="H30" s="4"/>
      <c r="J30" s="4"/>
      <c r="L30" s="4" t="s">
        <v>225</v>
      </c>
      <c r="M30" s="4"/>
      <c r="N30" s="4"/>
      <c r="O30" s="4"/>
      <c r="S30" s="15"/>
    </row>
    <row r="31" hidden="1">
      <c r="A31" s="67" t="str">
        <f t="shared" si="1"/>
        <v>Tue</v>
      </c>
      <c r="B31" s="69">
        <v>43522.0</v>
      </c>
      <c r="F31" s="4"/>
      <c r="G31" s="4"/>
      <c r="H31" s="4"/>
      <c r="J31" s="4"/>
      <c r="L31" s="4" t="s">
        <v>225</v>
      </c>
      <c r="M31" s="4"/>
      <c r="N31" s="4"/>
      <c r="O31" s="4"/>
      <c r="S31" s="15"/>
    </row>
    <row r="32" hidden="1">
      <c r="A32" s="67" t="str">
        <f t="shared" si="1"/>
        <v>Wed</v>
      </c>
      <c r="B32" s="69">
        <v>43523.0</v>
      </c>
      <c r="G32" s="4"/>
      <c r="H32" s="4"/>
      <c r="S32" s="15"/>
    </row>
    <row r="33" hidden="1">
      <c r="A33" s="67" t="str">
        <f t="shared" si="1"/>
        <v>Thu</v>
      </c>
      <c r="B33" s="69">
        <v>43524.0</v>
      </c>
      <c r="G33" s="4"/>
      <c r="S33" s="15"/>
    </row>
    <row r="34" hidden="1">
      <c r="A34" s="67" t="str">
        <f t="shared" si="1"/>
        <v>Fri</v>
      </c>
      <c r="B34" s="69">
        <v>43525.0</v>
      </c>
      <c r="F34" s="4" t="s">
        <v>267</v>
      </c>
      <c r="G34" s="4" t="s">
        <v>267</v>
      </c>
      <c r="H34" s="4"/>
      <c r="J34" s="4" t="s">
        <v>1271</v>
      </c>
      <c r="S34" s="15"/>
    </row>
    <row r="35" hidden="1">
      <c r="A35" s="67" t="str">
        <f t="shared" si="1"/>
        <v>Sat</v>
      </c>
      <c r="B35" s="69">
        <v>43526.0</v>
      </c>
      <c r="F35" s="4" t="s">
        <v>267</v>
      </c>
      <c r="G35" s="4"/>
      <c r="S35" s="15"/>
    </row>
    <row r="36" hidden="1">
      <c r="A36" s="67" t="str">
        <f t="shared" si="1"/>
        <v>Sun</v>
      </c>
      <c r="B36" s="69">
        <v>43527.0</v>
      </c>
      <c r="F36" s="4" t="s">
        <v>267</v>
      </c>
      <c r="G36" s="4"/>
      <c r="H36" s="4"/>
      <c r="S36" s="15"/>
    </row>
    <row r="37" hidden="1">
      <c r="A37" s="67" t="str">
        <f t="shared" si="1"/>
        <v>Mon</v>
      </c>
      <c r="B37" s="69">
        <v>43528.0</v>
      </c>
      <c r="F37" s="4" t="s">
        <v>267</v>
      </c>
      <c r="G37" s="4"/>
      <c r="S37" s="15"/>
    </row>
    <row r="38" hidden="1">
      <c r="A38" s="67" t="str">
        <f t="shared" si="1"/>
        <v>Tue</v>
      </c>
      <c r="B38" s="69">
        <v>43529.0</v>
      </c>
      <c r="F38" s="4" t="s">
        <v>267</v>
      </c>
      <c r="G38" s="4"/>
      <c r="H38" s="4"/>
      <c r="S38" s="15"/>
    </row>
    <row r="39" hidden="1">
      <c r="A39" s="67" t="str">
        <f t="shared" si="1"/>
        <v>Wed</v>
      </c>
      <c r="B39" s="69">
        <v>43530.0</v>
      </c>
      <c r="F39" s="4" t="s">
        <v>267</v>
      </c>
      <c r="G39" s="4"/>
      <c r="S39" s="15"/>
    </row>
    <row r="40" hidden="1">
      <c r="A40" s="67" t="str">
        <f t="shared" si="1"/>
        <v>Thu</v>
      </c>
      <c r="B40" s="69">
        <v>43531.0</v>
      </c>
      <c r="G40" s="4"/>
      <c r="H40" s="4" t="s">
        <v>267</v>
      </c>
      <c r="S40" s="15"/>
    </row>
    <row r="41" hidden="1">
      <c r="A41" s="67" t="str">
        <f t="shared" si="1"/>
        <v>Fri</v>
      </c>
      <c r="B41" s="69">
        <v>43532.0</v>
      </c>
      <c r="G41" s="4"/>
      <c r="S41" s="15"/>
    </row>
    <row r="42" hidden="1">
      <c r="A42" s="67" t="str">
        <f t="shared" si="1"/>
        <v>Sat</v>
      </c>
      <c r="B42" s="69">
        <v>43533.0</v>
      </c>
      <c r="G42" s="4"/>
      <c r="H42" s="4"/>
      <c r="S42" s="15"/>
    </row>
    <row r="43" hidden="1">
      <c r="A43" s="67" t="str">
        <f t="shared" si="1"/>
        <v>Sun</v>
      </c>
      <c r="B43" s="69">
        <v>43534.0</v>
      </c>
      <c r="G43" s="4"/>
      <c r="S43" s="15"/>
    </row>
    <row r="44" hidden="1">
      <c r="A44" s="67" t="str">
        <f t="shared" si="1"/>
        <v>Mon</v>
      </c>
      <c r="B44" s="69">
        <v>43535.0</v>
      </c>
      <c r="G44" s="4"/>
      <c r="H44" s="4"/>
      <c r="S44" s="15"/>
    </row>
    <row r="45" hidden="1">
      <c r="A45" s="67" t="str">
        <f t="shared" si="1"/>
        <v>Tue</v>
      </c>
      <c r="B45" s="69">
        <v>43536.0</v>
      </c>
      <c r="G45" s="4"/>
      <c r="S45" s="15"/>
    </row>
    <row r="46" hidden="1">
      <c r="A46" s="67" t="str">
        <f t="shared" si="1"/>
        <v>Wed</v>
      </c>
      <c r="B46" s="69">
        <v>43537.0</v>
      </c>
      <c r="D46" s="4">
        <v>350.0</v>
      </c>
      <c r="E46" s="4" t="s">
        <v>222</v>
      </c>
      <c r="F46" s="6" t="s">
        <v>1841</v>
      </c>
      <c r="G46" s="4"/>
      <c r="H46" s="4"/>
      <c r="I46" s="4" t="s">
        <v>359</v>
      </c>
      <c r="K46" s="4" t="s">
        <v>231</v>
      </c>
      <c r="L46" s="4" t="s">
        <v>225</v>
      </c>
      <c r="R46" s="236" t="s">
        <v>1842</v>
      </c>
      <c r="S46" s="15"/>
    </row>
    <row r="47" hidden="1">
      <c r="A47" s="67" t="str">
        <f t="shared" si="1"/>
        <v>Thu</v>
      </c>
      <c r="B47" s="69">
        <v>43538.0</v>
      </c>
      <c r="D47" s="4">
        <v>350.0</v>
      </c>
      <c r="E47" s="4" t="s">
        <v>222</v>
      </c>
      <c r="F47" s="6" t="s">
        <v>1841</v>
      </c>
      <c r="G47" s="4"/>
      <c r="I47" s="4" t="s">
        <v>359</v>
      </c>
      <c r="S47" s="15"/>
    </row>
    <row r="48" hidden="1">
      <c r="A48" s="67" t="str">
        <f t="shared" si="1"/>
        <v>Fri</v>
      </c>
      <c r="B48" s="69">
        <v>43539.0</v>
      </c>
      <c r="D48" s="4">
        <v>350.0</v>
      </c>
      <c r="E48" s="4" t="s">
        <v>222</v>
      </c>
      <c r="F48" s="6" t="s">
        <v>1841</v>
      </c>
      <c r="H48" s="4"/>
      <c r="I48" s="4" t="s">
        <v>359</v>
      </c>
      <c r="S48" s="15"/>
    </row>
    <row r="49" hidden="1">
      <c r="A49" s="67" t="str">
        <f t="shared" si="1"/>
        <v>Sat</v>
      </c>
      <c r="B49" s="69">
        <v>43540.0</v>
      </c>
      <c r="D49" s="4">
        <v>350.0</v>
      </c>
      <c r="E49" s="4" t="s">
        <v>222</v>
      </c>
      <c r="F49" s="6" t="s">
        <v>1841</v>
      </c>
      <c r="G49" s="4"/>
      <c r="I49" s="4" t="s">
        <v>359</v>
      </c>
      <c r="S49" s="15"/>
    </row>
    <row r="50" hidden="1">
      <c r="A50" s="67" t="str">
        <f t="shared" si="1"/>
        <v>Sun</v>
      </c>
      <c r="B50" s="69">
        <v>43541.0</v>
      </c>
      <c r="D50" s="4">
        <v>350.0</v>
      </c>
      <c r="E50" s="4" t="s">
        <v>222</v>
      </c>
      <c r="F50" s="6" t="s">
        <v>1841</v>
      </c>
      <c r="G50" s="4"/>
      <c r="H50" s="4"/>
      <c r="I50" s="4" t="s">
        <v>359</v>
      </c>
      <c r="S50" s="15"/>
    </row>
    <row r="51" hidden="1">
      <c r="A51" s="67" t="str">
        <f t="shared" si="1"/>
        <v>Mon</v>
      </c>
      <c r="B51" s="69">
        <v>43542.0</v>
      </c>
      <c r="G51" s="4"/>
      <c r="H51" s="6" t="s">
        <v>1841</v>
      </c>
      <c r="I51" s="4" t="s">
        <v>359</v>
      </c>
      <c r="R51" s="237"/>
      <c r="S51" s="15"/>
    </row>
    <row r="52" hidden="1">
      <c r="A52" s="67" t="str">
        <f t="shared" si="1"/>
        <v>Tue</v>
      </c>
      <c r="B52" s="69">
        <v>43543.0</v>
      </c>
      <c r="G52" s="4"/>
      <c r="H52" s="4"/>
      <c r="S52" s="15"/>
    </row>
    <row r="53" hidden="1">
      <c r="A53" s="67" t="str">
        <f t="shared" si="1"/>
        <v>Wed</v>
      </c>
      <c r="B53" s="69">
        <v>43544.0</v>
      </c>
      <c r="S53" s="15"/>
    </row>
    <row r="54" hidden="1">
      <c r="A54" s="67" t="str">
        <f t="shared" si="1"/>
        <v>Thu</v>
      </c>
      <c r="B54" s="69">
        <v>43545.0</v>
      </c>
      <c r="S54" s="15"/>
    </row>
    <row r="55" hidden="1">
      <c r="A55" s="67" t="str">
        <f t="shared" si="1"/>
        <v>Fri</v>
      </c>
      <c r="B55" s="69">
        <v>43546.0</v>
      </c>
      <c r="S55" s="15"/>
    </row>
    <row r="56" hidden="1">
      <c r="A56" s="67" t="str">
        <f t="shared" si="1"/>
        <v>Sat</v>
      </c>
      <c r="B56" s="69">
        <v>43547.0</v>
      </c>
      <c r="D56" s="4">
        <f t="shared" ref="D56:D61" si="2">1775.1/6</f>
        <v>295.85</v>
      </c>
      <c r="E56" s="4" t="s">
        <v>222</v>
      </c>
      <c r="F56" s="4" t="s">
        <v>1856</v>
      </c>
      <c r="G56" s="4" t="s">
        <v>1856</v>
      </c>
      <c r="I56" s="4" t="s">
        <v>359</v>
      </c>
      <c r="K56" s="4" t="s">
        <v>231</v>
      </c>
      <c r="L56" s="4" t="s">
        <v>225</v>
      </c>
      <c r="M56" s="4" t="s">
        <v>310</v>
      </c>
      <c r="N56" s="4" t="s">
        <v>310</v>
      </c>
      <c r="O56" s="4" t="s">
        <v>310</v>
      </c>
      <c r="S56" s="15"/>
    </row>
    <row r="57" hidden="1">
      <c r="A57" s="67" t="str">
        <f t="shared" si="1"/>
        <v>Sun</v>
      </c>
      <c r="B57" s="69">
        <v>43548.0</v>
      </c>
      <c r="D57" s="4">
        <f t="shared" si="2"/>
        <v>295.85</v>
      </c>
      <c r="E57" s="4" t="s">
        <v>222</v>
      </c>
      <c r="F57" s="4" t="s">
        <v>1856</v>
      </c>
      <c r="I57" s="4" t="s">
        <v>359</v>
      </c>
      <c r="S57" s="15"/>
    </row>
    <row r="58" hidden="1">
      <c r="A58" s="67" t="str">
        <f t="shared" si="1"/>
        <v>Mon</v>
      </c>
      <c r="B58" s="69">
        <v>43549.0</v>
      </c>
      <c r="D58" s="4">
        <f t="shared" si="2"/>
        <v>295.85</v>
      </c>
      <c r="E58" s="4" t="s">
        <v>222</v>
      </c>
      <c r="F58" s="4" t="s">
        <v>1856</v>
      </c>
      <c r="I58" s="4" t="s">
        <v>359</v>
      </c>
      <c r="S58" s="15"/>
    </row>
    <row r="59" hidden="1">
      <c r="A59" s="67" t="str">
        <f t="shared" si="1"/>
        <v>Tue</v>
      </c>
      <c r="B59" s="69">
        <v>43550.0</v>
      </c>
      <c r="D59" s="4">
        <f t="shared" si="2"/>
        <v>295.85</v>
      </c>
      <c r="E59" s="4" t="s">
        <v>222</v>
      </c>
      <c r="F59" s="4" t="s">
        <v>1856</v>
      </c>
      <c r="I59" s="4" t="s">
        <v>359</v>
      </c>
      <c r="S59" s="15"/>
    </row>
    <row r="60" hidden="1">
      <c r="A60" s="67" t="str">
        <f t="shared" si="1"/>
        <v>Wed</v>
      </c>
      <c r="B60" s="69">
        <v>43551.0</v>
      </c>
      <c r="D60" s="4">
        <f t="shared" si="2"/>
        <v>295.85</v>
      </c>
      <c r="E60" s="4" t="s">
        <v>222</v>
      </c>
      <c r="F60" s="4" t="s">
        <v>1856</v>
      </c>
      <c r="I60" s="4" t="s">
        <v>359</v>
      </c>
      <c r="S60" s="15"/>
    </row>
    <row r="61" hidden="1">
      <c r="A61" s="67" t="str">
        <f t="shared" si="1"/>
        <v>Thu</v>
      </c>
      <c r="B61" s="69">
        <v>43552.0</v>
      </c>
      <c r="D61" s="4">
        <f t="shared" si="2"/>
        <v>295.85</v>
      </c>
      <c r="E61" s="4" t="s">
        <v>222</v>
      </c>
      <c r="F61" s="4" t="s">
        <v>1856</v>
      </c>
      <c r="I61" s="4" t="s">
        <v>359</v>
      </c>
      <c r="S61" s="15"/>
    </row>
    <row r="62" hidden="1">
      <c r="A62" s="67" t="str">
        <f t="shared" si="1"/>
        <v>Fri</v>
      </c>
      <c r="B62" s="69">
        <v>43553.0</v>
      </c>
      <c r="H62" s="4" t="s">
        <v>1856</v>
      </c>
      <c r="S62" s="15"/>
    </row>
    <row r="63" hidden="1">
      <c r="A63" s="67" t="str">
        <f t="shared" si="1"/>
        <v>Sat</v>
      </c>
      <c r="B63" s="69">
        <v>43554.0</v>
      </c>
      <c r="F63" s="4" t="s">
        <v>267</v>
      </c>
      <c r="G63" s="4" t="s">
        <v>267</v>
      </c>
      <c r="I63" s="4" t="s">
        <v>292</v>
      </c>
      <c r="S63" s="15"/>
    </row>
    <row r="64" hidden="1">
      <c r="A64" s="67" t="str">
        <f t="shared" si="1"/>
        <v>Sun</v>
      </c>
      <c r="B64" s="69">
        <v>43555.0</v>
      </c>
      <c r="F64" s="4" t="s">
        <v>267</v>
      </c>
      <c r="I64" s="4" t="s">
        <v>292</v>
      </c>
      <c r="S64" s="15"/>
    </row>
    <row r="65">
      <c r="A65" s="67" t="str">
        <f t="shared" si="1"/>
        <v>Mon</v>
      </c>
      <c r="B65" s="69">
        <v>43556.0</v>
      </c>
      <c r="H65" s="4" t="s">
        <v>267</v>
      </c>
      <c r="S65" s="15"/>
    </row>
    <row r="66">
      <c r="A66" s="67" t="str">
        <f t="shared" si="1"/>
        <v>Tue</v>
      </c>
      <c r="B66" s="69">
        <v>43557.0</v>
      </c>
      <c r="S66" s="15"/>
    </row>
    <row r="67">
      <c r="A67" s="67" t="str">
        <f t="shared" si="1"/>
        <v>Wed</v>
      </c>
      <c r="B67" s="69">
        <v>43558.0</v>
      </c>
      <c r="S67" s="15"/>
    </row>
    <row r="68">
      <c r="A68" s="67" t="str">
        <f t="shared" si="1"/>
        <v>Thu</v>
      </c>
      <c r="B68" s="69">
        <v>43559.0</v>
      </c>
      <c r="D68" s="161">
        <v>291.0</v>
      </c>
      <c r="E68" s="4" t="s">
        <v>222</v>
      </c>
      <c r="F68" s="4" t="s">
        <v>1863</v>
      </c>
      <c r="G68" s="4" t="s">
        <v>1863</v>
      </c>
      <c r="I68" s="4" t="s">
        <v>224</v>
      </c>
      <c r="K68" s="4" t="s">
        <v>231</v>
      </c>
      <c r="L68" s="4" t="s">
        <v>225</v>
      </c>
      <c r="M68" s="4" t="s">
        <v>1864</v>
      </c>
      <c r="N68" s="4" t="s">
        <v>232</v>
      </c>
      <c r="O68" s="4" t="s">
        <v>264</v>
      </c>
      <c r="Q68" s="4" t="s">
        <v>1865</v>
      </c>
      <c r="R68" s="4" t="s">
        <v>1866</v>
      </c>
      <c r="S68" s="164">
        <v>6.9772118734E10</v>
      </c>
    </row>
    <row r="69">
      <c r="A69" s="67" t="str">
        <f t="shared" si="1"/>
        <v>Fri</v>
      </c>
      <c r="B69" s="69">
        <v>43560.0</v>
      </c>
      <c r="D69" s="161">
        <v>291.0</v>
      </c>
      <c r="E69" s="4" t="s">
        <v>222</v>
      </c>
      <c r="F69" s="4" t="s">
        <v>1863</v>
      </c>
      <c r="I69" s="4" t="s">
        <v>224</v>
      </c>
      <c r="S69" s="15"/>
    </row>
    <row r="70">
      <c r="A70" s="67" t="str">
        <f t="shared" si="1"/>
        <v>Sat</v>
      </c>
      <c r="B70" s="69">
        <v>43561.0</v>
      </c>
      <c r="F70" s="4" t="s">
        <v>267</v>
      </c>
      <c r="G70" s="4" t="s">
        <v>267</v>
      </c>
      <c r="H70" s="4" t="s">
        <v>1863</v>
      </c>
      <c r="I70" s="4" t="s">
        <v>292</v>
      </c>
      <c r="S70" s="15"/>
    </row>
    <row r="71">
      <c r="A71" s="67" t="str">
        <f t="shared" si="1"/>
        <v>Sun</v>
      </c>
      <c r="B71" s="69">
        <v>43562.0</v>
      </c>
      <c r="F71" s="4" t="s">
        <v>267</v>
      </c>
      <c r="I71" s="4" t="s">
        <v>292</v>
      </c>
      <c r="S71" s="15"/>
    </row>
    <row r="72">
      <c r="A72" s="67" t="str">
        <f t="shared" si="1"/>
        <v>Mon</v>
      </c>
      <c r="B72" s="69">
        <v>43563.0</v>
      </c>
      <c r="H72" s="4" t="s">
        <v>267</v>
      </c>
      <c r="S72" s="15"/>
    </row>
    <row r="73">
      <c r="A73" s="67" t="str">
        <f t="shared" si="1"/>
        <v>Tue</v>
      </c>
      <c r="B73" s="69">
        <v>43564.0</v>
      </c>
      <c r="S73" s="15"/>
    </row>
    <row r="74">
      <c r="A74" s="67" t="str">
        <f t="shared" si="1"/>
        <v>Wed</v>
      </c>
      <c r="B74" s="69">
        <v>43565.0</v>
      </c>
      <c r="S74" s="15"/>
    </row>
    <row r="75">
      <c r="A75" s="67" t="str">
        <f t="shared" si="1"/>
        <v>Thu</v>
      </c>
      <c r="B75" s="69">
        <v>43566.0</v>
      </c>
      <c r="S75" s="15"/>
    </row>
    <row r="76">
      <c r="A76" s="67" t="str">
        <f t="shared" si="1"/>
        <v>Fri</v>
      </c>
      <c r="B76" s="69">
        <v>43567.0</v>
      </c>
      <c r="D76" s="4">
        <v>330.0</v>
      </c>
      <c r="E76" s="4" t="s">
        <v>337</v>
      </c>
      <c r="F76" s="4" t="s">
        <v>1869</v>
      </c>
      <c r="G76" s="4" t="s">
        <v>1869</v>
      </c>
      <c r="I76" s="4" t="s">
        <v>224</v>
      </c>
      <c r="K76" s="4" t="s">
        <v>231</v>
      </c>
      <c r="L76" s="4" t="s">
        <v>225</v>
      </c>
      <c r="M76" s="4" t="s">
        <v>1870</v>
      </c>
      <c r="N76" s="4" t="s">
        <v>1871</v>
      </c>
      <c r="O76" s="4" t="s">
        <v>264</v>
      </c>
      <c r="Q76" s="4" t="s">
        <v>1872</v>
      </c>
      <c r="R76" s="4" t="s">
        <v>1873</v>
      </c>
      <c r="S76" s="162" t="s">
        <v>1874</v>
      </c>
    </row>
    <row r="77">
      <c r="A77" s="67" t="str">
        <f t="shared" si="1"/>
        <v>Sat</v>
      </c>
      <c r="B77" s="69">
        <v>43568.0</v>
      </c>
      <c r="D77" s="4">
        <v>330.0</v>
      </c>
      <c r="E77" s="4" t="s">
        <v>337</v>
      </c>
      <c r="F77" s="4" t="s">
        <v>1869</v>
      </c>
      <c r="H77" s="4"/>
      <c r="I77" s="4" t="s">
        <v>224</v>
      </c>
      <c r="S77" s="15"/>
    </row>
    <row r="78">
      <c r="A78" s="67" t="str">
        <f t="shared" si="1"/>
        <v>Sun</v>
      </c>
      <c r="B78" s="69">
        <v>43569.0</v>
      </c>
      <c r="D78" s="4">
        <v>330.0</v>
      </c>
      <c r="E78" s="4" t="s">
        <v>337</v>
      </c>
      <c r="F78" s="4" t="s">
        <v>1869</v>
      </c>
      <c r="I78" s="4" t="s">
        <v>224</v>
      </c>
      <c r="S78" s="15"/>
    </row>
    <row r="79">
      <c r="A79" s="67" t="str">
        <f t="shared" si="1"/>
        <v>Mon</v>
      </c>
      <c r="B79" s="69">
        <v>43570.0</v>
      </c>
      <c r="H79" s="4" t="s">
        <v>1869</v>
      </c>
      <c r="J79" s="4"/>
      <c r="L79" s="4" t="s">
        <v>229</v>
      </c>
      <c r="M79" s="4" t="s">
        <v>226</v>
      </c>
      <c r="N79" s="4" t="s">
        <v>232</v>
      </c>
      <c r="O79" s="4" t="s">
        <v>264</v>
      </c>
      <c r="S79" s="15"/>
    </row>
    <row r="80">
      <c r="A80" s="67" t="str">
        <f t="shared" si="1"/>
        <v>Tue</v>
      </c>
      <c r="B80" s="69">
        <v>43571.0</v>
      </c>
      <c r="D80" s="4">
        <v>315.25</v>
      </c>
      <c r="E80" s="4" t="s">
        <v>337</v>
      </c>
      <c r="F80" s="4" t="s">
        <v>1877</v>
      </c>
      <c r="G80" s="4" t="s">
        <v>1877</v>
      </c>
      <c r="I80" s="4" t="s">
        <v>224</v>
      </c>
      <c r="J80" s="4" t="s">
        <v>1878</v>
      </c>
      <c r="K80" s="4" t="s">
        <v>231</v>
      </c>
      <c r="L80" s="4" t="s">
        <v>225</v>
      </c>
      <c r="M80" s="179" t="s">
        <v>1879</v>
      </c>
      <c r="N80" s="178" t="s">
        <v>232</v>
      </c>
      <c r="O80" s="178" t="s">
        <v>264</v>
      </c>
      <c r="Q80" s="234" t="s">
        <v>1880</v>
      </c>
      <c r="R80" s="201" t="s">
        <v>1881</v>
      </c>
      <c r="S80" s="179" t="s">
        <v>1882</v>
      </c>
    </row>
    <row r="81">
      <c r="A81" s="67" t="str">
        <f t="shared" si="1"/>
        <v>Wed</v>
      </c>
      <c r="B81" s="69">
        <v>43572.0</v>
      </c>
      <c r="D81" s="4">
        <v>315.25</v>
      </c>
      <c r="E81" s="4" t="s">
        <v>337</v>
      </c>
      <c r="F81" s="4" t="s">
        <v>1877</v>
      </c>
      <c r="I81" s="4" t="s">
        <v>224</v>
      </c>
      <c r="S81" s="15"/>
    </row>
    <row r="82">
      <c r="A82" s="67" t="str">
        <f t="shared" si="1"/>
        <v>Thu</v>
      </c>
      <c r="B82" s="69">
        <v>43573.0</v>
      </c>
      <c r="D82" s="4">
        <v>315.25</v>
      </c>
      <c r="E82" s="4" t="s">
        <v>337</v>
      </c>
      <c r="F82" s="4" t="s">
        <v>1877</v>
      </c>
      <c r="I82" s="4" t="s">
        <v>224</v>
      </c>
      <c r="S82" s="15"/>
    </row>
    <row r="83">
      <c r="A83" s="67" t="str">
        <f t="shared" si="1"/>
        <v>Fri</v>
      </c>
      <c r="B83" s="69">
        <v>43574.0</v>
      </c>
      <c r="D83" s="4">
        <v>315.25</v>
      </c>
      <c r="E83" s="4" t="s">
        <v>337</v>
      </c>
      <c r="F83" s="4" t="s">
        <v>1877</v>
      </c>
      <c r="I83" s="4" t="s">
        <v>224</v>
      </c>
      <c r="S83" s="15"/>
    </row>
    <row r="84">
      <c r="A84" s="67" t="str">
        <f t="shared" si="1"/>
        <v>Sat</v>
      </c>
      <c r="B84" s="69">
        <v>43575.0</v>
      </c>
      <c r="D84" s="4">
        <v>315.25</v>
      </c>
      <c r="E84" s="4" t="s">
        <v>337</v>
      </c>
      <c r="F84" s="4" t="s">
        <v>1877</v>
      </c>
      <c r="I84" s="4" t="s">
        <v>224</v>
      </c>
      <c r="S84" s="15"/>
    </row>
    <row r="85">
      <c r="A85" s="67" t="str">
        <f t="shared" si="1"/>
        <v>Sun</v>
      </c>
      <c r="B85" s="69">
        <v>43576.0</v>
      </c>
      <c r="D85" s="4">
        <v>315.25</v>
      </c>
      <c r="E85" s="4" t="s">
        <v>337</v>
      </c>
      <c r="F85" s="4" t="s">
        <v>1877</v>
      </c>
      <c r="I85" s="4" t="s">
        <v>224</v>
      </c>
      <c r="S85" s="15"/>
    </row>
    <row r="86">
      <c r="A86" s="67" t="str">
        <f t="shared" si="1"/>
        <v>Mon</v>
      </c>
      <c r="B86" s="69">
        <v>43577.0</v>
      </c>
      <c r="H86" s="4" t="s">
        <v>1877</v>
      </c>
      <c r="S86" s="15"/>
    </row>
    <row r="87">
      <c r="A87" s="67" t="str">
        <f t="shared" si="1"/>
        <v>Tue</v>
      </c>
      <c r="B87" s="69">
        <v>43578.0</v>
      </c>
      <c r="S87" s="15"/>
    </row>
    <row r="88">
      <c r="A88" s="67" t="str">
        <f t="shared" si="1"/>
        <v>Wed</v>
      </c>
      <c r="B88" s="69">
        <v>43579.0</v>
      </c>
      <c r="S88" s="15"/>
    </row>
    <row r="89">
      <c r="A89" s="67" t="str">
        <f t="shared" si="1"/>
        <v>Thu</v>
      </c>
      <c r="B89" s="69">
        <v>43580.0</v>
      </c>
      <c r="S89" s="15"/>
    </row>
    <row r="90">
      <c r="A90" s="67" t="str">
        <f t="shared" si="1"/>
        <v>Fri</v>
      </c>
      <c r="B90" s="69">
        <v>43581.0</v>
      </c>
      <c r="F90" s="4"/>
      <c r="G90" s="4"/>
      <c r="S90" s="15"/>
    </row>
    <row r="91">
      <c r="A91" s="67" t="str">
        <f t="shared" si="1"/>
        <v>Sat</v>
      </c>
      <c r="B91" s="69">
        <v>43582.0</v>
      </c>
      <c r="D91" s="161">
        <v>247.35</v>
      </c>
      <c r="E91" s="4" t="s">
        <v>222</v>
      </c>
      <c r="F91" s="4" t="s">
        <v>1883</v>
      </c>
      <c r="G91" s="4" t="s">
        <v>1883</v>
      </c>
      <c r="H91" s="4"/>
      <c r="I91" s="4" t="s">
        <v>224</v>
      </c>
      <c r="K91" s="4" t="s">
        <v>231</v>
      </c>
      <c r="L91" s="4" t="s">
        <v>225</v>
      </c>
      <c r="M91" s="4" t="s">
        <v>226</v>
      </c>
      <c r="N91" s="4" t="s">
        <v>232</v>
      </c>
      <c r="O91" s="4" t="s">
        <v>264</v>
      </c>
      <c r="R91" s="4" t="s">
        <v>1884</v>
      </c>
      <c r="S91" s="15"/>
    </row>
    <row r="92">
      <c r="A92" s="67" t="str">
        <f t="shared" si="1"/>
        <v>Sun</v>
      </c>
      <c r="B92" s="69">
        <v>43583.0</v>
      </c>
      <c r="D92" s="161">
        <v>247.35</v>
      </c>
      <c r="E92" s="4" t="s">
        <v>222</v>
      </c>
      <c r="F92" s="4" t="s">
        <v>1883</v>
      </c>
      <c r="I92" s="4" t="s">
        <v>224</v>
      </c>
      <c r="S92" s="15"/>
    </row>
    <row r="93">
      <c r="A93" s="67" t="str">
        <f t="shared" si="1"/>
        <v>Mon</v>
      </c>
      <c r="B93" s="69">
        <v>43584.0</v>
      </c>
      <c r="D93" s="161">
        <v>247.35</v>
      </c>
      <c r="E93" s="4" t="s">
        <v>222</v>
      </c>
      <c r="F93" s="4" t="s">
        <v>1883</v>
      </c>
      <c r="I93" s="4" t="s">
        <v>224</v>
      </c>
      <c r="S93" s="15"/>
    </row>
    <row r="94">
      <c r="A94" s="67" t="str">
        <f t="shared" si="1"/>
        <v>Tue</v>
      </c>
      <c r="B94" s="69">
        <v>43585.0</v>
      </c>
      <c r="D94" s="161">
        <v>247.35</v>
      </c>
      <c r="E94" s="4" t="s">
        <v>222</v>
      </c>
      <c r="F94" s="4" t="s">
        <v>1883</v>
      </c>
      <c r="I94" s="4" t="s">
        <v>224</v>
      </c>
      <c r="S94" s="15"/>
    </row>
    <row r="95">
      <c r="A95" s="67" t="str">
        <f t="shared" si="1"/>
        <v>Wed</v>
      </c>
      <c r="B95" s="69">
        <v>43586.0</v>
      </c>
      <c r="F95" s="4"/>
      <c r="G95" s="4"/>
      <c r="H95" s="4" t="s">
        <v>1883</v>
      </c>
      <c r="N95" s="4"/>
      <c r="O95" s="4"/>
      <c r="S95" s="15"/>
    </row>
    <row r="96">
      <c r="A96" s="67" t="str">
        <f t="shared" si="1"/>
        <v>Thu</v>
      </c>
      <c r="B96" s="69">
        <v>43587.0</v>
      </c>
      <c r="D96" s="161">
        <v>242.5</v>
      </c>
      <c r="E96" s="4" t="s">
        <v>222</v>
      </c>
      <c r="F96" s="4" t="s">
        <v>1885</v>
      </c>
      <c r="G96" s="4" t="s">
        <v>1885</v>
      </c>
      <c r="H96" s="4"/>
      <c r="I96" s="4" t="s">
        <v>224</v>
      </c>
      <c r="K96" s="4" t="s">
        <v>231</v>
      </c>
      <c r="L96" s="4" t="s">
        <v>225</v>
      </c>
      <c r="M96" s="4" t="s">
        <v>1886</v>
      </c>
      <c r="N96" s="4" t="s">
        <v>232</v>
      </c>
      <c r="O96" s="4" t="s">
        <v>264</v>
      </c>
      <c r="Q96" s="4" t="s">
        <v>1887</v>
      </c>
      <c r="R96" s="4" t="s">
        <v>1888</v>
      </c>
      <c r="S96" s="162" t="s">
        <v>1889</v>
      </c>
    </row>
    <row r="97">
      <c r="A97" s="67" t="str">
        <f t="shared" si="1"/>
        <v>Fri</v>
      </c>
      <c r="B97" s="69">
        <v>43588.0</v>
      </c>
      <c r="D97" s="161">
        <v>242.5</v>
      </c>
      <c r="E97" s="4" t="s">
        <v>222</v>
      </c>
      <c r="F97" s="4" t="s">
        <v>1885</v>
      </c>
      <c r="I97" s="4" t="s">
        <v>224</v>
      </c>
      <c r="S97" s="15"/>
    </row>
    <row r="98">
      <c r="A98" s="67" t="str">
        <f t="shared" si="1"/>
        <v>Sat</v>
      </c>
      <c r="B98" s="69">
        <v>43589.0</v>
      </c>
      <c r="D98" s="161">
        <v>242.5</v>
      </c>
      <c r="E98" s="4" t="s">
        <v>222</v>
      </c>
      <c r="F98" s="4" t="s">
        <v>1885</v>
      </c>
      <c r="H98" s="4"/>
      <c r="I98" s="4" t="s">
        <v>224</v>
      </c>
      <c r="S98" s="15"/>
    </row>
    <row r="99">
      <c r="A99" s="67" t="str">
        <f t="shared" si="1"/>
        <v>Sun</v>
      </c>
      <c r="B99" s="69">
        <v>43590.0</v>
      </c>
      <c r="D99" s="161">
        <v>242.5</v>
      </c>
      <c r="E99" s="4" t="s">
        <v>222</v>
      </c>
      <c r="F99" s="4" t="s">
        <v>1885</v>
      </c>
      <c r="I99" s="4" t="s">
        <v>224</v>
      </c>
      <c r="S99" s="15"/>
    </row>
    <row r="100">
      <c r="A100" s="67" t="str">
        <f t="shared" si="1"/>
        <v>Mon</v>
      </c>
      <c r="B100" s="69">
        <v>43591.0</v>
      </c>
      <c r="F100" s="4"/>
      <c r="G100" s="4"/>
      <c r="H100" s="4" t="s">
        <v>1885</v>
      </c>
      <c r="N100" s="4"/>
      <c r="O100" s="4"/>
      <c r="S100" s="15"/>
    </row>
    <row r="101">
      <c r="A101" s="67" t="str">
        <f t="shared" si="1"/>
        <v>Tue</v>
      </c>
      <c r="B101" s="69">
        <v>43592.0</v>
      </c>
      <c r="F101" s="4"/>
      <c r="S101" s="15"/>
    </row>
    <row r="102">
      <c r="A102" s="67" t="str">
        <f t="shared" si="1"/>
        <v>Wed</v>
      </c>
      <c r="B102" s="69">
        <v>43593.0</v>
      </c>
      <c r="F102" s="4"/>
      <c r="G102" s="4"/>
      <c r="H102" s="4"/>
      <c r="N102" s="4"/>
      <c r="O102" s="4"/>
      <c r="S102" s="15"/>
    </row>
    <row r="103">
      <c r="A103" s="67" t="str">
        <f t="shared" si="1"/>
        <v>Thu</v>
      </c>
      <c r="B103" s="69">
        <v>43594.0</v>
      </c>
      <c r="F103" s="4"/>
      <c r="S103" s="15"/>
    </row>
    <row r="104">
      <c r="A104" s="67" t="str">
        <f t="shared" si="1"/>
        <v>Fri</v>
      </c>
      <c r="B104" s="69">
        <v>43595.0</v>
      </c>
      <c r="D104" s="161">
        <v>326.25</v>
      </c>
      <c r="E104" s="4" t="s">
        <v>169</v>
      </c>
      <c r="F104" s="4" t="s">
        <v>1891</v>
      </c>
      <c r="G104" s="4" t="s">
        <v>1891</v>
      </c>
      <c r="H104" s="4"/>
      <c r="I104" s="4" t="s">
        <v>224</v>
      </c>
      <c r="K104" s="4" t="s">
        <v>231</v>
      </c>
      <c r="L104" s="4" t="s">
        <v>225</v>
      </c>
      <c r="M104" s="4" t="s">
        <v>226</v>
      </c>
      <c r="N104" s="4"/>
      <c r="O104" s="4"/>
      <c r="R104" s="4" t="s">
        <v>1892</v>
      </c>
      <c r="S104" s="15"/>
    </row>
    <row r="105">
      <c r="A105" s="67" t="str">
        <f t="shared" si="1"/>
        <v>Sat</v>
      </c>
      <c r="B105" s="69">
        <v>43596.0</v>
      </c>
      <c r="D105" s="161">
        <v>326.25</v>
      </c>
      <c r="E105" s="4" t="s">
        <v>169</v>
      </c>
      <c r="F105" s="4" t="s">
        <v>1891</v>
      </c>
      <c r="G105" s="4"/>
      <c r="I105" s="4" t="s">
        <v>224</v>
      </c>
      <c r="M105" s="4"/>
      <c r="N105" s="4"/>
      <c r="O105" s="4"/>
      <c r="S105" s="15"/>
    </row>
    <row r="106">
      <c r="A106" s="67" t="str">
        <f t="shared" si="1"/>
        <v>Sun</v>
      </c>
      <c r="B106" s="69">
        <v>43597.0</v>
      </c>
      <c r="F106" s="4"/>
      <c r="G106" s="4"/>
      <c r="H106" s="4" t="s">
        <v>1891</v>
      </c>
      <c r="N106" s="4"/>
      <c r="O106" s="4"/>
      <c r="S106" s="15"/>
    </row>
    <row r="107">
      <c r="A107" s="67" t="str">
        <f t="shared" si="1"/>
        <v>Mon</v>
      </c>
      <c r="B107" s="69">
        <v>43598.0</v>
      </c>
      <c r="F107" s="4"/>
    </row>
    <row r="108">
      <c r="A108" s="67" t="str">
        <f t="shared" si="1"/>
        <v>Tue</v>
      </c>
      <c r="B108" s="69">
        <v>43599.0</v>
      </c>
      <c r="D108" s="161">
        <v>216.63333333333333</v>
      </c>
      <c r="E108" s="4" t="s">
        <v>222</v>
      </c>
      <c r="F108" s="4" t="s">
        <v>1893</v>
      </c>
      <c r="G108" s="4" t="s">
        <v>1893</v>
      </c>
      <c r="H108" s="4"/>
      <c r="I108" s="4" t="s">
        <v>224</v>
      </c>
      <c r="K108" s="4" t="s">
        <v>231</v>
      </c>
      <c r="L108" s="4" t="s">
        <v>225</v>
      </c>
      <c r="M108" s="6" t="s">
        <v>1894</v>
      </c>
      <c r="N108" s="6" t="s">
        <v>1895</v>
      </c>
      <c r="O108" s="6" t="s">
        <v>1896</v>
      </c>
      <c r="Q108" s="6" t="s">
        <v>1897</v>
      </c>
      <c r="R108" s="6" t="s">
        <v>1898</v>
      </c>
      <c r="S108" s="6">
        <v>1.0433954663E10</v>
      </c>
    </row>
    <row r="109">
      <c r="A109" s="67" t="str">
        <f t="shared" si="1"/>
        <v>Wed</v>
      </c>
      <c r="B109" s="69">
        <v>43600.0</v>
      </c>
      <c r="D109" s="161">
        <v>216.63333333333333</v>
      </c>
      <c r="E109" s="4" t="s">
        <v>222</v>
      </c>
      <c r="F109" s="4" t="s">
        <v>1893</v>
      </c>
      <c r="I109" s="4" t="s">
        <v>224</v>
      </c>
      <c r="S109" s="15"/>
    </row>
    <row r="110">
      <c r="A110" s="67" t="str">
        <f t="shared" si="1"/>
        <v>Thu</v>
      </c>
      <c r="B110" s="69">
        <v>43601.0</v>
      </c>
      <c r="D110" s="161">
        <v>216.63333333333333</v>
      </c>
      <c r="E110" s="4" t="s">
        <v>222</v>
      </c>
      <c r="F110" s="4" t="s">
        <v>1893</v>
      </c>
      <c r="I110" s="4" t="s">
        <v>224</v>
      </c>
      <c r="S110" s="15"/>
    </row>
    <row r="111">
      <c r="A111" s="67" t="str">
        <f t="shared" si="1"/>
        <v>Fri</v>
      </c>
      <c r="B111" s="69">
        <v>43602.0</v>
      </c>
      <c r="D111" s="161">
        <v>216.63333333333333</v>
      </c>
      <c r="E111" s="4" t="s">
        <v>222</v>
      </c>
      <c r="F111" s="4" t="s">
        <v>1893</v>
      </c>
      <c r="I111" s="4" t="s">
        <v>224</v>
      </c>
      <c r="S111" s="15"/>
    </row>
    <row r="112">
      <c r="A112" s="67" t="str">
        <f t="shared" si="1"/>
        <v>Sat</v>
      </c>
      <c r="B112" s="69">
        <v>43603.0</v>
      </c>
      <c r="D112" s="161">
        <v>216.63333333333333</v>
      </c>
      <c r="E112" s="4" t="s">
        <v>222</v>
      </c>
      <c r="F112" s="4" t="s">
        <v>1893</v>
      </c>
      <c r="I112" s="4" t="s">
        <v>224</v>
      </c>
      <c r="S112" s="15"/>
    </row>
    <row r="113">
      <c r="A113" s="67" t="str">
        <f t="shared" si="1"/>
        <v>Sun</v>
      </c>
      <c r="B113" s="69">
        <v>43604.0</v>
      </c>
      <c r="D113" s="161">
        <v>216.63333333333333</v>
      </c>
      <c r="E113" s="4" t="s">
        <v>222</v>
      </c>
      <c r="F113" s="4" t="s">
        <v>1893</v>
      </c>
      <c r="I113" s="4" t="s">
        <v>224</v>
      </c>
      <c r="S113" s="15"/>
    </row>
    <row r="114">
      <c r="A114" s="67" t="str">
        <f t="shared" si="1"/>
        <v>Mon</v>
      </c>
      <c r="B114" s="69">
        <v>43605.0</v>
      </c>
      <c r="H114" s="4" t="s">
        <v>1893</v>
      </c>
      <c r="S114" s="15"/>
    </row>
    <row r="115">
      <c r="A115" s="67" t="str">
        <f t="shared" si="1"/>
        <v>Tue</v>
      </c>
      <c r="B115" s="69">
        <v>43606.0</v>
      </c>
      <c r="S115" s="15"/>
    </row>
    <row r="116">
      <c r="A116" s="67" t="str">
        <f t="shared" si="1"/>
        <v>Wed</v>
      </c>
      <c r="B116" s="69">
        <v>43607.0</v>
      </c>
      <c r="D116" s="161">
        <v>242.5</v>
      </c>
      <c r="E116" s="4" t="s">
        <v>222</v>
      </c>
      <c r="F116" s="4" t="s">
        <v>1899</v>
      </c>
      <c r="G116" s="4" t="s">
        <v>1899</v>
      </c>
      <c r="I116" s="4" t="s">
        <v>224</v>
      </c>
      <c r="K116" s="4" t="s">
        <v>231</v>
      </c>
      <c r="L116" s="4" t="s">
        <v>225</v>
      </c>
      <c r="M116" s="6" t="s">
        <v>1900</v>
      </c>
      <c r="N116" s="179" t="s">
        <v>1901</v>
      </c>
      <c r="O116" s="4" t="s">
        <v>264</v>
      </c>
      <c r="Q116" s="4" t="s">
        <v>1902</v>
      </c>
      <c r="R116" s="4" t="s">
        <v>1903</v>
      </c>
      <c r="S116" s="162" t="s">
        <v>1904</v>
      </c>
    </row>
    <row r="117">
      <c r="A117" s="67" t="str">
        <f t="shared" si="1"/>
        <v>Thu</v>
      </c>
      <c r="B117" s="69">
        <v>43608.0</v>
      </c>
      <c r="D117" s="161">
        <v>242.5</v>
      </c>
      <c r="E117" s="4" t="s">
        <v>222</v>
      </c>
      <c r="F117" s="4" t="s">
        <v>1899</v>
      </c>
      <c r="I117" s="4" t="s">
        <v>224</v>
      </c>
      <c r="S117" s="15"/>
    </row>
    <row r="118">
      <c r="A118" s="67" t="str">
        <f t="shared" si="1"/>
        <v>Fri</v>
      </c>
      <c r="B118" s="69">
        <v>43609.0</v>
      </c>
      <c r="D118" s="4">
        <v>562.5</v>
      </c>
      <c r="E118" s="4" t="s">
        <v>222</v>
      </c>
      <c r="F118" s="4" t="s">
        <v>1905</v>
      </c>
      <c r="G118" s="4" t="s">
        <v>1905</v>
      </c>
      <c r="H118" s="4" t="s">
        <v>1899</v>
      </c>
      <c r="I118" s="4" t="s">
        <v>224</v>
      </c>
      <c r="K118" s="4" t="s">
        <v>231</v>
      </c>
      <c r="L118" s="4" t="s">
        <v>225</v>
      </c>
      <c r="M118" s="4" t="s">
        <v>1906</v>
      </c>
      <c r="N118" s="4" t="s">
        <v>232</v>
      </c>
      <c r="O118" s="4" t="s">
        <v>264</v>
      </c>
      <c r="Q118" s="4" t="s">
        <v>1907</v>
      </c>
      <c r="R118" s="4" t="s">
        <v>1908</v>
      </c>
      <c r="S118" s="162" t="s">
        <v>1909</v>
      </c>
    </row>
    <row r="119">
      <c r="A119" s="67" t="str">
        <f t="shared" si="1"/>
        <v>Sat</v>
      </c>
      <c r="B119" s="69">
        <v>43610.0</v>
      </c>
      <c r="D119" s="4">
        <v>562.5</v>
      </c>
      <c r="E119" s="4" t="s">
        <v>222</v>
      </c>
      <c r="F119" s="4" t="s">
        <v>1905</v>
      </c>
      <c r="I119" s="4" t="s">
        <v>224</v>
      </c>
      <c r="S119" s="15"/>
    </row>
    <row r="120">
      <c r="A120" s="67" t="str">
        <f t="shared" si="1"/>
        <v>Sun</v>
      </c>
      <c r="B120" s="69">
        <v>43611.0</v>
      </c>
      <c r="D120" s="4">
        <v>562.5</v>
      </c>
      <c r="E120" s="4" t="s">
        <v>222</v>
      </c>
      <c r="F120" s="4" t="s">
        <v>1905</v>
      </c>
      <c r="I120" s="4" t="s">
        <v>224</v>
      </c>
      <c r="S120" s="15"/>
    </row>
    <row r="121">
      <c r="A121" s="67" t="str">
        <f t="shared" si="1"/>
        <v>Mon</v>
      </c>
      <c r="B121" s="69">
        <v>43612.0</v>
      </c>
      <c r="F121" s="4"/>
      <c r="G121" s="4"/>
      <c r="H121" s="4" t="s">
        <v>1905</v>
      </c>
      <c r="J121" s="4" t="s">
        <v>228</v>
      </c>
      <c r="L121" s="4" t="s">
        <v>229</v>
      </c>
      <c r="M121" s="4"/>
      <c r="N121" s="4"/>
      <c r="O121" s="4"/>
      <c r="S121" s="15"/>
    </row>
    <row r="122">
      <c r="A122" s="67" t="str">
        <f t="shared" si="1"/>
        <v>Tue</v>
      </c>
      <c r="B122" s="69">
        <v>43613.0</v>
      </c>
      <c r="F122" s="4"/>
      <c r="J122" s="4" t="s">
        <v>228</v>
      </c>
      <c r="S122" s="15"/>
    </row>
    <row r="123">
      <c r="A123" s="67" t="str">
        <f t="shared" si="1"/>
        <v>Wed</v>
      </c>
      <c r="B123" s="69">
        <v>43614.0</v>
      </c>
      <c r="F123" s="4"/>
      <c r="G123" s="4"/>
      <c r="H123" s="4"/>
      <c r="J123" s="4" t="s">
        <v>228</v>
      </c>
      <c r="L123" s="4" t="s">
        <v>229</v>
      </c>
      <c r="M123" s="4"/>
      <c r="N123" s="4"/>
      <c r="O123" s="4"/>
      <c r="S123" s="15"/>
    </row>
    <row r="124">
      <c r="A124" s="67" t="str">
        <f t="shared" si="1"/>
        <v>Thu</v>
      </c>
      <c r="B124" s="69">
        <v>43615.0</v>
      </c>
      <c r="F124" s="4"/>
      <c r="J124" s="4" t="s">
        <v>228</v>
      </c>
      <c r="N124" s="4"/>
      <c r="S124" s="15"/>
    </row>
    <row r="125">
      <c r="A125" s="67" t="str">
        <f t="shared" si="1"/>
        <v>Fri</v>
      </c>
      <c r="B125" s="69">
        <v>43616.0</v>
      </c>
      <c r="F125" s="4"/>
      <c r="G125" s="4"/>
      <c r="H125" s="4"/>
      <c r="J125" s="4" t="s">
        <v>295</v>
      </c>
      <c r="L125" s="4" t="s">
        <v>229</v>
      </c>
      <c r="M125" s="4"/>
      <c r="N125" s="4"/>
      <c r="O125" s="4"/>
    </row>
    <row r="126">
      <c r="A126" s="67" t="str">
        <f t="shared" si="1"/>
        <v>Sat</v>
      </c>
      <c r="B126" s="69">
        <v>43617.0</v>
      </c>
      <c r="H126" s="4"/>
    </row>
    <row r="127">
      <c r="A127" s="67" t="str">
        <f t="shared" si="1"/>
        <v>Sun</v>
      </c>
      <c r="B127" s="69">
        <v>43618.0</v>
      </c>
    </row>
    <row r="128">
      <c r="A128" s="67" t="str">
        <f t="shared" si="1"/>
        <v>Mon</v>
      </c>
      <c r="B128" s="69">
        <v>43619.0</v>
      </c>
      <c r="S128" s="15"/>
    </row>
    <row r="129">
      <c r="A129" s="67" t="str">
        <f t="shared" si="1"/>
        <v>Tue</v>
      </c>
      <c r="B129" s="69">
        <v>43620.0</v>
      </c>
      <c r="S129" s="15"/>
    </row>
    <row r="130">
      <c r="A130" s="67" t="str">
        <f t="shared" si="1"/>
        <v>Wed</v>
      </c>
      <c r="B130" s="69">
        <v>43621.0</v>
      </c>
      <c r="S130" s="15"/>
    </row>
    <row r="131">
      <c r="A131" s="67" t="str">
        <f t="shared" si="1"/>
        <v>Thu</v>
      </c>
      <c r="B131" s="69">
        <v>43622.0</v>
      </c>
      <c r="S131" s="15"/>
    </row>
    <row r="132">
      <c r="A132" s="67" t="str">
        <f t="shared" si="1"/>
        <v>Fri</v>
      </c>
      <c r="B132" s="69">
        <v>43623.0</v>
      </c>
      <c r="S132" s="15"/>
    </row>
    <row r="133">
      <c r="A133" s="67" t="str">
        <f t="shared" si="1"/>
        <v>Sat</v>
      </c>
      <c r="B133" s="69">
        <v>43624.0</v>
      </c>
      <c r="S133" s="15"/>
    </row>
    <row r="134">
      <c r="A134" s="67" t="str">
        <f t="shared" si="1"/>
        <v>Sun</v>
      </c>
      <c r="B134" s="69">
        <v>43625.0</v>
      </c>
      <c r="S134" s="15"/>
    </row>
    <row r="135">
      <c r="A135" s="67" t="str">
        <f t="shared" si="1"/>
        <v>Mon</v>
      </c>
      <c r="B135" s="69">
        <v>43626.0</v>
      </c>
      <c r="S135" s="15"/>
    </row>
    <row r="136">
      <c r="A136" s="67" t="str">
        <f t="shared" si="1"/>
        <v>Tue</v>
      </c>
      <c r="B136" s="69">
        <v>43627.0</v>
      </c>
      <c r="S136" s="15"/>
    </row>
    <row r="137">
      <c r="A137" s="67" t="str">
        <f t="shared" si="1"/>
        <v>Wed</v>
      </c>
      <c r="B137" s="69">
        <v>43628.0</v>
      </c>
      <c r="S137" s="15"/>
    </row>
    <row r="138">
      <c r="A138" s="67" t="str">
        <f t="shared" si="1"/>
        <v>Thu</v>
      </c>
      <c r="B138" s="69">
        <v>43629.0</v>
      </c>
      <c r="S138" s="15"/>
    </row>
    <row r="139">
      <c r="A139" s="67" t="str">
        <f t="shared" si="1"/>
        <v>Fri</v>
      </c>
      <c r="B139" s="69">
        <v>43630.0</v>
      </c>
      <c r="S139" s="15"/>
    </row>
    <row r="140">
      <c r="A140" s="67" t="str">
        <f t="shared" si="1"/>
        <v>Sat</v>
      </c>
      <c r="B140" s="69">
        <v>43631.0</v>
      </c>
      <c r="S140" s="15"/>
    </row>
    <row r="141">
      <c r="A141" s="67" t="str">
        <f t="shared" si="1"/>
        <v>Sun</v>
      </c>
      <c r="B141" s="69">
        <v>43632.0</v>
      </c>
      <c r="S141" s="15"/>
    </row>
    <row r="142">
      <c r="A142" s="67" t="str">
        <f t="shared" si="1"/>
        <v>Mon</v>
      </c>
      <c r="B142" s="69">
        <v>43633.0</v>
      </c>
      <c r="S142" s="15"/>
    </row>
    <row r="143">
      <c r="A143" s="67" t="str">
        <f t="shared" si="1"/>
        <v>Tue</v>
      </c>
      <c r="B143" s="69">
        <v>43634.0</v>
      </c>
      <c r="S143" s="15"/>
    </row>
    <row r="144">
      <c r="A144" s="67" t="str">
        <f t="shared" si="1"/>
        <v>Wed</v>
      </c>
      <c r="B144" s="69">
        <v>43635.0</v>
      </c>
      <c r="S144" s="15"/>
    </row>
    <row r="145">
      <c r="A145" s="67" t="str">
        <f t="shared" si="1"/>
        <v>Thu</v>
      </c>
      <c r="B145" s="69">
        <v>43636.0</v>
      </c>
      <c r="S145" s="15"/>
    </row>
    <row r="146">
      <c r="A146" s="67" t="str">
        <f t="shared" si="1"/>
        <v>Fri</v>
      </c>
      <c r="B146" s="69">
        <v>43637.0</v>
      </c>
      <c r="S146" s="15"/>
    </row>
    <row r="147">
      <c r="A147" s="67" t="str">
        <f t="shared" si="1"/>
        <v>Sat</v>
      </c>
      <c r="B147" s="69">
        <v>43638.0</v>
      </c>
      <c r="S147" s="15"/>
    </row>
    <row r="148">
      <c r="A148" s="67" t="str">
        <f t="shared" si="1"/>
        <v>Sun</v>
      </c>
      <c r="B148" s="69">
        <v>43639.0</v>
      </c>
      <c r="S148" s="15"/>
    </row>
    <row r="149">
      <c r="A149" s="67" t="str">
        <f t="shared" si="1"/>
        <v>Mon</v>
      </c>
      <c r="B149" s="69">
        <v>43640.0</v>
      </c>
      <c r="S149" s="15"/>
    </row>
    <row r="150">
      <c r="A150" s="67" t="str">
        <f t="shared" si="1"/>
        <v>Tue</v>
      </c>
      <c r="B150" s="69">
        <v>43641.0</v>
      </c>
      <c r="S150" s="15"/>
    </row>
    <row r="151">
      <c r="A151" s="67" t="str">
        <f t="shared" si="1"/>
        <v>Wed</v>
      </c>
      <c r="B151" s="69">
        <v>43642.0</v>
      </c>
      <c r="S151" s="15"/>
    </row>
    <row r="152">
      <c r="A152" s="67" t="str">
        <f t="shared" si="1"/>
        <v>Thu</v>
      </c>
      <c r="B152" s="69">
        <v>43643.0</v>
      </c>
      <c r="S152" s="15"/>
    </row>
    <row r="153">
      <c r="A153" s="67" t="str">
        <f t="shared" si="1"/>
        <v>Fri</v>
      </c>
      <c r="B153" s="69">
        <v>43644.0</v>
      </c>
      <c r="S153" s="15"/>
    </row>
    <row r="154">
      <c r="A154" s="67" t="str">
        <f t="shared" si="1"/>
        <v>Sat</v>
      </c>
      <c r="B154" s="69">
        <v>43645.0</v>
      </c>
      <c r="S154" s="15"/>
    </row>
    <row r="155">
      <c r="A155" s="67" t="str">
        <f t="shared" si="1"/>
        <v>Sun</v>
      </c>
      <c r="B155" s="69">
        <v>43646.0</v>
      </c>
      <c r="S155" s="15"/>
    </row>
    <row r="156">
      <c r="A156" s="67" t="str">
        <f t="shared" si="1"/>
        <v>Mon</v>
      </c>
      <c r="B156" s="69">
        <v>43647.0</v>
      </c>
      <c r="S156" s="15"/>
    </row>
    <row r="157">
      <c r="A157" s="67" t="str">
        <f t="shared" si="1"/>
        <v>Tue</v>
      </c>
      <c r="B157" s="69">
        <v>43648.0</v>
      </c>
      <c r="S157" s="15"/>
    </row>
    <row r="158">
      <c r="A158" s="67" t="str">
        <f t="shared" si="1"/>
        <v>Wed</v>
      </c>
      <c r="B158" s="69">
        <v>43649.0</v>
      </c>
      <c r="S158" s="15"/>
    </row>
    <row r="159">
      <c r="A159" s="67" t="str">
        <f t="shared" si="1"/>
        <v>Thu</v>
      </c>
      <c r="B159" s="69">
        <v>43650.0</v>
      </c>
      <c r="S159" s="15"/>
    </row>
    <row r="160">
      <c r="A160" s="67" t="str">
        <f t="shared" si="1"/>
        <v>Fri</v>
      </c>
      <c r="B160" s="69">
        <v>43651.0</v>
      </c>
      <c r="S160" s="15"/>
    </row>
    <row r="161">
      <c r="A161" s="67" t="str">
        <f t="shared" si="1"/>
        <v>Sat</v>
      </c>
      <c r="B161" s="69">
        <v>43652.0</v>
      </c>
      <c r="S161" s="15"/>
    </row>
    <row r="162">
      <c r="A162" s="67" t="str">
        <f t="shared" si="1"/>
        <v>Sun</v>
      </c>
      <c r="B162" s="69">
        <v>43653.0</v>
      </c>
      <c r="S162" s="15"/>
    </row>
    <row r="163">
      <c r="A163" s="67" t="str">
        <f t="shared" si="1"/>
        <v>Mon</v>
      </c>
      <c r="B163" s="69">
        <v>43654.0</v>
      </c>
      <c r="S163" s="15"/>
    </row>
    <row r="164">
      <c r="A164" s="67" t="str">
        <f t="shared" si="1"/>
        <v>Tue</v>
      </c>
      <c r="B164" s="69">
        <v>43655.0</v>
      </c>
      <c r="S164" s="15"/>
    </row>
    <row r="165">
      <c r="A165" s="67" t="str">
        <f t="shared" si="1"/>
        <v>Wed</v>
      </c>
      <c r="B165" s="69">
        <v>43656.0</v>
      </c>
      <c r="S165" s="15"/>
    </row>
    <row r="166">
      <c r="A166" s="67" t="str">
        <f t="shared" si="1"/>
        <v>Thu</v>
      </c>
      <c r="B166" s="69">
        <v>43657.0</v>
      </c>
      <c r="S166" s="15"/>
    </row>
    <row r="167">
      <c r="A167" s="67" t="str">
        <f t="shared" si="1"/>
        <v>Fri</v>
      </c>
      <c r="B167" s="69">
        <v>43658.0</v>
      </c>
      <c r="S167" s="15"/>
    </row>
    <row r="168">
      <c r="A168" s="67" t="str">
        <f t="shared" si="1"/>
        <v>Sat</v>
      </c>
      <c r="B168" s="69">
        <v>43659.0</v>
      </c>
      <c r="S168" s="15"/>
    </row>
    <row r="169">
      <c r="A169" s="67" t="str">
        <f t="shared" si="1"/>
        <v>Sun</v>
      </c>
      <c r="B169" s="69">
        <v>43660.0</v>
      </c>
      <c r="S169" s="15"/>
    </row>
    <row r="170">
      <c r="A170" s="67" t="str">
        <f t="shared" si="1"/>
        <v>Mon</v>
      </c>
      <c r="B170" s="69">
        <v>43661.0</v>
      </c>
      <c r="S170" s="15"/>
    </row>
    <row r="171">
      <c r="A171" s="67" t="str">
        <f t="shared" si="1"/>
        <v>Tue</v>
      </c>
      <c r="B171" s="69">
        <v>43662.0</v>
      </c>
      <c r="S171" s="15"/>
    </row>
    <row r="172">
      <c r="A172" s="67" t="str">
        <f t="shared" si="1"/>
        <v>Wed</v>
      </c>
      <c r="B172" s="69">
        <v>43663.0</v>
      </c>
      <c r="S172" s="15"/>
    </row>
    <row r="173">
      <c r="A173" s="67" t="str">
        <f t="shared" si="1"/>
        <v>Thu</v>
      </c>
      <c r="B173" s="69">
        <v>43664.0</v>
      </c>
      <c r="S173" s="15"/>
    </row>
    <row r="174">
      <c r="A174" s="67" t="str">
        <f t="shared" si="1"/>
        <v>Fri</v>
      </c>
      <c r="B174" s="69">
        <v>43665.0</v>
      </c>
      <c r="S174" s="15"/>
    </row>
    <row r="175">
      <c r="A175" s="67" t="str">
        <f t="shared" si="1"/>
        <v>Sat</v>
      </c>
      <c r="B175" s="69">
        <v>43666.0</v>
      </c>
      <c r="S175" s="15"/>
    </row>
    <row r="176">
      <c r="A176" s="67" t="str">
        <f t="shared" si="1"/>
        <v>Sun</v>
      </c>
      <c r="B176" s="69">
        <v>43667.0</v>
      </c>
      <c r="S176" s="15"/>
    </row>
    <row r="177">
      <c r="A177" s="67" t="str">
        <f t="shared" si="1"/>
        <v>Mon</v>
      </c>
      <c r="B177" s="69">
        <v>43668.0</v>
      </c>
      <c r="S177" s="15"/>
    </row>
    <row r="178">
      <c r="A178" s="67" t="str">
        <f t="shared" si="1"/>
        <v>Tue</v>
      </c>
      <c r="B178" s="69">
        <v>43669.0</v>
      </c>
      <c r="S178" s="15"/>
    </row>
    <row r="179">
      <c r="A179" s="67" t="str">
        <f t="shared" si="1"/>
        <v>Wed</v>
      </c>
      <c r="B179" s="69">
        <v>43670.0</v>
      </c>
      <c r="S179" s="15"/>
    </row>
    <row r="180">
      <c r="A180" s="67" t="str">
        <f t="shared" si="1"/>
        <v>Thu</v>
      </c>
      <c r="B180" s="69">
        <v>43671.0</v>
      </c>
      <c r="S180" s="15"/>
    </row>
    <row r="181">
      <c r="A181" s="67" t="str">
        <f t="shared" si="1"/>
        <v>Fri</v>
      </c>
      <c r="B181" s="69">
        <v>43672.0</v>
      </c>
      <c r="S181" s="15"/>
    </row>
    <row r="182">
      <c r="A182" s="67" t="str">
        <f t="shared" si="1"/>
        <v>Sat</v>
      </c>
      <c r="B182" s="69">
        <v>43673.0</v>
      </c>
      <c r="S182" s="15"/>
    </row>
    <row r="183">
      <c r="A183" s="67" t="str">
        <f t="shared" si="1"/>
        <v>Sun</v>
      </c>
      <c r="B183" s="69">
        <v>43674.0</v>
      </c>
      <c r="S183" s="15"/>
    </row>
    <row r="184">
      <c r="A184" s="67" t="str">
        <f t="shared" si="1"/>
        <v>Mon</v>
      </c>
      <c r="B184" s="69">
        <v>43675.0</v>
      </c>
      <c r="S184" s="15"/>
    </row>
    <row r="185">
      <c r="A185" s="67" t="str">
        <f t="shared" si="1"/>
        <v>Tue</v>
      </c>
      <c r="B185" s="69">
        <v>43676.0</v>
      </c>
      <c r="S185" s="15"/>
    </row>
    <row r="186">
      <c r="A186" s="67" t="str">
        <f t="shared" si="1"/>
        <v>Wed</v>
      </c>
      <c r="B186" s="69">
        <v>43677.0</v>
      </c>
      <c r="S186" s="15"/>
    </row>
    <row r="187">
      <c r="A187" s="67" t="str">
        <f t="shared" si="1"/>
        <v>Thu</v>
      </c>
      <c r="B187" s="69">
        <v>43678.0</v>
      </c>
      <c r="S187" s="15"/>
    </row>
    <row r="188">
      <c r="A188" s="67" t="str">
        <f t="shared" si="1"/>
        <v>Fri</v>
      </c>
      <c r="B188" s="69">
        <v>43679.0</v>
      </c>
      <c r="S188" s="15"/>
    </row>
    <row r="189">
      <c r="A189" s="67" t="str">
        <f t="shared" si="1"/>
        <v>Sat</v>
      </c>
      <c r="B189" s="69">
        <v>43680.0</v>
      </c>
      <c r="S189" s="15"/>
    </row>
    <row r="190">
      <c r="A190" s="67" t="str">
        <f t="shared" si="1"/>
        <v>Sun</v>
      </c>
      <c r="B190" s="69">
        <v>43681.0</v>
      </c>
      <c r="S190" s="15"/>
    </row>
    <row r="191">
      <c r="A191" s="67" t="str">
        <f t="shared" si="1"/>
        <v>Mon</v>
      </c>
      <c r="B191" s="69">
        <v>43682.0</v>
      </c>
      <c r="S191" s="15"/>
    </row>
    <row r="192">
      <c r="A192" s="67" t="str">
        <f t="shared" si="1"/>
        <v>Tue</v>
      </c>
      <c r="B192" s="69">
        <v>43683.0</v>
      </c>
      <c r="S192" s="15"/>
    </row>
    <row r="193">
      <c r="A193" s="67" t="str">
        <f t="shared" si="1"/>
        <v>Wed</v>
      </c>
      <c r="B193" s="69">
        <v>43684.0</v>
      </c>
      <c r="S193" s="15"/>
    </row>
    <row r="194">
      <c r="A194" s="67" t="str">
        <f t="shared" si="1"/>
        <v>Thu</v>
      </c>
      <c r="B194" s="69">
        <v>43685.0</v>
      </c>
      <c r="S194" s="15"/>
    </row>
    <row r="195">
      <c r="A195" s="67" t="str">
        <f t="shared" si="1"/>
        <v>Fri</v>
      </c>
      <c r="B195" s="69">
        <v>43686.0</v>
      </c>
      <c r="S195" s="15"/>
    </row>
    <row r="196">
      <c r="A196" s="67" t="str">
        <f t="shared" si="1"/>
        <v>Sat</v>
      </c>
      <c r="B196" s="69">
        <v>43687.0</v>
      </c>
      <c r="S196" s="15"/>
    </row>
    <row r="197">
      <c r="A197" s="67" t="str">
        <f t="shared" si="1"/>
        <v>Sun</v>
      </c>
      <c r="B197" s="69">
        <v>43688.0</v>
      </c>
      <c r="S197" s="15"/>
    </row>
    <row r="198">
      <c r="A198" s="67" t="str">
        <f t="shared" si="1"/>
        <v>Mon</v>
      </c>
      <c r="B198" s="69">
        <v>43689.0</v>
      </c>
      <c r="S198" s="15"/>
    </row>
    <row r="199">
      <c r="A199" s="67" t="str">
        <f t="shared" si="1"/>
        <v>Tue</v>
      </c>
      <c r="B199" s="69">
        <v>43690.0</v>
      </c>
      <c r="S199" s="15"/>
    </row>
    <row r="200">
      <c r="A200" s="67" t="str">
        <f t="shared" si="1"/>
        <v>Wed</v>
      </c>
      <c r="B200" s="69">
        <v>43691.0</v>
      </c>
      <c r="S200" s="15"/>
    </row>
    <row r="201">
      <c r="A201" s="67" t="str">
        <f t="shared" si="1"/>
        <v>Thu</v>
      </c>
      <c r="B201" s="69">
        <v>43692.0</v>
      </c>
      <c r="S201" s="15"/>
    </row>
    <row r="202">
      <c r="A202" s="67" t="str">
        <f t="shared" si="1"/>
        <v>Fri</v>
      </c>
      <c r="B202" s="69">
        <v>43693.0</v>
      </c>
      <c r="S202" s="15"/>
    </row>
    <row r="203">
      <c r="A203" s="67" t="str">
        <f t="shared" si="1"/>
        <v>Sat</v>
      </c>
      <c r="B203" s="69">
        <v>43694.0</v>
      </c>
      <c r="S203" s="15"/>
    </row>
    <row r="204">
      <c r="A204" s="67" t="str">
        <f t="shared" si="1"/>
        <v>Sun</v>
      </c>
      <c r="B204" s="69">
        <v>43695.0</v>
      </c>
      <c r="S204" s="15"/>
    </row>
    <row r="205">
      <c r="A205" s="67" t="str">
        <f t="shared" si="1"/>
        <v>Mon</v>
      </c>
      <c r="B205" s="69">
        <v>43696.0</v>
      </c>
      <c r="S205" s="15"/>
    </row>
    <row r="206">
      <c r="A206" s="67" t="str">
        <f t="shared" si="1"/>
        <v>Tue</v>
      </c>
      <c r="B206" s="69">
        <v>43697.0</v>
      </c>
      <c r="S206" s="15"/>
    </row>
    <row r="207">
      <c r="A207" s="67" t="str">
        <f t="shared" si="1"/>
        <v>Wed</v>
      </c>
      <c r="B207" s="69">
        <v>43698.0</v>
      </c>
      <c r="S207" s="15"/>
    </row>
    <row r="208">
      <c r="A208" s="67" t="str">
        <f t="shared" si="1"/>
        <v>Thu</v>
      </c>
      <c r="B208" s="69">
        <v>43699.0</v>
      </c>
      <c r="S208" s="15"/>
    </row>
    <row r="209">
      <c r="A209" s="67" t="str">
        <f t="shared" si="1"/>
        <v>Fri</v>
      </c>
      <c r="B209" s="69">
        <v>43700.0</v>
      </c>
      <c r="S209" s="15"/>
    </row>
    <row r="210">
      <c r="A210" s="67" t="str">
        <f t="shared" si="1"/>
        <v>Sat</v>
      </c>
      <c r="B210" s="69">
        <v>43701.0</v>
      </c>
      <c r="S210" s="15"/>
    </row>
    <row r="211">
      <c r="A211" s="67" t="str">
        <f t="shared" si="1"/>
        <v>Sun</v>
      </c>
      <c r="B211" s="69">
        <v>43702.0</v>
      </c>
      <c r="S211" s="15"/>
    </row>
    <row r="212">
      <c r="A212" s="67" t="str">
        <f t="shared" si="1"/>
        <v>Mon</v>
      </c>
      <c r="B212" s="69">
        <v>43703.0</v>
      </c>
      <c r="S212" s="15"/>
    </row>
    <row r="213">
      <c r="A213" s="67" t="str">
        <f t="shared" si="1"/>
        <v>Tue</v>
      </c>
      <c r="B213" s="69">
        <v>43704.0</v>
      </c>
      <c r="S213" s="15"/>
    </row>
    <row r="214">
      <c r="A214" s="67" t="str">
        <f t="shared" si="1"/>
        <v>Wed</v>
      </c>
      <c r="B214" s="69">
        <v>43705.0</v>
      </c>
      <c r="S214" s="15"/>
    </row>
    <row r="215">
      <c r="A215" s="67" t="str">
        <f t="shared" si="1"/>
        <v>Thu</v>
      </c>
      <c r="B215" s="69">
        <v>43706.0</v>
      </c>
      <c r="S215" s="15"/>
    </row>
    <row r="216">
      <c r="A216" s="67" t="str">
        <f t="shared" si="1"/>
        <v>Fri</v>
      </c>
      <c r="B216" s="69">
        <v>43707.0</v>
      </c>
      <c r="S216" s="15"/>
    </row>
    <row r="217">
      <c r="A217" s="67" t="str">
        <f t="shared" si="1"/>
        <v>Sat</v>
      </c>
      <c r="B217" s="69">
        <v>43708.0</v>
      </c>
      <c r="S217" s="15"/>
    </row>
    <row r="218">
      <c r="A218" s="67" t="str">
        <f t="shared" si="1"/>
        <v>Sun</v>
      </c>
      <c r="B218" s="69">
        <v>43709.0</v>
      </c>
      <c r="S218" s="15"/>
    </row>
    <row r="219">
      <c r="A219" s="67" t="str">
        <f t="shared" si="1"/>
        <v>Mon</v>
      </c>
      <c r="B219" s="69">
        <v>43710.0</v>
      </c>
      <c r="S219" s="15"/>
    </row>
    <row r="220">
      <c r="A220" s="67" t="str">
        <f t="shared" si="1"/>
        <v>Tue</v>
      </c>
      <c r="B220" s="69">
        <v>43711.0</v>
      </c>
      <c r="S220" s="15"/>
    </row>
    <row r="221">
      <c r="A221" s="67" t="str">
        <f t="shared" si="1"/>
        <v>Wed</v>
      </c>
      <c r="B221" s="69">
        <v>43712.0</v>
      </c>
      <c r="S221" s="15"/>
    </row>
    <row r="222">
      <c r="A222" s="67" t="str">
        <f t="shared" si="1"/>
        <v>Thu</v>
      </c>
      <c r="B222" s="69">
        <v>43713.0</v>
      </c>
      <c r="S222" s="15"/>
    </row>
    <row r="223">
      <c r="A223" s="67" t="str">
        <f t="shared" si="1"/>
        <v>Fri</v>
      </c>
      <c r="B223" s="69">
        <v>43714.0</v>
      </c>
      <c r="S223" s="15"/>
    </row>
    <row r="224">
      <c r="A224" s="67" t="str">
        <f t="shared" si="1"/>
        <v>Sat</v>
      </c>
      <c r="B224" s="69">
        <v>43715.0</v>
      </c>
      <c r="S224" s="15"/>
    </row>
    <row r="225">
      <c r="A225" s="67" t="str">
        <f t="shared" si="1"/>
        <v>Sun</v>
      </c>
      <c r="B225" s="69">
        <v>43716.0</v>
      </c>
      <c r="S225" s="15"/>
    </row>
    <row r="226">
      <c r="A226" s="67" t="str">
        <f t="shared" si="1"/>
        <v>Mon</v>
      </c>
      <c r="B226" s="69">
        <v>43717.0</v>
      </c>
      <c r="S226" s="15"/>
    </row>
    <row r="227">
      <c r="A227" s="67" t="str">
        <f t="shared" si="1"/>
        <v>Tue</v>
      </c>
      <c r="B227" s="69">
        <v>43718.0</v>
      </c>
      <c r="S227" s="15"/>
    </row>
    <row r="228">
      <c r="A228" s="67" t="str">
        <f t="shared" si="1"/>
        <v>Wed</v>
      </c>
      <c r="B228" s="69">
        <v>43719.0</v>
      </c>
      <c r="S228" s="15"/>
    </row>
    <row r="229">
      <c r="A229" s="67" t="str">
        <f t="shared" si="1"/>
        <v>Thu</v>
      </c>
      <c r="B229" s="69">
        <v>43720.0</v>
      </c>
      <c r="S229" s="15"/>
    </row>
    <row r="230">
      <c r="A230" s="67" t="str">
        <f t="shared" si="1"/>
        <v>Fri</v>
      </c>
      <c r="B230" s="69">
        <v>43721.0</v>
      </c>
      <c r="S230" s="15"/>
    </row>
    <row r="231">
      <c r="A231" s="67" t="str">
        <f t="shared" si="1"/>
        <v>Sat</v>
      </c>
      <c r="B231" s="69">
        <v>43722.0</v>
      </c>
      <c r="S231" s="15"/>
    </row>
    <row r="232">
      <c r="A232" s="67" t="str">
        <f t="shared" si="1"/>
        <v>Sun</v>
      </c>
      <c r="B232" s="69">
        <v>43723.0</v>
      </c>
      <c r="S232" s="15"/>
    </row>
    <row r="233">
      <c r="A233" s="67" t="str">
        <f t="shared" si="1"/>
        <v>Mon</v>
      </c>
      <c r="B233" s="69">
        <v>43724.0</v>
      </c>
      <c r="S233" s="15"/>
    </row>
    <row r="234">
      <c r="A234" s="67" t="str">
        <f t="shared" si="1"/>
        <v>Tue</v>
      </c>
      <c r="B234" s="69">
        <v>43725.0</v>
      </c>
      <c r="S234" s="15"/>
    </row>
    <row r="235">
      <c r="A235" s="67" t="str">
        <f t="shared" si="1"/>
        <v>Wed</v>
      </c>
      <c r="B235" s="69">
        <v>43726.0</v>
      </c>
      <c r="S235" s="15"/>
    </row>
    <row r="236">
      <c r="A236" s="67" t="str">
        <f t="shared" si="1"/>
        <v>Thu</v>
      </c>
      <c r="B236" s="69">
        <v>43727.0</v>
      </c>
      <c r="S236" s="15"/>
    </row>
    <row r="237">
      <c r="A237" s="67" t="str">
        <f t="shared" si="1"/>
        <v>Fri</v>
      </c>
      <c r="B237" s="69">
        <v>43728.0</v>
      </c>
      <c r="S237" s="15"/>
    </row>
    <row r="238">
      <c r="A238" s="67" t="str">
        <f t="shared" si="1"/>
        <v>Sat</v>
      </c>
      <c r="B238" s="69">
        <v>43729.0</v>
      </c>
      <c r="S238" s="15"/>
    </row>
    <row r="239">
      <c r="A239" s="67" t="str">
        <f t="shared" si="1"/>
        <v>Sun</v>
      </c>
      <c r="B239" s="69">
        <v>43730.0</v>
      </c>
      <c r="S239" s="15"/>
    </row>
    <row r="240">
      <c r="A240" s="67" t="str">
        <f t="shared" si="1"/>
        <v>Mon</v>
      </c>
      <c r="B240" s="69">
        <v>43731.0</v>
      </c>
      <c r="S240" s="15"/>
    </row>
    <row r="241">
      <c r="A241" s="67" t="str">
        <f t="shared" si="1"/>
        <v>Tue</v>
      </c>
      <c r="B241" s="69">
        <v>43732.0</v>
      </c>
      <c r="S241" s="15"/>
    </row>
    <row r="242">
      <c r="A242" s="67" t="str">
        <f t="shared" si="1"/>
        <v>Wed</v>
      </c>
      <c r="B242" s="69">
        <v>43733.0</v>
      </c>
      <c r="S242" s="15"/>
    </row>
    <row r="243">
      <c r="A243" s="67" t="str">
        <f t="shared" si="1"/>
        <v>Thu</v>
      </c>
      <c r="B243" s="69">
        <v>43734.0</v>
      </c>
      <c r="S243" s="15"/>
    </row>
    <row r="244">
      <c r="A244" s="67" t="str">
        <f t="shared" si="1"/>
        <v>Fri</v>
      </c>
      <c r="B244" s="69">
        <v>43735.0</v>
      </c>
      <c r="S244" s="15"/>
    </row>
    <row r="245">
      <c r="A245" s="67" t="str">
        <f t="shared" si="1"/>
        <v>Sat</v>
      </c>
      <c r="B245" s="69">
        <v>43736.0</v>
      </c>
      <c r="S245" s="15"/>
    </row>
    <row r="246">
      <c r="A246" s="67" t="str">
        <f t="shared" si="1"/>
        <v>Sun</v>
      </c>
      <c r="B246" s="69">
        <v>43737.0</v>
      </c>
      <c r="S246" s="15"/>
    </row>
    <row r="247">
      <c r="A247" s="67" t="str">
        <f t="shared" si="1"/>
        <v>Mon</v>
      </c>
      <c r="B247" s="69">
        <v>43738.0</v>
      </c>
      <c r="S247" s="15"/>
    </row>
    <row r="248">
      <c r="A248" s="67" t="str">
        <f t="shared" si="1"/>
        <v>Tue</v>
      </c>
      <c r="B248" s="69">
        <v>43739.0</v>
      </c>
      <c r="S248" s="15"/>
    </row>
    <row r="249">
      <c r="A249" s="67" t="str">
        <f t="shared" si="1"/>
        <v>Wed</v>
      </c>
      <c r="B249" s="69">
        <v>43740.0</v>
      </c>
      <c r="S249" s="15"/>
    </row>
    <row r="250">
      <c r="A250" s="67" t="str">
        <f t="shared" si="1"/>
        <v>Thu</v>
      </c>
      <c r="B250" s="69">
        <v>43741.0</v>
      </c>
      <c r="S250" s="15"/>
    </row>
    <row r="251">
      <c r="A251" s="67" t="str">
        <f t="shared" si="1"/>
        <v>Fri</v>
      </c>
      <c r="B251" s="69">
        <v>43742.0</v>
      </c>
      <c r="S251" s="15"/>
    </row>
    <row r="252">
      <c r="A252" s="67" t="str">
        <f t="shared" si="1"/>
        <v>Sat</v>
      </c>
      <c r="B252" s="69">
        <v>43743.0</v>
      </c>
      <c r="S252" s="15"/>
    </row>
    <row r="253">
      <c r="A253" s="67" t="str">
        <f t="shared" si="1"/>
        <v>Sun</v>
      </c>
      <c r="B253" s="69">
        <v>43744.0</v>
      </c>
      <c r="S253" s="15"/>
    </row>
    <row r="254">
      <c r="A254" s="67" t="str">
        <f t="shared" si="1"/>
        <v>Mon</v>
      </c>
      <c r="B254" s="69">
        <v>43745.0</v>
      </c>
      <c r="S254" s="15"/>
    </row>
    <row r="255">
      <c r="A255" s="67" t="str">
        <f t="shared" si="1"/>
        <v>Tue</v>
      </c>
      <c r="B255" s="69">
        <v>43746.0</v>
      </c>
      <c r="S255" s="15"/>
    </row>
    <row r="256">
      <c r="A256" s="67" t="str">
        <f t="shared" si="1"/>
        <v>Wed</v>
      </c>
      <c r="B256" s="69">
        <v>43747.0</v>
      </c>
      <c r="S256" s="15"/>
    </row>
    <row r="257">
      <c r="A257" s="67" t="str">
        <f t="shared" si="1"/>
        <v>Thu</v>
      </c>
      <c r="B257" s="69">
        <v>43748.0</v>
      </c>
      <c r="S257" s="15"/>
    </row>
    <row r="258">
      <c r="A258" s="67" t="str">
        <f t="shared" si="1"/>
        <v>Fri</v>
      </c>
      <c r="B258" s="69">
        <v>43749.0</v>
      </c>
      <c r="S258" s="15"/>
    </row>
    <row r="259">
      <c r="A259" s="67" t="str">
        <f t="shared" si="1"/>
        <v>Sat</v>
      </c>
      <c r="B259" s="69">
        <v>43750.0</v>
      </c>
      <c r="S259" s="15"/>
    </row>
    <row r="260">
      <c r="A260" s="67" t="str">
        <f t="shared" si="1"/>
        <v>Sun</v>
      </c>
      <c r="B260" s="69">
        <v>43751.0</v>
      </c>
      <c r="S260" s="15"/>
    </row>
    <row r="261">
      <c r="A261" s="67" t="str">
        <f t="shared" si="1"/>
        <v>Mon</v>
      </c>
      <c r="B261" s="69">
        <v>43752.0</v>
      </c>
      <c r="S261" s="15"/>
    </row>
    <row r="262">
      <c r="A262" s="67" t="str">
        <f t="shared" si="1"/>
        <v>Tue</v>
      </c>
      <c r="B262" s="69">
        <v>43753.0</v>
      </c>
      <c r="S262" s="15"/>
    </row>
    <row r="263">
      <c r="A263" s="67" t="str">
        <f t="shared" si="1"/>
        <v>Wed</v>
      </c>
      <c r="B263" s="69">
        <v>43754.0</v>
      </c>
      <c r="S263" s="15"/>
    </row>
    <row r="264">
      <c r="A264" s="67" t="str">
        <f t="shared" si="1"/>
        <v>Thu</v>
      </c>
      <c r="B264" s="69">
        <v>43755.0</v>
      </c>
      <c r="S264" s="15"/>
    </row>
    <row r="265">
      <c r="A265" s="67" t="str">
        <f t="shared" si="1"/>
        <v>Fri</v>
      </c>
      <c r="B265" s="69">
        <v>43756.0</v>
      </c>
      <c r="S265" s="15"/>
    </row>
    <row r="266">
      <c r="A266" s="67" t="str">
        <f t="shared" si="1"/>
        <v>Sat</v>
      </c>
      <c r="B266" s="69">
        <v>43757.0</v>
      </c>
      <c r="S266" s="15"/>
    </row>
    <row r="267">
      <c r="A267" s="67" t="str">
        <f t="shared" si="1"/>
        <v>Sun</v>
      </c>
      <c r="B267" s="69">
        <v>43758.0</v>
      </c>
      <c r="S267" s="15"/>
    </row>
    <row r="268">
      <c r="A268" s="67" t="str">
        <f t="shared" si="1"/>
        <v>Mon</v>
      </c>
      <c r="B268" s="69">
        <v>43759.0</v>
      </c>
      <c r="S268" s="15"/>
    </row>
    <row r="269">
      <c r="A269" s="67" t="str">
        <f t="shared" si="1"/>
        <v>Tue</v>
      </c>
      <c r="B269" s="69">
        <v>43760.0</v>
      </c>
      <c r="S269" s="15"/>
    </row>
    <row r="270">
      <c r="A270" s="67" t="str">
        <f t="shared" si="1"/>
        <v>Wed</v>
      </c>
      <c r="B270" s="69">
        <v>43761.0</v>
      </c>
      <c r="S270" s="15"/>
    </row>
    <row r="271">
      <c r="A271" s="67" t="str">
        <f t="shared" si="1"/>
        <v>Thu</v>
      </c>
      <c r="B271" s="69">
        <v>43762.0</v>
      </c>
      <c r="S271" s="15"/>
    </row>
    <row r="272">
      <c r="A272" s="67" t="str">
        <f t="shared" si="1"/>
        <v>Fri</v>
      </c>
      <c r="B272" s="69">
        <v>43763.0</v>
      </c>
      <c r="S272" s="15"/>
    </row>
    <row r="273">
      <c r="A273" s="67" t="str">
        <f t="shared" si="1"/>
        <v>Sat</v>
      </c>
      <c r="B273" s="69">
        <v>43764.0</v>
      </c>
      <c r="S273" s="15"/>
    </row>
    <row r="274">
      <c r="A274" s="67" t="str">
        <f t="shared" si="1"/>
        <v>Sun</v>
      </c>
      <c r="B274" s="69">
        <v>43765.0</v>
      </c>
      <c r="S274" s="15"/>
    </row>
    <row r="275">
      <c r="A275" s="67" t="str">
        <f t="shared" si="1"/>
        <v>Mon</v>
      </c>
      <c r="B275" s="69">
        <v>43766.0</v>
      </c>
      <c r="S275" s="15"/>
    </row>
    <row r="276">
      <c r="A276" s="67" t="str">
        <f t="shared" si="1"/>
        <v>Tue</v>
      </c>
      <c r="B276" s="69">
        <v>43767.0</v>
      </c>
      <c r="S276" s="15"/>
    </row>
    <row r="277">
      <c r="A277" s="67" t="str">
        <f t="shared" si="1"/>
        <v>Wed</v>
      </c>
      <c r="B277" s="69">
        <v>43768.0</v>
      </c>
      <c r="S277" s="15"/>
    </row>
    <row r="278">
      <c r="A278" s="67" t="str">
        <f t="shared" si="1"/>
        <v>Thu</v>
      </c>
      <c r="B278" s="69">
        <v>43769.0</v>
      </c>
      <c r="S278" s="15"/>
    </row>
    <row r="279">
      <c r="A279" s="67" t="str">
        <f t="shared" si="1"/>
        <v>Fri</v>
      </c>
      <c r="B279" s="69">
        <v>43770.0</v>
      </c>
      <c r="S279" s="15"/>
    </row>
    <row r="280">
      <c r="A280" s="67" t="str">
        <f t="shared" si="1"/>
        <v>Sat</v>
      </c>
      <c r="B280" s="69">
        <v>43771.0</v>
      </c>
      <c r="S280" s="15"/>
    </row>
    <row r="281">
      <c r="A281" s="67" t="str">
        <f t="shared" si="1"/>
        <v>Sun</v>
      </c>
      <c r="B281" s="69">
        <v>43772.0</v>
      </c>
      <c r="S281" s="15"/>
    </row>
    <row r="282">
      <c r="A282" s="67" t="str">
        <f t="shared" si="1"/>
        <v>Mon</v>
      </c>
      <c r="B282" s="69">
        <v>43773.0</v>
      </c>
      <c r="S282" s="15"/>
    </row>
    <row r="283">
      <c r="A283" s="67" t="str">
        <f t="shared" si="1"/>
        <v>Tue</v>
      </c>
      <c r="B283" s="69">
        <v>43774.0</v>
      </c>
      <c r="S283" s="15"/>
    </row>
    <row r="284">
      <c r="A284" s="67" t="str">
        <f t="shared" si="1"/>
        <v>Wed</v>
      </c>
      <c r="B284" s="69">
        <v>43775.0</v>
      </c>
      <c r="S284" s="15"/>
    </row>
    <row r="285">
      <c r="A285" s="67" t="str">
        <f t="shared" si="1"/>
        <v>Thu</v>
      </c>
      <c r="B285" s="69">
        <v>43776.0</v>
      </c>
      <c r="S285" s="15"/>
    </row>
    <row r="286">
      <c r="A286" s="67" t="str">
        <f t="shared" si="1"/>
        <v>Fri</v>
      </c>
      <c r="B286" s="69">
        <v>43777.0</v>
      </c>
      <c r="S286" s="15"/>
    </row>
    <row r="287">
      <c r="A287" s="67" t="str">
        <f t="shared" si="1"/>
        <v>Sat</v>
      </c>
      <c r="B287" s="69">
        <v>43778.0</v>
      </c>
      <c r="S287" s="15"/>
    </row>
    <row r="288">
      <c r="A288" s="67" t="str">
        <f t="shared" si="1"/>
        <v>Sun</v>
      </c>
      <c r="B288" s="69">
        <v>43779.0</v>
      </c>
      <c r="S288" s="15"/>
    </row>
    <row r="289">
      <c r="A289" s="67" t="str">
        <f t="shared" si="1"/>
        <v>Mon</v>
      </c>
      <c r="B289" s="69">
        <v>43780.0</v>
      </c>
      <c r="S289" s="15"/>
    </row>
    <row r="290">
      <c r="A290" s="67" t="str">
        <f t="shared" si="1"/>
        <v>Tue</v>
      </c>
      <c r="B290" s="69">
        <v>43781.0</v>
      </c>
      <c r="S290" s="15"/>
    </row>
    <row r="291">
      <c r="A291" s="67" t="str">
        <f t="shared" si="1"/>
        <v>Wed</v>
      </c>
      <c r="B291" s="69">
        <v>43782.0</v>
      </c>
      <c r="S291" s="15"/>
    </row>
    <row r="292">
      <c r="A292" s="67" t="str">
        <f t="shared" si="1"/>
        <v>Thu</v>
      </c>
      <c r="B292" s="69">
        <v>43783.0</v>
      </c>
      <c r="S292" s="15"/>
    </row>
    <row r="293">
      <c r="A293" s="67" t="str">
        <f t="shared" si="1"/>
        <v>Fri</v>
      </c>
      <c r="B293" s="69">
        <v>43784.0</v>
      </c>
      <c r="S293" s="15"/>
    </row>
    <row r="294">
      <c r="A294" s="67" t="str">
        <f t="shared" si="1"/>
        <v>Sat</v>
      </c>
      <c r="B294" s="69">
        <v>43785.0</v>
      </c>
      <c r="S294" s="15"/>
    </row>
    <row r="295">
      <c r="A295" s="67" t="str">
        <f t="shared" si="1"/>
        <v>Sun</v>
      </c>
      <c r="B295" s="69">
        <v>43786.0</v>
      </c>
      <c r="S295" s="15"/>
    </row>
    <row r="296">
      <c r="A296" s="67" t="str">
        <f t="shared" si="1"/>
        <v>Mon</v>
      </c>
      <c r="B296" s="69">
        <v>43787.0</v>
      </c>
      <c r="S296" s="15"/>
    </row>
    <row r="297">
      <c r="A297" s="67" t="str">
        <f t="shared" si="1"/>
        <v>Tue</v>
      </c>
      <c r="B297" s="69">
        <v>43788.0</v>
      </c>
      <c r="S297" s="15"/>
    </row>
    <row r="298">
      <c r="A298" s="67" t="str">
        <f t="shared" si="1"/>
        <v>Wed</v>
      </c>
      <c r="B298" s="69">
        <v>43789.0</v>
      </c>
      <c r="S298" s="15"/>
    </row>
    <row r="299">
      <c r="A299" s="67" t="str">
        <f t="shared" si="1"/>
        <v>Thu</v>
      </c>
      <c r="B299" s="69">
        <v>43790.0</v>
      </c>
      <c r="S299" s="15"/>
    </row>
    <row r="300">
      <c r="A300" s="67" t="str">
        <f t="shared" si="1"/>
        <v>Fri</v>
      </c>
      <c r="B300" s="69">
        <v>43791.0</v>
      </c>
      <c r="S300" s="15"/>
    </row>
    <row r="301">
      <c r="A301" s="67" t="str">
        <f t="shared" si="1"/>
        <v>Sat</v>
      </c>
      <c r="B301" s="69">
        <v>43792.0</v>
      </c>
      <c r="S301" s="15"/>
    </row>
    <row r="302">
      <c r="A302" s="67" t="str">
        <f t="shared" si="1"/>
        <v>Sun</v>
      </c>
      <c r="B302" s="69">
        <v>43793.0</v>
      </c>
      <c r="S302" s="15"/>
    </row>
    <row r="303">
      <c r="A303" s="67" t="str">
        <f t="shared" si="1"/>
        <v>Mon</v>
      </c>
      <c r="B303" s="69">
        <v>43794.0</v>
      </c>
      <c r="S303" s="15"/>
    </row>
    <row r="304">
      <c r="A304" s="67" t="str">
        <f t="shared" si="1"/>
        <v>Tue</v>
      </c>
      <c r="B304" s="69">
        <v>43795.0</v>
      </c>
      <c r="S304" s="15"/>
    </row>
    <row r="305">
      <c r="A305" s="67" t="str">
        <f t="shared" si="1"/>
        <v>Wed</v>
      </c>
      <c r="B305" s="69">
        <v>43796.0</v>
      </c>
      <c r="S305" s="15"/>
    </row>
    <row r="306">
      <c r="A306" s="67" t="str">
        <f t="shared" si="1"/>
        <v>Thu</v>
      </c>
      <c r="B306" s="69">
        <v>43797.0</v>
      </c>
      <c r="S306" s="15"/>
    </row>
    <row r="307">
      <c r="A307" s="67" t="str">
        <f t="shared" si="1"/>
        <v>Fri</v>
      </c>
      <c r="B307" s="69">
        <v>43798.0</v>
      </c>
      <c r="S307" s="15"/>
    </row>
    <row r="308">
      <c r="A308" s="67" t="str">
        <f t="shared" si="1"/>
        <v>Sat</v>
      </c>
      <c r="B308" s="69">
        <v>43799.0</v>
      </c>
      <c r="S308" s="15"/>
    </row>
    <row r="309">
      <c r="A309" s="67" t="str">
        <f t="shared" si="1"/>
        <v>Sun</v>
      </c>
      <c r="B309" s="69">
        <v>43800.0</v>
      </c>
      <c r="S309" s="15"/>
    </row>
    <row r="310">
      <c r="A310" s="67" t="str">
        <f t="shared" si="1"/>
        <v>Mon</v>
      </c>
      <c r="B310" s="69">
        <v>43801.0</v>
      </c>
      <c r="S310" s="15"/>
    </row>
    <row r="311">
      <c r="A311" s="67" t="str">
        <f t="shared" si="1"/>
        <v>Tue</v>
      </c>
      <c r="B311" s="69">
        <v>43802.0</v>
      </c>
      <c r="S311" s="15"/>
    </row>
    <row r="312">
      <c r="A312" s="67" t="str">
        <f t="shared" si="1"/>
        <v>Wed</v>
      </c>
      <c r="B312" s="69">
        <v>43803.0</v>
      </c>
      <c r="S312" s="15"/>
    </row>
    <row r="313">
      <c r="A313" s="67" t="str">
        <f t="shared" si="1"/>
        <v>Thu</v>
      </c>
      <c r="B313" s="69">
        <v>43804.0</v>
      </c>
      <c r="S313" s="15"/>
    </row>
    <row r="314">
      <c r="A314" s="67" t="str">
        <f t="shared" si="1"/>
        <v>Fri</v>
      </c>
      <c r="B314" s="69">
        <v>43805.0</v>
      </c>
      <c r="S314" s="15"/>
    </row>
    <row r="315">
      <c r="A315" s="67" t="str">
        <f t="shared" si="1"/>
        <v>Sat</v>
      </c>
      <c r="B315" s="69">
        <v>43806.0</v>
      </c>
      <c r="S315" s="15"/>
    </row>
    <row r="316">
      <c r="A316" s="67" t="str">
        <f t="shared" si="1"/>
        <v>Sun</v>
      </c>
      <c r="B316" s="69">
        <v>43807.0</v>
      </c>
      <c r="S316" s="15"/>
    </row>
    <row r="317">
      <c r="A317" s="67" t="str">
        <f t="shared" si="1"/>
        <v>Mon</v>
      </c>
      <c r="B317" s="69">
        <v>43808.0</v>
      </c>
      <c r="S317" s="15"/>
    </row>
    <row r="318">
      <c r="A318" s="67" t="str">
        <f t="shared" si="1"/>
        <v>Tue</v>
      </c>
      <c r="B318" s="69">
        <v>43809.0</v>
      </c>
      <c r="S318" s="15"/>
    </row>
    <row r="319">
      <c r="A319" s="67" t="str">
        <f t="shared" si="1"/>
        <v>Wed</v>
      </c>
      <c r="B319" s="69">
        <v>43810.0</v>
      </c>
      <c r="S319" s="15"/>
    </row>
    <row r="320">
      <c r="A320" s="67" t="str">
        <f t="shared" si="1"/>
        <v>Thu</v>
      </c>
      <c r="B320" s="69">
        <v>43811.0</v>
      </c>
      <c r="S320" s="15"/>
    </row>
    <row r="321">
      <c r="A321" s="67" t="str">
        <f t="shared" si="1"/>
        <v>Fri</v>
      </c>
      <c r="B321" s="69">
        <v>43812.0</v>
      </c>
      <c r="S321" s="15"/>
    </row>
    <row r="322">
      <c r="A322" s="67" t="str">
        <f t="shared" si="1"/>
        <v>Sat</v>
      </c>
      <c r="B322" s="69">
        <v>43813.0</v>
      </c>
      <c r="S322" s="15"/>
    </row>
    <row r="323">
      <c r="A323" s="67" t="str">
        <f t="shared" si="1"/>
        <v>Sun</v>
      </c>
      <c r="B323" s="69">
        <v>43814.0</v>
      </c>
      <c r="S323" s="15"/>
    </row>
    <row r="324">
      <c r="A324" s="67" t="str">
        <f t="shared" si="1"/>
        <v>Mon</v>
      </c>
      <c r="B324" s="69">
        <v>43815.0</v>
      </c>
      <c r="S324" s="15"/>
    </row>
    <row r="325">
      <c r="A325" s="67" t="str">
        <f t="shared" si="1"/>
        <v>Tue</v>
      </c>
      <c r="B325" s="69">
        <v>43816.0</v>
      </c>
      <c r="S325" s="15"/>
    </row>
    <row r="326">
      <c r="A326" s="67" t="str">
        <f t="shared" si="1"/>
        <v>Wed</v>
      </c>
      <c r="B326" s="69">
        <v>43817.0</v>
      </c>
      <c r="S326" s="15"/>
    </row>
    <row r="327">
      <c r="A327" s="67" t="str">
        <f t="shared" si="1"/>
        <v>Thu</v>
      </c>
      <c r="B327" s="69">
        <v>43818.0</v>
      </c>
      <c r="S327" s="15"/>
    </row>
    <row r="328">
      <c r="A328" s="67" t="str">
        <f t="shared" si="1"/>
        <v>Fri</v>
      </c>
      <c r="B328" s="69">
        <v>43819.0</v>
      </c>
      <c r="S328" s="15"/>
    </row>
    <row r="329">
      <c r="A329" s="67" t="str">
        <f t="shared" si="1"/>
        <v>Sat</v>
      </c>
      <c r="B329" s="69">
        <v>43820.0</v>
      </c>
      <c r="S329" s="15"/>
    </row>
    <row r="330">
      <c r="A330" s="67" t="str">
        <f t="shared" si="1"/>
        <v>Sun</v>
      </c>
      <c r="B330" s="69">
        <v>43821.0</v>
      </c>
      <c r="S330" s="15"/>
    </row>
    <row r="331">
      <c r="A331" s="67" t="str">
        <f t="shared" si="1"/>
        <v>Mon</v>
      </c>
      <c r="B331" s="69">
        <v>43822.0</v>
      </c>
      <c r="S331" s="15"/>
    </row>
    <row r="332">
      <c r="A332" s="67" t="str">
        <f t="shared" si="1"/>
        <v>Tue</v>
      </c>
      <c r="B332" s="69">
        <v>43823.0</v>
      </c>
      <c r="S332" s="15"/>
    </row>
    <row r="333">
      <c r="A333" s="67" t="str">
        <f t="shared" si="1"/>
        <v>Wed</v>
      </c>
      <c r="B333" s="69">
        <v>43824.0</v>
      </c>
      <c r="S333" s="15"/>
    </row>
    <row r="334">
      <c r="A334" s="67" t="str">
        <f t="shared" si="1"/>
        <v>Thu</v>
      </c>
      <c r="B334" s="69">
        <v>43825.0</v>
      </c>
      <c r="S334" s="15"/>
    </row>
    <row r="335">
      <c r="A335" s="67" t="str">
        <f t="shared" si="1"/>
        <v>Fri</v>
      </c>
      <c r="B335" s="69">
        <v>43826.0</v>
      </c>
      <c r="S335" s="15"/>
    </row>
    <row r="336">
      <c r="A336" s="67" t="str">
        <f t="shared" si="1"/>
        <v>Sat</v>
      </c>
      <c r="B336" s="69">
        <v>43827.0</v>
      </c>
      <c r="S336" s="15"/>
    </row>
    <row r="337">
      <c r="A337" s="67" t="str">
        <f t="shared" si="1"/>
        <v>Sun</v>
      </c>
      <c r="B337" s="69">
        <v>43828.0</v>
      </c>
      <c r="S337" s="15"/>
    </row>
    <row r="338">
      <c r="A338" s="67" t="str">
        <f t="shared" si="1"/>
        <v>Mon</v>
      </c>
      <c r="B338" s="69">
        <v>43829.0</v>
      </c>
      <c r="S338" s="15"/>
    </row>
    <row r="339">
      <c r="A339" s="67" t="str">
        <f t="shared" si="1"/>
        <v>Tue</v>
      </c>
      <c r="B339" s="69">
        <v>43830.0</v>
      </c>
      <c r="S339" s="15"/>
    </row>
  </sheetData>
  <mergeCells count="5">
    <mergeCell ref="E1:F1"/>
    <mergeCell ref="E2:F2"/>
    <mergeCell ref="E3:F3"/>
    <mergeCell ref="A1:C3"/>
    <mergeCell ref="G1:S3"/>
  </mergeCells>
  <conditionalFormatting sqref="K104:L105">
    <cfRule type="cellIs" dxfId="0" priority="1" operator="equal">
      <formula>"Enviar email para hotel"</formula>
    </cfRule>
  </conditionalFormatting>
  <conditionalFormatting sqref="K18:L18">
    <cfRule type="cellIs" dxfId="0" priority="2" operator="equal">
      <formula>"Enviar email para hotel"</formula>
    </cfRule>
  </conditionalFormatting>
  <conditionalFormatting sqref="K4:L17 K19:L103 K106:L339">
    <cfRule type="cellIs" dxfId="0" priority="3" operator="equal">
      <formula>"Enviar email para hotel"</formula>
    </cfRule>
  </conditionalFormatting>
  <dataValidations>
    <dataValidation type="list" allowBlank="1" sqref="L6:L339">
      <formula1>"Enviar email para hotel,Enviado para o hotel,Código de reserva enviado para hóspede,Verificar dados com o hóspede,URGENTE,Fechado"</formula1>
    </dataValidation>
    <dataValidation type="list" allowBlank="1" sqref="K6:K339">
      <formula1>"A PAGAR,PARCIALMENTE PAGO,PAGO"</formula1>
    </dataValidation>
  </dataValidations>
  <hyperlinks>
    <hyperlink display="Sumario" location="Sumario!A1" ref="A4"/>
  </hyperlinks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13.57"/>
    <col customWidth="1" min="4" max="4" width="17.0"/>
  </cols>
  <sheetData>
    <row r="1">
      <c r="A1" s="1"/>
      <c r="B1" s="2"/>
      <c r="C1" s="3"/>
      <c r="D1" s="11" t="s">
        <v>198</v>
      </c>
      <c r="E1" s="153" t="s">
        <v>199</v>
      </c>
      <c r="F1" s="3"/>
      <c r="G1" s="154" t="s">
        <v>1910</v>
      </c>
      <c r="H1" s="2"/>
      <c r="I1" s="2"/>
      <c r="J1" s="2"/>
      <c r="K1" s="2"/>
      <c r="L1" s="2"/>
      <c r="M1" s="2"/>
      <c r="N1" s="2"/>
      <c r="O1" s="2"/>
      <c r="P1" s="2"/>
      <c r="Q1" s="2"/>
      <c r="R1" s="3"/>
    </row>
    <row r="2">
      <c r="A2" s="13"/>
      <c r="C2" s="15"/>
      <c r="D2" s="9" t="s">
        <v>201</v>
      </c>
      <c r="E2" s="156">
        <v>4410.0</v>
      </c>
      <c r="F2" s="15"/>
      <c r="R2" s="15"/>
    </row>
    <row r="3">
      <c r="A3" s="17"/>
      <c r="B3" s="19"/>
      <c r="C3" s="21"/>
      <c r="D3" s="26" t="s">
        <v>202</v>
      </c>
      <c r="E3" s="157" t="s">
        <v>125</v>
      </c>
      <c r="F3" s="21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21"/>
    </row>
    <row r="4">
      <c r="A4" s="158" t="s">
        <v>203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O4" s="30"/>
      <c r="P4" s="30"/>
      <c r="Q4" s="30"/>
      <c r="R4" s="30"/>
      <c r="S4" s="30"/>
      <c r="T4" s="30"/>
      <c r="U4" s="30"/>
      <c r="V4" s="30"/>
    </row>
    <row r="5">
      <c r="A5" s="42" t="s">
        <v>204</v>
      </c>
      <c r="B5" s="45" t="s">
        <v>33</v>
      </c>
      <c r="C5" s="45" t="s">
        <v>205</v>
      </c>
      <c r="D5" s="45" t="s">
        <v>206</v>
      </c>
      <c r="E5" s="45" t="s">
        <v>207</v>
      </c>
      <c r="F5" s="45" t="s">
        <v>208</v>
      </c>
      <c r="G5" s="45" t="s">
        <v>209</v>
      </c>
      <c r="H5" s="45" t="s">
        <v>210</v>
      </c>
      <c r="I5" s="45" t="s">
        <v>211</v>
      </c>
      <c r="J5" s="45" t="s">
        <v>212</v>
      </c>
      <c r="K5" s="45" t="s">
        <v>213</v>
      </c>
      <c r="L5" s="45" t="s">
        <v>214</v>
      </c>
      <c r="M5" s="45" t="s">
        <v>215</v>
      </c>
      <c r="N5" s="45" t="s">
        <v>216</v>
      </c>
      <c r="O5" s="45" t="s">
        <v>217</v>
      </c>
      <c r="P5" s="45" t="s">
        <v>218</v>
      </c>
      <c r="Q5" s="45" t="s">
        <v>219</v>
      </c>
      <c r="R5" s="160" t="s">
        <v>220</v>
      </c>
      <c r="S5" s="160" t="s">
        <v>221</v>
      </c>
    </row>
    <row r="6" hidden="1">
      <c r="A6" s="67" t="str">
        <f t="shared" ref="A6:A478" si="1">CHOOSE(weekday(B6),"Sun","Mon","Tue","Wed","Thu","Fri","Sat")</f>
        <v>Fri</v>
      </c>
      <c r="B6" s="69">
        <v>43448.0</v>
      </c>
      <c r="F6" s="4" t="s">
        <v>651</v>
      </c>
      <c r="J6" s="4" t="s">
        <v>651</v>
      </c>
    </row>
    <row r="7" hidden="1">
      <c r="A7" s="67" t="str">
        <f t="shared" si="1"/>
        <v>Sat</v>
      </c>
      <c r="B7" s="69">
        <v>43449.0</v>
      </c>
      <c r="F7" s="4" t="s">
        <v>651</v>
      </c>
      <c r="J7" s="4" t="s">
        <v>651</v>
      </c>
    </row>
    <row r="8" hidden="1">
      <c r="A8" s="67" t="str">
        <f t="shared" si="1"/>
        <v>Sun</v>
      </c>
      <c r="B8" s="69">
        <v>43450.0</v>
      </c>
      <c r="F8" s="4" t="s">
        <v>651</v>
      </c>
      <c r="J8" s="4" t="s">
        <v>651</v>
      </c>
    </row>
    <row r="9" hidden="1">
      <c r="A9" s="67" t="str">
        <f t="shared" si="1"/>
        <v>Mon</v>
      </c>
      <c r="B9" s="69">
        <v>43451.0</v>
      </c>
      <c r="F9" s="4" t="s">
        <v>651</v>
      </c>
      <c r="J9" s="4" t="s">
        <v>651</v>
      </c>
    </row>
    <row r="10" hidden="1">
      <c r="A10" s="67" t="str">
        <f t="shared" si="1"/>
        <v>Tue</v>
      </c>
      <c r="B10" s="69">
        <v>43452.0</v>
      </c>
      <c r="F10" s="4" t="s">
        <v>651</v>
      </c>
      <c r="J10" s="4" t="s">
        <v>651</v>
      </c>
    </row>
    <row r="11" hidden="1">
      <c r="A11" s="67" t="str">
        <f t="shared" si="1"/>
        <v>Wed</v>
      </c>
      <c r="B11" s="69">
        <v>43453.0</v>
      </c>
      <c r="F11" s="4" t="s">
        <v>651</v>
      </c>
      <c r="J11" s="4" t="s">
        <v>651</v>
      </c>
    </row>
    <row r="12" hidden="1">
      <c r="A12" s="67" t="str">
        <f t="shared" si="1"/>
        <v>Thu</v>
      </c>
      <c r="B12" s="69">
        <v>43454.0</v>
      </c>
      <c r="F12" s="4" t="s">
        <v>651</v>
      </c>
      <c r="J12" s="4" t="s">
        <v>651</v>
      </c>
    </row>
    <row r="13" hidden="1">
      <c r="A13" s="67" t="str">
        <f t="shared" si="1"/>
        <v>Fri</v>
      </c>
      <c r="B13" s="69">
        <v>43455.0</v>
      </c>
      <c r="F13" s="4" t="s">
        <v>651</v>
      </c>
      <c r="J13" s="4" t="s">
        <v>651</v>
      </c>
    </row>
    <row r="14" hidden="1">
      <c r="A14" s="67" t="str">
        <f t="shared" si="1"/>
        <v>Sat</v>
      </c>
      <c r="B14" s="69">
        <v>43456.0</v>
      </c>
      <c r="F14" s="4" t="s">
        <v>651</v>
      </c>
      <c r="J14" s="4" t="s">
        <v>651</v>
      </c>
    </row>
    <row r="15" hidden="1">
      <c r="A15" s="67" t="str">
        <f t="shared" si="1"/>
        <v>Sun</v>
      </c>
      <c r="B15" s="69">
        <v>43457.0</v>
      </c>
      <c r="F15" s="4" t="s">
        <v>651</v>
      </c>
      <c r="J15" s="4" t="s">
        <v>651</v>
      </c>
    </row>
    <row r="16" hidden="1">
      <c r="A16" s="67" t="str">
        <f t="shared" si="1"/>
        <v>Mon</v>
      </c>
      <c r="B16" s="69">
        <v>43458.0</v>
      </c>
      <c r="F16" s="4" t="s">
        <v>651</v>
      </c>
      <c r="J16" s="4" t="s">
        <v>651</v>
      </c>
    </row>
    <row r="17" hidden="1">
      <c r="A17" s="67" t="str">
        <f t="shared" si="1"/>
        <v>Tue</v>
      </c>
      <c r="B17" s="69">
        <v>43459.0</v>
      </c>
      <c r="F17" s="4" t="s">
        <v>651</v>
      </c>
      <c r="J17" s="4" t="s">
        <v>651</v>
      </c>
    </row>
    <row r="18" hidden="1">
      <c r="A18" s="67" t="str">
        <f t="shared" si="1"/>
        <v>Wed</v>
      </c>
      <c r="B18" s="69">
        <v>43460.0</v>
      </c>
      <c r="F18" s="4" t="s">
        <v>651</v>
      </c>
      <c r="J18" s="4" t="s">
        <v>651</v>
      </c>
    </row>
    <row r="19" hidden="1">
      <c r="A19" s="67" t="str">
        <f t="shared" si="1"/>
        <v>Thu</v>
      </c>
      <c r="B19" s="69">
        <v>43461.0</v>
      </c>
      <c r="F19" s="4" t="s">
        <v>651</v>
      </c>
      <c r="J19" s="4" t="s">
        <v>651</v>
      </c>
    </row>
    <row r="20" hidden="1">
      <c r="A20" s="67" t="str">
        <f t="shared" si="1"/>
        <v>Fri</v>
      </c>
      <c r="B20" s="69">
        <v>43462.0</v>
      </c>
      <c r="F20" s="4" t="s">
        <v>651</v>
      </c>
      <c r="J20" s="4" t="s">
        <v>651</v>
      </c>
    </row>
    <row r="21" hidden="1">
      <c r="A21" s="67" t="str">
        <f t="shared" si="1"/>
        <v>Sat</v>
      </c>
      <c r="B21" s="69">
        <v>43463.0</v>
      </c>
      <c r="F21" s="4" t="s">
        <v>651</v>
      </c>
      <c r="J21" s="4" t="s">
        <v>651</v>
      </c>
    </row>
    <row r="22" hidden="1">
      <c r="A22" s="67" t="str">
        <f t="shared" si="1"/>
        <v>Sun</v>
      </c>
      <c r="B22" s="69">
        <v>43464.0</v>
      </c>
      <c r="F22" s="4" t="s">
        <v>651</v>
      </c>
      <c r="J22" s="4" t="s">
        <v>651</v>
      </c>
    </row>
    <row r="23" hidden="1">
      <c r="A23" s="67" t="str">
        <f t="shared" si="1"/>
        <v>Mon</v>
      </c>
      <c r="B23" s="69">
        <v>43465.0</v>
      </c>
      <c r="F23" s="4" t="s">
        <v>651</v>
      </c>
      <c r="J23" s="4" t="s">
        <v>651</v>
      </c>
    </row>
    <row r="24" hidden="1">
      <c r="A24" s="67" t="str">
        <f t="shared" si="1"/>
        <v>Tue</v>
      </c>
      <c r="B24" s="69">
        <v>43466.0</v>
      </c>
      <c r="F24" s="4" t="s">
        <v>651</v>
      </c>
      <c r="J24" s="4" t="s">
        <v>651</v>
      </c>
    </row>
    <row r="25" hidden="1">
      <c r="A25" s="67" t="str">
        <f t="shared" si="1"/>
        <v>Wed</v>
      </c>
      <c r="B25" s="69">
        <v>43467.0</v>
      </c>
      <c r="F25" s="4" t="s">
        <v>651</v>
      </c>
      <c r="J25" s="4" t="s">
        <v>651</v>
      </c>
    </row>
    <row r="26" hidden="1">
      <c r="A26" s="67" t="str">
        <f t="shared" si="1"/>
        <v>Thu</v>
      </c>
      <c r="B26" s="69">
        <v>43468.0</v>
      </c>
      <c r="F26" s="4" t="s">
        <v>651</v>
      </c>
      <c r="J26" s="4" t="s">
        <v>651</v>
      </c>
    </row>
    <row r="27" hidden="1">
      <c r="A27" s="67" t="str">
        <f t="shared" si="1"/>
        <v>Fri</v>
      </c>
      <c r="B27" s="69">
        <v>43469.0</v>
      </c>
      <c r="F27" s="4" t="s">
        <v>651</v>
      </c>
      <c r="J27" s="4" t="s">
        <v>651</v>
      </c>
    </row>
    <row r="28" hidden="1">
      <c r="A28" s="67" t="str">
        <f t="shared" si="1"/>
        <v>Sat</v>
      </c>
      <c r="B28" s="69">
        <v>43470.0</v>
      </c>
      <c r="F28" s="4" t="s">
        <v>651</v>
      </c>
      <c r="J28" s="4" t="s">
        <v>651</v>
      </c>
    </row>
    <row r="29" hidden="1">
      <c r="A29" s="67" t="str">
        <f t="shared" si="1"/>
        <v>Sun</v>
      </c>
      <c r="B29" s="69">
        <v>43471.0</v>
      </c>
      <c r="F29" s="4" t="s">
        <v>651</v>
      </c>
      <c r="J29" s="4" t="s">
        <v>651</v>
      </c>
    </row>
    <row r="30" hidden="1">
      <c r="A30" s="67" t="str">
        <f t="shared" si="1"/>
        <v>Mon</v>
      </c>
      <c r="B30" s="69">
        <v>43472.0</v>
      </c>
      <c r="F30" s="4" t="s">
        <v>651</v>
      </c>
      <c r="J30" s="4" t="s">
        <v>651</v>
      </c>
    </row>
    <row r="31" hidden="1">
      <c r="A31" s="67" t="str">
        <f t="shared" si="1"/>
        <v>Tue</v>
      </c>
      <c r="B31" s="69">
        <v>43473.0</v>
      </c>
      <c r="F31" s="4" t="s">
        <v>651</v>
      </c>
      <c r="J31" s="4" t="s">
        <v>651</v>
      </c>
    </row>
    <row r="32" hidden="1">
      <c r="A32" s="67" t="str">
        <f t="shared" si="1"/>
        <v>Wed</v>
      </c>
      <c r="B32" s="69">
        <v>43474.0</v>
      </c>
      <c r="F32" s="4" t="s">
        <v>651</v>
      </c>
      <c r="J32" s="4" t="s">
        <v>651</v>
      </c>
    </row>
    <row r="33" hidden="1">
      <c r="A33" s="67" t="str">
        <f t="shared" si="1"/>
        <v>Thu</v>
      </c>
      <c r="B33" s="69">
        <v>43475.0</v>
      </c>
      <c r="F33" s="4" t="s">
        <v>651</v>
      </c>
      <c r="J33" s="4" t="s">
        <v>651</v>
      </c>
    </row>
    <row r="34" hidden="1">
      <c r="A34" s="67" t="str">
        <f t="shared" si="1"/>
        <v>Fri</v>
      </c>
      <c r="B34" s="69">
        <v>43476.0</v>
      </c>
      <c r="F34" s="4" t="s">
        <v>651</v>
      </c>
      <c r="J34" s="4" t="s">
        <v>651</v>
      </c>
    </row>
    <row r="35" hidden="1">
      <c r="A35" s="67" t="str">
        <f t="shared" si="1"/>
        <v>Sat</v>
      </c>
      <c r="B35" s="69">
        <v>43477.0</v>
      </c>
      <c r="F35" s="4" t="s">
        <v>651</v>
      </c>
      <c r="J35" s="4" t="s">
        <v>651</v>
      </c>
    </row>
    <row r="36" hidden="1">
      <c r="A36" s="67" t="str">
        <f t="shared" si="1"/>
        <v>Sun</v>
      </c>
      <c r="B36" s="69">
        <v>43478.0</v>
      </c>
      <c r="F36" s="4" t="s">
        <v>651</v>
      </c>
      <c r="J36" s="4" t="s">
        <v>651</v>
      </c>
    </row>
    <row r="37" hidden="1">
      <c r="A37" s="67" t="str">
        <f t="shared" si="1"/>
        <v>Mon</v>
      </c>
      <c r="B37" s="69">
        <v>43479.0</v>
      </c>
      <c r="F37" s="4" t="s">
        <v>651</v>
      </c>
      <c r="J37" s="4" t="s">
        <v>651</v>
      </c>
    </row>
    <row r="38" hidden="1">
      <c r="A38" s="67" t="str">
        <f t="shared" si="1"/>
        <v>Tue</v>
      </c>
      <c r="B38" s="69">
        <v>43480.0</v>
      </c>
      <c r="F38" s="4" t="s">
        <v>651</v>
      </c>
      <c r="J38" s="4" t="s">
        <v>651</v>
      </c>
    </row>
    <row r="39" hidden="1">
      <c r="A39" s="67" t="str">
        <f t="shared" si="1"/>
        <v>Wed</v>
      </c>
      <c r="B39" s="69">
        <v>43481.0</v>
      </c>
      <c r="F39" s="4" t="s">
        <v>651</v>
      </c>
      <c r="J39" s="4" t="s">
        <v>651</v>
      </c>
    </row>
    <row r="40" hidden="1">
      <c r="A40" s="67" t="str">
        <f t="shared" si="1"/>
        <v>Thu</v>
      </c>
      <c r="B40" s="69">
        <v>43482.0</v>
      </c>
      <c r="F40" s="4" t="s">
        <v>651</v>
      </c>
      <c r="J40" s="4" t="s">
        <v>651</v>
      </c>
    </row>
    <row r="41" hidden="1">
      <c r="A41" s="67" t="str">
        <f t="shared" si="1"/>
        <v>Fri</v>
      </c>
      <c r="B41" s="69">
        <v>43483.0</v>
      </c>
      <c r="F41" s="4" t="s">
        <v>651</v>
      </c>
      <c r="J41" s="4" t="s">
        <v>651</v>
      </c>
      <c r="T41" s="30"/>
      <c r="U41" s="30"/>
    </row>
    <row r="42" hidden="1">
      <c r="A42" s="67" t="str">
        <f t="shared" si="1"/>
        <v>Sat</v>
      </c>
      <c r="B42" s="69">
        <v>43484.0</v>
      </c>
      <c r="F42" s="4" t="s">
        <v>651</v>
      </c>
      <c r="J42" s="4" t="s">
        <v>651</v>
      </c>
    </row>
    <row r="43" hidden="1">
      <c r="A43" s="67" t="str">
        <f t="shared" si="1"/>
        <v>Sun</v>
      </c>
      <c r="B43" s="69">
        <v>43485.0</v>
      </c>
      <c r="F43" s="4" t="s">
        <v>651</v>
      </c>
      <c r="J43" s="4" t="s">
        <v>651</v>
      </c>
    </row>
    <row r="44" hidden="1">
      <c r="A44" s="67" t="str">
        <f t="shared" si="1"/>
        <v>Mon</v>
      </c>
      <c r="B44" s="69">
        <v>43486.0</v>
      </c>
      <c r="F44" s="4" t="s">
        <v>651</v>
      </c>
      <c r="J44" s="4" t="s">
        <v>651</v>
      </c>
    </row>
    <row r="45" hidden="1">
      <c r="A45" s="67" t="str">
        <f t="shared" si="1"/>
        <v>Tue</v>
      </c>
      <c r="B45" s="69">
        <v>43487.0</v>
      </c>
      <c r="F45" s="4" t="s">
        <v>651</v>
      </c>
      <c r="J45" s="4" t="s">
        <v>651</v>
      </c>
    </row>
    <row r="46" hidden="1">
      <c r="A46" s="67" t="str">
        <f t="shared" si="1"/>
        <v>Wed</v>
      </c>
      <c r="B46" s="69">
        <v>43488.0</v>
      </c>
      <c r="F46" s="4" t="s">
        <v>651</v>
      </c>
      <c r="J46" s="4" t="s">
        <v>651</v>
      </c>
    </row>
    <row r="47" hidden="1">
      <c r="A47" s="67" t="str">
        <f t="shared" si="1"/>
        <v>Thu</v>
      </c>
      <c r="B47" s="69">
        <v>43489.0</v>
      </c>
      <c r="F47" s="4" t="s">
        <v>651</v>
      </c>
      <c r="J47" s="4" t="s">
        <v>651</v>
      </c>
    </row>
    <row r="48" hidden="1">
      <c r="A48" s="67" t="str">
        <f t="shared" si="1"/>
        <v>Fri</v>
      </c>
      <c r="B48" s="69">
        <v>43490.0</v>
      </c>
      <c r="F48" s="4" t="s">
        <v>651</v>
      </c>
      <c r="J48" s="4" t="s">
        <v>651</v>
      </c>
    </row>
    <row r="49" hidden="1">
      <c r="A49" s="67" t="str">
        <f t="shared" si="1"/>
        <v>Sat</v>
      </c>
      <c r="B49" s="69">
        <v>43491.0</v>
      </c>
      <c r="F49" s="4" t="s">
        <v>651</v>
      </c>
      <c r="J49" s="4" t="s">
        <v>651</v>
      </c>
    </row>
    <row r="50" hidden="1">
      <c r="A50" s="67" t="str">
        <f t="shared" si="1"/>
        <v>Sun</v>
      </c>
      <c r="B50" s="69">
        <v>43492.0</v>
      </c>
      <c r="F50" s="4" t="s">
        <v>651</v>
      </c>
      <c r="J50" s="4" t="s">
        <v>651</v>
      </c>
    </row>
    <row r="51" hidden="1">
      <c r="A51" s="67" t="str">
        <f t="shared" si="1"/>
        <v>Mon</v>
      </c>
      <c r="B51" s="69">
        <v>43493.0</v>
      </c>
      <c r="F51" s="4" t="s">
        <v>651</v>
      </c>
      <c r="J51" s="4" t="s">
        <v>651</v>
      </c>
    </row>
    <row r="52" hidden="1">
      <c r="A52" s="67" t="str">
        <f t="shared" si="1"/>
        <v>Tue</v>
      </c>
      <c r="B52" s="69">
        <v>43494.0</v>
      </c>
      <c r="F52" s="4" t="s">
        <v>651</v>
      </c>
      <c r="J52" s="4" t="s">
        <v>651</v>
      </c>
    </row>
    <row r="53" hidden="1">
      <c r="A53" s="67" t="str">
        <f t="shared" si="1"/>
        <v>Wed</v>
      </c>
      <c r="B53" s="69">
        <v>43495.0</v>
      </c>
      <c r="F53" s="4" t="s">
        <v>651</v>
      </c>
      <c r="J53" s="4" t="s">
        <v>651</v>
      </c>
    </row>
    <row r="54" hidden="1">
      <c r="A54" s="67" t="str">
        <f t="shared" si="1"/>
        <v>Thu</v>
      </c>
      <c r="B54" s="69">
        <v>43496.0</v>
      </c>
      <c r="F54" s="4" t="s">
        <v>651</v>
      </c>
      <c r="J54" s="4" t="s">
        <v>651</v>
      </c>
    </row>
    <row r="55" hidden="1">
      <c r="A55" s="67" t="str">
        <f t="shared" si="1"/>
        <v>Fri</v>
      </c>
      <c r="B55" s="69">
        <v>43497.0</v>
      </c>
      <c r="F55" s="4" t="s">
        <v>651</v>
      </c>
      <c r="J55" s="4" t="s">
        <v>651</v>
      </c>
    </row>
    <row r="56" hidden="1">
      <c r="A56" s="67" t="str">
        <f t="shared" si="1"/>
        <v>Sat</v>
      </c>
      <c r="B56" s="69">
        <v>43498.0</v>
      </c>
      <c r="F56" s="4" t="s">
        <v>651</v>
      </c>
      <c r="J56" s="4" t="s">
        <v>651</v>
      </c>
    </row>
    <row r="57" hidden="1">
      <c r="A57" s="67" t="str">
        <f t="shared" si="1"/>
        <v>Sun</v>
      </c>
      <c r="B57" s="69">
        <v>43499.0</v>
      </c>
      <c r="F57" s="4" t="s">
        <v>651</v>
      </c>
      <c r="J57" s="4" t="s">
        <v>651</v>
      </c>
    </row>
    <row r="58" hidden="1">
      <c r="A58" s="67" t="str">
        <f t="shared" si="1"/>
        <v>Mon</v>
      </c>
      <c r="B58" s="69">
        <v>43500.0</v>
      </c>
      <c r="F58" s="4" t="s">
        <v>651</v>
      </c>
      <c r="J58" s="4" t="s">
        <v>651</v>
      </c>
    </row>
    <row r="59" hidden="1">
      <c r="A59" s="67" t="str">
        <f t="shared" si="1"/>
        <v>Tue</v>
      </c>
      <c r="B59" s="69">
        <v>43501.0</v>
      </c>
      <c r="F59" s="4" t="s">
        <v>651</v>
      </c>
      <c r="J59" s="4" t="s">
        <v>651</v>
      </c>
    </row>
    <row r="60" hidden="1">
      <c r="A60" s="67" t="str">
        <f t="shared" si="1"/>
        <v>Wed</v>
      </c>
      <c r="B60" s="69">
        <v>43502.0</v>
      </c>
      <c r="F60" s="4" t="s">
        <v>651</v>
      </c>
      <c r="J60" s="4" t="s">
        <v>651</v>
      </c>
    </row>
    <row r="61" hidden="1">
      <c r="A61" s="67" t="str">
        <f t="shared" si="1"/>
        <v>Thu</v>
      </c>
      <c r="B61" s="69">
        <v>43503.0</v>
      </c>
      <c r="F61" s="4" t="s">
        <v>651</v>
      </c>
      <c r="J61" s="4" t="s">
        <v>651</v>
      </c>
    </row>
    <row r="62" hidden="1">
      <c r="A62" s="67" t="str">
        <f t="shared" si="1"/>
        <v>Fri</v>
      </c>
      <c r="B62" s="69">
        <v>43504.0</v>
      </c>
      <c r="F62" s="4" t="s">
        <v>651</v>
      </c>
      <c r="J62" s="4" t="s">
        <v>651</v>
      </c>
    </row>
    <row r="63" hidden="1">
      <c r="A63" s="67" t="str">
        <f t="shared" si="1"/>
        <v>Sat</v>
      </c>
      <c r="B63" s="69">
        <v>43505.0</v>
      </c>
      <c r="F63" s="4" t="s">
        <v>651</v>
      </c>
      <c r="J63" s="4" t="s">
        <v>651</v>
      </c>
    </row>
    <row r="64" hidden="1">
      <c r="A64" s="67" t="str">
        <f t="shared" si="1"/>
        <v>Sun</v>
      </c>
      <c r="B64" s="69">
        <v>43506.0</v>
      </c>
      <c r="F64" s="4" t="s">
        <v>651</v>
      </c>
      <c r="J64" s="4" t="s">
        <v>651</v>
      </c>
    </row>
    <row r="65" hidden="1">
      <c r="A65" s="67" t="str">
        <f t="shared" si="1"/>
        <v>Mon</v>
      </c>
      <c r="B65" s="69">
        <v>43507.0</v>
      </c>
      <c r="F65" s="4" t="s">
        <v>651</v>
      </c>
      <c r="J65" s="4" t="s">
        <v>651</v>
      </c>
    </row>
    <row r="66" hidden="1">
      <c r="A66" s="67" t="str">
        <f t="shared" si="1"/>
        <v>Tue</v>
      </c>
      <c r="B66" s="69">
        <v>43508.0</v>
      </c>
      <c r="F66" s="4" t="s">
        <v>651</v>
      </c>
      <c r="J66" s="4" t="s">
        <v>651</v>
      </c>
    </row>
    <row r="67" hidden="1">
      <c r="A67" s="67" t="str">
        <f t="shared" si="1"/>
        <v>Wed</v>
      </c>
      <c r="B67" s="69">
        <v>43509.0</v>
      </c>
      <c r="F67" s="4" t="s">
        <v>651</v>
      </c>
      <c r="J67" s="4" t="s">
        <v>651</v>
      </c>
    </row>
    <row r="68" hidden="1">
      <c r="A68" s="67" t="str">
        <f t="shared" si="1"/>
        <v>Thu</v>
      </c>
      <c r="B68" s="69">
        <v>43510.0</v>
      </c>
      <c r="F68" s="4" t="s">
        <v>651</v>
      </c>
      <c r="J68" s="4" t="s">
        <v>651</v>
      </c>
    </row>
    <row r="69" hidden="1">
      <c r="A69" s="67" t="str">
        <f t="shared" si="1"/>
        <v>Fri</v>
      </c>
      <c r="B69" s="69">
        <v>43511.0</v>
      </c>
      <c r="F69" s="4" t="s">
        <v>651</v>
      </c>
      <c r="J69" s="4" t="s">
        <v>651</v>
      </c>
    </row>
    <row r="70" hidden="1">
      <c r="A70" s="67" t="str">
        <f t="shared" si="1"/>
        <v>Sat</v>
      </c>
      <c r="B70" s="69">
        <v>43512.0</v>
      </c>
      <c r="F70" s="4" t="s">
        <v>651</v>
      </c>
      <c r="J70" s="4" t="s">
        <v>651</v>
      </c>
    </row>
    <row r="71" hidden="1">
      <c r="A71" s="67" t="str">
        <f t="shared" si="1"/>
        <v>Sun</v>
      </c>
      <c r="B71" s="69">
        <v>43513.0</v>
      </c>
      <c r="F71" s="4" t="s">
        <v>651</v>
      </c>
      <c r="J71" s="4" t="s">
        <v>651</v>
      </c>
      <c r="T71" s="30"/>
      <c r="U71" s="30"/>
    </row>
    <row r="72" hidden="1">
      <c r="A72" s="67" t="str">
        <f t="shared" si="1"/>
        <v>Mon</v>
      </c>
      <c r="B72" s="69">
        <v>43514.0</v>
      </c>
      <c r="F72" s="4" t="s">
        <v>651</v>
      </c>
      <c r="J72" s="4" t="s">
        <v>651</v>
      </c>
    </row>
    <row r="73" hidden="1">
      <c r="A73" s="67" t="str">
        <f t="shared" si="1"/>
        <v>Tue</v>
      </c>
      <c r="B73" s="69">
        <v>43515.0</v>
      </c>
      <c r="F73" s="4" t="s">
        <v>651</v>
      </c>
      <c r="J73" s="4" t="s">
        <v>651</v>
      </c>
    </row>
    <row r="74" hidden="1">
      <c r="A74" s="67" t="str">
        <f t="shared" si="1"/>
        <v>Wed</v>
      </c>
      <c r="B74" s="69">
        <v>43516.0</v>
      </c>
      <c r="F74" s="4" t="s">
        <v>651</v>
      </c>
      <c r="J74" s="4" t="s">
        <v>651</v>
      </c>
    </row>
    <row r="75" hidden="1">
      <c r="A75" s="67" t="str">
        <f t="shared" si="1"/>
        <v>Thu</v>
      </c>
      <c r="B75" s="69">
        <v>43517.0</v>
      </c>
      <c r="F75" s="4" t="s">
        <v>651</v>
      </c>
      <c r="J75" s="4" t="s">
        <v>651</v>
      </c>
    </row>
    <row r="76" hidden="1">
      <c r="A76" s="67" t="str">
        <f t="shared" si="1"/>
        <v>Fri</v>
      </c>
      <c r="B76" s="69">
        <v>43518.0</v>
      </c>
      <c r="F76" s="4" t="s">
        <v>651</v>
      </c>
      <c r="J76" s="4" t="s">
        <v>651</v>
      </c>
    </row>
    <row r="77" hidden="1">
      <c r="A77" s="67" t="str">
        <f t="shared" si="1"/>
        <v>Sat</v>
      </c>
      <c r="B77" s="69">
        <v>43519.0</v>
      </c>
      <c r="F77" s="4" t="s">
        <v>651</v>
      </c>
      <c r="J77" s="4" t="s">
        <v>651</v>
      </c>
    </row>
    <row r="78" hidden="1">
      <c r="A78" s="67" t="str">
        <f t="shared" si="1"/>
        <v>Sun</v>
      </c>
      <c r="B78" s="69">
        <v>43520.0</v>
      </c>
      <c r="F78" s="4" t="s">
        <v>651</v>
      </c>
      <c r="J78" s="4" t="s">
        <v>651</v>
      </c>
    </row>
    <row r="79" hidden="1">
      <c r="A79" s="67" t="str">
        <f t="shared" si="1"/>
        <v>Mon</v>
      </c>
      <c r="B79" s="69">
        <v>43521.0</v>
      </c>
      <c r="F79" s="4" t="s">
        <v>651</v>
      </c>
      <c r="J79" s="4" t="s">
        <v>651</v>
      </c>
    </row>
    <row r="80" hidden="1">
      <c r="A80" s="67" t="str">
        <f t="shared" si="1"/>
        <v>Tue</v>
      </c>
      <c r="B80" s="69">
        <v>43522.0</v>
      </c>
      <c r="F80" s="4" t="s">
        <v>651</v>
      </c>
      <c r="J80" s="4" t="s">
        <v>651</v>
      </c>
    </row>
    <row r="81" hidden="1">
      <c r="A81" s="67" t="str">
        <f t="shared" si="1"/>
        <v>Wed</v>
      </c>
      <c r="B81" s="69">
        <v>43523.0</v>
      </c>
      <c r="F81" s="4" t="s">
        <v>651</v>
      </c>
      <c r="J81" s="4" t="s">
        <v>651</v>
      </c>
    </row>
    <row r="82" hidden="1">
      <c r="A82" s="67" t="str">
        <f t="shared" si="1"/>
        <v>Thu</v>
      </c>
      <c r="B82" s="69">
        <v>43524.0</v>
      </c>
      <c r="F82" s="4" t="s">
        <v>651</v>
      </c>
      <c r="J82" s="4" t="s">
        <v>651</v>
      </c>
    </row>
    <row r="83" hidden="1">
      <c r="A83" s="67" t="str">
        <f t="shared" si="1"/>
        <v>Fri</v>
      </c>
      <c r="B83" s="69">
        <v>43525.0</v>
      </c>
      <c r="D83" s="161">
        <v>1000.0</v>
      </c>
      <c r="E83" s="4" t="s">
        <v>337</v>
      </c>
      <c r="F83" s="4" t="s">
        <v>1911</v>
      </c>
      <c r="G83" s="4" t="s">
        <v>1911</v>
      </c>
      <c r="I83" s="4" t="s">
        <v>359</v>
      </c>
      <c r="K83" s="4" t="s">
        <v>231</v>
      </c>
      <c r="L83" s="4" t="s">
        <v>225</v>
      </c>
      <c r="M83" s="4" t="s">
        <v>1912</v>
      </c>
      <c r="N83" s="4" t="s">
        <v>1913</v>
      </c>
      <c r="O83" s="4" t="s">
        <v>226</v>
      </c>
      <c r="Q83" s="4" t="s">
        <v>1914</v>
      </c>
      <c r="R83" s="4" t="s">
        <v>1915</v>
      </c>
    </row>
    <row r="84" hidden="1">
      <c r="A84" s="67" t="str">
        <f t="shared" si="1"/>
        <v>Sat</v>
      </c>
      <c r="B84" s="69">
        <v>43526.0</v>
      </c>
      <c r="D84" s="161">
        <v>1000.0</v>
      </c>
      <c r="E84" s="4" t="s">
        <v>337</v>
      </c>
      <c r="F84" s="4" t="s">
        <v>1911</v>
      </c>
      <c r="I84" s="4" t="s">
        <v>359</v>
      </c>
    </row>
    <row r="85" hidden="1">
      <c r="A85" s="67" t="str">
        <f t="shared" si="1"/>
        <v>Sun</v>
      </c>
      <c r="B85" s="69">
        <v>43527.0</v>
      </c>
      <c r="D85" s="161">
        <v>1000.0</v>
      </c>
      <c r="E85" s="4" t="s">
        <v>337</v>
      </c>
      <c r="F85" s="4" t="s">
        <v>1911</v>
      </c>
      <c r="I85" s="4" t="s">
        <v>359</v>
      </c>
    </row>
    <row r="86" hidden="1">
      <c r="A86" s="67" t="str">
        <f t="shared" si="1"/>
        <v>Mon</v>
      </c>
      <c r="B86" s="69">
        <v>43528.0</v>
      </c>
      <c r="D86" s="161">
        <v>1000.0</v>
      </c>
      <c r="E86" s="4" t="s">
        <v>337</v>
      </c>
      <c r="F86" s="4" t="s">
        <v>1911</v>
      </c>
      <c r="I86" s="4" t="s">
        <v>359</v>
      </c>
    </row>
    <row r="87" hidden="1">
      <c r="A87" s="67" t="str">
        <f t="shared" si="1"/>
        <v>Tue</v>
      </c>
      <c r="B87" s="69">
        <v>43529.0</v>
      </c>
      <c r="D87" s="161">
        <v>1000.0</v>
      </c>
      <c r="E87" s="4" t="s">
        <v>337</v>
      </c>
      <c r="F87" s="4" t="s">
        <v>1911</v>
      </c>
      <c r="I87" s="4" t="s">
        <v>359</v>
      </c>
    </row>
    <row r="88" hidden="1">
      <c r="A88" s="67" t="str">
        <f t="shared" si="1"/>
        <v>Wed</v>
      </c>
      <c r="B88" s="69">
        <v>43530.0</v>
      </c>
      <c r="D88" s="161">
        <v>339.5</v>
      </c>
      <c r="E88" s="4" t="s">
        <v>222</v>
      </c>
      <c r="F88" s="4" t="s">
        <v>1916</v>
      </c>
      <c r="G88" s="4" t="s">
        <v>1916</v>
      </c>
      <c r="H88" s="4" t="s">
        <v>1911</v>
      </c>
      <c r="I88" s="4" t="s">
        <v>359</v>
      </c>
      <c r="K88" s="4" t="s">
        <v>231</v>
      </c>
      <c r="L88" s="4" t="s">
        <v>225</v>
      </c>
      <c r="M88" s="4" t="s">
        <v>226</v>
      </c>
      <c r="N88" s="4" t="s">
        <v>232</v>
      </c>
      <c r="O88" s="4" t="s">
        <v>264</v>
      </c>
    </row>
    <row r="89" hidden="1">
      <c r="A89" s="67" t="str">
        <f t="shared" si="1"/>
        <v>Thu</v>
      </c>
      <c r="B89" s="69">
        <v>43531.0</v>
      </c>
      <c r="D89" s="161">
        <v>339.5</v>
      </c>
      <c r="E89" s="4" t="s">
        <v>222</v>
      </c>
      <c r="F89" s="4" t="s">
        <v>1916</v>
      </c>
      <c r="I89" s="4" t="s">
        <v>359</v>
      </c>
    </row>
    <row r="90" hidden="1">
      <c r="A90" s="67" t="str">
        <f t="shared" si="1"/>
        <v>Fri</v>
      </c>
      <c r="B90" s="69">
        <v>43532.0</v>
      </c>
      <c r="D90" s="161">
        <v>339.5</v>
      </c>
      <c r="E90" s="4" t="s">
        <v>222</v>
      </c>
      <c r="F90" s="4" t="s">
        <v>1916</v>
      </c>
      <c r="I90" s="4" t="s">
        <v>359</v>
      </c>
    </row>
    <row r="91" hidden="1">
      <c r="A91" s="67" t="str">
        <f t="shared" si="1"/>
        <v>Sat</v>
      </c>
      <c r="B91" s="69">
        <v>43533.0</v>
      </c>
      <c r="D91" s="161">
        <v>339.5</v>
      </c>
      <c r="E91" s="4" t="s">
        <v>222</v>
      </c>
      <c r="F91" s="4" t="s">
        <v>1916</v>
      </c>
      <c r="I91" s="4" t="s">
        <v>359</v>
      </c>
      <c r="T91" s="30"/>
      <c r="U91" s="30"/>
    </row>
    <row r="92" hidden="1">
      <c r="A92" s="67" t="str">
        <f t="shared" si="1"/>
        <v>Sun</v>
      </c>
      <c r="B92" s="69">
        <v>43534.0</v>
      </c>
      <c r="D92" s="161">
        <v>339.5</v>
      </c>
      <c r="E92" s="4" t="s">
        <v>222</v>
      </c>
      <c r="F92" s="4" t="s">
        <v>1917</v>
      </c>
      <c r="G92" s="4" t="s">
        <v>1917</v>
      </c>
      <c r="H92" s="4" t="s">
        <v>1916</v>
      </c>
      <c r="I92" s="4" t="s">
        <v>359</v>
      </c>
      <c r="K92" s="4" t="s">
        <v>231</v>
      </c>
      <c r="L92" s="4" t="s">
        <v>225</v>
      </c>
      <c r="M92" s="4" t="s">
        <v>1918</v>
      </c>
      <c r="N92" s="4" t="s">
        <v>1919</v>
      </c>
      <c r="Q92" s="4" t="s">
        <v>1845</v>
      </c>
      <c r="R92" s="167" t="s">
        <v>1920</v>
      </c>
    </row>
    <row r="93" hidden="1">
      <c r="A93" s="67" t="str">
        <f t="shared" si="1"/>
        <v>Mon</v>
      </c>
      <c r="B93" s="69">
        <v>43535.0</v>
      </c>
      <c r="D93" s="161">
        <v>339.5</v>
      </c>
      <c r="E93" s="4" t="s">
        <v>222</v>
      </c>
      <c r="F93" s="4" t="s">
        <v>1917</v>
      </c>
      <c r="I93" s="4" t="s">
        <v>359</v>
      </c>
    </row>
    <row r="94" hidden="1">
      <c r="A94" s="67" t="str">
        <f t="shared" si="1"/>
        <v>Tue</v>
      </c>
      <c r="B94" s="69">
        <v>43536.0</v>
      </c>
      <c r="D94" s="161">
        <v>339.5</v>
      </c>
      <c r="E94" s="4" t="s">
        <v>222</v>
      </c>
      <c r="F94" s="4" t="s">
        <v>1917</v>
      </c>
      <c r="I94" s="4" t="s">
        <v>359</v>
      </c>
    </row>
    <row r="95" hidden="1">
      <c r="A95" s="67" t="str">
        <f t="shared" si="1"/>
        <v>Wed</v>
      </c>
      <c r="B95" s="69">
        <v>43537.0</v>
      </c>
      <c r="D95" s="161">
        <v>339.5</v>
      </c>
      <c r="E95" s="4" t="s">
        <v>222</v>
      </c>
      <c r="F95" s="4" t="s">
        <v>1917</v>
      </c>
      <c r="I95" s="4" t="s">
        <v>359</v>
      </c>
    </row>
    <row r="96" hidden="1">
      <c r="A96" s="67" t="str">
        <f t="shared" si="1"/>
        <v>Thu</v>
      </c>
      <c r="B96" s="69">
        <v>43538.0</v>
      </c>
      <c r="D96" s="161">
        <v>339.5</v>
      </c>
      <c r="E96" s="4" t="s">
        <v>222</v>
      </c>
      <c r="F96" s="4" t="s">
        <v>1917</v>
      </c>
      <c r="I96" s="4" t="s">
        <v>359</v>
      </c>
    </row>
    <row r="97" hidden="1">
      <c r="A97" s="67" t="str">
        <f t="shared" si="1"/>
        <v>Fri</v>
      </c>
      <c r="B97" s="69">
        <v>43539.0</v>
      </c>
      <c r="D97" s="4">
        <v>0.0</v>
      </c>
      <c r="E97" s="4" t="s">
        <v>222</v>
      </c>
      <c r="F97" s="4" t="s">
        <v>125</v>
      </c>
      <c r="G97" s="4" t="s">
        <v>125</v>
      </c>
      <c r="H97" s="4" t="s">
        <v>1917</v>
      </c>
      <c r="I97" s="4" t="s">
        <v>292</v>
      </c>
      <c r="L97" s="4" t="s">
        <v>225</v>
      </c>
      <c r="M97" s="4" t="s">
        <v>1923</v>
      </c>
      <c r="N97" s="4" t="s">
        <v>1924</v>
      </c>
      <c r="O97" s="4" t="s">
        <v>1925</v>
      </c>
    </row>
    <row r="98" hidden="1">
      <c r="A98" s="67" t="str">
        <f t="shared" si="1"/>
        <v>Sat</v>
      </c>
      <c r="B98" s="69">
        <v>43540.0</v>
      </c>
      <c r="D98" s="4">
        <v>0.0</v>
      </c>
      <c r="E98" s="4" t="s">
        <v>222</v>
      </c>
      <c r="F98" s="4" t="s">
        <v>125</v>
      </c>
      <c r="I98" s="4" t="s">
        <v>292</v>
      </c>
    </row>
    <row r="99" hidden="1">
      <c r="A99" s="67" t="str">
        <f t="shared" si="1"/>
        <v>Sun</v>
      </c>
      <c r="B99" s="69">
        <v>43541.0</v>
      </c>
      <c r="D99" s="4">
        <v>0.0</v>
      </c>
      <c r="E99" s="4" t="s">
        <v>222</v>
      </c>
      <c r="F99" s="4" t="s">
        <v>125</v>
      </c>
      <c r="I99" s="4" t="s">
        <v>292</v>
      </c>
    </row>
    <row r="100" hidden="1">
      <c r="A100" s="67" t="str">
        <f t="shared" si="1"/>
        <v>Mon</v>
      </c>
      <c r="B100" s="69">
        <v>43542.0</v>
      </c>
      <c r="D100" s="4">
        <v>0.0</v>
      </c>
      <c r="E100" s="4" t="s">
        <v>222</v>
      </c>
      <c r="F100" s="4" t="s">
        <v>125</v>
      </c>
      <c r="I100" s="4" t="s">
        <v>292</v>
      </c>
    </row>
    <row r="101" hidden="1">
      <c r="A101" s="67" t="str">
        <f t="shared" si="1"/>
        <v>Tue</v>
      </c>
      <c r="B101" s="69">
        <v>43543.0</v>
      </c>
      <c r="D101" s="4">
        <v>0.0</v>
      </c>
      <c r="E101" s="4" t="s">
        <v>222</v>
      </c>
      <c r="F101" s="4" t="s">
        <v>125</v>
      </c>
      <c r="I101" s="4" t="s">
        <v>292</v>
      </c>
    </row>
    <row r="102" hidden="1">
      <c r="A102" s="67" t="str">
        <f t="shared" si="1"/>
        <v>Wed</v>
      </c>
      <c r="B102" s="69">
        <v>43544.0</v>
      </c>
      <c r="D102" s="4">
        <v>0.0</v>
      </c>
      <c r="E102" s="4" t="s">
        <v>222</v>
      </c>
      <c r="F102" s="4" t="s">
        <v>125</v>
      </c>
      <c r="I102" s="4" t="s">
        <v>292</v>
      </c>
    </row>
    <row r="103" hidden="1">
      <c r="A103" s="67" t="str">
        <f t="shared" si="1"/>
        <v>Thu</v>
      </c>
      <c r="B103" s="69">
        <v>43545.0</v>
      </c>
      <c r="D103" s="4">
        <v>0.0</v>
      </c>
      <c r="E103" s="4" t="s">
        <v>222</v>
      </c>
      <c r="F103" s="4" t="s">
        <v>125</v>
      </c>
      <c r="I103" s="4" t="s">
        <v>292</v>
      </c>
    </row>
    <row r="104" hidden="1">
      <c r="A104" s="67" t="str">
        <f t="shared" si="1"/>
        <v>Fri</v>
      </c>
      <c r="B104" s="69">
        <v>43546.0</v>
      </c>
      <c r="D104" s="4">
        <v>0.0</v>
      </c>
      <c r="E104" s="4" t="s">
        <v>222</v>
      </c>
      <c r="F104" s="4" t="s">
        <v>125</v>
      </c>
      <c r="I104" s="4" t="s">
        <v>292</v>
      </c>
    </row>
    <row r="105" hidden="1">
      <c r="A105" s="67" t="str">
        <f t="shared" si="1"/>
        <v>Sat</v>
      </c>
      <c r="B105" s="69">
        <v>43547.0</v>
      </c>
      <c r="D105" s="4">
        <v>0.0</v>
      </c>
      <c r="E105" s="4" t="s">
        <v>222</v>
      </c>
      <c r="F105" s="4" t="s">
        <v>125</v>
      </c>
      <c r="I105" s="4" t="s">
        <v>292</v>
      </c>
    </row>
    <row r="106" hidden="1">
      <c r="A106" s="67" t="str">
        <f t="shared" si="1"/>
        <v>Sun</v>
      </c>
      <c r="B106" s="69">
        <v>43548.0</v>
      </c>
      <c r="D106" s="4">
        <v>2144.01</v>
      </c>
      <c r="E106" s="4" t="s">
        <v>222</v>
      </c>
      <c r="F106" s="4" t="s">
        <v>1926</v>
      </c>
      <c r="G106" s="4" t="s">
        <v>1926</v>
      </c>
      <c r="H106" s="4" t="s">
        <v>125</v>
      </c>
      <c r="I106" s="4" t="s">
        <v>359</v>
      </c>
      <c r="J106" s="4" t="s">
        <v>1927</v>
      </c>
      <c r="K106" s="4" t="s">
        <v>231</v>
      </c>
      <c r="L106" s="4" t="s">
        <v>225</v>
      </c>
      <c r="M106" s="4" t="s">
        <v>1928</v>
      </c>
      <c r="N106" s="4" t="s">
        <v>1929</v>
      </c>
    </row>
    <row r="107" hidden="1">
      <c r="A107" s="67" t="str">
        <f t="shared" si="1"/>
        <v>Mon</v>
      </c>
      <c r="B107" s="69">
        <v>43549.0</v>
      </c>
      <c r="D107" s="4">
        <v>0.0</v>
      </c>
      <c r="E107" s="4" t="s">
        <v>222</v>
      </c>
      <c r="F107" s="4" t="s">
        <v>1926</v>
      </c>
      <c r="I107" s="4" t="s">
        <v>359</v>
      </c>
    </row>
    <row r="108" hidden="1">
      <c r="A108" s="67" t="str">
        <f t="shared" si="1"/>
        <v>Tue</v>
      </c>
      <c r="B108" s="69">
        <v>43550.0</v>
      </c>
      <c r="D108" s="4">
        <v>0.0</v>
      </c>
      <c r="E108" s="4" t="s">
        <v>222</v>
      </c>
      <c r="F108" s="4" t="s">
        <v>1926</v>
      </c>
      <c r="I108" s="4" t="s">
        <v>359</v>
      </c>
    </row>
    <row r="109" hidden="1">
      <c r="A109" s="67" t="str">
        <f t="shared" si="1"/>
        <v>Wed</v>
      </c>
      <c r="B109" s="69">
        <v>43551.0</v>
      </c>
      <c r="D109" s="4">
        <v>0.0</v>
      </c>
      <c r="E109" s="4" t="s">
        <v>222</v>
      </c>
      <c r="F109" s="4" t="s">
        <v>1926</v>
      </c>
      <c r="I109" s="4" t="s">
        <v>359</v>
      </c>
    </row>
    <row r="110" hidden="1">
      <c r="A110" s="67" t="str">
        <f t="shared" si="1"/>
        <v>Thu</v>
      </c>
      <c r="B110" s="69">
        <v>43552.0</v>
      </c>
      <c r="D110" s="4">
        <v>0.0</v>
      </c>
      <c r="E110" s="4" t="s">
        <v>222</v>
      </c>
      <c r="F110" s="4" t="s">
        <v>1926</v>
      </c>
      <c r="I110" s="4" t="s">
        <v>359</v>
      </c>
    </row>
    <row r="111" hidden="1">
      <c r="A111" s="67" t="str">
        <f t="shared" si="1"/>
        <v>Fri</v>
      </c>
      <c r="B111" s="69">
        <v>43553.0</v>
      </c>
      <c r="D111" s="4">
        <v>0.0</v>
      </c>
      <c r="E111" s="4" t="s">
        <v>222</v>
      </c>
      <c r="F111" s="4" t="s">
        <v>1926</v>
      </c>
      <c r="I111" s="4" t="s">
        <v>359</v>
      </c>
    </row>
    <row r="112" hidden="1">
      <c r="A112" s="67" t="str">
        <f t="shared" si="1"/>
        <v>Sat</v>
      </c>
      <c r="B112" s="69">
        <v>43554.0</v>
      </c>
      <c r="D112" s="4">
        <v>0.0</v>
      </c>
      <c r="E112" s="4" t="s">
        <v>222</v>
      </c>
      <c r="F112" s="4" t="s">
        <v>1926</v>
      </c>
      <c r="I112" s="4" t="s">
        <v>359</v>
      </c>
    </row>
    <row r="113" hidden="1">
      <c r="A113" s="67" t="str">
        <f t="shared" si="1"/>
        <v>Sun</v>
      </c>
      <c r="B113" s="69">
        <v>43555.0</v>
      </c>
      <c r="D113" s="4">
        <v>0.0</v>
      </c>
      <c r="E113" s="4" t="s">
        <v>222</v>
      </c>
      <c r="F113" s="4" t="s">
        <v>1926</v>
      </c>
      <c r="I113" s="4" t="s">
        <v>359</v>
      </c>
    </row>
    <row r="114">
      <c r="A114" s="67" t="str">
        <f t="shared" si="1"/>
        <v>Mon</v>
      </c>
      <c r="B114" s="69">
        <v>43556.0</v>
      </c>
      <c r="D114" s="4">
        <v>0.0</v>
      </c>
      <c r="E114" s="4" t="s">
        <v>222</v>
      </c>
      <c r="F114" s="4" t="s">
        <v>1926</v>
      </c>
      <c r="I114" s="4" t="s">
        <v>359</v>
      </c>
    </row>
    <row r="115">
      <c r="A115" s="67" t="str">
        <f t="shared" si="1"/>
        <v>Tue</v>
      </c>
      <c r="B115" s="69">
        <v>43557.0</v>
      </c>
      <c r="H115" s="4" t="s">
        <v>1926</v>
      </c>
      <c r="J115" s="4"/>
    </row>
    <row r="116">
      <c r="A116" s="67" t="str">
        <f t="shared" si="1"/>
        <v>Wed</v>
      </c>
      <c r="B116" s="69">
        <v>43558.0</v>
      </c>
      <c r="J116" s="4"/>
    </row>
    <row r="117">
      <c r="A117" s="67" t="str">
        <f t="shared" si="1"/>
        <v>Thu</v>
      </c>
      <c r="B117" s="69">
        <v>43559.0</v>
      </c>
      <c r="D117" s="161">
        <v>310.40000000000003</v>
      </c>
      <c r="E117" s="4" t="s">
        <v>222</v>
      </c>
      <c r="F117" s="4" t="s">
        <v>1930</v>
      </c>
      <c r="G117" s="4" t="s">
        <v>1930</v>
      </c>
      <c r="I117" s="4" t="s">
        <v>359</v>
      </c>
      <c r="K117" s="4" t="s">
        <v>231</v>
      </c>
      <c r="L117" s="4" t="s">
        <v>225</v>
      </c>
      <c r="M117" s="4" t="s">
        <v>1931</v>
      </c>
      <c r="N117" s="4" t="s">
        <v>1932</v>
      </c>
      <c r="O117" s="4" t="s">
        <v>1933</v>
      </c>
      <c r="Q117" s="4" t="s">
        <v>1934</v>
      </c>
      <c r="R117" s="4" t="s">
        <v>1935</v>
      </c>
    </row>
    <row r="118">
      <c r="A118" s="67" t="str">
        <f t="shared" si="1"/>
        <v>Fri</v>
      </c>
      <c r="B118" s="69">
        <v>43560.0</v>
      </c>
      <c r="D118" s="161">
        <v>310.40000000000003</v>
      </c>
      <c r="E118" s="4" t="s">
        <v>222</v>
      </c>
      <c r="F118" s="4" t="s">
        <v>1930</v>
      </c>
      <c r="I118" s="4" t="s">
        <v>359</v>
      </c>
    </row>
    <row r="119">
      <c r="A119" s="67" t="str">
        <f t="shared" si="1"/>
        <v>Sat</v>
      </c>
      <c r="B119" s="69">
        <v>43561.0</v>
      </c>
      <c r="D119" s="161">
        <v>310.40000000000003</v>
      </c>
      <c r="E119" s="4" t="s">
        <v>222</v>
      </c>
      <c r="F119" s="4" t="s">
        <v>1930</v>
      </c>
      <c r="I119" s="4" t="s">
        <v>359</v>
      </c>
    </row>
    <row r="120">
      <c r="A120" s="67" t="str">
        <f t="shared" si="1"/>
        <v>Sun</v>
      </c>
      <c r="B120" s="69">
        <v>43562.0</v>
      </c>
      <c r="D120" s="161">
        <v>310.40000000000003</v>
      </c>
      <c r="E120" s="4" t="s">
        <v>222</v>
      </c>
      <c r="F120" s="4" t="s">
        <v>1930</v>
      </c>
      <c r="I120" s="4" t="s">
        <v>359</v>
      </c>
    </row>
    <row r="121">
      <c r="A121" s="67" t="str">
        <f t="shared" si="1"/>
        <v>Mon</v>
      </c>
      <c r="B121" s="69">
        <v>43563.0</v>
      </c>
      <c r="D121" s="161">
        <v>310.40000000000003</v>
      </c>
      <c r="E121" s="4" t="s">
        <v>222</v>
      </c>
      <c r="F121" s="4" t="s">
        <v>1930</v>
      </c>
      <c r="I121" s="4" t="s">
        <v>359</v>
      </c>
    </row>
    <row r="122">
      <c r="A122" s="67" t="str">
        <f t="shared" si="1"/>
        <v>Tue</v>
      </c>
      <c r="B122" s="69">
        <v>43564.0</v>
      </c>
      <c r="D122" s="161">
        <v>310.40000000000003</v>
      </c>
      <c r="E122" s="4" t="s">
        <v>222</v>
      </c>
      <c r="F122" s="4" t="s">
        <v>1930</v>
      </c>
      <c r="I122" s="4" t="s">
        <v>359</v>
      </c>
    </row>
    <row r="123">
      <c r="A123" s="67" t="str">
        <f t="shared" si="1"/>
        <v>Wed</v>
      </c>
      <c r="B123" s="69">
        <v>43565.0</v>
      </c>
      <c r="H123" s="4" t="s">
        <v>1930</v>
      </c>
      <c r="J123" s="4"/>
    </row>
    <row r="124">
      <c r="A124" s="67" t="str">
        <f t="shared" si="1"/>
        <v>Thu</v>
      </c>
      <c r="B124" s="69">
        <v>43566.0</v>
      </c>
      <c r="J124" s="4"/>
    </row>
    <row r="125">
      <c r="A125" s="67" t="str">
        <f t="shared" si="1"/>
        <v>Fri</v>
      </c>
      <c r="B125" s="69">
        <v>43567.0</v>
      </c>
      <c r="J125" s="4"/>
      <c r="L125" s="4" t="s">
        <v>229</v>
      </c>
      <c r="M125" s="4" t="s">
        <v>226</v>
      </c>
      <c r="N125" s="4" t="s">
        <v>232</v>
      </c>
      <c r="O125" s="4" t="s">
        <v>264</v>
      </c>
    </row>
    <row r="126">
      <c r="A126" s="67" t="str">
        <f t="shared" si="1"/>
        <v>Sat</v>
      </c>
      <c r="B126" s="69">
        <v>43568.0</v>
      </c>
      <c r="D126" s="161">
        <v>350.0</v>
      </c>
      <c r="E126" s="4" t="s">
        <v>337</v>
      </c>
      <c r="F126" s="4" t="s">
        <v>1936</v>
      </c>
      <c r="G126" s="4" t="s">
        <v>1936</v>
      </c>
      <c r="I126" s="4" t="s">
        <v>224</v>
      </c>
      <c r="J126" s="4" t="s">
        <v>1937</v>
      </c>
      <c r="K126" s="4" t="s">
        <v>231</v>
      </c>
      <c r="L126" s="4" t="s">
        <v>225</v>
      </c>
      <c r="M126" s="4" t="s">
        <v>1938</v>
      </c>
      <c r="Q126" s="4" t="s">
        <v>709</v>
      </c>
      <c r="R126" s="4" t="s">
        <v>710</v>
      </c>
      <c r="S126" s="161">
        <v>6.759875702E10</v>
      </c>
    </row>
    <row r="127">
      <c r="A127" s="67" t="str">
        <f t="shared" si="1"/>
        <v>Sun</v>
      </c>
      <c r="B127" s="69">
        <v>43569.0</v>
      </c>
      <c r="D127" s="161">
        <v>401.85714285714283</v>
      </c>
      <c r="E127" s="4" t="s">
        <v>222</v>
      </c>
      <c r="F127" s="4" t="s">
        <v>1939</v>
      </c>
      <c r="G127" s="4" t="s">
        <v>1939</v>
      </c>
      <c r="H127" s="4" t="s">
        <v>1936</v>
      </c>
      <c r="I127" s="4" t="s">
        <v>224</v>
      </c>
      <c r="K127" s="4" t="s">
        <v>231</v>
      </c>
      <c r="L127" s="4" t="s">
        <v>225</v>
      </c>
      <c r="M127" s="4" t="s">
        <v>1940</v>
      </c>
      <c r="N127" s="4" t="s">
        <v>1941</v>
      </c>
      <c r="O127" s="4" t="s">
        <v>1942</v>
      </c>
      <c r="Q127" s="4" t="s">
        <v>1943</v>
      </c>
      <c r="R127" s="167" t="s">
        <v>1944</v>
      </c>
      <c r="S127" s="34" t="s">
        <v>1945</v>
      </c>
    </row>
    <row r="128">
      <c r="A128" s="67" t="str">
        <f t="shared" si="1"/>
        <v>Mon</v>
      </c>
      <c r="B128" s="69">
        <v>43570.0</v>
      </c>
      <c r="D128" s="161">
        <v>401.85714285714283</v>
      </c>
      <c r="E128" s="4" t="s">
        <v>222</v>
      </c>
      <c r="F128" s="4" t="s">
        <v>1939</v>
      </c>
      <c r="I128" s="4" t="s">
        <v>224</v>
      </c>
    </row>
    <row r="129">
      <c r="A129" s="67" t="str">
        <f t="shared" si="1"/>
        <v>Tue</v>
      </c>
      <c r="B129" s="69">
        <v>43571.0</v>
      </c>
      <c r="D129" s="161">
        <v>401.85714285714283</v>
      </c>
      <c r="E129" s="4" t="s">
        <v>222</v>
      </c>
      <c r="F129" s="4" t="s">
        <v>1939</v>
      </c>
      <c r="I129" s="4" t="s">
        <v>224</v>
      </c>
    </row>
    <row r="130">
      <c r="A130" s="67" t="str">
        <f t="shared" si="1"/>
        <v>Wed</v>
      </c>
      <c r="B130" s="69">
        <v>43572.0</v>
      </c>
      <c r="D130" s="161">
        <v>401.85714285714283</v>
      </c>
      <c r="E130" s="4" t="s">
        <v>222</v>
      </c>
      <c r="F130" s="4" t="s">
        <v>1939</v>
      </c>
      <c r="I130" s="4" t="s">
        <v>224</v>
      </c>
    </row>
    <row r="131">
      <c r="A131" s="67" t="str">
        <f t="shared" si="1"/>
        <v>Thu</v>
      </c>
      <c r="B131" s="69">
        <v>43573.0</v>
      </c>
      <c r="D131" s="161">
        <v>401.85714285714283</v>
      </c>
      <c r="E131" s="4" t="s">
        <v>222</v>
      </c>
      <c r="F131" s="4" t="s">
        <v>1939</v>
      </c>
      <c r="I131" s="4" t="s">
        <v>224</v>
      </c>
    </row>
    <row r="132">
      <c r="A132" s="67" t="str">
        <f t="shared" si="1"/>
        <v>Fri</v>
      </c>
      <c r="B132" s="69">
        <v>43574.0</v>
      </c>
      <c r="D132" s="161">
        <v>401.85714285714283</v>
      </c>
      <c r="E132" s="4" t="s">
        <v>222</v>
      </c>
      <c r="F132" s="4" t="s">
        <v>1939</v>
      </c>
      <c r="I132" s="4" t="s">
        <v>224</v>
      </c>
    </row>
    <row r="133">
      <c r="A133" s="67" t="str">
        <f t="shared" si="1"/>
        <v>Sat</v>
      </c>
      <c r="B133" s="69">
        <v>43575.0</v>
      </c>
      <c r="D133" s="161">
        <v>401.85714285714283</v>
      </c>
      <c r="E133" s="4" t="s">
        <v>222</v>
      </c>
      <c r="F133" s="4" t="s">
        <v>1939</v>
      </c>
      <c r="I133" s="4" t="s">
        <v>224</v>
      </c>
    </row>
    <row r="134">
      <c r="A134" s="67" t="str">
        <f t="shared" si="1"/>
        <v>Sun</v>
      </c>
      <c r="B134" s="69">
        <v>43576.0</v>
      </c>
      <c r="D134" s="161">
        <v>339.5</v>
      </c>
      <c r="E134" s="4" t="s">
        <v>222</v>
      </c>
      <c r="F134" s="4" t="s">
        <v>1946</v>
      </c>
      <c r="G134" s="4" t="s">
        <v>1946</v>
      </c>
      <c r="H134" s="4" t="s">
        <v>1939</v>
      </c>
      <c r="I134" s="4" t="s">
        <v>224</v>
      </c>
      <c r="K134" s="4" t="s">
        <v>231</v>
      </c>
      <c r="L134" s="4" t="s">
        <v>225</v>
      </c>
      <c r="M134" s="4" t="s">
        <v>1947</v>
      </c>
      <c r="N134" s="4" t="s">
        <v>1948</v>
      </c>
      <c r="O134" s="4" t="s">
        <v>1949</v>
      </c>
      <c r="Q134" s="234" t="s">
        <v>1950</v>
      </c>
      <c r="R134" s="4" t="s">
        <v>1951</v>
      </c>
      <c r="S134" s="179">
        <v>3.7013072885E10</v>
      </c>
    </row>
    <row r="135">
      <c r="A135" s="67" t="str">
        <f t="shared" si="1"/>
        <v>Mon</v>
      </c>
      <c r="B135" s="69">
        <v>43577.0</v>
      </c>
      <c r="D135" s="161">
        <v>339.5</v>
      </c>
      <c r="E135" s="4" t="s">
        <v>222</v>
      </c>
      <c r="F135" s="4" t="s">
        <v>1946</v>
      </c>
      <c r="I135" s="4" t="s">
        <v>224</v>
      </c>
    </row>
    <row r="136">
      <c r="A136" s="67" t="str">
        <f t="shared" si="1"/>
        <v>Tue</v>
      </c>
      <c r="B136" s="69">
        <v>43578.0</v>
      </c>
      <c r="H136" s="4" t="s">
        <v>1946</v>
      </c>
    </row>
    <row r="137">
      <c r="A137" s="67" t="str">
        <f t="shared" si="1"/>
        <v>Wed</v>
      </c>
      <c r="B137" s="69">
        <v>43579.0</v>
      </c>
    </row>
    <row r="138">
      <c r="A138" s="67" t="str">
        <f t="shared" si="1"/>
        <v>Thu</v>
      </c>
      <c r="B138" s="69">
        <v>43580.0</v>
      </c>
    </row>
    <row r="139">
      <c r="A139" s="67" t="str">
        <f t="shared" si="1"/>
        <v>Fri</v>
      </c>
      <c r="B139" s="69">
        <v>43581.0</v>
      </c>
      <c r="D139" s="161">
        <v>320.1</v>
      </c>
      <c r="E139" s="4" t="s">
        <v>222</v>
      </c>
      <c r="F139" s="4" t="s">
        <v>1952</v>
      </c>
      <c r="G139" s="4" t="s">
        <v>1952</v>
      </c>
      <c r="I139" s="4" t="s">
        <v>359</v>
      </c>
      <c r="K139" s="4" t="s">
        <v>231</v>
      </c>
      <c r="L139" s="4" t="s">
        <v>225</v>
      </c>
      <c r="M139" s="4" t="s">
        <v>1953</v>
      </c>
      <c r="N139" s="4" t="s">
        <v>1954</v>
      </c>
      <c r="O139" s="4" t="s">
        <v>1955</v>
      </c>
    </row>
    <row r="140">
      <c r="A140" s="67" t="str">
        <f t="shared" si="1"/>
        <v>Sat</v>
      </c>
      <c r="B140" s="69">
        <v>43582.0</v>
      </c>
      <c r="D140" s="161">
        <v>320.1</v>
      </c>
      <c r="E140" s="4" t="s">
        <v>222</v>
      </c>
      <c r="F140" s="4" t="s">
        <v>1952</v>
      </c>
      <c r="I140" s="4" t="s">
        <v>359</v>
      </c>
    </row>
    <row r="141">
      <c r="A141" s="67" t="str">
        <f t="shared" si="1"/>
        <v>Sun</v>
      </c>
      <c r="B141" s="69">
        <v>43583.0</v>
      </c>
      <c r="D141" s="161">
        <v>320.1</v>
      </c>
      <c r="E141" s="4" t="s">
        <v>222</v>
      </c>
      <c r="F141" s="4" t="s">
        <v>1952</v>
      </c>
      <c r="I141" s="4" t="s">
        <v>359</v>
      </c>
    </row>
    <row r="142">
      <c r="A142" s="67" t="str">
        <f t="shared" si="1"/>
        <v>Mon</v>
      </c>
      <c r="B142" s="69">
        <v>43584.0</v>
      </c>
      <c r="D142" s="161">
        <v>320.1</v>
      </c>
      <c r="E142" s="4" t="s">
        <v>222</v>
      </c>
      <c r="F142" s="4" t="s">
        <v>1952</v>
      </c>
      <c r="I142" s="4" t="s">
        <v>359</v>
      </c>
    </row>
    <row r="143">
      <c r="A143" s="67" t="str">
        <f t="shared" si="1"/>
        <v>Tue</v>
      </c>
      <c r="B143" s="69">
        <v>43585.0</v>
      </c>
      <c r="D143" s="161">
        <v>320.1</v>
      </c>
      <c r="E143" s="4" t="s">
        <v>222</v>
      </c>
      <c r="F143" s="4" t="s">
        <v>1952</v>
      </c>
      <c r="I143" s="4" t="s">
        <v>359</v>
      </c>
    </row>
    <row r="144">
      <c r="A144" s="67" t="str">
        <f t="shared" si="1"/>
        <v>Wed</v>
      </c>
      <c r="B144" s="69">
        <v>43586.0</v>
      </c>
      <c r="D144" s="4">
        <v>242.5</v>
      </c>
      <c r="E144" s="4" t="s">
        <v>222</v>
      </c>
      <c r="F144" s="4" t="s">
        <v>1956</v>
      </c>
      <c r="G144" s="4" t="s">
        <v>1956</v>
      </c>
      <c r="H144" s="4" t="s">
        <v>1952</v>
      </c>
      <c r="I144" s="4" t="s">
        <v>224</v>
      </c>
      <c r="K144" s="4" t="s">
        <v>231</v>
      </c>
      <c r="L144" s="4" t="s">
        <v>225</v>
      </c>
      <c r="M144" s="4" t="s">
        <v>1957</v>
      </c>
      <c r="N144" s="4"/>
      <c r="O144" s="4"/>
      <c r="R144" s="4" t="s">
        <v>1958</v>
      </c>
    </row>
    <row r="145">
      <c r="A145" s="67" t="str">
        <f t="shared" si="1"/>
        <v>Thu</v>
      </c>
      <c r="B145" s="69">
        <v>43587.0</v>
      </c>
      <c r="D145" s="4">
        <v>242.5</v>
      </c>
      <c r="E145" s="4" t="s">
        <v>222</v>
      </c>
      <c r="F145" s="4" t="s">
        <v>1956</v>
      </c>
      <c r="I145" s="4" t="s">
        <v>224</v>
      </c>
    </row>
    <row r="146">
      <c r="A146" s="67" t="str">
        <f t="shared" si="1"/>
        <v>Fri</v>
      </c>
      <c r="B146" s="69">
        <v>43588.0</v>
      </c>
      <c r="D146" s="161">
        <v>271.6</v>
      </c>
      <c r="E146" s="4" t="s">
        <v>222</v>
      </c>
      <c r="F146" s="4" t="s">
        <v>1959</v>
      </c>
      <c r="G146" s="4" t="s">
        <v>1959</v>
      </c>
      <c r="H146" s="4" t="s">
        <v>1956</v>
      </c>
      <c r="I146" s="4" t="s">
        <v>224</v>
      </c>
      <c r="K146" s="4" t="s">
        <v>231</v>
      </c>
      <c r="L146" s="4" t="s">
        <v>225</v>
      </c>
      <c r="M146" s="4" t="s">
        <v>226</v>
      </c>
      <c r="N146" s="4" t="s">
        <v>232</v>
      </c>
      <c r="O146" s="4" t="s">
        <v>264</v>
      </c>
      <c r="Q146" s="4" t="s">
        <v>1960</v>
      </c>
      <c r="R146" s="4" t="s">
        <v>1961</v>
      </c>
      <c r="S146" s="161">
        <v>2.2975451857E10</v>
      </c>
    </row>
    <row r="147">
      <c r="A147" s="67" t="str">
        <f t="shared" si="1"/>
        <v>Sat</v>
      </c>
      <c r="B147" s="69">
        <v>43589.0</v>
      </c>
      <c r="D147" s="161">
        <v>271.6</v>
      </c>
      <c r="E147" s="4" t="s">
        <v>222</v>
      </c>
      <c r="F147" s="4" t="s">
        <v>1959</v>
      </c>
      <c r="I147" s="4" t="s">
        <v>224</v>
      </c>
    </row>
    <row r="148">
      <c r="A148" s="67" t="str">
        <f t="shared" si="1"/>
        <v>Sun</v>
      </c>
      <c r="B148" s="69">
        <v>43590.0</v>
      </c>
      <c r="D148" s="161">
        <v>0.0</v>
      </c>
      <c r="E148" s="4" t="s">
        <v>337</v>
      </c>
      <c r="F148" s="4" t="s">
        <v>1962</v>
      </c>
      <c r="G148" s="4" t="s">
        <v>1962</v>
      </c>
      <c r="H148" s="4" t="s">
        <v>1959</v>
      </c>
      <c r="I148" s="4" t="s">
        <v>224</v>
      </c>
      <c r="J148" s="4"/>
      <c r="K148" s="4" t="s">
        <v>231</v>
      </c>
      <c r="L148" s="4" t="s">
        <v>225</v>
      </c>
      <c r="M148" s="4" t="s">
        <v>1963</v>
      </c>
      <c r="N148" s="4"/>
      <c r="O148" s="4"/>
    </row>
    <row r="149">
      <c r="A149" s="67" t="str">
        <f t="shared" si="1"/>
        <v>Mon</v>
      </c>
      <c r="B149" s="69">
        <v>43591.0</v>
      </c>
      <c r="D149" s="161">
        <v>0.0</v>
      </c>
      <c r="E149" s="4" t="s">
        <v>337</v>
      </c>
      <c r="F149" s="4" t="s">
        <v>1962</v>
      </c>
      <c r="I149" s="4" t="s">
        <v>224</v>
      </c>
      <c r="J149" s="4"/>
    </row>
    <row r="150">
      <c r="A150" s="67" t="str">
        <f t="shared" si="1"/>
        <v>Tue</v>
      </c>
      <c r="B150" s="69">
        <v>43592.0</v>
      </c>
      <c r="D150" s="161">
        <v>0.0</v>
      </c>
      <c r="E150" s="4" t="s">
        <v>337</v>
      </c>
      <c r="F150" s="4" t="s">
        <v>1962</v>
      </c>
      <c r="H150" s="4"/>
      <c r="I150" s="4" t="s">
        <v>224</v>
      </c>
    </row>
    <row r="151">
      <c r="A151" s="67" t="str">
        <f t="shared" si="1"/>
        <v>Wed</v>
      </c>
      <c r="B151" s="69">
        <v>43593.0</v>
      </c>
      <c r="F151" s="4"/>
      <c r="G151" s="4"/>
      <c r="H151" s="4" t="s">
        <v>1962</v>
      </c>
      <c r="N151" s="4"/>
      <c r="O151" s="4"/>
    </row>
    <row r="152">
      <c r="A152" s="67" t="str">
        <f t="shared" si="1"/>
        <v>Thu</v>
      </c>
      <c r="B152" s="69">
        <v>43594.0</v>
      </c>
      <c r="D152" s="161">
        <v>271.6</v>
      </c>
      <c r="E152" s="4" t="s">
        <v>222</v>
      </c>
      <c r="F152" s="4" t="s">
        <v>1964</v>
      </c>
      <c r="G152" s="4" t="s">
        <v>1964</v>
      </c>
      <c r="H152" s="4"/>
      <c r="I152" s="4" t="s">
        <v>224</v>
      </c>
      <c r="K152" s="4" t="s">
        <v>231</v>
      </c>
      <c r="L152" s="4" t="s">
        <v>225</v>
      </c>
      <c r="M152" s="4" t="s">
        <v>1965</v>
      </c>
      <c r="N152" s="4" t="s">
        <v>1966</v>
      </c>
      <c r="O152" s="4" t="s">
        <v>264</v>
      </c>
      <c r="Q152" s="4" t="s">
        <v>1967</v>
      </c>
      <c r="R152" s="4" t="s">
        <v>1968</v>
      </c>
      <c r="S152" s="4" t="s">
        <v>1969</v>
      </c>
    </row>
    <row r="153">
      <c r="A153" s="67" t="str">
        <f t="shared" si="1"/>
        <v>Fri</v>
      </c>
      <c r="B153" s="69">
        <v>43595.0</v>
      </c>
      <c r="D153" s="161">
        <v>271.6</v>
      </c>
      <c r="E153" s="4" t="s">
        <v>222</v>
      </c>
      <c r="F153" s="4" t="s">
        <v>1964</v>
      </c>
      <c r="I153" s="4" t="s">
        <v>224</v>
      </c>
    </row>
    <row r="154">
      <c r="A154" s="67" t="str">
        <f t="shared" si="1"/>
        <v>Sat</v>
      </c>
      <c r="B154" s="69">
        <v>43596.0</v>
      </c>
      <c r="D154" s="161">
        <v>271.6</v>
      </c>
      <c r="E154" s="4" t="s">
        <v>222</v>
      </c>
      <c r="F154" s="4" t="s">
        <v>1964</v>
      </c>
      <c r="I154" s="4" t="s">
        <v>224</v>
      </c>
    </row>
    <row r="155">
      <c r="A155" s="67" t="str">
        <f t="shared" si="1"/>
        <v>Sun</v>
      </c>
      <c r="B155" s="69">
        <v>43597.0</v>
      </c>
      <c r="D155" s="161">
        <v>271.6</v>
      </c>
      <c r="E155" s="4" t="s">
        <v>222</v>
      </c>
      <c r="F155" s="4" t="s">
        <v>1964</v>
      </c>
      <c r="I155" s="4" t="s">
        <v>224</v>
      </c>
    </row>
    <row r="156">
      <c r="A156" s="67" t="str">
        <f t="shared" si="1"/>
        <v>Mon</v>
      </c>
      <c r="B156" s="69">
        <v>43598.0</v>
      </c>
      <c r="D156" s="161">
        <v>271.6</v>
      </c>
      <c r="E156" s="4" t="s">
        <v>222</v>
      </c>
      <c r="F156" s="4" t="s">
        <v>1964</v>
      </c>
      <c r="I156" s="4" t="s">
        <v>224</v>
      </c>
    </row>
    <row r="157">
      <c r="A157" s="67" t="str">
        <f t="shared" si="1"/>
        <v>Tue</v>
      </c>
      <c r="B157" s="69">
        <v>43599.0</v>
      </c>
      <c r="F157" s="4"/>
      <c r="G157" s="4"/>
      <c r="H157" s="4" t="s">
        <v>1964</v>
      </c>
      <c r="O157" s="4"/>
    </row>
    <row r="158">
      <c r="A158" s="67" t="str">
        <f t="shared" si="1"/>
        <v>Wed</v>
      </c>
      <c r="B158" s="69">
        <v>43600.0</v>
      </c>
      <c r="F158" s="4"/>
    </row>
    <row r="159">
      <c r="A159" s="67" t="str">
        <f t="shared" si="1"/>
        <v>Thu</v>
      </c>
      <c r="B159" s="69">
        <v>43601.0</v>
      </c>
      <c r="F159" s="4"/>
      <c r="G159" s="4"/>
      <c r="H159" s="4"/>
      <c r="O159" s="4"/>
    </row>
    <row r="160">
      <c r="A160" s="67" t="str">
        <f t="shared" si="1"/>
        <v>Fri</v>
      </c>
      <c r="B160" s="69">
        <v>43602.0</v>
      </c>
      <c r="D160" s="161">
        <v>271.6</v>
      </c>
      <c r="E160" s="4" t="s">
        <v>222</v>
      </c>
      <c r="F160" s="4" t="s">
        <v>1970</v>
      </c>
      <c r="G160" s="4" t="s">
        <v>1970</v>
      </c>
      <c r="H160" s="4"/>
      <c r="I160" s="4" t="s">
        <v>224</v>
      </c>
      <c r="K160" s="4" t="s">
        <v>231</v>
      </c>
      <c r="L160" s="4" t="s">
        <v>225</v>
      </c>
      <c r="M160" s="4" t="s">
        <v>226</v>
      </c>
      <c r="N160" s="4" t="s">
        <v>232</v>
      </c>
      <c r="R160" s="4" t="s">
        <v>1971</v>
      </c>
    </row>
    <row r="161">
      <c r="A161" s="67" t="str">
        <f t="shared" si="1"/>
        <v>Sat</v>
      </c>
      <c r="B161" s="69">
        <v>43603.0</v>
      </c>
      <c r="D161" s="161">
        <v>271.6</v>
      </c>
      <c r="E161" s="4" t="s">
        <v>222</v>
      </c>
      <c r="F161" s="4" t="s">
        <v>1970</v>
      </c>
      <c r="I161" s="4" t="s">
        <v>224</v>
      </c>
    </row>
    <row r="162">
      <c r="A162" s="67" t="str">
        <f t="shared" si="1"/>
        <v>Sun</v>
      </c>
      <c r="B162" s="69">
        <v>43604.0</v>
      </c>
    </row>
    <row r="163">
      <c r="A163" s="67" t="str">
        <f t="shared" si="1"/>
        <v>Mon</v>
      </c>
      <c r="B163" s="69">
        <v>43605.0</v>
      </c>
    </row>
    <row r="164">
      <c r="A164" s="67" t="str">
        <f t="shared" si="1"/>
        <v>Tue</v>
      </c>
      <c r="B164" s="69">
        <v>43606.0</v>
      </c>
    </row>
    <row r="165">
      <c r="A165" s="67" t="str">
        <f t="shared" si="1"/>
        <v>Wed</v>
      </c>
      <c r="B165" s="69">
        <v>43607.0</v>
      </c>
      <c r="D165" s="161">
        <v>266.75</v>
      </c>
      <c r="E165" s="4" t="s">
        <v>222</v>
      </c>
      <c r="F165" s="4" t="s">
        <v>1973</v>
      </c>
      <c r="G165" s="4" t="s">
        <v>1973</v>
      </c>
      <c r="I165" s="4" t="s">
        <v>224</v>
      </c>
      <c r="K165" s="4" t="s">
        <v>231</v>
      </c>
      <c r="L165" s="4" t="s">
        <v>225</v>
      </c>
      <c r="M165" s="4" t="s">
        <v>226</v>
      </c>
      <c r="N165" s="4" t="s">
        <v>232</v>
      </c>
      <c r="R165" s="4" t="s">
        <v>1974</v>
      </c>
    </row>
    <row r="166">
      <c r="A166" s="67" t="str">
        <f t="shared" si="1"/>
        <v>Thu</v>
      </c>
      <c r="B166" s="69">
        <v>43608.0</v>
      </c>
      <c r="F166" s="4"/>
      <c r="G166" s="4"/>
      <c r="H166" s="4" t="s">
        <v>1973</v>
      </c>
      <c r="N166" s="4"/>
      <c r="O166" s="4"/>
    </row>
    <row r="167">
      <c r="A167" s="67" t="str">
        <f t="shared" si="1"/>
        <v>Fri</v>
      </c>
      <c r="B167" s="69">
        <v>43609.0</v>
      </c>
      <c r="F167" s="4"/>
    </row>
    <row r="168">
      <c r="A168" s="67" t="str">
        <f t="shared" si="1"/>
        <v>Sat</v>
      </c>
      <c r="B168" s="69">
        <v>43610.0</v>
      </c>
      <c r="D168" s="161">
        <v>509.24</v>
      </c>
      <c r="E168" s="4" t="s">
        <v>222</v>
      </c>
      <c r="F168" s="4" t="s">
        <v>1975</v>
      </c>
      <c r="G168" s="4" t="s">
        <v>1975</v>
      </c>
      <c r="H168" s="4"/>
      <c r="I168" s="4" t="s">
        <v>224</v>
      </c>
      <c r="J168" s="4"/>
      <c r="K168" s="4" t="s">
        <v>231</v>
      </c>
      <c r="L168" s="4" t="s">
        <v>225</v>
      </c>
      <c r="M168" s="4" t="s">
        <v>226</v>
      </c>
      <c r="N168" s="4" t="s">
        <v>232</v>
      </c>
      <c r="O168" s="4" t="s">
        <v>264</v>
      </c>
      <c r="R168" s="4" t="s">
        <v>1976</v>
      </c>
    </row>
    <row r="169">
      <c r="A169" s="67" t="str">
        <f t="shared" si="1"/>
        <v>Sun</v>
      </c>
      <c r="B169" s="69">
        <v>43611.0</v>
      </c>
      <c r="F169" s="4"/>
      <c r="H169" s="4" t="s">
        <v>1975</v>
      </c>
    </row>
    <row r="170">
      <c r="A170" s="67" t="str">
        <f t="shared" si="1"/>
        <v>Mon</v>
      </c>
      <c r="B170" s="69">
        <v>43612.0</v>
      </c>
      <c r="D170" s="216">
        <v>271.59999999999997</v>
      </c>
      <c r="E170" s="4" t="s">
        <v>222</v>
      </c>
      <c r="F170" s="4" t="s">
        <v>1978</v>
      </c>
      <c r="G170" s="4" t="s">
        <v>1978</v>
      </c>
      <c r="H170" s="4"/>
      <c r="I170" s="4" t="s">
        <v>224</v>
      </c>
      <c r="J170" s="4" t="s">
        <v>1979</v>
      </c>
      <c r="K170" s="4" t="s">
        <v>231</v>
      </c>
      <c r="L170" s="4" t="s">
        <v>225</v>
      </c>
      <c r="M170" s="4" t="s">
        <v>226</v>
      </c>
      <c r="N170" s="4" t="s">
        <v>232</v>
      </c>
      <c r="O170" s="4" t="s">
        <v>264</v>
      </c>
      <c r="R170" s="4" t="s">
        <v>1980</v>
      </c>
    </row>
    <row r="171">
      <c r="A171" s="67" t="str">
        <f t="shared" si="1"/>
        <v>Tue</v>
      </c>
      <c r="B171" s="69">
        <v>43613.0</v>
      </c>
      <c r="D171" s="216">
        <v>271.59999999999997</v>
      </c>
      <c r="E171" s="4" t="s">
        <v>222</v>
      </c>
      <c r="F171" s="4" t="s">
        <v>1978</v>
      </c>
      <c r="I171" s="4" t="s">
        <v>224</v>
      </c>
    </row>
    <row r="172">
      <c r="A172" s="67" t="str">
        <f t="shared" si="1"/>
        <v>Wed</v>
      </c>
      <c r="B172" s="69">
        <v>43614.0</v>
      </c>
      <c r="D172" s="216">
        <v>271.59999999999997</v>
      </c>
      <c r="E172" s="4" t="s">
        <v>222</v>
      </c>
      <c r="F172" s="4" t="s">
        <v>1978</v>
      </c>
      <c r="I172" s="4" t="s">
        <v>224</v>
      </c>
    </row>
    <row r="173">
      <c r="A173" s="67" t="str">
        <f t="shared" si="1"/>
        <v>Thu</v>
      </c>
      <c r="B173" s="69">
        <v>43615.0</v>
      </c>
      <c r="F173" s="4"/>
      <c r="G173" s="4"/>
      <c r="H173" s="4" t="s">
        <v>1978</v>
      </c>
      <c r="J173" s="4" t="s">
        <v>295</v>
      </c>
      <c r="L173" s="4" t="s">
        <v>229</v>
      </c>
      <c r="M173" s="4"/>
      <c r="N173" s="4"/>
      <c r="O173" s="4"/>
    </row>
    <row r="174">
      <c r="A174" s="67" t="str">
        <f t="shared" si="1"/>
        <v>Fri</v>
      </c>
      <c r="B174" s="69">
        <v>43616.0</v>
      </c>
      <c r="D174" s="4">
        <v>240.56</v>
      </c>
      <c r="E174" s="4" t="s">
        <v>222</v>
      </c>
      <c r="F174" s="4" t="s">
        <v>1981</v>
      </c>
      <c r="G174" s="4" t="s">
        <v>1981</v>
      </c>
      <c r="H174" s="4"/>
      <c r="I174" s="4" t="s">
        <v>224</v>
      </c>
      <c r="K174" s="4" t="s">
        <v>231</v>
      </c>
      <c r="L174" s="4" t="s">
        <v>225</v>
      </c>
      <c r="M174" s="4" t="s">
        <v>1982</v>
      </c>
      <c r="Q174" s="4" t="s">
        <v>1983</v>
      </c>
      <c r="R174" s="4" t="s">
        <v>1984</v>
      </c>
      <c r="S174" s="4" t="s">
        <v>1985</v>
      </c>
    </row>
    <row r="175">
      <c r="A175" s="67" t="str">
        <f t="shared" si="1"/>
        <v>Sat</v>
      </c>
      <c r="B175" s="69">
        <v>43617.0</v>
      </c>
      <c r="D175" s="4">
        <v>240.56</v>
      </c>
      <c r="E175" s="4" t="s">
        <v>222</v>
      </c>
      <c r="F175" s="4" t="s">
        <v>1981</v>
      </c>
      <c r="I175" s="4" t="s">
        <v>224</v>
      </c>
    </row>
    <row r="176">
      <c r="A176" s="67" t="str">
        <f t="shared" si="1"/>
        <v>Sun</v>
      </c>
      <c r="B176" s="69">
        <v>43618.0</v>
      </c>
      <c r="D176" s="4">
        <v>240.56</v>
      </c>
      <c r="E176" s="4" t="s">
        <v>222</v>
      </c>
      <c r="F176" s="4" t="s">
        <v>1981</v>
      </c>
      <c r="I176" s="4" t="s">
        <v>224</v>
      </c>
    </row>
    <row r="177">
      <c r="A177" s="67" t="str">
        <f t="shared" si="1"/>
        <v>Mon</v>
      </c>
      <c r="B177" s="69">
        <v>43619.0</v>
      </c>
      <c r="D177" s="4">
        <v>240.56</v>
      </c>
      <c r="E177" s="4" t="s">
        <v>222</v>
      </c>
      <c r="F177" s="4" t="s">
        <v>1981</v>
      </c>
      <c r="I177" s="4" t="s">
        <v>224</v>
      </c>
    </row>
    <row r="178">
      <c r="A178" s="67" t="str">
        <f t="shared" si="1"/>
        <v>Tue</v>
      </c>
      <c r="B178" s="69">
        <v>43620.0</v>
      </c>
      <c r="D178" s="4">
        <v>240.56</v>
      </c>
      <c r="E178" s="4" t="s">
        <v>222</v>
      </c>
      <c r="F178" s="4" t="s">
        <v>1981</v>
      </c>
      <c r="I178" s="4" t="s">
        <v>224</v>
      </c>
    </row>
    <row r="179">
      <c r="A179" s="67" t="str">
        <f t="shared" si="1"/>
        <v>Wed</v>
      </c>
      <c r="B179" s="69">
        <v>43621.0</v>
      </c>
      <c r="H179" s="4" t="s">
        <v>1981</v>
      </c>
    </row>
    <row r="180">
      <c r="A180" s="67" t="str">
        <f t="shared" si="1"/>
        <v>Thu</v>
      </c>
      <c r="B180" s="69">
        <v>43622.0</v>
      </c>
    </row>
    <row r="181">
      <c r="A181" s="67" t="str">
        <f t="shared" si="1"/>
        <v>Fri</v>
      </c>
      <c r="B181" s="69">
        <v>43623.0</v>
      </c>
    </row>
    <row r="182">
      <c r="A182" s="67" t="str">
        <f t="shared" si="1"/>
        <v>Sat</v>
      </c>
      <c r="B182" s="69">
        <v>43624.0</v>
      </c>
    </row>
    <row r="183">
      <c r="A183" s="67" t="str">
        <f t="shared" si="1"/>
        <v>Sun</v>
      </c>
      <c r="B183" s="69">
        <v>43625.0</v>
      </c>
      <c r="D183" s="161">
        <v>230.375</v>
      </c>
      <c r="E183" s="4" t="s">
        <v>222</v>
      </c>
      <c r="F183" s="4" t="s">
        <v>1987</v>
      </c>
      <c r="G183" s="4" t="s">
        <v>1987</v>
      </c>
      <c r="I183" s="4" t="s">
        <v>224</v>
      </c>
      <c r="K183" s="4" t="s">
        <v>231</v>
      </c>
      <c r="L183" s="4" t="s">
        <v>229</v>
      </c>
      <c r="M183" s="4" t="s">
        <v>1988</v>
      </c>
      <c r="Q183" s="4" t="s">
        <v>1989</v>
      </c>
      <c r="R183" s="4" t="s">
        <v>1990</v>
      </c>
      <c r="S183" s="4" t="s">
        <v>1991</v>
      </c>
    </row>
    <row r="184">
      <c r="A184" s="67" t="str">
        <f t="shared" si="1"/>
        <v>Mon</v>
      </c>
      <c r="B184" s="69">
        <v>43626.0</v>
      </c>
      <c r="D184" s="161">
        <v>230.375</v>
      </c>
      <c r="E184" s="4" t="s">
        <v>222</v>
      </c>
      <c r="F184" s="4" t="s">
        <v>1987</v>
      </c>
      <c r="I184" s="4" t="s">
        <v>224</v>
      </c>
    </row>
    <row r="185">
      <c r="A185" s="67" t="str">
        <f t="shared" si="1"/>
        <v>Tue</v>
      </c>
      <c r="B185" s="69">
        <v>43627.0</v>
      </c>
      <c r="D185" s="161">
        <v>230.375</v>
      </c>
      <c r="E185" s="4" t="s">
        <v>222</v>
      </c>
      <c r="F185" s="4" t="s">
        <v>1987</v>
      </c>
      <c r="I185" s="4" t="s">
        <v>224</v>
      </c>
    </row>
    <row r="186">
      <c r="A186" s="67" t="str">
        <f t="shared" si="1"/>
        <v>Wed</v>
      </c>
      <c r="B186" s="69">
        <v>43628.0</v>
      </c>
      <c r="D186" s="161">
        <v>230.375</v>
      </c>
      <c r="E186" s="4" t="s">
        <v>222</v>
      </c>
      <c r="F186" s="4" t="s">
        <v>1987</v>
      </c>
      <c r="I186" s="4" t="s">
        <v>224</v>
      </c>
    </row>
    <row r="187">
      <c r="A187" s="67" t="str">
        <f t="shared" si="1"/>
        <v>Thu</v>
      </c>
      <c r="B187" s="69">
        <v>43629.0</v>
      </c>
      <c r="D187" s="161">
        <v>230.375</v>
      </c>
      <c r="E187" s="4" t="s">
        <v>222</v>
      </c>
      <c r="F187" s="4" t="s">
        <v>1987</v>
      </c>
      <c r="I187" s="4" t="s">
        <v>224</v>
      </c>
    </row>
    <row r="188">
      <c r="A188" s="67" t="str">
        <f t="shared" si="1"/>
        <v>Fri</v>
      </c>
      <c r="B188" s="69">
        <v>43630.0</v>
      </c>
      <c r="D188" s="161">
        <v>230.375</v>
      </c>
      <c r="E188" s="4" t="s">
        <v>222</v>
      </c>
      <c r="F188" s="4" t="s">
        <v>1987</v>
      </c>
      <c r="I188" s="4" t="s">
        <v>224</v>
      </c>
    </row>
    <row r="189">
      <c r="A189" s="67" t="str">
        <f t="shared" si="1"/>
        <v>Sat</v>
      </c>
      <c r="B189" s="69">
        <v>43631.0</v>
      </c>
      <c r="H189" s="4" t="s">
        <v>1987</v>
      </c>
    </row>
    <row r="190">
      <c r="A190" s="67" t="str">
        <f t="shared" si="1"/>
        <v>Sun</v>
      </c>
      <c r="B190" s="69">
        <v>43632.0</v>
      </c>
    </row>
    <row r="191">
      <c r="A191" s="67" t="str">
        <f t="shared" si="1"/>
        <v>Mon</v>
      </c>
      <c r="B191" s="69">
        <v>43633.0</v>
      </c>
    </row>
    <row r="192">
      <c r="A192" s="67" t="str">
        <f t="shared" si="1"/>
        <v>Tue</v>
      </c>
      <c r="B192" s="69">
        <v>43634.0</v>
      </c>
    </row>
    <row r="193">
      <c r="A193" s="67" t="str">
        <f t="shared" si="1"/>
        <v>Wed</v>
      </c>
      <c r="B193" s="69">
        <v>43635.0</v>
      </c>
    </row>
    <row r="194">
      <c r="A194" s="67" t="str">
        <f t="shared" si="1"/>
        <v>Thu</v>
      </c>
      <c r="B194" s="69">
        <v>43636.0</v>
      </c>
    </row>
    <row r="195">
      <c r="A195" s="67" t="str">
        <f t="shared" si="1"/>
        <v>Fri</v>
      </c>
      <c r="B195" s="69">
        <v>43637.0</v>
      </c>
    </row>
    <row r="196">
      <c r="A196" s="67" t="str">
        <f t="shared" si="1"/>
        <v>Sat</v>
      </c>
      <c r="B196" s="69">
        <v>43638.0</v>
      </c>
    </row>
    <row r="197">
      <c r="A197" s="67" t="str">
        <f t="shared" si="1"/>
        <v>Sun</v>
      </c>
      <c r="B197" s="69">
        <v>43639.0</v>
      </c>
    </row>
    <row r="198">
      <c r="A198" s="67" t="str">
        <f t="shared" si="1"/>
        <v>Mon</v>
      </c>
      <c r="B198" s="69">
        <v>43640.0</v>
      </c>
    </row>
    <row r="199">
      <c r="A199" s="67" t="str">
        <f t="shared" si="1"/>
        <v>Tue</v>
      </c>
      <c r="B199" s="69">
        <v>43641.0</v>
      </c>
    </row>
    <row r="200">
      <c r="A200" s="67" t="str">
        <f t="shared" si="1"/>
        <v>Wed</v>
      </c>
      <c r="B200" s="69">
        <v>43642.0</v>
      </c>
    </row>
    <row r="201">
      <c r="A201" s="67" t="str">
        <f t="shared" si="1"/>
        <v>Thu</v>
      </c>
      <c r="B201" s="69">
        <v>43643.0</v>
      </c>
    </row>
    <row r="202">
      <c r="A202" s="67" t="str">
        <f t="shared" si="1"/>
        <v>Fri</v>
      </c>
      <c r="B202" s="69">
        <v>43644.0</v>
      </c>
    </row>
    <row r="203">
      <c r="A203" s="67" t="str">
        <f t="shared" si="1"/>
        <v>Sat</v>
      </c>
      <c r="B203" s="69">
        <v>43645.0</v>
      </c>
    </row>
    <row r="204">
      <c r="A204" s="67" t="str">
        <f t="shared" si="1"/>
        <v>Sun</v>
      </c>
      <c r="B204" s="69">
        <v>43646.0</v>
      </c>
    </row>
    <row r="205">
      <c r="A205" s="67" t="str">
        <f t="shared" si="1"/>
        <v>Mon</v>
      </c>
      <c r="B205" s="69">
        <v>43647.0</v>
      </c>
    </row>
    <row r="206">
      <c r="A206" s="67" t="str">
        <f t="shared" si="1"/>
        <v>Tue</v>
      </c>
      <c r="B206" s="69">
        <v>43648.0</v>
      </c>
    </row>
    <row r="207">
      <c r="A207" s="67" t="str">
        <f t="shared" si="1"/>
        <v>Wed</v>
      </c>
      <c r="B207" s="69">
        <v>43649.0</v>
      </c>
    </row>
    <row r="208">
      <c r="A208" s="67" t="str">
        <f t="shared" si="1"/>
        <v>Thu</v>
      </c>
      <c r="B208" s="69">
        <v>43650.0</v>
      </c>
    </row>
    <row r="209">
      <c r="A209" s="67" t="str">
        <f t="shared" si="1"/>
        <v>Fri</v>
      </c>
      <c r="B209" s="69">
        <v>43651.0</v>
      </c>
    </row>
    <row r="210">
      <c r="A210" s="67" t="str">
        <f t="shared" si="1"/>
        <v>Sat</v>
      </c>
      <c r="B210" s="69">
        <v>43652.0</v>
      </c>
    </row>
    <row r="211">
      <c r="A211" s="67" t="str">
        <f t="shared" si="1"/>
        <v>Sun</v>
      </c>
      <c r="B211" s="69">
        <v>43653.0</v>
      </c>
    </row>
    <row r="212">
      <c r="A212" s="67" t="str">
        <f t="shared" si="1"/>
        <v>Mon</v>
      </c>
      <c r="B212" s="69">
        <v>43654.0</v>
      </c>
    </row>
    <row r="213">
      <c r="A213" s="67" t="str">
        <f t="shared" si="1"/>
        <v>Tue</v>
      </c>
      <c r="B213" s="69">
        <v>43655.0</v>
      </c>
    </row>
    <row r="214">
      <c r="A214" s="67" t="str">
        <f t="shared" si="1"/>
        <v>Wed</v>
      </c>
      <c r="B214" s="69">
        <v>43656.0</v>
      </c>
    </row>
    <row r="215">
      <c r="A215" s="67" t="str">
        <f t="shared" si="1"/>
        <v>Thu</v>
      </c>
      <c r="B215" s="69">
        <v>43657.0</v>
      </c>
    </row>
    <row r="216">
      <c r="A216" s="67" t="str">
        <f t="shared" si="1"/>
        <v>Fri</v>
      </c>
      <c r="B216" s="69">
        <v>43658.0</v>
      </c>
    </row>
    <row r="217">
      <c r="A217" s="67" t="str">
        <f t="shared" si="1"/>
        <v>Sat</v>
      </c>
      <c r="B217" s="69">
        <v>43659.0</v>
      </c>
    </row>
    <row r="218">
      <c r="A218" s="67" t="str">
        <f t="shared" si="1"/>
        <v>Sun</v>
      </c>
      <c r="B218" s="69">
        <v>43660.0</v>
      </c>
    </row>
    <row r="219">
      <c r="A219" s="67" t="str">
        <f t="shared" si="1"/>
        <v>Mon</v>
      </c>
      <c r="B219" s="69">
        <v>43661.0</v>
      </c>
    </row>
    <row r="220">
      <c r="A220" s="67" t="str">
        <f t="shared" si="1"/>
        <v>Tue</v>
      </c>
      <c r="B220" s="69">
        <v>43662.0</v>
      </c>
    </row>
    <row r="221">
      <c r="A221" s="67" t="str">
        <f t="shared" si="1"/>
        <v>Wed</v>
      </c>
      <c r="B221" s="69">
        <v>43663.0</v>
      </c>
      <c r="T221" s="30"/>
      <c r="U221" s="30"/>
    </row>
    <row r="222">
      <c r="A222" s="67" t="str">
        <f t="shared" si="1"/>
        <v>Thu</v>
      </c>
      <c r="B222" s="69">
        <v>43664.0</v>
      </c>
    </row>
    <row r="223">
      <c r="A223" s="67" t="str">
        <f t="shared" si="1"/>
        <v>Fri</v>
      </c>
      <c r="B223" s="69">
        <v>43665.0</v>
      </c>
    </row>
    <row r="224">
      <c r="A224" s="67" t="str">
        <f t="shared" si="1"/>
        <v>Sat</v>
      </c>
      <c r="B224" s="69">
        <v>43666.0</v>
      </c>
    </row>
    <row r="225">
      <c r="A225" s="67" t="str">
        <f t="shared" si="1"/>
        <v>Sun</v>
      </c>
      <c r="B225" s="69">
        <v>43667.0</v>
      </c>
    </row>
    <row r="226">
      <c r="A226" s="67" t="str">
        <f t="shared" si="1"/>
        <v>Mon</v>
      </c>
      <c r="B226" s="69">
        <v>43668.0</v>
      </c>
    </row>
    <row r="227">
      <c r="A227" s="67" t="str">
        <f t="shared" si="1"/>
        <v>Tue</v>
      </c>
      <c r="B227" s="69">
        <v>43669.0</v>
      </c>
    </row>
    <row r="228">
      <c r="A228" s="67" t="str">
        <f t="shared" si="1"/>
        <v>Wed</v>
      </c>
      <c r="B228" s="69">
        <v>43670.0</v>
      </c>
    </row>
    <row r="229">
      <c r="A229" s="67" t="str">
        <f t="shared" si="1"/>
        <v>Thu</v>
      </c>
      <c r="B229" s="69">
        <v>43671.0</v>
      </c>
    </row>
    <row r="230">
      <c r="A230" s="67" t="str">
        <f t="shared" si="1"/>
        <v>Fri</v>
      </c>
      <c r="B230" s="69">
        <v>43672.0</v>
      </c>
    </row>
    <row r="231">
      <c r="A231" s="67" t="str">
        <f t="shared" si="1"/>
        <v>Sat</v>
      </c>
      <c r="B231" s="69">
        <v>43673.0</v>
      </c>
    </row>
    <row r="232">
      <c r="A232" s="67" t="str">
        <f t="shared" si="1"/>
        <v>Sun</v>
      </c>
      <c r="B232" s="69">
        <v>43674.0</v>
      </c>
    </row>
    <row r="233">
      <c r="A233" s="67" t="str">
        <f t="shared" si="1"/>
        <v>Mon</v>
      </c>
      <c r="B233" s="69">
        <v>43675.0</v>
      </c>
    </row>
    <row r="234">
      <c r="A234" s="67" t="str">
        <f t="shared" si="1"/>
        <v>Tue</v>
      </c>
      <c r="B234" s="69">
        <v>43676.0</v>
      </c>
    </row>
    <row r="235">
      <c r="A235" s="67" t="str">
        <f t="shared" si="1"/>
        <v>Wed</v>
      </c>
      <c r="B235" s="69">
        <v>43677.0</v>
      </c>
    </row>
    <row r="236">
      <c r="A236" s="67" t="str">
        <f t="shared" si="1"/>
        <v>Thu</v>
      </c>
      <c r="B236" s="69">
        <v>43678.0</v>
      </c>
    </row>
    <row r="237">
      <c r="A237" s="67" t="str">
        <f t="shared" si="1"/>
        <v>Fri</v>
      </c>
      <c r="B237" s="69">
        <v>43679.0</v>
      </c>
    </row>
    <row r="238">
      <c r="A238" s="67" t="str">
        <f t="shared" si="1"/>
        <v>Sat</v>
      </c>
      <c r="B238" s="69">
        <v>43680.0</v>
      </c>
    </row>
    <row r="239">
      <c r="A239" s="67" t="str">
        <f t="shared" si="1"/>
        <v>Sun</v>
      </c>
      <c r="B239" s="69">
        <v>43681.0</v>
      </c>
    </row>
    <row r="240">
      <c r="A240" s="67" t="str">
        <f t="shared" si="1"/>
        <v>Mon</v>
      </c>
      <c r="B240" s="69">
        <v>43682.0</v>
      </c>
    </row>
    <row r="241">
      <c r="A241" s="67" t="str">
        <f t="shared" si="1"/>
        <v>Tue</v>
      </c>
      <c r="B241" s="69">
        <v>43683.0</v>
      </c>
    </row>
    <row r="242">
      <c r="A242" s="67" t="str">
        <f t="shared" si="1"/>
        <v>Wed</v>
      </c>
      <c r="B242" s="69">
        <v>43684.0</v>
      </c>
    </row>
    <row r="243">
      <c r="A243" s="67" t="str">
        <f t="shared" si="1"/>
        <v>Thu</v>
      </c>
      <c r="B243" s="69">
        <v>43685.0</v>
      </c>
    </row>
    <row r="244">
      <c r="A244" s="67" t="str">
        <f t="shared" si="1"/>
        <v>Fri</v>
      </c>
      <c r="B244" s="69">
        <v>43686.0</v>
      </c>
    </row>
    <row r="245">
      <c r="A245" s="67" t="str">
        <f t="shared" si="1"/>
        <v>Sat</v>
      </c>
      <c r="B245" s="69">
        <v>43687.0</v>
      </c>
    </row>
    <row r="246">
      <c r="A246" s="67" t="str">
        <f t="shared" si="1"/>
        <v>Sun</v>
      </c>
      <c r="B246" s="69">
        <v>43688.0</v>
      </c>
    </row>
    <row r="247">
      <c r="A247" s="67" t="str">
        <f t="shared" si="1"/>
        <v>Mon</v>
      </c>
      <c r="B247" s="69">
        <v>43689.0</v>
      </c>
    </row>
    <row r="248">
      <c r="A248" s="67" t="str">
        <f t="shared" si="1"/>
        <v>Tue</v>
      </c>
      <c r="B248" s="69">
        <v>43690.0</v>
      </c>
    </row>
    <row r="249">
      <c r="A249" s="67" t="str">
        <f t="shared" si="1"/>
        <v>Wed</v>
      </c>
      <c r="B249" s="69">
        <v>43691.0</v>
      </c>
    </row>
    <row r="250">
      <c r="A250" s="67" t="str">
        <f t="shared" si="1"/>
        <v>Thu</v>
      </c>
      <c r="B250" s="69">
        <v>43692.0</v>
      </c>
    </row>
    <row r="251">
      <c r="A251" s="67" t="str">
        <f t="shared" si="1"/>
        <v>Fri</v>
      </c>
      <c r="B251" s="69">
        <v>43693.0</v>
      </c>
    </row>
    <row r="252">
      <c r="A252" s="67" t="str">
        <f t="shared" si="1"/>
        <v>Sat</v>
      </c>
      <c r="B252" s="69">
        <v>43694.0</v>
      </c>
    </row>
    <row r="253">
      <c r="A253" s="67" t="str">
        <f t="shared" si="1"/>
        <v>Sun</v>
      </c>
      <c r="B253" s="69">
        <v>43695.0</v>
      </c>
    </row>
    <row r="254">
      <c r="A254" s="67" t="str">
        <f t="shared" si="1"/>
        <v>Mon</v>
      </c>
      <c r="B254" s="69">
        <v>43696.0</v>
      </c>
    </row>
    <row r="255">
      <c r="A255" s="67" t="str">
        <f t="shared" si="1"/>
        <v>Tue</v>
      </c>
      <c r="B255" s="69">
        <v>43697.0</v>
      </c>
    </row>
    <row r="256">
      <c r="A256" s="67" t="str">
        <f t="shared" si="1"/>
        <v>Wed</v>
      </c>
      <c r="B256" s="69">
        <v>43698.0</v>
      </c>
    </row>
    <row r="257">
      <c r="A257" s="67" t="str">
        <f t="shared" si="1"/>
        <v>Thu</v>
      </c>
      <c r="B257" s="69">
        <v>43699.0</v>
      </c>
    </row>
    <row r="258">
      <c r="A258" s="67" t="str">
        <f t="shared" si="1"/>
        <v>Fri</v>
      </c>
      <c r="B258" s="69">
        <v>43700.0</v>
      </c>
    </row>
    <row r="259">
      <c r="A259" s="67" t="str">
        <f t="shared" si="1"/>
        <v>Sat</v>
      </c>
      <c r="B259" s="69">
        <v>43701.0</v>
      </c>
    </row>
    <row r="260">
      <c r="A260" s="67" t="str">
        <f t="shared" si="1"/>
        <v>Sun</v>
      </c>
      <c r="B260" s="69">
        <v>43702.0</v>
      </c>
    </row>
    <row r="261">
      <c r="A261" s="67" t="str">
        <f t="shared" si="1"/>
        <v>Mon</v>
      </c>
      <c r="B261" s="69">
        <v>43703.0</v>
      </c>
    </row>
    <row r="262">
      <c r="A262" s="67" t="str">
        <f t="shared" si="1"/>
        <v>Tue</v>
      </c>
      <c r="B262" s="69">
        <v>43704.0</v>
      </c>
    </row>
    <row r="263">
      <c r="A263" s="67" t="str">
        <f t="shared" si="1"/>
        <v>Wed</v>
      </c>
      <c r="B263" s="69">
        <v>43705.0</v>
      </c>
    </row>
    <row r="264">
      <c r="A264" s="67" t="str">
        <f t="shared" si="1"/>
        <v>Thu</v>
      </c>
      <c r="B264" s="69">
        <v>43706.0</v>
      </c>
    </row>
    <row r="265">
      <c r="A265" s="67" t="str">
        <f t="shared" si="1"/>
        <v>Fri</v>
      </c>
      <c r="B265" s="69">
        <v>43707.0</v>
      </c>
    </row>
    <row r="266">
      <c r="A266" s="67" t="str">
        <f t="shared" si="1"/>
        <v>Sat</v>
      </c>
      <c r="B266" s="69">
        <v>43708.0</v>
      </c>
    </row>
    <row r="267">
      <c r="A267" s="67" t="str">
        <f t="shared" si="1"/>
        <v>Sun</v>
      </c>
      <c r="B267" s="69">
        <v>43709.0</v>
      </c>
    </row>
    <row r="268">
      <c r="A268" s="67" t="str">
        <f t="shared" si="1"/>
        <v>Mon</v>
      </c>
      <c r="B268" s="69">
        <v>43710.0</v>
      </c>
    </row>
    <row r="269">
      <c r="A269" s="67" t="str">
        <f t="shared" si="1"/>
        <v>Tue</v>
      </c>
      <c r="B269" s="69">
        <v>43711.0</v>
      </c>
    </row>
    <row r="270">
      <c r="A270" s="67" t="str">
        <f t="shared" si="1"/>
        <v>Wed</v>
      </c>
      <c r="B270" s="69">
        <v>43712.0</v>
      </c>
    </row>
    <row r="271">
      <c r="A271" s="67" t="str">
        <f t="shared" si="1"/>
        <v>Thu</v>
      </c>
      <c r="B271" s="69">
        <v>43713.0</v>
      </c>
    </row>
    <row r="272">
      <c r="A272" s="67" t="str">
        <f t="shared" si="1"/>
        <v>Fri</v>
      </c>
      <c r="B272" s="69">
        <v>43714.0</v>
      </c>
    </row>
    <row r="273">
      <c r="A273" s="67" t="str">
        <f t="shared" si="1"/>
        <v>Sat</v>
      </c>
      <c r="B273" s="69">
        <v>43715.0</v>
      </c>
    </row>
    <row r="274">
      <c r="A274" s="67" t="str">
        <f t="shared" si="1"/>
        <v>Sun</v>
      </c>
      <c r="B274" s="69">
        <v>43716.0</v>
      </c>
    </row>
    <row r="275">
      <c r="A275" s="67" t="str">
        <f t="shared" si="1"/>
        <v>Mon</v>
      </c>
      <c r="B275" s="69">
        <v>43717.0</v>
      </c>
    </row>
    <row r="276">
      <c r="A276" s="67" t="str">
        <f t="shared" si="1"/>
        <v>Tue</v>
      </c>
      <c r="B276" s="69">
        <v>43718.0</v>
      </c>
    </row>
    <row r="277">
      <c r="A277" s="67" t="str">
        <f t="shared" si="1"/>
        <v>Wed</v>
      </c>
      <c r="B277" s="69">
        <v>43719.0</v>
      </c>
    </row>
    <row r="278">
      <c r="A278" s="67" t="str">
        <f t="shared" si="1"/>
        <v>Thu</v>
      </c>
      <c r="B278" s="69">
        <v>43720.0</v>
      </c>
    </row>
    <row r="279">
      <c r="A279" s="67" t="str">
        <f t="shared" si="1"/>
        <v>Fri</v>
      </c>
      <c r="B279" s="69">
        <v>43721.0</v>
      </c>
    </row>
    <row r="280">
      <c r="A280" s="67" t="str">
        <f t="shared" si="1"/>
        <v>Sat</v>
      </c>
      <c r="B280" s="69">
        <v>43722.0</v>
      </c>
    </row>
    <row r="281">
      <c r="A281" s="67" t="str">
        <f t="shared" si="1"/>
        <v>Sun</v>
      </c>
      <c r="B281" s="69">
        <v>43723.0</v>
      </c>
    </row>
    <row r="282">
      <c r="A282" s="67" t="str">
        <f t="shared" si="1"/>
        <v>Mon</v>
      </c>
      <c r="B282" s="69">
        <v>43724.0</v>
      </c>
    </row>
    <row r="283">
      <c r="A283" s="67" t="str">
        <f t="shared" si="1"/>
        <v>Tue</v>
      </c>
      <c r="B283" s="69">
        <v>43725.0</v>
      </c>
    </row>
    <row r="284">
      <c r="A284" s="67" t="str">
        <f t="shared" si="1"/>
        <v>Wed</v>
      </c>
      <c r="B284" s="69">
        <v>43726.0</v>
      </c>
    </row>
    <row r="285">
      <c r="A285" s="67" t="str">
        <f t="shared" si="1"/>
        <v>Thu</v>
      </c>
      <c r="B285" s="69">
        <v>43727.0</v>
      </c>
    </row>
    <row r="286">
      <c r="A286" s="67" t="str">
        <f t="shared" si="1"/>
        <v>Fri</v>
      </c>
      <c r="B286" s="69">
        <v>43728.0</v>
      </c>
    </row>
    <row r="287">
      <c r="A287" s="67" t="str">
        <f t="shared" si="1"/>
        <v>Sat</v>
      </c>
      <c r="B287" s="69">
        <v>43729.0</v>
      </c>
    </row>
    <row r="288">
      <c r="A288" s="67" t="str">
        <f t="shared" si="1"/>
        <v>Sun</v>
      </c>
      <c r="B288" s="69">
        <v>43730.0</v>
      </c>
    </row>
    <row r="289">
      <c r="A289" s="67" t="str">
        <f t="shared" si="1"/>
        <v>Mon</v>
      </c>
      <c r="B289" s="69">
        <v>43731.0</v>
      </c>
    </row>
    <row r="290">
      <c r="A290" s="67" t="str">
        <f t="shared" si="1"/>
        <v>Tue</v>
      </c>
      <c r="B290" s="69">
        <v>43732.0</v>
      </c>
    </row>
    <row r="291">
      <c r="A291" s="67" t="str">
        <f t="shared" si="1"/>
        <v>Wed</v>
      </c>
      <c r="B291" s="69">
        <v>43733.0</v>
      </c>
    </row>
    <row r="292">
      <c r="A292" s="67" t="str">
        <f t="shared" si="1"/>
        <v>Thu</v>
      </c>
      <c r="B292" s="69">
        <v>43734.0</v>
      </c>
    </row>
    <row r="293">
      <c r="A293" s="67" t="str">
        <f t="shared" si="1"/>
        <v>Fri</v>
      </c>
      <c r="B293" s="69">
        <v>43735.0</v>
      </c>
      <c r="D293" s="161">
        <v>291.0</v>
      </c>
      <c r="E293" s="4" t="s">
        <v>222</v>
      </c>
      <c r="F293" s="4" t="s">
        <v>1326</v>
      </c>
      <c r="G293" s="4" t="s">
        <v>1326</v>
      </c>
      <c r="I293" s="4" t="s">
        <v>224</v>
      </c>
      <c r="K293" s="4" t="s">
        <v>231</v>
      </c>
      <c r="L293" s="4" t="s">
        <v>225</v>
      </c>
      <c r="M293" s="4" t="s">
        <v>226</v>
      </c>
      <c r="Q293" s="4" t="s">
        <v>1328</v>
      </c>
      <c r="R293" s="4" t="s">
        <v>2005</v>
      </c>
      <c r="S293" s="4">
        <v>7.514517979E9</v>
      </c>
    </row>
    <row r="294">
      <c r="A294" s="67" t="str">
        <f t="shared" si="1"/>
        <v>Sat</v>
      </c>
      <c r="B294" s="69">
        <v>43736.0</v>
      </c>
      <c r="D294" s="161">
        <v>291.0</v>
      </c>
      <c r="E294" s="4" t="s">
        <v>222</v>
      </c>
      <c r="F294" s="4" t="s">
        <v>1326</v>
      </c>
      <c r="I294" s="4" t="s">
        <v>224</v>
      </c>
    </row>
    <row r="295">
      <c r="A295" s="67" t="str">
        <f t="shared" si="1"/>
        <v>Sun</v>
      </c>
      <c r="B295" s="69">
        <v>43737.0</v>
      </c>
      <c r="H295" s="4" t="s">
        <v>1326</v>
      </c>
    </row>
    <row r="296">
      <c r="A296" s="67" t="str">
        <f t="shared" si="1"/>
        <v>Mon</v>
      </c>
      <c r="B296" s="69">
        <v>43738.0</v>
      </c>
    </row>
    <row r="297">
      <c r="A297" s="67" t="str">
        <f t="shared" si="1"/>
        <v>Tue</v>
      </c>
      <c r="B297" s="69">
        <v>43739.0</v>
      </c>
    </row>
    <row r="298">
      <c r="A298" s="67" t="str">
        <f t="shared" si="1"/>
        <v>Wed</v>
      </c>
      <c r="B298" s="69">
        <v>43740.0</v>
      </c>
    </row>
    <row r="299">
      <c r="A299" s="67" t="str">
        <f t="shared" si="1"/>
        <v>Thu</v>
      </c>
      <c r="B299" s="69">
        <v>43741.0</v>
      </c>
    </row>
    <row r="300">
      <c r="A300" s="67" t="str">
        <f t="shared" si="1"/>
        <v>Fri</v>
      </c>
      <c r="B300" s="69">
        <v>43742.0</v>
      </c>
    </row>
    <row r="301">
      <c r="A301" s="67" t="str">
        <f t="shared" si="1"/>
        <v>Sat</v>
      </c>
      <c r="B301" s="69">
        <v>43743.0</v>
      </c>
      <c r="T301" s="30"/>
      <c r="U301" s="30"/>
    </row>
    <row r="302">
      <c r="A302" s="67" t="str">
        <f t="shared" si="1"/>
        <v>Sun</v>
      </c>
      <c r="B302" s="69">
        <v>43744.0</v>
      </c>
    </row>
    <row r="303">
      <c r="A303" s="67" t="str">
        <f t="shared" si="1"/>
        <v>Mon</v>
      </c>
      <c r="B303" s="69">
        <v>43745.0</v>
      </c>
    </row>
    <row r="304">
      <c r="A304" s="67" t="str">
        <f t="shared" si="1"/>
        <v>Tue</v>
      </c>
      <c r="B304" s="69">
        <v>43746.0</v>
      </c>
    </row>
    <row r="305">
      <c r="A305" s="67" t="str">
        <f t="shared" si="1"/>
        <v>Wed</v>
      </c>
      <c r="B305" s="69">
        <v>43747.0</v>
      </c>
    </row>
    <row r="306">
      <c r="A306" s="67" t="str">
        <f t="shared" si="1"/>
        <v>Thu</v>
      </c>
      <c r="B306" s="69">
        <v>43748.0</v>
      </c>
    </row>
    <row r="307">
      <c r="A307" s="67" t="str">
        <f t="shared" si="1"/>
        <v>Fri</v>
      </c>
      <c r="B307" s="69">
        <v>43749.0</v>
      </c>
    </row>
    <row r="308">
      <c r="A308" s="67" t="str">
        <f t="shared" si="1"/>
        <v>Sat</v>
      </c>
      <c r="B308" s="69">
        <v>43750.0</v>
      </c>
    </row>
    <row r="309">
      <c r="A309" s="67" t="str">
        <f t="shared" si="1"/>
        <v>Sun</v>
      </c>
      <c r="B309" s="69">
        <v>43751.0</v>
      </c>
    </row>
    <row r="310">
      <c r="A310" s="67" t="str">
        <f t="shared" si="1"/>
        <v>Mon</v>
      </c>
      <c r="B310" s="69">
        <v>43752.0</v>
      </c>
    </row>
    <row r="311">
      <c r="A311" s="67" t="str">
        <f t="shared" si="1"/>
        <v>Tue</v>
      </c>
      <c r="B311" s="69">
        <v>43753.0</v>
      </c>
    </row>
    <row r="312">
      <c r="A312" s="67" t="str">
        <f t="shared" si="1"/>
        <v>Wed</v>
      </c>
      <c r="B312" s="69">
        <v>43754.0</v>
      </c>
    </row>
    <row r="313">
      <c r="A313" s="67" t="str">
        <f t="shared" si="1"/>
        <v>Thu</v>
      </c>
      <c r="B313" s="69">
        <v>43755.0</v>
      </c>
    </row>
    <row r="314">
      <c r="A314" s="67" t="str">
        <f t="shared" si="1"/>
        <v>Fri</v>
      </c>
      <c r="B314" s="69">
        <v>43756.0</v>
      </c>
    </row>
    <row r="315">
      <c r="A315" s="67" t="str">
        <f t="shared" si="1"/>
        <v>Sat</v>
      </c>
      <c r="B315" s="69">
        <v>43757.0</v>
      </c>
    </row>
    <row r="316">
      <c r="A316" s="67" t="str">
        <f t="shared" si="1"/>
        <v>Sun</v>
      </c>
      <c r="B316" s="69">
        <v>43758.0</v>
      </c>
    </row>
    <row r="317">
      <c r="A317" s="67" t="str">
        <f t="shared" si="1"/>
        <v>Mon</v>
      </c>
      <c r="B317" s="69">
        <v>43759.0</v>
      </c>
    </row>
    <row r="318">
      <c r="A318" s="67" t="str">
        <f t="shared" si="1"/>
        <v>Tue</v>
      </c>
      <c r="B318" s="69">
        <v>43760.0</v>
      </c>
    </row>
    <row r="319">
      <c r="A319" s="67" t="str">
        <f t="shared" si="1"/>
        <v>Wed</v>
      </c>
      <c r="B319" s="69">
        <v>43761.0</v>
      </c>
    </row>
    <row r="320">
      <c r="A320" s="67" t="str">
        <f t="shared" si="1"/>
        <v>Thu</v>
      </c>
      <c r="B320" s="69">
        <v>43762.0</v>
      </c>
    </row>
    <row r="321">
      <c r="A321" s="67" t="str">
        <f t="shared" si="1"/>
        <v>Fri</v>
      </c>
      <c r="B321" s="69">
        <v>43763.0</v>
      </c>
    </row>
    <row r="322">
      <c r="A322" s="67" t="str">
        <f t="shared" si="1"/>
        <v>Sat</v>
      </c>
      <c r="B322" s="69">
        <v>43764.0</v>
      </c>
    </row>
    <row r="323">
      <c r="A323" s="67" t="str">
        <f t="shared" si="1"/>
        <v>Sun</v>
      </c>
      <c r="B323" s="69">
        <v>43765.0</v>
      </c>
    </row>
    <row r="324">
      <c r="A324" s="67" t="str">
        <f t="shared" si="1"/>
        <v>Mon</v>
      </c>
      <c r="B324" s="69">
        <v>43766.0</v>
      </c>
    </row>
    <row r="325">
      <c r="A325" s="67" t="str">
        <f t="shared" si="1"/>
        <v>Tue</v>
      </c>
      <c r="B325" s="69">
        <v>43767.0</v>
      </c>
    </row>
    <row r="326">
      <c r="A326" s="67" t="str">
        <f t="shared" si="1"/>
        <v>Wed</v>
      </c>
      <c r="B326" s="69">
        <v>43768.0</v>
      </c>
    </row>
    <row r="327">
      <c r="A327" s="67" t="str">
        <f t="shared" si="1"/>
        <v>Thu</v>
      </c>
      <c r="B327" s="69">
        <v>43769.0</v>
      </c>
    </row>
    <row r="328">
      <c r="A328" s="67" t="str">
        <f t="shared" si="1"/>
        <v>Fri</v>
      </c>
      <c r="B328" s="69">
        <v>43770.0</v>
      </c>
    </row>
    <row r="329">
      <c r="A329" s="67" t="str">
        <f t="shared" si="1"/>
        <v>Sat</v>
      </c>
      <c r="B329" s="69">
        <v>43771.0</v>
      </c>
    </row>
    <row r="330">
      <c r="A330" s="67" t="str">
        <f t="shared" si="1"/>
        <v>Sun</v>
      </c>
      <c r="B330" s="69">
        <v>43772.0</v>
      </c>
    </row>
    <row r="331">
      <c r="A331" s="67" t="str">
        <f t="shared" si="1"/>
        <v>Mon</v>
      </c>
      <c r="B331" s="69">
        <v>43773.0</v>
      </c>
    </row>
    <row r="332">
      <c r="A332" s="67" t="str">
        <f t="shared" si="1"/>
        <v>Tue</v>
      </c>
      <c r="B332" s="69">
        <v>43774.0</v>
      </c>
    </row>
    <row r="333">
      <c r="A333" s="67" t="str">
        <f t="shared" si="1"/>
        <v>Wed</v>
      </c>
      <c r="B333" s="69">
        <v>43775.0</v>
      </c>
    </row>
    <row r="334">
      <c r="A334" s="67" t="str">
        <f t="shared" si="1"/>
        <v>Thu</v>
      </c>
      <c r="B334" s="69">
        <v>43776.0</v>
      </c>
    </row>
    <row r="335">
      <c r="A335" s="67" t="str">
        <f t="shared" si="1"/>
        <v>Fri</v>
      </c>
      <c r="B335" s="69">
        <v>43777.0</v>
      </c>
    </row>
    <row r="336">
      <c r="A336" s="67" t="str">
        <f t="shared" si="1"/>
        <v>Sat</v>
      </c>
      <c r="B336" s="69">
        <v>43778.0</v>
      </c>
    </row>
    <row r="337">
      <c r="A337" s="67" t="str">
        <f t="shared" si="1"/>
        <v>Sun</v>
      </c>
      <c r="B337" s="69">
        <v>43779.0</v>
      </c>
    </row>
    <row r="338">
      <c r="A338" s="67" t="str">
        <f t="shared" si="1"/>
        <v>Mon</v>
      </c>
      <c r="B338" s="69">
        <v>43780.0</v>
      </c>
    </row>
    <row r="339">
      <c r="A339" s="67" t="str">
        <f t="shared" si="1"/>
        <v>Tue</v>
      </c>
      <c r="B339" s="69">
        <v>43781.0</v>
      </c>
    </row>
    <row r="340">
      <c r="A340" s="67" t="str">
        <f t="shared" si="1"/>
        <v>Wed</v>
      </c>
      <c r="B340" s="69">
        <v>43782.0</v>
      </c>
    </row>
    <row r="341">
      <c r="A341" s="67" t="str">
        <f t="shared" si="1"/>
        <v>Thu</v>
      </c>
      <c r="B341" s="69">
        <v>43783.0</v>
      </c>
    </row>
    <row r="342">
      <c r="A342" s="67" t="str">
        <f t="shared" si="1"/>
        <v>Fri</v>
      </c>
      <c r="B342" s="69">
        <v>43784.0</v>
      </c>
    </row>
    <row r="343">
      <c r="A343" s="67" t="str">
        <f t="shared" si="1"/>
        <v>Sat</v>
      </c>
      <c r="B343" s="69">
        <v>43785.0</v>
      </c>
    </row>
    <row r="344">
      <c r="A344" s="67" t="str">
        <f t="shared" si="1"/>
        <v>Sun</v>
      </c>
      <c r="B344" s="69">
        <v>43786.0</v>
      </c>
    </row>
    <row r="345">
      <c r="A345" s="67" t="str">
        <f t="shared" si="1"/>
        <v>Mon</v>
      </c>
      <c r="B345" s="69">
        <v>43787.0</v>
      </c>
    </row>
    <row r="346">
      <c r="A346" s="67" t="str">
        <f t="shared" si="1"/>
        <v>Tue</v>
      </c>
      <c r="B346" s="69">
        <v>43788.0</v>
      </c>
    </row>
    <row r="347">
      <c r="A347" s="67" t="str">
        <f t="shared" si="1"/>
        <v>Wed</v>
      </c>
      <c r="B347" s="69">
        <v>43789.0</v>
      </c>
    </row>
    <row r="348">
      <c r="A348" s="67" t="str">
        <f t="shared" si="1"/>
        <v>Thu</v>
      </c>
      <c r="B348" s="69">
        <v>43790.0</v>
      </c>
    </row>
    <row r="349">
      <c r="A349" s="67" t="str">
        <f t="shared" si="1"/>
        <v>Fri</v>
      </c>
      <c r="B349" s="69">
        <v>43791.0</v>
      </c>
    </row>
    <row r="350">
      <c r="A350" s="67" t="str">
        <f t="shared" si="1"/>
        <v>Sat</v>
      </c>
      <c r="B350" s="69">
        <v>43792.0</v>
      </c>
    </row>
    <row r="351">
      <c r="A351" s="67" t="str">
        <f t="shared" si="1"/>
        <v>Sun</v>
      </c>
      <c r="B351" s="69">
        <v>43793.0</v>
      </c>
    </row>
    <row r="352">
      <c r="A352" s="67" t="str">
        <f t="shared" si="1"/>
        <v>Mon</v>
      </c>
      <c r="B352" s="69">
        <v>43794.0</v>
      </c>
    </row>
    <row r="353">
      <c r="A353" s="67" t="str">
        <f t="shared" si="1"/>
        <v>Tue</v>
      </c>
      <c r="B353" s="69">
        <v>43795.0</v>
      </c>
    </row>
    <row r="354">
      <c r="A354" s="67" t="str">
        <f t="shared" si="1"/>
        <v>Wed</v>
      </c>
      <c r="B354" s="69">
        <v>43796.0</v>
      </c>
    </row>
    <row r="355">
      <c r="A355" s="67" t="str">
        <f t="shared" si="1"/>
        <v>Thu</v>
      </c>
      <c r="B355" s="69">
        <v>43797.0</v>
      </c>
    </row>
    <row r="356">
      <c r="A356" s="67" t="str">
        <f t="shared" si="1"/>
        <v>Fri</v>
      </c>
      <c r="B356" s="69">
        <v>43798.0</v>
      </c>
    </row>
    <row r="357">
      <c r="A357" s="67" t="str">
        <f t="shared" si="1"/>
        <v>Sat</v>
      </c>
      <c r="B357" s="69">
        <v>43799.0</v>
      </c>
    </row>
    <row r="358">
      <c r="A358" s="67" t="str">
        <f t="shared" si="1"/>
        <v>Sun</v>
      </c>
      <c r="B358" s="69">
        <v>43800.0</v>
      </c>
    </row>
    <row r="359">
      <c r="A359" s="67" t="str">
        <f t="shared" si="1"/>
        <v>Mon</v>
      </c>
      <c r="B359" s="69">
        <v>43801.0</v>
      </c>
    </row>
    <row r="360">
      <c r="A360" s="67" t="str">
        <f t="shared" si="1"/>
        <v>Tue</v>
      </c>
      <c r="B360" s="69">
        <v>43802.0</v>
      </c>
    </row>
    <row r="361">
      <c r="A361" s="67" t="str">
        <f t="shared" si="1"/>
        <v>Wed</v>
      </c>
      <c r="B361" s="69">
        <v>43803.0</v>
      </c>
    </row>
    <row r="362">
      <c r="A362" s="67" t="str">
        <f t="shared" si="1"/>
        <v>Thu</v>
      </c>
      <c r="B362" s="69">
        <v>43804.0</v>
      </c>
    </row>
    <row r="363">
      <c r="A363" s="67" t="str">
        <f t="shared" si="1"/>
        <v>Fri</v>
      </c>
      <c r="B363" s="69">
        <v>43805.0</v>
      </c>
    </row>
    <row r="364">
      <c r="A364" s="67" t="str">
        <f t="shared" si="1"/>
        <v>Sat</v>
      </c>
      <c r="B364" s="69">
        <v>43806.0</v>
      </c>
    </row>
    <row r="365">
      <c r="A365" s="67" t="str">
        <f t="shared" si="1"/>
        <v>Sun</v>
      </c>
      <c r="B365" s="69">
        <v>43807.0</v>
      </c>
    </row>
    <row r="366">
      <c r="A366" s="67" t="str">
        <f t="shared" si="1"/>
        <v>Mon</v>
      </c>
      <c r="B366" s="69">
        <v>43808.0</v>
      </c>
      <c r="D366" s="161">
        <v>530.0</v>
      </c>
      <c r="E366" s="4" t="s">
        <v>337</v>
      </c>
      <c r="F366" s="4" t="s">
        <v>2018</v>
      </c>
      <c r="G366" s="4" t="s">
        <v>2018</v>
      </c>
      <c r="I366" s="4" t="s">
        <v>224</v>
      </c>
      <c r="J366" s="4" t="s">
        <v>2019</v>
      </c>
      <c r="K366" s="4" t="s">
        <v>1229</v>
      </c>
      <c r="L366" s="4" t="s">
        <v>229</v>
      </c>
      <c r="M366" s="4" t="s">
        <v>2020</v>
      </c>
      <c r="N366" s="4" t="s">
        <v>2021</v>
      </c>
      <c r="O366" s="4" t="s">
        <v>2022</v>
      </c>
      <c r="R366" s="4" t="s">
        <v>2023</v>
      </c>
      <c r="S366" s="4">
        <v>2.31073593E9</v>
      </c>
    </row>
    <row r="367">
      <c r="A367" s="67" t="str">
        <f t="shared" si="1"/>
        <v>Tue</v>
      </c>
      <c r="B367" s="69">
        <v>43809.0</v>
      </c>
      <c r="D367" s="161">
        <v>530.0</v>
      </c>
      <c r="E367" s="4" t="s">
        <v>337</v>
      </c>
      <c r="F367" s="4" t="s">
        <v>2018</v>
      </c>
      <c r="I367" s="4" t="s">
        <v>224</v>
      </c>
    </row>
    <row r="368">
      <c r="A368" s="67" t="str">
        <f t="shared" si="1"/>
        <v>Wed</v>
      </c>
      <c r="B368" s="69">
        <v>43810.0</v>
      </c>
      <c r="D368" s="161">
        <v>530.0</v>
      </c>
      <c r="E368" s="4" t="s">
        <v>337</v>
      </c>
      <c r="F368" s="4" t="s">
        <v>2018</v>
      </c>
      <c r="I368" s="4" t="s">
        <v>224</v>
      </c>
    </row>
    <row r="369">
      <c r="A369" s="67" t="str">
        <f t="shared" si="1"/>
        <v>Thu</v>
      </c>
      <c r="B369" s="69">
        <v>43811.0</v>
      </c>
      <c r="D369" s="161">
        <v>530.0</v>
      </c>
      <c r="E369" s="4" t="s">
        <v>337</v>
      </c>
      <c r="F369" s="4" t="s">
        <v>2018</v>
      </c>
      <c r="I369" s="4" t="s">
        <v>224</v>
      </c>
    </row>
    <row r="370">
      <c r="A370" s="67" t="str">
        <f t="shared" si="1"/>
        <v>Fri</v>
      </c>
      <c r="B370" s="69">
        <v>43812.0</v>
      </c>
      <c r="D370" s="161">
        <v>530.0</v>
      </c>
      <c r="E370" s="4" t="s">
        <v>337</v>
      </c>
      <c r="F370" s="4" t="s">
        <v>2018</v>
      </c>
      <c r="I370" s="4" t="s">
        <v>224</v>
      </c>
    </row>
    <row r="371">
      <c r="A371" s="67" t="str">
        <f t="shared" si="1"/>
        <v>Sat</v>
      </c>
      <c r="B371" s="69">
        <v>43813.0</v>
      </c>
      <c r="D371" s="161">
        <v>530.0</v>
      </c>
      <c r="E371" s="4" t="s">
        <v>337</v>
      </c>
      <c r="F371" s="4" t="s">
        <v>2018</v>
      </c>
      <c r="I371" s="4" t="s">
        <v>224</v>
      </c>
    </row>
    <row r="372">
      <c r="A372" s="67" t="str">
        <f t="shared" si="1"/>
        <v>Sun</v>
      </c>
      <c r="B372" s="69">
        <v>43814.0</v>
      </c>
      <c r="D372" s="161">
        <v>530.0</v>
      </c>
      <c r="E372" s="4" t="s">
        <v>337</v>
      </c>
      <c r="F372" s="4" t="s">
        <v>2018</v>
      </c>
      <c r="I372" s="4" t="s">
        <v>224</v>
      </c>
    </row>
    <row r="373">
      <c r="A373" s="67" t="str">
        <f t="shared" si="1"/>
        <v>Mon</v>
      </c>
      <c r="B373" s="69">
        <v>43815.0</v>
      </c>
      <c r="D373" s="161">
        <v>530.0</v>
      </c>
      <c r="E373" s="4" t="s">
        <v>337</v>
      </c>
      <c r="F373" s="4" t="s">
        <v>2018</v>
      </c>
      <c r="I373" s="4" t="s">
        <v>224</v>
      </c>
    </row>
    <row r="374">
      <c r="A374" s="67" t="str">
        <f t="shared" si="1"/>
        <v>Tue</v>
      </c>
      <c r="B374" s="69">
        <v>43816.0</v>
      </c>
      <c r="D374" s="161">
        <v>530.0</v>
      </c>
      <c r="E374" s="4" t="s">
        <v>337</v>
      </c>
      <c r="F374" s="4" t="s">
        <v>2018</v>
      </c>
      <c r="I374" s="4" t="s">
        <v>224</v>
      </c>
    </row>
    <row r="375">
      <c r="A375" s="67" t="str">
        <f t="shared" si="1"/>
        <v>Wed</v>
      </c>
      <c r="B375" s="69">
        <v>43817.0</v>
      </c>
      <c r="D375" s="161">
        <v>530.0</v>
      </c>
      <c r="E375" s="4" t="s">
        <v>337</v>
      </c>
      <c r="F375" s="4" t="s">
        <v>2018</v>
      </c>
      <c r="I375" s="4" t="s">
        <v>224</v>
      </c>
    </row>
    <row r="376">
      <c r="A376" s="67" t="str">
        <f t="shared" si="1"/>
        <v>Thu</v>
      </c>
      <c r="B376" s="69">
        <v>43818.0</v>
      </c>
      <c r="H376" s="4" t="s">
        <v>2018</v>
      </c>
    </row>
    <row r="377">
      <c r="A377" s="67" t="str">
        <f t="shared" si="1"/>
        <v>Fri</v>
      </c>
      <c r="B377" s="69">
        <v>43819.0</v>
      </c>
    </row>
    <row r="378">
      <c r="A378" s="67" t="str">
        <f t="shared" si="1"/>
        <v>Sat</v>
      </c>
      <c r="B378" s="69">
        <v>43820.0</v>
      </c>
    </row>
    <row r="379">
      <c r="A379" s="67" t="str">
        <f t="shared" si="1"/>
        <v>Sun</v>
      </c>
      <c r="B379" s="69">
        <v>43821.0</v>
      </c>
    </row>
    <row r="380">
      <c r="A380" s="67" t="str">
        <f t="shared" si="1"/>
        <v>Mon</v>
      </c>
      <c r="B380" s="69">
        <v>43822.0</v>
      </c>
    </row>
    <row r="381">
      <c r="A381" s="67" t="str">
        <f t="shared" si="1"/>
        <v>Tue</v>
      </c>
      <c r="B381" s="69">
        <v>43823.0</v>
      </c>
    </row>
    <row r="382">
      <c r="A382" s="67" t="str">
        <f t="shared" si="1"/>
        <v>Wed</v>
      </c>
      <c r="B382" s="69">
        <v>43824.0</v>
      </c>
    </row>
    <row r="383">
      <c r="A383" s="67" t="str">
        <f t="shared" si="1"/>
        <v>Thu</v>
      </c>
      <c r="B383" s="69">
        <v>43825.0</v>
      </c>
    </row>
    <row r="384">
      <c r="A384" s="67" t="str">
        <f t="shared" si="1"/>
        <v>Fri</v>
      </c>
      <c r="B384" s="69">
        <v>43826.0</v>
      </c>
    </row>
    <row r="385">
      <c r="A385" s="67" t="str">
        <f t="shared" si="1"/>
        <v>Sat</v>
      </c>
      <c r="B385" s="69">
        <v>43827.0</v>
      </c>
    </row>
    <row r="386">
      <c r="A386" s="67" t="str">
        <f t="shared" si="1"/>
        <v>Sun</v>
      </c>
      <c r="B386" s="69">
        <v>43828.0</v>
      </c>
    </row>
    <row r="387">
      <c r="A387" s="67" t="str">
        <f t="shared" si="1"/>
        <v>Mon</v>
      </c>
      <c r="B387" s="69">
        <v>43829.0</v>
      </c>
    </row>
    <row r="388">
      <c r="A388" s="67" t="str">
        <f t="shared" si="1"/>
        <v>Tue</v>
      </c>
      <c r="B388" s="69">
        <v>43830.0</v>
      </c>
    </row>
    <row r="389">
      <c r="A389" s="67" t="str">
        <f t="shared" si="1"/>
        <v>Wed</v>
      </c>
      <c r="B389" s="69">
        <v>43831.0</v>
      </c>
    </row>
    <row r="390">
      <c r="A390" s="67" t="str">
        <f t="shared" si="1"/>
        <v>Thu</v>
      </c>
      <c r="B390" s="69">
        <v>43832.0</v>
      </c>
    </row>
    <row r="391">
      <c r="A391" s="67" t="str">
        <f t="shared" si="1"/>
        <v>Fri</v>
      </c>
      <c r="B391" s="69">
        <v>43833.0</v>
      </c>
    </row>
    <row r="392">
      <c r="A392" s="67" t="str">
        <f t="shared" si="1"/>
        <v>Sat</v>
      </c>
      <c r="B392" s="69">
        <v>43834.0</v>
      </c>
    </row>
    <row r="393">
      <c r="A393" s="67" t="str">
        <f t="shared" si="1"/>
        <v>Sun</v>
      </c>
      <c r="B393" s="69">
        <v>43835.0</v>
      </c>
    </row>
    <row r="394">
      <c r="A394" s="67" t="str">
        <f t="shared" si="1"/>
        <v>Mon</v>
      </c>
      <c r="B394" s="69">
        <v>43836.0</v>
      </c>
    </row>
    <row r="395">
      <c r="A395" s="67" t="str">
        <f t="shared" si="1"/>
        <v>Tue</v>
      </c>
      <c r="B395" s="69">
        <v>43837.0</v>
      </c>
    </row>
    <row r="396">
      <c r="A396" s="67" t="str">
        <f t="shared" si="1"/>
        <v>Wed</v>
      </c>
      <c r="B396" s="69">
        <v>43838.0</v>
      </c>
    </row>
    <row r="397">
      <c r="A397" s="67" t="str">
        <f t="shared" si="1"/>
        <v>Thu</v>
      </c>
      <c r="B397" s="69">
        <v>43839.0</v>
      </c>
    </row>
    <row r="398">
      <c r="A398" s="67" t="str">
        <f t="shared" si="1"/>
        <v>Fri</v>
      </c>
      <c r="B398" s="69">
        <v>43840.0</v>
      </c>
    </row>
    <row r="399">
      <c r="A399" s="67" t="str">
        <f t="shared" si="1"/>
        <v>Sat</v>
      </c>
      <c r="B399" s="69">
        <v>43841.0</v>
      </c>
    </row>
    <row r="400">
      <c r="A400" s="67" t="str">
        <f t="shared" si="1"/>
        <v>Sun</v>
      </c>
      <c r="B400" s="69">
        <v>43842.0</v>
      </c>
    </row>
    <row r="401">
      <c r="A401" s="67" t="str">
        <f t="shared" si="1"/>
        <v>Mon</v>
      </c>
      <c r="B401" s="69">
        <v>43843.0</v>
      </c>
    </row>
    <row r="402">
      <c r="A402" s="67" t="str">
        <f t="shared" si="1"/>
        <v>Tue</v>
      </c>
      <c r="B402" s="69">
        <v>43844.0</v>
      </c>
    </row>
    <row r="403">
      <c r="A403" s="67" t="str">
        <f t="shared" si="1"/>
        <v>Wed</v>
      </c>
      <c r="B403" s="69">
        <v>43845.0</v>
      </c>
    </row>
    <row r="404">
      <c r="A404" s="67" t="str">
        <f t="shared" si="1"/>
        <v>Thu</v>
      </c>
      <c r="B404" s="69">
        <v>43846.0</v>
      </c>
    </row>
    <row r="405">
      <c r="A405" s="67" t="str">
        <f t="shared" si="1"/>
        <v>Fri</v>
      </c>
      <c r="B405" s="69">
        <v>43847.0</v>
      </c>
    </row>
    <row r="406">
      <c r="A406" s="67" t="str">
        <f t="shared" si="1"/>
        <v>Sat</v>
      </c>
      <c r="B406" s="69">
        <v>43848.0</v>
      </c>
    </row>
    <row r="407">
      <c r="A407" s="67" t="str">
        <f t="shared" si="1"/>
        <v>Sun</v>
      </c>
      <c r="B407" s="69">
        <v>43849.0</v>
      </c>
    </row>
    <row r="408">
      <c r="A408" s="67" t="str">
        <f t="shared" si="1"/>
        <v>Mon</v>
      </c>
      <c r="B408" s="69">
        <v>43850.0</v>
      </c>
    </row>
    <row r="409">
      <c r="A409" s="67" t="str">
        <f t="shared" si="1"/>
        <v>Tue</v>
      </c>
      <c r="B409" s="69">
        <v>43851.0</v>
      </c>
    </row>
    <row r="410">
      <c r="A410" s="67" t="str">
        <f t="shared" si="1"/>
        <v>Wed</v>
      </c>
      <c r="B410" s="69">
        <v>43852.0</v>
      </c>
    </row>
    <row r="411">
      <c r="A411" s="67" t="str">
        <f t="shared" si="1"/>
        <v>Thu</v>
      </c>
      <c r="B411" s="69">
        <v>43853.0</v>
      </c>
    </row>
    <row r="412">
      <c r="A412" s="67" t="str">
        <f t="shared" si="1"/>
        <v>Fri</v>
      </c>
      <c r="B412" s="69">
        <v>43854.0</v>
      </c>
    </row>
    <row r="413">
      <c r="A413" s="67" t="str">
        <f t="shared" si="1"/>
        <v>Sat</v>
      </c>
      <c r="B413" s="69">
        <v>43855.0</v>
      </c>
    </row>
    <row r="414">
      <c r="A414" s="67" t="str">
        <f t="shared" si="1"/>
        <v>Sun</v>
      </c>
      <c r="B414" s="69">
        <v>43856.0</v>
      </c>
    </row>
    <row r="415">
      <c r="A415" s="67" t="str">
        <f t="shared" si="1"/>
        <v>Mon</v>
      </c>
      <c r="B415" s="69">
        <v>43857.0</v>
      </c>
    </row>
    <row r="416">
      <c r="A416" s="67" t="str">
        <f t="shared" si="1"/>
        <v>Tue</v>
      </c>
      <c r="B416" s="69">
        <v>43858.0</v>
      </c>
    </row>
    <row r="417">
      <c r="A417" s="67" t="str">
        <f t="shared" si="1"/>
        <v>Wed</v>
      </c>
      <c r="B417" s="69">
        <v>43859.0</v>
      </c>
    </row>
    <row r="418">
      <c r="A418" s="67" t="str">
        <f t="shared" si="1"/>
        <v>Thu</v>
      </c>
      <c r="B418" s="69">
        <v>43860.0</v>
      </c>
    </row>
    <row r="419">
      <c r="A419" s="67" t="str">
        <f t="shared" si="1"/>
        <v>Fri</v>
      </c>
      <c r="B419" s="69">
        <v>43861.0</v>
      </c>
    </row>
    <row r="420">
      <c r="A420" s="67" t="str">
        <f t="shared" si="1"/>
        <v>Sat</v>
      </c>
      <c r="B420" s="69">
        <v>43862.0</v>
      </c>
    </row>
    <row r="421">
      <c r="A421" s="67" t="str">
        <f t="shared" si="1"/>
        <v>Sun</v>
      </c>
      <c r="B421" s="69">
        <v>43863.0</v>
      </c>
    </row>
    <row r="422">
      <c r="A422" s="67" t="str">
        <f t="shared" si="1"/>
        <v>Mon</v>
      </c>
      <c r="B422" s="69">
        <v>43864.0</v>
      </c>
    </row>
    <row r="423">
      <c r="A423" s="67" t="str">
        <f t="shared" si="1"/>
        <v>Tue</v>
      </c>
      <c r="B423" s="69">
        <v>43865.0</v>
      </c>
    </row>
    <row r="424">
      <c r="A424" s="67" t="str">
        <f t="shared" si="1"/>
        <v>Wed</v>
      </c>
      <c r="B424" s="69">
        <v>43866.0</v>
      </c>
    </row>
    <row r="425">
      <c r="A425" s="67" t="str">
        <f t="shared" si="1"/>
        <v>Thu</v>
      </c>
      <c r="B425" s="69">
        <v>43867.0</v>
      </c>
    </row>
    <row r="426">
      <c r="A426" s="67" t="str">
        <f t="shared" si="1"/>
        <v>Fri</v>
      </c>
      <c r="B426" s="69">
        <v>43868.0</v>
      </c>
    </row>
    <row r="427">
      <c r="A427" s="67" t="str">
        <f t="shared" si="1"/>
        <v>Sat</v>
      </c>
      <c r="B427" s="69">
        <v>43869.0</v>
      </c>
    </row>
    <row r="428">
      <c r="A428" s="67" t="str">
        <f t="shared" si="1"/>
        <v>Sun</v>
      </c>
      <c r="B428" s="69">
        <v>43870.0</v>
      </c>
    </row>
    <row r="429">
      <c r="A429" s="67" t="str">
        <f t="shared" si="1"/>
        <v>Mon</v>
      </c>
      <c r="B429" s="69">
        <v>43871.0</v>
      </c>
    </row>
    <row r="430">
      <c r="A430" s="67" t="str">
        <f t="shared" si="1"/>
        <v>Tue</v>
      </c>
      <c r="B430" s="69">
        <v>43872.0</v>
      </c>
    </row>
    <row r="431">
      <c r="A431" s="67" t="str">
        <f t="shared" si="1"/>
        <v>Wed</v>
      </c>
      <c r="B431" s="69">
        <v>43873.0</v>
      </c>
    </row>
    <row r="432">
      <c r="A432" s="67" t="str">
        <f t="shared" si="1"/>
        <v>Thu</v>
      </c>
      <c r="B432" s="69">
        <v>43874.0</v>
      </c>
    </row>
    <row r="433">
      <c r="A433" s="67" t="str">
        <f t="shared" si="1"/>
        <v>Fri</v>
      </c>
      <c r="B433" s="69">
        <v>43875.0</v>
      </c>
    </row>
    <row r="434">
      <c r="A434" s="67" t="str">
        <f t="shared" si="1"/>
        <v>Sat</v>
      </c>
      <c r="B434" s="69">
        <v>43876.0</v>
      </c>
    </row>
    <row r="435">
      <c r="A435" s="67" t="str">
        <f t="shared" si="1"/>
        <v>Sun</v>
      </c>
      <c r="B435" s="69">
        <v>43877.0</v>
      </c>
    </row>
    <row r="436">
      <c r="A436" s="67" t="str">
        <f t="shared" si="1"/>
        <v>Mon</v>
      </c>
      <c r="B436" s="69">
        <v>43878.0</v>
      </c>
    </row>
    <row r="437">
      <c r="A437" s="67" t="str">
        <f t="shared" si="1"/>
        <v>Tue</v>
      </c>
      <c r="B437" s="69">
        <v>43879.0</v>
      </c>
    </row>
    <row r="438">
      <c r="A438" s="67" t="str">
        <f t="shared" si="1"/>
        <v>Wed</v>
      </c>
      <c r="B438" s="69">
        <v>43880.0</v>
      </c>
    </row>
    <row r="439">
      <c r="A439" s="67" t="str">
        <f t="shared" si="1"/>
        <v>Thu</v>
      </c>
      <c r="B439" s="69">
        <v>43881.0</v>
      </c>
    </row>
    <row r="440">
      <c r="A440" s="67" t="str">
        <f t="shared" si="1"/>
        <v>Fri</v>
      </c>
      <c r="B440" s="69">
        <v>43882.0</v>
      </c>
    </row>
    <row r="441">
      <c r="A441" s="67" t="str">
        <f t="shared" si="1"/>
        <v>Sat</v>
      </c>
      <c r="B441" s="69">
        <v>43883.0</v>
      </c>
    </row>
    <row r="442">
      <c r="A442" s="67" t="str">
        <f t="shared" si="1"/>
        <v>Sun</v>
      </c>
      <c r="B442" s="69">
        <v>43884.0</v>
      </c>
    </row>
    <row r="443">
      <c r="A443" s="67" t="str">
        <f t="shared" si="1"/>
        <v>Mon</v>
      </c>
      <c r="B443" s="69">
        <v>43885.0</v>
      </c>
    </row>
    <row r="444">
      <c r="A444" s="67" t="str">
        <f t="shared" si="1"/>
        <v>Tue</v>
      </c>
      <c r="B444" s="69">
        <v>43886.0</v>
      </c>
    </row>
    <row r="445">
      <c r="A445" s="67" t="str">
        <f t="shared" si="1"/>
        <v>Wed</v>
      </c>
      <c r="B445" s="69">
        <v>43887.0</v>
      </c>
    </row>
    <row r="446">
      <c r="A446" s="67" t="str">
        <f t="shared" si="1"/>
        <v>Thu</v>
      </c>
      <c r="B446" s="69">
        <v>43888.0</v>
      </c>
    </row>
    <row r="447">
      <c r="A447" s="67" t="str">
        <f t="shared" si="1"/>
        <v>Fri</v>
      </c>
      <c r="B447" s="69">
        <v>43889.0</v>
      </c>
    </row>
    <row r="448">
      <c r="A448" s="67" t="str">
        <f t="shared" si="1"/>
        <v>Sat</v>
      </c>
      <c r="B448" s="69">
        <v>43890.0</v>
      </c>
    </row>
    <row r="449">
      <c r="A449" s="67" t="str">
        <f t="shared" si="1"/>
        <v>Sun</v>
      </c>
      <c r="B449" s="69">
        <v>43891.0</v>
      </c>
    </row>
    <row r="450">
      <c r="A450" s="67" t="str">
        <f t="shared" si="1"/>
        <v>Mon</v>
      </c>
      <c r="B450" s="69">
        <v>43892.0</v>
      </c>
    </row>
    <row r="451">
      <c r="A451" s="67" t="str">
        <f t="shared" si="1"/>
        <v>Tue</v>
      </c>
      <c r="B451" s="69">
        <v>43893.0</v>
      </c>
    </row>
    <row r="452">
      <c r="A452" s="67" t="str">
        <f t="shared" si="1"/>
        <v>Wed</v>
      </c>
      <c r="B452" s="69">
        <v>43894.0</v>
      </c>
    </row>
    <row r="453">
      <c r="A453" s="67" t="str">
        <f t="shared" si="1"/>
        <v>Thu</v>
      </c>
      <c r="B453" s="69">
        <v>43895.0</v>
      </c>
    </row>
    <row r="454">
      <c r="A454" s="67" t="str">
        <f t="shared" si="1"/>
        <v>Fri</v>
      </c>
      <c r="B454" s="69">
        <v>43896.0</v>
      </c>
    </row>
    <row r="455">
      <c r="A455" s="67" t="str">
        <f t="shared" si="1"/>
        <v>Sat</v>
      </c>
      <c r="B455" s="69">
        <v>43897.0</v>
      </c>
    </row>
    <row r="456">
      <c r="A456" s="67" t="str">
        <f t="shared" si="1"/>
        <v>Sun</v>
      </c>
      <c r="B456" s="69">
        <v>43898.0</v>
      </c>
    </row>
    <row r="457">
      <c r="A457" s="67" t="str">
        <f t="shared" si="1"/>
        <v>Mon</v>
      </c>
      <c r="B457" s="69">
        <v>43899.0</v>
      </c>
    </row>
    <row r="458">
      <c r="A458" s="67" t="str">
        <f t="shared" si="1"/>
        <v>Tue</v>
      </c>
      <c r="B458" s="69">
        <v>43900.0</v>
      </c>
    </row>
    <row r="459">
      <c r="A459" s="67" t="str">
        <f t="shared" si="1"/>
        <v>Wed</v>
      </c>
      <c r="B459" s="69">
        <v>43901.0</v>
      </c>
    </row>
    <row r="460">
      <c r="A460" s="67" t="str">
        <f t="shared" si="1"/>
        <v>Thu</v>
      </c>
      <c r="B460" s="69">
        <v>43902.0</v>
      </c>
    </row>
    <row r="461">
      <c r="A461" s="67" t="str">
        <f t="shared" si="1"/>
        <v>Fri</v>
      </c>
      <c r="B461" s="69">
        <v>43903.0</v>
      </c>
    </row>
    <row r="462">
      <c r="A462" s="67" t="str">
        <f t="shared" si="1"/>
        <v>Sat</v>
      </c>
      <c r="B462" s="69">
        <v>43904.0</v>
      </c>
    </row>
    <row r="463">
      <c r="A463" s="67" t="str">
        <f t="shared" si="1"/>
        <v>Sun</v>
      </c>
      <c r="B463" s="69">
        <v>43905.0</v>
      </c>
    </row>
    <row r="464">
      <c r="A464" s="67" t="str">
        <f t="shared" si="1"/>
        <v>Mon</v>
      </c>
      <c r="B464" s="69">
        <v>43906.0</v>
      </c>
    </row>
    <row r="465">
      <c r="A465" s="67" t="str">
        <f t="shared" si="1"/>
        <v>Tue</v>
      </c>
      <c r="B465" s="69">
        <v>43907.0</v>
      </c>
    </row>
    <row r="466">
      <c r="A466" s="67" t="str">
        <f t="shared" si="1"/>
        <v>Wed</v>
      </c>
      <c r="B466" s="69">
        <v>43908.0</v>
      </c>
    </row>
    <row r="467">
      <c r="A467" s="67" t="str">
        <f t="shared" si="1"/>
        <v>Thu</v>
      </c>
      <c r="B467" s="69">
        <v>43909.0</v>
      </c>
    </row>
    <row r="468">
      <c r="A468" s="67" t="str">
        <f t="shared" si="1"/>
        <v>Fri</v>
      </c>
      <c r="B468" s="69">
        <v>43910.0</v>
      </c>
    </row>
    <row r="469">
      <c r="A469" s="67" t="str">
        <f t="shared" si="1"/>
        <v>Sat</v>
      </c>
      <c r="B469" s="69">
        <v>43911.0</v>
      </c>
    </row>
    <row r="470">
      <c r="A470" s="67" t="str">
        <f t="shared" si="1"/>
        <v>Sun</v>
      </c>
      <c r="B470" s="69">
        <v>43912.0</v>
      </c>
    </row>
    <row r="471">
      <c r="A471" s="67" t="str">
        <f t="shared" si="1"/>
        <v>Mon</v>
      </c>
      <c r="B471" s="69">
        <v>43913.0</v>
      </c>
    </row>
    <row r="472">
      <c r="A472" s="67" t="str">
        <f t="shared" si="1"/>
        <v>Tue</v>
      </c>
      <c r="B472" s="69">
        <v>43914.0</v>
      </c>
    </row>
    <row r="473">
      <c r="A473" s="67" t="str">
        <f t="shared" si="1"/>
        <v>Wed</v>
      </c>
      <c r="B473" s="69">
        <v>43915.0</v>
      </c>
    </row>
    <row r="474">
      <c r="A474" s="67" t="str">
        <f t="shared" si="1"/>
        <v>Thu</v>
      </c>
      <c r="B474" s="69">
        <v>43916.0</v>
      </c>
    </row>
    <row r="475">
      <c r="A475" s="67" t="str">
        <f t="shared" si="1"/>
        <v>Fri</v>
      </c>
      <c r="B475" s="69">
        <v>43917.0</v>
      </c>
    </row>
    <row r="476">
      <c r="A476" s="67" t="str">
        <f t="shared" si="1"/>
        <v>Sat</v>
      </c>
      <c r="B476" s="69">
        <v>43918.0</v>
      </c>
    </row>
    <row r="477">
      <c r="A477" s="67" t="str">
        <f t="shared" si="1"/>
        <v>Sun</v>
      </c>
      <c r="B477" s="69">
        <v>43919.0</v>
      </c>
    </row>
    <row r="478">
      <c r="A478" s="67" t="str">
        <f t="shared" si="1"/>
        <v>Mon</v>
      </c>
      <c r="B478" s="69">
        <v>43920.0</v>
      </c>
    </row>
  </sheetData>
  <mergeCells count="5">
    <mergeCell ref="E1:F1"/>
    <mergeCell ref="E2:F2"/>
    <mergeCell ref="E3:F3"/>
    <mergeCell ref="A1:C3"/>
    <mergeCell ref="G1:R3"/>
  </mergeCells>
  <conditionalFormatting sqref="K1:L478">
    <cfRule type="cellIs" dxfId="0" priority="1" operator="equal">
      <formula>"Enviar email para hotel"</formula>
    </cfRule>
  </conditionalFormatting>
  <dataValidations>
    <dataValidation type="list" allowBlank="1" sqref="K6:L82 L83:L478">
      <formula1>"Enviar email para hotel,Enviado para o hotel,Código de reserva enviado para hóspede,Verificar dados com o hóspede,URGENTE,Fechado"</formula1>
    </dataValidation>
    <dataValidation type="list" allowBlank="1" sqref="K83:K478">
      <formula1>"A PAGAR,PARCIALMENTE PAGO,PAGO"</formula1>
    </dataValidation>
  </dataValidations>
  <hyperlinks>
    <hyperlink display="Sumario" location="Sumario!A1" ref="A4"/>
  </hyperlinks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13.57"/>
    <col customWidth="1" min="4" max="4" width="17.0"/>
  </cols>
  <sheetData>
    <row r="1">
      <c r="A1" s="1"/>
      <c r="B1" s="2"/>
      <c r="C1" s="3"/>
      <c r="D1" s="11" t="s">
        <v>198</v>
      </c>
      <c r="E1" s="153" t="s">
        <v>1921</v>
      </c>
      <c r="F1" s="3"/>
      <c r="G1" s="154" t="s">
        <v>1922</v>
      </c>
      <c r="H1" s="2"/>
      <c r="I1" s="2"/>
      <c r="J1" s="2"/>
      <c r="K1" s="2"/>
      <c r="L1" s="2"/>
      <c r="M1" s="2"/>
      <c r="N1" s="2"/>
      <c r="O1" s="2"/>
      <c r="P1" s="2"/>
      <c r="Q1" s="2"/>
      <c r="R1" s="3"/>
      <c r="S1" s="155"/>
    </row>
    <row r="2">
      <c r="A2" s="13"/>
      <c r="C2" s="15"/>
      <c r="D2" s="9" t="s">
        <v>201</v>
      </c>
      <c r="E2" s="156">
        <v>455.0</v>
      </c>
      <c r="F2" s="15"/>
      <c r="R2" s="15"/>
      <c r="S2" s="155"/>
    </row>
    <row r="3">
      <c r="A3" s="17"/>
      <c r="B3" s="19"/>
      <c r="C3" s="21"/>
      <c r="D3" s="26" t="s">
        <v>202</v>
      </c>
      <c r="E3" s="157" t="s">
        <v>395</v>
      </c>
      <c r="F3" s="21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21"/>
      <c r="S3" s="155"/>
    </row>
    <row r="4">
      <c r="A4" s="4"/>
      <c r="B4" s="158" t="s">
        <v>203</v>
      </c>
      <c r="C4" s="4"/>
      <c r="D4" s="4"/>
      <c r="E4" s="4"/>
      <c r="F4" s="4"/>
      <c r="G4" s="4"/>
      <c r="H4" s="4"/>
      <c r="I4" s="4"/>
      <c r="J4" s="4"/>
      <c r="K4" s="4"/>
      <c r="L4" s="4"/>
      <c r="O4" s="30"/>
      <c r="P4" s="30"/>
      <c r="Q4" s="30"/>
      <c r="R4" s="30"/>
      <c r="S4" s="30"/>
      <c r="T4" s="30"/>
      <c r="U4" s="30"/>
      <c r="V4" s="30"/>
      <c r="W4" s="30"/>
    </row>
    <row r="5">
      <c r="A5" s="42" t="s">
        <v>204</v>
      </c>
      <c r="B5" s="45" t="s">
        <v>33</v>
      </c>
      <c r="C5" s="45" t="s">
        <v>205</v>
      </c>
      <c r="D5" s="45" t="s">
        <v>206</v>
      </c>
      <c r="E5" s="45" t="s">
        <v>207</v>
      </c>
      <c r="F5" s="45" t="s">
        <v>208</v>
      </c>
      <c r="G5" s="45" t="s">
        <v>209</v>
      </c>
      <c r="H5" s="45" t="s">
        <v>210</v>
      </c>
      <c r="I5" s="45" t="s">
        <v>211</v>
      </c>
      <c r="J5" s="45" t="s">
        <v>212</v>
      </c>
      <c r="K5" s="45" t="s">
        <v>213</v>
      </c>
      <c r="L5" s="45" t="s">
        <v>214</v>
      </c>
      <c r="M5" s="45" t="s">
        <v>215</v>
      </c>
      <c r="N5" s="45" t="s">
        <v>216</v>
      </c>
      <c r="O5" s="45" t="s">
        <v>217</v>
      </c>
      <c r="P5" s="45" t="s">
        <v>218</v>
      </c>
      <c r="Q5" s="45" t="s">
        <v>219</v>
      </c>
      <c r="R5" s="160" t="s">
        <v>220</v>
      </c>
      <c r="S5" s="160" t="s">
        <v>221</v>
      </c>
    </row>
    <row r="6" hidden="1">
      <c r="A6" s="67" t="str">
        <f t="shared" ref="A6:A956" si="1">CHOOSE(weekday(B6),"Sun","Mon","Tue","Wed","Thu","Fri","Sat")</f>
        <v>Wed</v>
      </c>
      <c r="B6" s="69">
        <v>43159.0</v>
      </c>
      <c r="D6" s="171"/>
      <c r="M6" s="166"/>
      <c r="N6" s="166"/>
      <c r="O6" s="166"/>
      <c r="P6" s="166"/>
      <c r="Q6" s="166"/>
      <c r="R6" s="166"/>
      <c r="S6" s="166"/>
    </row>
    <row r="7" hidden="1">
      <c r="A7" s="67" t="str">
        <f t="shared" si="1"/>
        <v>Thu</v>
      </c>
      <c r="B7" s="69">
        <v>43160.0</v>
      </c>
      <c r="D7" s="171"/>
    </row>
    <row r="8" hidden="1">
      <c r="A8" s="67" t="str">
        <f t="shared" si="1"/>
        <v>Fri</v>
      </c>
      <c r="B8" s="69">
        <v>43161.0</v>
      </c>
      <c r="D8" s="171"/>
      <c r="M8" s="166"/>
      <c r="N8" s="166"/>
      <c r="O8" s="166"/>
      <c r="P8" s="166"/>
      <c r="Q8" s="166"/>
      <c r="R8" s="166"/>
      <c r="S8" s="166"/>
    </row>
    <row r="9" hidden="1">
      <c r="A9" s="67" t="str">
        <f t="shared" si="1"/>
        <v>Sat</v>
      </c>
      <c r="B9" s="69">
        <v>43162.0</v>
      </c>
      <c r="D9" s="171"/>
    </row>
    <row r="10" hidden="1">
      <c r="A10" s="67" t="str">
        <f t="shared" si="1"/>
        <v>Sun</v>
      </c>
      <c r="B10" s="69">
        <v>43163.0</v>
      </c>
      <c r="D10" s="171"/>
    </row>
    <row r="11" hidden="1">
      <c r="A11" s="67" t="str">
        <f t="shared" si="1"/>
        <v>Mon</v>
      </c>
      <c r="B11" s="69">
        <v>43164.0</v>
      </c>
      <c r="D11" s="171"/>
    </row>
    <row r="12" hidden="1">
      <c r="A12" s="67" t="str">
        <f t="shared" si="1"/>
        <v>Tue</v>
      </c>
      <c r="B12" s="69">
        <v>43165.0</v>
      </c>
      <c r="D12" s="171"/>
    </row>
    <row r="13" hidden="1">
      <c r="A13" s="67" t="str">
        <f t="shared" si="1"/>
        <v>Wed</v>
      </c>
      <c r="B13" s="69">
        <v>43166.0</v>
      </c>
      <c r="D13" s="171"/>
    </row>
    <row r="14" hidden="1">
      <c r="A14" s="67" t="str">
        <f t="shared" si="1"/>
        <v>Thu</v>
      </c>
      <c r="B14" s="69">
        <v>43167.0</v>
      </c>
      <c r="D14" s="171"/>
    </row>
    <row r="15" hidden="1">
      <c r="A15" s="67" t="str">
        <f t="shared" si="1"/>
        <v>Fri</v>
      </c>
      <c r="B15" s="69">
        <v>43168.0</v>
      </c>
      <c r="D15" s="171"/>
    </row>
    <row r="16" hidden="1">
      <c r="A16" s="67" t="str">
        <f t="shared" si="1"/>
        <v>Sat</v>
      </c>
      <c r="B16" s="69">
        <v>43169.0</v>
      </c>
      <c r="D16" s="171"/>
    </row>
    <row r="17" hidden="1">
      <c r="A17" s="67" t="str">
        <f t="shared" si="1"/>
        <v>Sun</v>
      </c>
      <c r="B17" s="69">
        <v>43170.0</v>
      </c>
      <c r="D17" s="171"/>
    </row>
    <row r="18" hidden="1">
      <c r="A18" s="67" t="str">
        <f t="shared" si="1"/>
        <v>Mon</v>
      </c>
      <c r="B18" s="69">
        <v>43171.0</v>
      </c>
      <c r="D18" s="171"/>
    </row>
    <row r="19" hidden="1">
      <c r="A19" s="67" t="str">
        <f t="shared" si="1"/>
        <v>Tue</v>
      </c>
      <c r="B19" s="69">
        <v>43172.0</v>
      </c>
      <c r="D19" s="171"/>
    </row>
    <row r="20" hidden="1">
      <c r="A20" s="67" t="str">
        <f t="shared" si="1"/>
        <v>Wed</v>
      </c>
      <c r="B20" s="69">
        <v>43173.0</v>
      </c>
      <c r="D20" s="171"/>
    </row>
    <row r="21" hidden="1">
      <c r="A21" s="67" t="str">
        <f t="shared" si="1"/>
        <v>Thu</v>
      </c>
      <c r="B21" s="69">
        <v>43174.0</v>
      </c>
      <c r="D21" s="171"/>
      <c r="M21" s="166"/>
      <c r="N21" s="166"/>
      <c r="O21" s="166"/>
      <c r="P21" s="166"/>
      <c r="Q21" s="166"/>
      <c r="R21" s="166"/>
      <c r="S21" s="166"/>
    </row>
    <row r="22" hidden="1">
      <c r="A22" s="67" t="str">
        <f t="shared" si="1"/>
        <v>Fri</v>
      </c>
      <c r="B22" s="69">
        <v>43175.0</v>
      </c>
      <c r="D22" s="171"/>
    </row>
    <row r="23" hidden="1">
      <c r="A23" s="67" t="str">
        <f t="shared" si="1"/>
        <v>Sat</v>
      </c>
      <c r="B23" s="69">
        <v>43176.0</v>
      </c>
      <c r="D23" s="171"/>
    </row>
    <row r="24" hidden="1">
      <c r="A24" s="67" t="str">
        <f t="shared" si="1"/>
        <v>Sun</v>
      </c>
      <c r="B24" s="69">
        <v>43177.0</v>
      </c>
      <c r="D24" s="171"/>
    </row>
    <row r="25" hidden="1">
      <c r="A25" s="67" t="str">
        <f t="shared" si="1"/>
        <v>Mon</v>
      </c>
      <c r="B25" s="69">
        <v>43178.0</v>
      </c>
      <c r="D25" s="171"/>
    </row>
    <row r="26" hidden="1">
      <c r="A26" s="67" t="str">
        <f t="shared" si="1"/>
        <v>Tue</v>
      </c>
      <c r="B26" s="69">
        <v>43179.0</v>
      </c>
      <c r="D26" s="171"/>
    </row>
    <row r="27" hidden="1">
      <c r="A27" s="67" t="str">
        <f t="shared" si="1"/>
        <v>Wed</v>
      </c>
      <c r="B27" s="69">
        <v>43180.0</v>
      </c>
      <c r="D27" s="171"/>
    </row>
    <row r="28" hidden="1">
      <c r="A28" s="67" t="str">
        <f t="shared" si="1"/>
        <v>Thu</v>
      </c>
      <c r="B28" s="69">
        <v>43181.0</v>
      </c>
      <c r="D28" s="171"/>
    </row>
    <row r="29" hidden="1">
      <c r="A29" s="67" t="str">
        <f t="shared" si="1"/>
        <v>Fri</v>
      </c>
      <c r="B29" s="69">
        <v>43182.0</v>
      </c>
      <c r="D29" s="171"/>
    </row>
    <row r="30" hidden="1">
      <c r="A30" s="67" t="str">
        <f t="shared" si="1"/>
        <v>Sat</v>
      </c>
      <c r="B30" s="69">
        <v>43183.0</v>
      </c>
      <c r="D30" s="171"/>
    </row>
    <row r="31" hidden="1">
      <c r="A31" s="67" t="str">
        <f t="shared" si="1"/>
        <v>Sun</v>
      </c>
      <c r="B31" s="69">
        <v>43184.0</v>
      </c>
      <c r="D31" s="171"/>
    </row>
    <row r="32" hidden="1">
      <c r="A32" s="67" t="str">
        <f t="shared" si="1"/>
        <v>Mon</v>
      </c>
      <c r="B32" s="69">
        <v>43185.0</v>
      </c>
      <c r="D32" s="171"/>
    </row>
    <row r="33" hidden="1">
      <c r="A33" s="67" t="str">
        <f t="shared" si="1"/>
        <v>Tue</v>
      </c>
      <c r="B33" s="69">
        <v>43186.0</v>
      </c>
      <c r="D33" s="171"/>
    </row>
    <row r="34" hidden="1">
      <c r="A34" s="67" t="str">
        <f t="shared" si="1"/>
        <v>Wed</v>
      </c>
      <c r="B34" s="69">
        <v>43187.0</v>
      </c>
      <c r="D34" s="171"/>
    </row>
    <row r="35" hidden="1">
      <c r="A35" s="67" t="str">
        <f t="shared" si="1"/>
        <v>Thu</v>
      </c>
      <c r="B35" s="69">
        <v>43188.0</v>
      </c>
      <c r="C35" s="4" t="s">
        <v>638</v>
      </c>
      <c r="D35" s="171"/>
    </row>
    <row r="36" hidden="1">
      <c r="A36" s="67" t="str">
        <f t="shared" si="1"/>
        <v>Fri</v>
      </c>
      <c r="B36" s="69">
        <v>43189.0</v>
      </c>
      <c r="C36" s="4" t="s">
        <v>638</v>
      </c>
      <c r="D36" s="171"/>
    </row>
    <row r="37" hidden="1">
      <c r="A37" s="67" t="str">
        <f t="shared" si="1"/>
        <v>Sat</v>
      </c>
      <c r="B37" s="69">
        <v>43190.0</v>
      </c>
      <c r="C37" s="4" t="s">
        <v>638</v>
      </c>
      <c r="D37" s="171"/>
    </row>
    <row r="38" hidden="1">
      <c r="A38" s="67" t="str">
        <f t="shared" si="1"/>
        <v>Sun</v>
      </c>
      <c r="B38" s="69">
        <v>43191.0</v>
      </c>
      <c r="D38" s="171"/>
    </row>
    <row r="39" hidden="1">
      <c r="A39" s="67" t="str">
        <f t="shared" si="1"/>
        <v>Mon</v>
      </c>
      <c r="B39" s="69">
        <v>43192.0</v>
      </c>
      <c r="D39" s="171"/>
    </row>
    <row r="40" hidden="1">
      <c r="A40" s="67" t="str">
        <f t="shared" si="1"/>
        <v>Tue</v>
      </c>
      <c r="B40" s="69">
        <v>43193.0</v>
      </c>
      <c r="D40" s="171"/>
    </row>
    <row r="41" hidden="1">
      <c r="A41" s="67" t="str">
        <f t="shared" si="1"/>
        <v>Wed</v>
      </c>
      <c r="B41" s="69">
        <v>43194.0</v>
      </c>
      <c r="D41" s="171"/>
    </row>
    <row r="42" hidden="1">
      <c r="A42" s="67" t="str">
        <f t="shared" si="1"/>
        <v>Thu</v>
      </c>
      <c r="B42" s="69">
        <v>43195.0</v>
      </c>
      <c r="D42" s="171"/>
    </row>
    <row r="43" hidden="1">
      <c r="A43" s="67" t="str">
        <f t="shared" si="1"/>
        <v>Fri</v>
      </c>
      <c r="B43" s="69">
        <v>43196.0</v>
      </c>
      <c r="D43" s="171"/>
    </row>
    <row r="44" hidden="1">
      <c r="A44" s="67" t="str">
        <f t="shared" si="1"/>
        <v>Sat</v>
      </c>
      <c r="B44" s="69">
        <v>43197.0</v>
      </c>
      <c r="D44" s="171"/>
    </row>
    <row r="45" hidden="1">
      <c r="A45" s="67" t="str">
        <f t="shared" si="1"/>
        <v>Sun</v>
      </c>
      <c r="B45" s="69">
        <v>43198.0</v>
      </c>
      <c r="D45" s="171"/>
    </row>
    <row r="46" hidden="1">
      <c r="A46" s="67" t="str">
        <f t="shared" si="1"/>
        <v>Mon</v>
      </c>
      <c r="B46" s="69">
        <v>43199.0</v>
      </c>
      <c r="D46" s="171"/>
    </row>
    <row r="47" hidden="1">
      <c r="A47" s="67" t="str">
        <f t="shared" si="1"/>
        <v>Tue</v>
      </c>
      <c r="B47" s="69">
        <v>43200.0</v>
      </c>
      <c r="D47" s="171"/>
    </row>
    <row r="48" hidden="1">
      <c r="A48" s="67" t="str">
        <f t="shared" si="1"/>
        <v>Wed</v>
      </c>
      <c r="B48" s="69">
        <v>43201.0</v>
      </c>
      <c r="D48" s="171"/>
    </row>
    <row r="49" hidden="1">
      <c r="A49" s="67" t="str">
        <f t="shared" si="1"/>
        <v>Thu</v>
      </c>
      <c r="B49" s="69">
        <v>43202.0</v>
      </c>
      <c r="D49" s="171"/>
    </row>
    <row r="50" hidden="1">
      <c r="A50" s="67" t="str">
        <f t="shared" si="1"/>
        <v>Fri</v>
      </c>
      <c r="B50" s="69">
        <v>43203.0</v>
      </c>
      <c r="D50" s="171"/>
    </row>
    <row r="51" hidden="1">
      <c r="A51" s="67" t="str">
        <f t="shared" si="1"/>
        <v>Sat</v>
      </c>
      <c r="B51" s="69">
        <v>43204.0</v>
      </c>
      <c r="D51" s="171"/>
    </row>
    <row r="52" hidden="1">
      <c r="A52" s="67" t="str">
        <f t="shared" si="1"/>
        <v>Sun</v>
      </c>
      <c r="B52" s="69">
        <v>43205.0</v>
      </c>
      <c r="D52" s="171"/>
    </row>
    <row r="53" hidden="1">
      <c r="A53" s="67" t="str">
        <f t="shared" si="1"/>
        <v>Mon</v>
      </c>
      <c r="B53" s="69">
        <v>43206.0</v>
      </c>
      <c r="D53" s="171"/>
    </row>
    <row r="54" hidden="1">
      <c r="A54" s="67" t="str">
        <f t="shared" si="1"/>
        <v>Tue</v>
      </c>
      <c r="B54" s="69">
        <v>43207.0</v>
      </c>
      <c r="D54" s="171"/>
    </row>
    <row r="55" hidden="1">
      <c r="A55" s="67" t="str">
        <f t="shared" si="1"/>
        <v>Wed</v>
      </c>
      <c r="B55" s="69">
        <v>43208.0</v>
      </c>
      <c r="D55" s="171"/>
    </row>
    <row r="56" hidden="1">
      <c r="A56" s="67" t="str">
        <f t="shared" si="1"/>
        <v>Thu</v>
      </c>
      <c r="B56" s="69">
        <v>43209.0</v>
      </c>
      <c r="D56" s="171"/>
    </row>
    <row r="57" hidden="1">
      <c r="A57" s="67" t="str">
        <f t="shared" si="1"/>
        <v>Fri</v>
      </c>
      <c r="B57" s="69">
        <v>43210.0</v>
      </c>
      <c r="D57" s="171"/>
    </row>
    <row r="58" hidden="1">
      <c r="A58" s="67" t="str">
        <f t="shared" si="1"/>
        <v>Sat</v>
      </c>
      <c r="B58" s="69">
        <v>43211.0</v>
      </c>
      <c r="D58" s="171"/>
    </row>
    <row r="59" hidden="1">
      <c r="A59" s="67" t="str">
        <f t="shared" si="1"/>
        <v>Sun</v>
      </c>
      <c r="B59" s="69">
        <v>43212.0</v>
      </c>
      <c r="D59" s="171"/>
    </row>
    <row r="60" hidden="1">
      <c r="A60" s="67" t="str">
        <f t="shared" si="1"/>
        <v>Mon</v>
      </c>
      <c r="B60" s="69">
        <v>43213.0</v>
      </c>
      <c r="D60" s="171"/>
    </row>
    <row r="61" hidden="1">
      <c r="A61" s="67" t="str">
        <f t="shared" si="1"/>
        <v>Tue</v>
      </c>
      <c r="B61" s="69">
        <v>43214.0</v>
      </c>
      <c r="D61" s="171"/>
    </row>
    <row r="62" hidden="1">
      <c r="A62" s="67" t="str">
        <f t="shared" si="1"/>
        <v>Wed</v>
      </c>
      <c r="B62" s="69">
        <v>43215.0</v>
      </c>
      <c r="D62" s="171"/>
    </row>
    <row r="63" hidden="1">
      <c r="A63" s="67" t="str">
        <f t="shared" si="1"/>
        <v>Thu</v>
      </c>
      <c r="B63" s="69">
        <v>43216.0</v>
      </c>
      <c r="D63" s="171"/>
    </row>
    <row r="64" hidden="1">
      <c r="A64" s="67" t="str">
        <f t="shared" si="1"/>
        <v>Fri</v>
      </c>
      <c r="B64" s="69">
        <v>43217.0</v>
      </c>
      <c r="C64" s="4" t="s">
        <v>638</v>
      </c>
      <c r="D64" s="171"/>
    </row>
    <row r="65" hidden="1">
      <c r="A65" s="67" t="str">
        <f t="shared" si="1"/>
        <v>Sat</v>
      </c>
      <c r="B65" s="69">
        <v>43218.0</v>
      </c>
      <c r="C65" s="4" t="s">
        <v>638</v>
      </c>
      <c r="D65" s="171"/>
    </row>
    <row r="66" hidden="1">
      <c r="A66" s="67" t="str">
        <f t="shared" si="1"/>
        <v>Sun</v>
      </c>
      <c r="B66" s="69">
        <v>43219.0</v>
      </c>
      <c r="C66" s="4" t="s">
        <v>638</v>
      </c>
      <c r="D66" s="171"/>
    </row>
    <row r="67" hidden="1">
      <c r="A67" s="67" t="str">
        <f t="shared" si="1"/>
        <v>Mon</v>
      </c>
      <c r="B67" s="69">
        <v>43220.0</v>
      </c>
      <c r="C67" s="4" t="s">
        <v>638</v>
      </c>
      <c r="D67" s="171"/>
    </row>
    <row r="68" hidden="1">
      <c r="A68" s="67" t="str">
        <f t="shared" si="1"/>
        <v>Tue</v>
      </c>
      <c r="B68" s="69">
        <v>43221.0</v>
      </c>
      <c r="C68" s="4" t="s">
        <v>638</v>
      </c>
      <c r="D68" s="171"/>
    </row>
    <row r="69" hidden="1">
      <c r="A69" s="67" t="str">
        <f t="shared" si="1"/>
        <v>Wed</v>
      </c>
      <c r="B69" s="69">
        <v>43222.0</v>
      </c>
      <c r="D69" s="171"/>
    </row>
    <row r="70" hidden="1">
      <c r="A70" s="67" t="str">
        <f t="shared" si="1"/>
        <v>Thu</v>
      </c>
      <c r="B70" s="69">
        <v>43223.0</v>
      </c>
      <c r="D70" s="171"/>
    </row>
    <row r="71" hidden="1">
      <c r="A71" s="67" t="str">
        <f t="shared" si="1"/>
        <v>Fri</v>
      </c>
      <c r="B71" s="69">
        <v>43224.0</v>
      </c>
      <c r="D71" s="171"/>
    </row>
    <row r="72" hidden="1">
      <c r="A72" s="67" t="str">
        <f t="shared" si="1"/>
        <v>Sat</v>
      </c>
      <c r="B72" s="69">
        <v>43225.0</v>
      </c>
      <c r="D72" s="171"/>
    </row>
    <row r="73" hidden="1">
      <c r="A73" s="67" t="str">
        <f t="shared" si="1"/>
        <v>Sun</v>
      </c>
      <c r="B73" s="69">
        <v>43226.0</v>
      </c>
      <c r="D73" s="171"/>
    </row>
    <row r="74" hidden="1">
      <c r="A74" s="67" t="str">
        <f t="shared" si="1"/>
        <v>Mon</v>
      </c>
      <c r="B74" s="69">
        <v>43227.0</v>
      </c>
      <c r="D74" s="171"/>
    </row>
    <row r="75" hidden="1">
      <c r="A75" s="67" t="str">
        <f t="shared" si="1"/>
        <v>Tue</v>
      </c>
      <c r="B75" s="69">
        <v>43228.0</v>
      </c>
      <c r="D75" s="171"/>
    </row>
    <row r="76" hidden="1">
      <c r="A76" s="67" t="str">
        <f t="shared" si="1"/>
        <v>Wed</v>
      </c>
      <c r="B76" s="69">
        <v>43229.0</v>
      </c>
      <c r="D76" s="171"/>
    </row>
    <row r="77" hidden="1">
      <c r="A77" s="67" t="str">
        <f t="shared" si="1"/>
        <v>Thu</v>
      </c>
      <c r="B77" s="69">
        <v>43230.0</v>
      </c>
      <c r="D77" s="171"/>
    </row>
    <row r="78" hidden="1">
      <c r="A78" s="67" t="str">
        <f t="shared" si="1"/>
        <v>Fri</v>
      </c>
      <c r="B78" s="69">
        <v>43231.0</v>
      </c>
      <c r="D78" s="171"/>
    </row>
    <row r="79" hidden="1">
      <c r="A79" s="67" t="str">
        <f t="shared" si="1"/>
        <v>Sat</v>
      </c>
      <c r="B79" s="69">
        <v>43232.0</v>
      </c>
      <c r="D79" s="171"/>
    </row>
    <row r="80" hidden="1">
      <c r="A80" s="67" t="str">
        <f t="shared" si="1"/>
        <v>Sun</v>
      </c>
      <c r="B80" s="69">
        <v>43233.0</v>
      </c>
      <c r="D80" s="171"/>
    </row>
    <row r="81" hidden="1">
      <c r="A81" s="67" t="str">
        <f t="shared" si="1"/>
        <v>Mon</v>
      </c>
      <c r="B81" s="69">
        <v>43234.0</v>
      </c>
      <c r="D81" s="171"/>
    </row>
    <row r="82" hidden="1">
      <c r="A82" s="67" t="str">
        <f t="shared" si="1"/>
        <v>Tue</v>
      </c>
      <c r="B82" s="69">
        <v>43235.0</v>
      </c>
      <c r="D82" s="171"/>
    </row>
    <row r="83" hidden="1">
      <c r="A83" s="67" t="str">
        <f t="shared" si="1"/>
        <v>Wed</v>
      </c>
      <c r="B83" s="69">
        <v>43236.0</v>
      </c>
      <c r="D83" s="171"/>
    </row>
    <row r="84" hidden="1">
      <c r="A84" s="67" t="str">
        <f t="shared" si="1"/>
        <v>Thu</v>
      </c>
      <c r="B84" s="69">
        <v>43237.0</v>
      </c>
      <c r="D84" s="171"/>
    </row>
    <row r="85" hidden="1">
      <c r="A85" s="67" t="str">
        <f t="shared" si="1"/>
        <v>Fri</v>
      </c>
      <c r="B85" s="69">
        <v>43238.0</v>
      </c>
      <c r="D85" s="171"/>
    </row>
    <row r="86" hidden="1">
      <c r="A86" s="67" t="str">
        <f t="shared" si="1"/>
        <v>Sat</v>
      </c>
      <c r="B86" s="69">
        <v>43239.0</v>
      </c>
      <c r="D86" s="171"/>
    </row>
    <row r="87" hidden="1">
      <c r="A87" s="67" t="str">
        <f t="shared" si="1"/>
        <v>Sun</v>
      </c>
      <c r="B87" s="69">
        <v>43240.0</v>
      </c>
      <c r="D87" s="171"/>
    </row>
    <row r="88" hidden="1">
      <c r="A88" s="67" t="str">
        <f t="shared" si="1"/>
        <v>Mon</v>
      </c>
      <c r="B88" s="69">
        <v>43241.0</v>
      </c>
      <c r="D88" s="171"/>
    </row>
    <row r="89" hidden="1">
      <c r="A89" s="67" t="str">
        <f t="shared" si="1"/>
        <v>Tue</v>
      </c>
      <c r="B89" s="69">
        <v>43242.0</v>
      </c>
      <c r="D89" s="171"/>
    </row>
    <row r="90" hidden="1">
      <c r="A90" s="67" t="str">
        <f t="shared" si="1"/>
        <v>Wed</v>
      </c>
      <c r="B90" s="69">
        <v>43243.0</v>
      </c>
      <c r="C90" s="4" t="s">
        <v>758</v>
      </c>
      <c r="D90" s="171"/>
    </row>
    <row r="91" hidden="1">
      <c r="A91" s="67" t="str">
        <f t="shared" si="1"/>
        <v>Thu</v>
      </c>
      <c r="B91" s="69">
        <v>43244.0</v>
      </c>
      <c r="C91" s="4" t="s">
        <v>758</v>
      </c>
      <c r="D91" s="171"/>
    </row>
    <row r="92" hidden="1">
      <c r="A92" s="67" t="str">
        <f t="shared" si="1"/>
        <v>Fri</v>
      </c>
      <c r="B92" s="69">
        <v>43245.0</v>
      </c>
      <c r="C92" s="4" t="s">
        <v>758</v>
      </c>
      <c r="D92" s="171"/>
    </row>
    <row r="93" hidden="1">
      <c r="A93" s="67" t="str">
        <f t="shared" si="1"/>
        <v>Sat</v>
      </c>
      <c r="B93" s="69">
        <v>43246.0</v>
      </c>
      <c r="C93" s="4" t="s">
        <v>758</v>
      </c>
      <c r="D93" s="171"/>
    </row>
    <row r="94" hidden="1">
      <c r="A94" s="67" t="str">
        <f t="shared" si="1"/>
        <v>Sun</v>
      </c>
      <c r="B94" s="69">
        <v>43247.0</v>
      </c>
      <c r="C94" s="4" t="s">
        <v>758</v>
      </c>
      <c r="D94" s="176">
        <v>400.0</v>
      </c>
      <c r="E94" s="4" t="s">
        <v>337</v>
      </c>
      <c r="F94" s="4" t="s">
        <v>1972</v>
      </c>
      <c r="G94" s="4" t="s">
        <v>1972</v>
      </c>
      <c r="I94" s="4" t="s">
        <v>395</v>
      </c>
      <c r="J94" s="4" t="s">
        <v>293</v>
      </c>
      <c r="K94" s="4"/>
      <c r="L94" s="4" t="s">
        <v>293</v>
      </c>
    </row>
    <row r="95" hidden="1">
      <c r="A95" s="67" t="str">
        <f t="shared" si="1"/>
        <v>Mon</v>
      </c>
      <c r="B95" s="69">
        <v>43248.0</v>
      </c>
      <c r="D95" s="176">
        <v>400.0</v>
      </c>
      <c r="E95" s="4" t="s">
        <v>337</v>
      </c>
      <c r="F95" s="4" t="s">
        <v>1972</v>
      </c>
      <c r="I95" s="4" t="s">
        <v>395</v>
      </c>
      <c r="J95" s="4" t="s">
        <v>293</v>
      </c>
      <c r="K95" s="4"/>
      <c r="L95" s="4" t="s">
        <v>293</v>
      </c>
    </row>
    <row r="96" hidden="1">
      <c r="A96" s="67" t="str">
        <f t="shared" si="1"/>
        <v>Tue</v>
      </c>
      <c r="B96" s="69">
        <v>43249.0</v>
      </c>
      <c r="D96" s="176">
        <v>400.0</v>
      </c>
      <c r="E96" s="4" t="s">
        <v>337</v>
      </c>
      <c r="F96" s="4" t="s">
        <v>1972</v>
      </c>
      <c r="I96" s="4" t="s">
        <v>395</v>
      </c>
      <c r="J96" s="4" t="s">
        <v>293</v>
      </c>
      <c r="K96" s="4"/>
      <c r="L96" s="4" t="s">
        <v>293</v>
      </c>
    </row>
    <row r="97" hidden="1">
      <c r="A97" s="67" t="str">
        <f t="shared" si="1"/>
        <v>Wed</v>
      </c>
      <c r="B97" s="69">
        <v>43250.0</v>
      </c>
      <c r="C97" s="4" t="s">
        <v>638</v>
      </c>
      <c r="D97" s="176">
        <v>400.0</v>
      </c>
      <c r="E97" s="4" t="s">
        <v>337</v>
      </c>
      <c r="F97" s="4" t="s">
        <v>1972</v>
      </c>
      <c r="I97" s="4" t="s">
        <v>395</v>
      </c>
      <c r="J97" s="4" t="s">
        <v>293</v>
      </c>
      <c r="K97" s="4"/>
      <c r="L97" s="4" t="s">
        <v>293</v>
      </c>
    </row>
    <row r="98" hidden="1">
      <c r="A98" s="67" t="str">
        <f t="shared" si="1"/>
        <v>Thu</v>
      </c>
      <c r="B98" s="69">
        <v>43251.0</v>
      </c>
      <c r="C98" s="4" t="s">
        <v>638</v>
      </c>
      <c r="D98" s="176">
        <v>400.0</v>
      </c>
      <c r="E98" s="4" t="s">
        <v>337</v>
      </c>
      <c r="F98" s="4" t="s">
        <v>1972</v>
      </c>
      <c r="I98" s="4" t="s">
        <v>395</v>
      </c>
      <c r="J98" s="4" t="s">
        <v>293</v>
      </c>
      <c r="K98" s="4"/>
      <c r="L98" s="4" t="s">
        <v>293</v>
      </c>
    </row>
    <row r="99" hidden="1">
      <c r="A99" s="67" t="str">
        <f t="shared" si="1"/>
        <v>Fri</v>
      </c>
      <c r="B99" s="69">
        <v>43252.0</v>
      </c>
      <c r="C99" s="4" t="s">
        <v>638</v>
      </c>
      <c r="D99" s="176">
        <v>194.0</v>
      </c>
      <c r="E99" s="4" t="s">
        <v>222</v>
      </c>
      <c r="F99" s="4" t="s">
        <v>1977</v>
      </c>
      <c r="G99" s="4" t="s">
        <v>1977</v>
      </c>
      <c r="H99" s="4" t="s">
        <v>1972</v>
      </c>
      <c r="I99" s="4" t="s">
        <v>395</v>
      </c>
      <c r="K99" s="4"/>
      <c r="L99" s="4" t="s">
        <v>293</v>
      </c>
    </row>
    <row r="100" hidden="1">
      <c r="A100" s="67" t="str">
        <f t="shared" si="1"/>
        <v>Sat</v>
      </c>
      <c r="B100" s="69">
        <v>43253.0</v>
      </c>
      <c r="C100" s="4" t="s">
        <v>638</v>
      </c>
      <c r="D100" s="176">
        <v>194.0</v>
      </c>
      <c r="E100" s="4" t="s">
        <v>222</v>
      </c>
      <c r="F100" s="4" t="s">
        <v>1977</v>
      </c>
      <c r="I100" s="4" t="s">
        <v>395</v>
      </c>
      <c r="K100" s="4"/>
      <c r="L100" s="4" t="s">
        <v>293</v>
      </c>
    </row>
    <row r="101" hidden="1">
      <c r="A101" s="67" t="str">
        <f t="shared" si="1"/>
        <v>Sun</v>
      </c>
      <c r="B101" s="69">
        <v>43254.0</v>
      </c>
      <c r="D101" s="171"/>
      <c r="H101" s="4" t="s">
        <v>1977</v>
      </c>
    </row>
    <row r="102" hidden="1">
      <c r="A102" s="67" t="str">
        <f t="shared" si="1"/>
        <v>Mon</v>
      </c>
      <c r="B102" s="69">
        <v>43255.0</v>
      </c>
      <c r="D102" s="171"/>
    </row>
    <row r="103" hidden="1">
      <c r="A103" s="67" t="str">
        <f t="shared" si="1"/>
        <v>Tue</v>
      </c>
      <c r="B103" s="69">
        <v>43256.0</v>
      </c>
      <c r="D103" s="171"/>
    </row>
    <row r="104" hidden="1">
      <c r="A104" s="67" t="str">
        <f t="shared" si="1"/>
        <v>Wed</v>
      </c>
      <c r="B104" s="69">
        <v>43257.0</v>
      </c>
      <c r="D104" s="171"/>
    </row>
    <row r="105" hidden="1">
      <c r="A105" s="67" t="str">
        <f t="shared" si="1"/>
        <v>Thu</v>
      </c>
      <c r="B105" s="69">
        <v>43258.0</v>
      </c>
      <c r="D105" s="171"/>
    </row>
    <row r="106" hidden="1">
      <c r="A106" s="67" t="str">
        <f t="shared" si="1"/>
        <v>Fri</v>
      </c>
      <c r="B106" s="69">
        <v>43259.0</v>
      </c>
      <c r="C106" s="4" t="s">
        <v>626</v>
      </c>
      <c r="D106" s="171"/>
    </row>
    <row r="107" hidden="1">
      <c r="A107" s="67" t="str">
        <f t="shared" si="1"/>
        <v>Sat</v>
      </c>
      <c r="B107" s="69">
        <v>43260.0</v>
      </c>
      <c r="C107" s="4" t="s">
        <v>626</v>
      </c>
      <c r="D107" s="171"/>
    </row>
    <row r="108" hidden="1">
      <c r="A108" s="67" t="str">
        <f t="shared" si="1"/>
        <v>Sun</v>
      </c>
      <c r="B108" s="69">
        <v>43261.0</v>
      </c>
      <c r="C108" s="4" t="s">
        <v>626</v>
      </c>
      <c r="D108" s="171"/>
    </row>
    <row r="109" hidden="1">
      <c r="A109" s="67" t="str">
        <f t="shared" si="1"/>
        <v>Mon</v>
      </c>
      <c r="B109" s="69">
        <v>43262.0</v>
      </c>
      <c r="D109" s="171"/>
    </row>
    <row r="110" hidden="1">
      <c r="A110" s="67" t="str">
        <f t="shared" si="1"/>
        <v>Tue</v>
      </c>
      <c r="B110" s="69">
        <v>43263.0</v>
      </c>
      <c r="D110" s="171"/>
    </row>
    <row r="111" hidden="1">
      <c r="A111" s="67" t="str">
        <f t="shared" si="1"/>
        <v>Wed</v>
      </c>
      <c r="B111" s="69">
        <v>43264.0</v>
      </c>
      <c r="D111" s="171"/>
    </row>
    <row r="112" hidden="1">
      <c r="A112" s="67" t="str">
        <f t="shared" si="1"/>
        <v>Thu</v>
      </c>
      <c r="B112" s="69">
        <v>43265.0</v>
      </c>
      <c r="D112" s="171"/>
    </row>
    <row r="113" hidden="1">
      <c r="A113" s="67" t="str">
        <f t="shared" si="1"/>
        <v>Fri</v>
      </c>
      <c r="B113" s="69">
        <v>43266.0</v>
      </c>
      <c r="D113" s="176">
        <v>194.0</v>
      </c>
      <c r="E113" s="4" t="s">
        <v>222</v>
      </c>
      <c r="F113" s="4" t="s">
        <v>1986</v>
      </c>
      <c r="G113" s="4" t="s">
        <v>1986</v>
      </c>
      <c r="I113" s="4" t="s">
        <v>395</v>
      </c>
      <c r="K113" s="4"/>
      <c r="L113" s="4" t="s">
        <v>293</v>
      </c>
    </row>
    <row r="114" hidden="1">
      <c r="A114" s="67" t="str">
        <f t="shared" si="1"/>
        <v>Sat</v>
      </c>
      <c r="B114" s="69">
        <v>43267.0</v>
      </c>
      <c r="D114" s="176">
        <v>194.0</v>
      </c>
      <c r="E114" s="4" t="s">
        <v>222</v>
      </c>
      <c r="F114" s="4" t="s">
        <v>1986</v>
      </c>
      <c r="I114" s="4" t="s">
        <v>395</v>
      </c>
      <c r="K114" s="4"/>
      <c r="L114" s="4" t="s">
        <v>293</v>
      </c>
    </row>
    <row r="115" hidden="1">
      <c r="A115" s="67" t="str">
        <f t="shared" si="1"/>
        <v>Sun</v>
      </c>
      <c r="B115" s="69">
        <v>43268.0</v>
      </c>
      <c r="D115" s="171"/>
      <c r="H115" s="4" t="s">
        <v>1986</v>
      </c>
    </row>
    <row r="116" hidden="1">
      <c r="A116" s="67" t="str">
        <f t="shared" si="1"/>
        <v>Mon</v>
      </c>
      <c r="B116" s="69">
        <v>43269.0</v>
      </c>
      <c r="D116" s="171"/>
    </row>
    <row r="117" hidden="1">
      <c r="A117" s="67" t="str">
        <f t="shared" si="1"/>
        <v>Tue</v>
      </c>
      <c r="B117" s="69">
        <v>43270.0</v>
      </c>
      <c r="D117" s="171"/>
    </row>
    <row r="118" hidden="1">
      <c r="A118" s="67" t="str">
        <f t="shared" si="1"/>
        <v>Wed</v>
      </c>
      <c r="B118" s="69">
        <v>43271.0</v>
      </c>
      <c r="D118" s="171"/>
    </row>
    <row r="119" hidden="1">
      <c r="A119" s="67" t="str">
        <f t="shared" si="1"/>
        <v>Thu</v>
      </c>
      <c r="B119" s="69">
        <v>43272.0</v>
      </c>
      <c r="D119" s="171"/>
    </row>
    <row r="120" hidden="1">
      <c r="A120" s="67" t="str">
        <f t="shared" si="1"/>
        <v>Fri</v>
      </c>
      <c r="B120" s="69">
        <v>43273.0</v>
      </c>
      <c r="D120" s="171"/>
    </row>
    <row r="121" hidden="1">
      <c r="A121" s="67" t="str">
        <f t="shared" si="1"/>
        <v>Sat</v>
      </c>
      <c r="B121" s="69">
        <v>43274.0</v>
      </c>
      <c r="D121" s="171"/>
    </row>
    <row r="122" hidden="1">
      <c r="A122" s="67" t="str">
        <f t="shared" si="1"/>
        <v>Sun</v>
      </c>
      <c r="B122" s="69">
        <v>43275.0</v>
      </c>
      <c r="D122" s="171"/>
    </row>
    <row r="123" hidden="1">
      <c r="A123" s="67" t="str">
        <f t="shared" si="1"/>
        <v>Mon</v>
      </c>
      <c r="B123" s="69">
        <v>43276.0</v>
      </c>
      <c r="D123" s="171"/>
    </row>
    <row r="124" hidden="1">
      <c r="A124" s="67" t="str">
        <f t="shared" si="1"/>
        <v>Tue</v>
      </c>
      <c r="B124" s="69">
        <v>43277.0</v>
      </c>
      <c r="D124" s="171"/>
    </row>
    <row r="125" hidden="1">
      <c r="A125" s="67" t="str">
        <f t="shared" si="1"/>
        <v>Wed</v>
      </c>
      <c r="B125" s="69">
        <v>43278.0</v>
      </c>
      <c r="D125" s="171"/>
    </row>
    <row r="126" hidden="1">
      <c r="A126" s="67" t="str">
        <f t="shared" si="1"/>
        <v>Thu</v>
      </c>
      <c r="B126" s="69">
        <v>43279.0</v>
      </c>
      <c r="D126" s="171"/>
    </row>
    <row r="127" hidden="1">
      <c r="A127" s="67" t="str">
        <f t="shared" si="1"/>
        <v>Fri</v>
      </c>
      <c r="B127" s="69">
        <v>43280.0</v>
      </c>
      <c r="D127" s="171"/>
    </row>
    <row r="128" hidden="1">
      <c r="A128" s="67" t="str">
        <f t="shared" si="1"/>
        <v>Sat</v>
      </c>
      <c r="B128" s="69">
        <v>43281.0</v>
      </c>
      <c r="D128" s="171"/>
    </row>
    <row r="129" hidden="1">
      <c r="A129" s="67" t="str">
        <f t="shared" si="1"/>
        <v>Sun</v>
      </c>
      <c r="B129" s="69">
        <v>43282.0</v>
      </c>
      <c r="D129" s="171"/>
    </row>
    <row r="130" hidden="1">
      <c r="A130" s="67" t="str">
        <f t="shared" si="1"/>
        <v>Mon</v>
      </c>
      <c r="B130" s="69">
        <v>43283.0</v>
      </c>
      <c r="D130" s="171"/>
    </row>
    <row r="131" hidden="1">
      <c r="A131" s="67" t="str">
        <f t="shared" si="1"/>
        <v>Tue</v>
      </c>
      <c r="B131" s="69">
        <v>43284.0</v>
      </c>
      <c r="D131" s="171"/>
    </row>
    <row r="132" hidden="1">
      <c r="A132" s="67" t="str">
        <f t="shared" si="1"/>
        <v>Wed</v>
      </c>
      <c r="B132" s="69">
        <v>43285.0</v>
      </c>
      <c r="D132" s="171"/>
    </row>
    <row r="133" hidden="1">
      <c r="A133" s="67" t="str">
        <f t="shared" si="1"/>
        <v>Thu</v>
      </c>
      <c r="B133" s="69">
        <v>43286.0</v>
      </c>
      <c r="D133" s="171"/>
    </row>
    <row r="134" hidden="1">
      <c r="A134" s="67" t="str">
        <f t="shared" si="1"/>
        <v>Fri</v>
      </c>
      <c r="B134" s="69">
        <v>43287.0</v>
      </c>
      <c r="D134" s="171"/>
    </row>
    <row r="135" hidden="1">
      <c r="A135" s="67" t="str">
        <f t="shared" si="1"/>
        <v>Sat</v>
      </c>
      <c r="B135" s="69">
        <v>43288.0</v>
      </c>
      <c r="D135" s="171"/>
    </row>
    <row r="136" hidden="1">
      <c r="A136" s="67" t="str">
        <f t="shared" si="1"/>
        <v>Sun</v>
      </c>
      <c r="B136" s="69">
        <v>43289.0</v>
      </c>
      <c r="D136" s="171"/>
    </row>
    <row r="137" hidden="1">
      <c r="A137" s="67" t="str">
        <f t="shared" si="1"/>
        <v>Mon</v>
      </c>
      <c r="B137" s="69">
        <v>43290.0</v>
      </c>
      <c r="D137" s="171"/>
    </row>
    <row r="138" hidden="1">
      <c r="A138" s="67" t="str">
        <f t="shared" si="1"/>
        <v>Tue</v>
      </c>
      <c r="B138" s="69">
        <v>43291.0</v>
      </c>
      <c r="D138" s="171"/>
    </row>
    <row r="139" hidden="1">
      <c r="A139" s="67" t="str">
        <f t="shared" si="1"/>
        <v>Wed</v>
      </c>
      <c r="B139" s="69">
        <v>43292.0</v>
      </c>
      <c r="D139" s="171"/>
    </row>
    <row r="140" hidden="1">
      <c r="A140" s="67" t="str">
        <f t="shared" si="1"/>
        <v>Thu</v>
      </c>
      <c r="B140" s="69">
        <v>43293.0</v>
      </c>
      <c r="D140" s="171"/>
    </row>
    <row r="141" hidden="1">
      <c r="A141" s="67" t="str">
        <f t="shared" si="1"/>
        <v>Fri</v>
      </c>
      <c r="B141" s="69">
        <v>43294.0</v>
      </c>
      <c r="D141" s="171"/>
    </row>
    <row r="142" hidden="1">
      <c r="A142" s="67" t="str">
        <f t="shared" si="1"/>
        <v>Sat</v>
      </c>
      <c r="B142" s="69">
        <v>43295.0</v>
      </c>
      <c r="D142" s="171"/>
    </row>
    <row r="143" hidden="1">
      <c r="A143" s="67" t="str">
        <f t="shared" si="1"/>
        <v>Sun</v>
      </c>
      <c r="B143" s="69">
        <v>43296.0</v>
      </c>
      <c r="D143" s="171"/>
    </row>
    <row r="144" hidden="1">
      <c r="A144" s="67" t="str">
        <f t="shared" si="1"/>
        <v>Mon</v>
      </c>
      <c r="B144" s="69">
        <v>43297.0</v>
      </c>
      <c r="D144" s="171"/>
    </row>
    <row r="145" hidden="1">
      <c r="A145" s="67" t="str">
        <f t="shared" si="1"/>
        <v>Tue</v>
      </c>
      <c r="B145" s="69">
        <v>43298.0</v>
      </c>
      <c r="D145" s="171"/>
    </row>
    <row r="146" hidden="1">
      <c r="A146" s="67" t="str">
        <f t="shared" si="1"/>
        <v>Wed</v>
      </c>
      <c r="B146" s="69">
        <v>43299.0</v>
      </c>
      <c r="D146" s="171"/>
    </row>
    <row r="147" hidden="1">
      <c r="A147" s="67" t="str">
        <f t="shared" si="1"/>
        <v>Thu</v>
      </c>
      <c r="B147" s="69">
        <v>43300.0</v>
      </c>
      <c r="D147" s="176">
        <v>194.0</v>
      </c>
      <c r="E147" s="4" t="s">
        <v>222</v>
      </c>
      <c r="F147" s="4" t="s">
        <v>1992</v>
      </c>
      <c r="G147" s="4" t="s">
        <v>1992</v>
      </c>
      <c r="I147" s="4" t="s">
        <v>395</v>
      </c>
      <c r="K147" s="4"/>
      <c r="L147" s="4" t="s">
        <v>293</v>
      </c>
    </row>
    <row r="148" hidden="1">
      <c r="A148" s="67" t="str">
        <f t="shared" si="1"/>
        <v>Fri</v>
      </c>
      <c r="B148" s="69">
        <v>43301.0</v>
      </c>
      <c r="D148" s="171"/>
      <c r="H148" s="4" t="s">
        <v>1992</v>
      </c>
    </row>
    <row r="149" hidden="1">
      <c r="A149" s="67" t="str">
        <f t="shared" si="1"/>
        <v>Sat</v>
      </c>
      <c r="B149" s="69">
        <v>43302.0</v>
      </c>
      <c r="D149" s="176">
        <v>194.0</v>
      </c>
      <c r="E149" s="4" t="s">
        <v>222</v>
      </c>
      <c r="F149" s="4" t="s">
        <v>1993</v>
      </c>
      <c r="G149" s="4" t="s">
        <v>1993</v>
      </c>
      <c r="I149" s="4" t="s">
        <v>395</v>
      </c>
      <c r="K149" s="4"/>
      <c r="L149" s="4" t="s">
        <v>293</v>
      </c>
    </row>
    <row r="150" hidden="1">
      <c r="A150" s="67" t="str">
        <f t="shared" si="1"/>
        <v>Sun</v>
      </c>
      <c r="B150" s="69">
        <v>43303.0</v>
      </c>
      <c r="D150" s="176">
        <v>194.0</v>
      </c>
      <c r="E150" s="4" t="s">
        <v>222</v>
      </c>
      <c r="F150" s="4" t="s">
        <v>1993</v>
      </c>
      <c r="I150" s="4" t="s">
        <v>395</v>
      </c>
      <c r="K150" s="4"/>
      <c r="L150" s="4" t="s">
        <v>293</v>
      </c>
    </row>
    <row r="151" hidden="1">
      <c r="A151" s="67" t="str">
        <f t="shared" si="1"/>
        <v>Mon</v>
      </c>
      <c r="B151" s="69">
        <v>43304.0</v>
      </c>
      <c r="D151" s="171"/>
      <c r="H151" s="4" t="s">
        <v>1993</v>
      </c>
    </row>
    <row r="152" hidden="1">
      <c r="A152" s="67" t="str">
        <f t="shared" si="1"/>
        <v>Tue</v>
      </c>
      <c r="B152" s="69">
        <v>43305.0</v>
      </c>
      <c r="D152" s="176">
        <v>213.4</v>
      </c>
      <c r="E152" s="4" t="s">
        <v>222</v>
      </c>
      <c r="F152" s="4" t="s">
        <v>1994</v>
      </c>
      <c r="G152" s="4" t="s">
        <v>1994</v>
      </c>
      <c r="I152" s="4" t="s">
        <v>395</v>
      </c>
      <c r="K152" s="4"/>
      <c r="L152" s="4" t="s">
        <v>293</v>
      </c>
    </row>
    <row r="153" hidden="1">
      <c r="A153" s="67" t="str">
        <f t="shared" si="1"/>
        <v>Wed</v>
      </c>
      <c r="B153" s="69">
        <v>43306.0</v>
      </c>
      <c r="D153" s="176">
        <v>213.4</v>
      </c>
      <c r="E153" s="4" t="s">
        <v>222</v>
      </c>
      <c r="F153" s="4" t="s">
        <v>1994</v>
      </c>
      <c r="I153" s="4" t="s">
        <v>395</v>
      </c>
      <c r="K153" s="4"/>
      <c r="L153" s="4" t="s">
        <v>293</v>
      </c>
    </row>
    <row r="154" hidden="1">
      <c r="A154" s="67" t="str">
        <f t="shared" si="1"/>
        <v>Thu</v>
      </c>
      <c r="B154" s="69">
        <v>43307.0</v>
      </c>
      <c r="D154" s="176">
        <v>213.4</v>
      </c>
      <c r="E154" s="4" t="s">
        <v>222</v>
      </c>
      <c r="F154" s="4" t="s">
        <v>1994</v>
      </c>
      <c r="I154" s="4" t="s">
        <v>395</v>
      </c>
      <c r="K154" s="4"/>
      <c r="L154" s="4" t="s">
        <v>293</v>
      </c>
    </row>
    <row r="155" hidden="1">
      <c r="A155" s="67" t="str">
        <f t="shared" si="1"/>
        <v>Fri</v>
      </c>
      <c r="B155" s="69">
        <v>43308.0</v>
      </c>
      <c r="D155" s="176">
        <v>213.4</v>
      </c>
      <c r="E155" s="4" t="s">
        <v>222</v>
      </c>
      <c r="F155" s="4" t="s">
        <v>1994</v>
      </c>
      <c r="I155" s="4" t="s">
        <v>395</v>
      </c>
      <c r="K155" s="4"/>
      <c r="L155" s="4" t="s">
        <v>293</v>
      </c>
    </row>
    <row r="156" hidden="1">
      <c r="A156" s="67" t="str">
        <f t="shared" si="1"/>
        <v>Sat</v>
      </c>
      <c r="B156" s="69">
        <v>43309.0</v>
      </c>
      <c r="D156" s="176">
        <v>213.4</v>
      </c>
      <c r="E156" s="4" t="s">
        <v>222</v>
      </c>
      <c r="F156" s="4" t="s">
        <v>1994</v>
      </c>
      <c r="I156" s="4" t="s">
        <v>395</v>
      </c>
      <c r="K156" s="4"/>
      <c r="L156" s="4" t="s">
        <v>293</v>
      </c>
    </row>
    <row r="157" hidden="1">
      <c r="A157" s="67" t="str">
        <f t="shared" si="1"/>
        <v>Sun</v>
      </c>
      <c r="B157" s="69">
        <v>43310.0</v>
      </c>
      <c r="D157" s="171"/>
      <c r="H157" s="4" t="s">
        <v>1994</v>
      </c>
    </row>
    <row r="158" hidden="1">
      <c r="A158" s="67" t="str">
        <f t="shared" si="1"/>
        <v>Mon</v>
      </c>
      <c r="B158" s="69">
        <v>43311.0</v>
      </c>
      <c r="D158" s="171"/>
    </row>
    <row r="159" hidden="1">
      <c r="A159" s="67" t="str">
        <f t="shared" si="1"/>
        <v>Tue</v>
      </c>
      <c r="B159" s="69">
        <v>43312.0</v>
      </c>
      <c r="D159" s="171"/>
    </row>
    <row r="160" hidden="1">
      <c r="A160" s="67" t="str">
        <f t="shared" si="1"/>
        <v>Wed</v>
      </c>
      <c r="B160" s="69">
        <v>43313.0</v>
      </c>
      <c r="D160" s="171"/>
    </row>
    <row r="161" hidden="1">
      <c r="A161" s="67" t="str">
        <f t="shared" si="1"/>
        <v>Thu</v>
      </c>
      <c r="B161" s="69">
        <v>43314.0</v>
      </c>
      <c r="D161" s="171"/>
    </row>
    <row r="162" hidden="1">
      <c r="A162" s="67" t="str">
        <f t="shared" si="1"/>
        <v>Fri</v>
      </c>
      <c r="B162" s="69">
        <v>43315.0</v>
      </c>
      <c r="D162" s="176">
        <v>144.6</v>
      </c>
      <c r="E162" s="4" t="s">
        <v>222</v>
      </c>
      <c r="F162" s="4" t="s">
        <v>1995</v>
      </c>
      <c r="G162" s="4" t="s">
        <v>1995</v>
      </c>
      <c r="I162" s="4" t="s">
        <v>395</v>
      </c>
      <c r="K162" s="4"/>
      <c r="L162" s="4" t="s">
        <v>293</v>
      </c>
    </row>
    <row r="163" hidden="1">
      <c r="A163" s="67" t="str">
        <f t="shared" si="1"/>
        <v>Sat</v>
      </c>
      <c r="B163" s="69">
        <v>43316.0</v>
      </c>
      <c r="D163" s="176">
        <v>144.6</v>
      </c>
      <c r="E163" s="4" t="s">
        <v>222</v>
      </c>
      <c r="F163" s="4" t="s">
        <v>1995</v>
      </c>
      <c r="I163" s="4" t="s">
        <v>395</v>
      </c>
      <c r="K163" s="4"/>
      <c r="L163" s="4" t="s">
        <v>293</v>
      </c>
    </row>
    <row r="164" hidden="1">
      <c r="A164" s="67" t="str">
        <f t="shared" si="1"/>
        <v>Sun</v>
      </c>
      <c r="B164" s="69">
        <v>43317.0</v>
      </c>
      <c r="D164" s="175">
        <v>123.675</v>
      </c>
      <c r="E164" s="4" t="s">
        <v>222</v>
      </c>
      <c r="F164" s="4" t="s">
        <v>1996</v>
      </c>
      <c r="G164" s="4" t="s">
        <v>1996</v>
      </c>
      <c r="H164" s="4" t="s">
        <v>1995</v>
      </c>
      <c r="I164" s="4" t="s">
        <v>395</v>
      </c>
      <c r="K164" s="4"/>
      <c r="L164" s="4" t="s">
        <v>293</v>
      </c>
    </row>
    <row r="165" hidden="1">
      <c r="A165" s="67" t="str">
        <f t="shared" si="1"/>
        <v>Mon</v>
      </c>
      <c r="B165" s="69">
        <v>43318.0</v>
      </c>
      <c r="D165" s="175">
        <v>123.675</v>
      </c>
      <c r="E165" s="4" t="s">
        <v>222</v>
      </c>
      <c r="F165" s="4" t="s">
        <v>1996</v>
      </c>
      <c r="I165" s="4" t="s">
        <v>395</v>
      </c>
      <c r="K165" s="4"/>
      <c r="L165" s="4" t="s">
        <v>293</v>
      </c>
    </row>
    <row r="166" hidden="1">
      <c r="A166" s="67" t="str">
        <f t="shared" si="1"/>
        <v>Tue</v>
      </c>
      <c r="B166" s="69">
        <v>43319.0</v>
      </c>
      <c r="D166" s="175">
        <v>123.675</v>
      </c>
      <c r="E166" s="4" t="s">
        <v>222</v>
      </c>
      <c r="F166" s="4" t="s">
        <v>1996</v>
      </c>
      <c r="I166" s="4" t="s">
        <v>395</v>
      </c>
      <c r="K166" s="4"/>
      <c r="L166" s="4" t="s">
        <v>293</v>
      </c>
    </row>
    <row r="167" hidden="1">
      <c r="A167" s="67" t="str">
        <f t="shared" si="1"/>
        <v>Wed</v>
      </c>
      <c r="B167" s="69">
        <v>43320.0</v>
      </c>
      <c r="D167" s="175">
        <v>123.675</v>
      </c>
      <c r="E167" s="4" t="s">
        <v>222</v>
      </c>
      <c r="F167" s="4" t="s">
        <v>1996</v>
      </c>
      <c r="I167" s="4" t="s">
        <v>395</v>
      </c>
      <c r="K167" s="4"/>
      <c r="L167" s="4" t="s">
        <v>293</v>
      </c>
    </row>
    <row r="168" hidden="1">
      <c r="A168" s="67" t="str">
        <f t="shared" si="1"/>
        <v>Thu</v>
      </c>
      <c r="B168" s="69">
        <v>43321.0</v>
      </c>
      <c r="D168" s="175">
        <v>123.675</v>
      </c>
      <c r="E168" s="4" t="s">
        <v>222</v>
      </c>
      <c r="F168" s="4" t="s">
        <v>1996</v>
      </c>
      <c r="I168" s="4" t="s">
        <v>395</v>
      </c>
      <c r="K168" s="4"/>
      <c r="L168" s="4" t="s">
        <v>293</v>
      </c>
    </row>
    <row r="169" hidden="1">
      <c r="A169" s="67" t="str">
        <f t="shared" si="1"/>
        <v>Fri</v>
      </c>
      <c r="B169" s="69">
        <v>43322.0</v>
      </c>
      <c r="D169" s="175">
        <v>123.675</v>
      </c>
      <c r="E169" s="4" t="s">
        <v>222</v>
      </c>
      <c r="F169" s="4" t="s">
        <v>1996</v>
      </c>
      <c r="I169" s="4" t="s">
        <v>395</v>
      </c>
      <c r="K169" s="4"/>
      <c r="L169" s="4" t="s">
        <v>293</v>
      </c>
    </row>
    <row r="170" hidden="1">
      <c r="A170" s="67" t="str">
        <f t="shared" si="1"/>
        <v>Sat</v>
      </c>
      <c r="B170" s="69">
        <v>43323.0</v>
      </c>
      <c r="D170" s="175">
        <v>123.675</v>
      </c>
      <c r="E170" s="4" t="s">
        <v>222</v>
      </c>
      <c r="F170" s="4" t="s">
        <v>1996</v>
      </c>
      <c r="I170" s="4" t="s">
        <v>395</v>
      </c>
      <c r="K170" s="4"/>
      <c r="L170" s="4" t="s">
        <v>293</v>
      </c>
    </row>
    <row r="171" hidden="1">
      <c r="A171" s="67" t="str">
        <f t="shared" si="1"/>
        <v>Sun</v>
      </c>
      <c r="B171" s="69">
        <v>43324.0</v>
      </c>
      <c r="D171" s="175">
        <v>123.675</v>
      </c>
      <c r="E171" s="4" t="s">
        <v>222</v>
      </c>
      <c r="F171" s="4" t="s">
        <v>1996</v>
      </c>
      <c r="I171" s="4" t="s">
        <v>395</v>
      </c>
      <c r="K171" s="4"/>
      <c r="L171" s="4" t="s">
        <v>293</v>
      </c>
    </row>
    <row r="172" hidden="1">
      <c r="A172" s="67" t="str">
        <f t="shared" si="1"/>
        <v>Mon</v>
      </c>
      <c r="B172" s="69">
        <v>43325.0</v>
      </c>
      <c r="D172" s="175">
        <v>123.675</v>
      </c>
      <c r="E172" s="4" t="s">
        <v>222</v>
      </c>
      <c r="F172" s="4" t="s">
        <v>1996</v>
      </c>
      <c r="I172" s="4" t="s">
        <v>395</v>
      </c>
      <c r="K172" s="4"/>
      <c r="L172" s="4" t="s">
        <v>293</v>
      </c>
    </row>
    <row r="173" hidden="1">
      <c r="A173" s="67" t="str">
        <f t="shared" si="1"/>
        <v>Tue</v>
      </c>
      <c r="B173" s="69">
        <v>43326.0</v>
      </c>
      <c r="D173" s="175">
        <v>123.675</v>
      </c>
      <c r="E173" s="4" t="s">
        <v>222</v>
      </c>
      <c r="F173" s="4" t="s">
        <v>1996</v>
      </c>
      <c r="I173" s="4" t="s">
        <v>395</v>
      </c>
      <c r="K173" s="4"/>
      <c r="L173" s="4" t="s">
        <v>293</v>
      </c>
    </row>
    <row r="174" hidden="1">
      <c r="A174" s="67" t="str">
        <f t="shared" si="1"/>
        <v>Wed</v>
      </c>
      <c r="B174" s="69">
        <v>43327.0</v>
      </c>
      <c r="D174" s="171"/>
      <c r="H174" s="4" t="s">
        <v>1996</v>
      </c>
    </row>
    <row r="175" hidden="1">
      <c r="A175" s="67" t="str">
        <f t="shared" si="1"/>
        <v>Thu</v>
      </c>
      <c r="B175" s="69">
        <v>43328.0</v>
      </c>
      <c r="D175" s="171"/>
    </row>
    <row r="176" hidden="1">
      <c r="A176" s="67" t="str">
        <f t="shared" si="1"/>
        <v>Fri</v>
      </c>
      <c r="B176" s="69">
        <v>43329.0</v>
      </c>
      <c r="D176" s="176">
        <v>145.5</v>
      </c>
      <c r="E176" s="4" t="s">
        <v>222</v>
      </c>
      <c r="F176" s="4" t="s">
        <v>1997</v>
      </c>
      <c r="G176" s="4" t="s">
        <v>1997</v>
      </c>
      <c r="I176" s="4" t="s">
        <v>395</v>
      </c>
      <c r="K176" s="4"/>
      <c r="L176" s="4" t="s">
        <v>293</v>
      </c>
    </row>
    <row r="177" hidden="1">
      <c r="A177" s="67" t="str">
        <f t="shared" si="1"/>
        <v>Sat</v>
      </c>
      <c r="B177" s="69">
        <v>43330.0</v>
      </c>
      <c r="D177" s="176">
        <v>145.5</v>
      </c>
      <c r="E177" s="4" t="s">
        <v>222</v>
      </c>
      <c r="F177" s="4" t="s">
        <v>1997</v>
      </c>
      <c r="I177" s="4" t="s">
        <v>395</v>
      </c>
      <c r="K177" s="4"/>
      <c r="L177" s="4" t="s">
        <v>293</v>
      </c>
    </row>
    <row r="178" hidden="1">
      <c r="A178" s="67" t="str">
        <f t="shared" si="1"/>
        <v>Sun</v>
      </c>
      <c r="B178" s="69">
        <v>43331.0</v>
      </c>
      <c r="D178" s="171"/>
      <c r="H178" s="4" t="s">
        <v>1997</v>
      </c>
    </row>
    <row r="179" hidden="1">
      <c r="A179" s="67" t="str">
        <f t="shared" si="1"/>
        <v>Mon</v>
      </c>
      <c r="B179" s="69">
        <v>43332.0</v>
      </c>
      <c r="D179" s="171"/>
    </row>
    <row r="180" hidden="1">
      <c r="A180" s="67" t="str">
        <f t="shared" si="1"/>
        <v>Tue</v>
      </c>
      <c r="B180" s="69">
        <v>43333.0</v>
      </c>
      <c r="D180" s="171"/>
    </row>
    <row r="181" hidden="1">
      <c r="A181" s="67" t="str">
        <f t="shared" si="1"/>
        <v>Wed</v>
      </c>
      <c r="B181" s="69">
        <v>43334.0</v>
      </c>
      <c r="D181" s="171"/>
    </row>
    <row r="182" hidden="1">
      <c r="A182" s="67" t="str">
        <f t="shared" si="1"/>
        <v>Thu</v>
      </c>
      <c r="B182" s="69">
        <v>43335.0</v>
      </c>
      <c r="D182" s="176">
        <v>145.5</v>
      </c>
      <c r="E182" s="4" t="s">
        <v>222</v>
      </c>
      <c r="F182" s="4" t="s">
        <v>1998</v>
      </c>
      <c r="G182" s="4" t="s">
        <v>1998</v>
      </c>
      <c r="I182" s="4" t="s">
        <v>395</v>
      </c>
      <c r="K182" s="4"/>
      <c r="L182" s="4" t="s">
        <v>293</v>
      </c>
    </row>
    <row r="183" hidden="1">
      <c r="A183" s="67" t="str">
        <f t="shared" si="1"/>
        <v>Fri</v>
      </c>
      <c r="B183" s="69">
        <v>43336.0</v>
      </c>
      <c r="D183" s="176">
        <v>145.5</v>
      </c>
      <c r="E183" s="4" t="s">
        <v>222</v>
      </c>
      <c r="F183" s="4" t="s">
        <v>1998</v>
      </c>
      <c r="I183" s="4" t="s">
        <v>395</v>
      </c>
      <c r="K183" s="4"/>
      <c r="L183" s="4" t="s">
        <v>293</v>
      </c>
    </row>
    <row r="184" hidden="1">
      <c r="A184" s="67" t="str">
        <f t="shared" si="1"/>
        <v>Sat</v>
      </c>
      <c r="B184" s="69">
        <v>43337.0</v>
      </c>
      <c r="D184" s="171"/>
      <c r="H184" s="4" t="s">
        <v>1998</v>
      </c>
    </row>
    <row r="185" hidden="1">
      <c r="A185" s="67" t="str">
        <f t="shared" si="1"/>
        <v>Sun</v>
      </c>
      <c r="B185" s="69">
        <v>43338.0</v>
      </c>
      <c r="D185" s="176">
        <v>168.6</v>
      </c>
      <c r="E185" s="4" t="s">
        <v>222</v>
      </c>
      <c r="F185" s="4" t="s">
        <v>1999</v>
      </c>
      <c r="G185" s="4" t="s">
        <v>1999</v>
      </c>
      <c r="I185" s="4" t="s">
        <v>395</v>
      </c>
      <c r="K185" s="4"/>
      <c r="L185" s="4" t="s">
        <v>293</v>
      </c>
    </row>
    <row r="186" hidden="1">
      <c r="A186" s="67" t="str">
        <f t="shared" si="1"/>
        <v>Mon</v>
      </c>
      <c r="B186" s="69">
        <v>43339.0</v>
      </c>
      <c r="D186" s="176">
        <v>168.6</v>
      </c>
      <c r="E186" s="4" t="s">
        <v>222</v>
      </c>
      <c r="F186" s="4" t="s">
        <v>1999</v>
      </c>
      <c r="I186" s="4" t="s">
        <v>395</v>
      </c>
      <c r="K186" s="4"/>
      <c r="L186" s="4" t="s">
        <v>293</v>
      </c>
    </row>
    <row r="187" hidden="1">
      <c r="A187" s="67" t="str">
        <f t="shared" si="1"/>
        <v>Tue</v>
      </c>
      <c r="B187" s="69">
        <v>43340.0</v>
      </c>
      <c r="D187" s="176">
        <v>168.6</v>
      </c>
      <c r="E187" s="4" t="s">
        <v>222</v>
      </c>
      <c r="F187" s="4" t="s">
        <v>1999</v>
      </c>
      <c r="I187" s="4" t="s">
        <v>395</v>
      </c>
      <c r="K187" s="4"/>
      <c r="L187" s="4" t="s">
        <v>293</v>
      </c>
    </row>
    <row r="188" hidden="1">
      <c r="A188" s="67" t="str">
        <f t="shared" si="1"/>
        <v>Wed</v>
      </c>
      <c r="B188" s="69">
        <v>43341.0</v>
      </c>
      <c r="D188" s="176">
        <v>168.6</v>
      </c>
      <c r="E188" s="4" t="s">
        <v>222</v>
      </c>
      <c r="F188" s="4" t="s">
        <v>1999</v>
      </c>
      <c r="I188" s="4" t="s">
        <v>395</v>
      </c>
      <c r="K188" s="4"/>
      <c r="L188" s="4" t="s">
        <v>293</v>
      </c>
    </row>
    <row r="189" hidden="1">
      <c r="A189" s="67" t="str">
        <f t="shared" si="1"/>
        <v>Thu</v>
      </c>
      <c r="B189" s="69">
        <v>43342.0</v>
      </c>
      <c r="D189" s="176">
        <v>144.6</v>
      </c>
      <c r="E189" s="4" t="s">
        <v>222</v>
      </c>
      <c r="F189" s="4" t="s">
        <v>2000</v>
      </c>
      <c r="H189" s="4" t="s">
        <v>1999</v>
      </c>
      <c r="K189" s="4"/>
      <c r="L189" s="4" t="s">
        <v>293</v>
      </c>
    </row>
    <row r="190" hidden="1">
      <c r="A190" s="67" t="str">
        <f t="shared" si="1"/>
        <v>Fri</v>
      </c>
      <c r="B190" s="69">
        <v>43343.0</v>
      </c>
      <c r="D190" s="171"/>
      <c r="H190" s="4" t="s">
        <v>2000</v>
      </c>
    </row>
    <row r="191" hidden="1">
      <c r="A191" s="67" t="str">
        <f t="shared" si="1"/>
        <v>Sat</v>
      </c>
      <c r="B191" s="69">
        <v>43344.0</v>
      </c>
      <c r="D191" s="171"/>
    </row>
    <row r="192" hidden="1">
      <c r="A192" s="67" t="str">
        <f t="shared" si="1"/>
        <v>Sun</v>
      </c>
      <c r="B192" s="69">
        <v>43345.0</v>
      </c>
      <c r="D192" s="171"/>
    </row>
    <row r="193" hidden="1">
      <c r="A193" s="67" t="str">
        <f t="shared" si="1"/>
        <v>Mon</v>
      </c>
      <c r="B193" s="69">
        <v>43346.0</v>
      </c>
      <c r="D193" s="171"/>
    </row>
    <row r="194" hidden="1">
      <c r="A194" s="67" t="str">
        <f t="shared" si="1"/>
        <v>Tue</v>
      </c>
      <c r="B194" s="69">
        <v>43347.0</v>
      </c>
      <c r="D194" s="171"/>
    </row>
    <row r="195" hidden="1">
      <c r="A195" s="67" t="str">
        <f t="shared" si="1"/>
        <v>Wed</v>
      </c>
      <c r="B195" s="69">
        <v>43348.0</v>
      </c>
      <c r="D195" s="176">
        <v>144.59</v>
      </c>
      <c r="E195" s="4" t="s">
        <v>222</v>
      </c>
      <c r="F195" s="4" t="s">
        <v>2001</v>
      </c>
      <c r="I195" s="4" t="s">
        <v>395</v>
      </c>
      <c r="K195" s="4"/>
      <c r="L195" s="4" t="s">
        <v>293</v>
      </c>
    </row>
    <row r="196" hidden="1">
      <c r="A196" s="67" t="str">
        <f t="shared" si="1"/>
        <v>Thu</v>
      </c>
      <c r="B196" s="69">
        <v>43349.0</v>
      </c>
      <c r="C196" s="4" t="s">
        <v>638</v>
      </c>
      <c r="D196" s="176">
        <v>100.0</v>
      </c>
      <c r="E196" s="4" t="s">
        <v>337</v>
      </c>
      <c r="F196" s="4" t="s">
        <v>2002</v>
      </c>
      <c r="G196" s="4" t="s">
        <v>2002</v>
      </c>
      <c r="H196" s="4" t="s">
        <v>2001</v>
      </c>
      <c r="I196" s="4" t="s">
        <v>395</v>
      </c>
      <c r="J196" s="4" t="s">
        <v>791</v>
      </c>
      <c r="K196" s="4"/>
      <c r="L196" s="4" t="s">
        <v>293</v>
      </c>
    </row>
    <row r="197" hidden="1">
      <c r="A197" s="67" t="str">
        <f t="shared" si="1"/>
        <v>Fri</v>
      </c>
      <c r="B197" s="69">
        <v>43350.0</v>
      </c>
      <c r="C197" s="4" t="s">
        <v>638</v>
      </c>
      <c r="D197" s="176">
        <v>100.0</v>
      </c>
      <c r="E197" s="4" t="s">
        <v>337</v>
      </c>
      <c r="F197" s="4" t="s">
        <v>2002</v>
      </c>
      <c r="I197" s="4" t="s">
        <v>395</v>
      </c>
      <c r="J197" s="4" t="s">
        <v>791</v>
      </c>
      <c r="K197" s="4"/>
      <c r="L197" s="4" t="s">
        <v>293</v>
      </c>
    </row>
    <row r="198" hidden="1">
      <c r="A198" s="67" t="str">
        <f t="shared" si="1"/>
        <v>Sat</v>
      </c>
      <c r="B198" s="69">
        <v>43351.0</v>
      </c>
      <c r="C198" s="4" t="s">
        <v>638</v>
      </c>
      <c r="D198" s="176">
        <v>100.0</v>
      </c>
      <c r="E198" s="4" t="s">
        <v>337</v>
      </c>
      <c r="F198" s="4" t="s">
        <v>2002</v>
      </c>
      <c r="I198" s="4" t="s">
        <v>395</v>
      </c>
      <c r="J198" s="4" t="s">
        <v>791</v>
      </c>
      <c r="K198" s="4"/>
      <c r="L198" s="4" t="s">
        <v>293</v>
      </c>
    </row>
    <row r="199" hidden="1">
      <c r="A199" s="67" t="str">
        <f t="shared" si="1"/>
        <v>Sun</v>
      </c>
      <c r="B199" s="69">
        <v>43352.0</v>
      </c>
      <c r="D199" s="171"/>
      <c r="H199" s="4" t="s">
        <v>2002</v>
      </c>
    </row>
    <row r="200" hidden="1">
      <c r="A200" s="67" t="str">
        <f t="shared" si="1"/>
        <v>Mon</v>
      </c>
      <c r="B200" s="69">
        <v>43353.0</v>
      </c>
      <c r="D200" s="176">
        <v>146.32</v>
      </c>
      <c r="E200" s="4" t="s">
        <v>222</v>
      </c>
      <c r="F200" s="4" t="s">
        <v>2003</v>
      </c>
      <c r="G200" s="4" t="s">
        <v>2003</v>
      </c>
      <c r="I200" s="4" t="s">
        <v>395</v>
      </c>
      <c r="K200" s="4"/>
      <c r="L200" s="4" t="s">
        <v>293</v>
      </c>
    </row>
    <row r="201" hidden="1">
      <c r="A201" s="67" t="str">
        <f t="shared" si="1"/>
        <v>Tue</v>
      </c>
      <c r="B201" s="69">
        <v>43354.0</v>
      </c>
      <c r="D201" s="176">
        <v>146.32</v>
      </c>
      <c r="E201" s="4" t="s">
        <v>222</v>
      </c>
      <c r="F201" s="4" t="s">
        <v>2003</v>
      </c>
      <c r="I201" s="4" t="s">
        <v>395</v>
      </c>
      <c r="K201" s="4"/>
      <c r="L201" s="4" t="s">
        <v>293</v>
      </c>
    </row>
    <row r="202" hidden="1">
      <c r="A202" s="67" t="str">
        <f t="shared" si="1"/>
        <v>Wed</v>
      </c>
      <c r="B202" s="69">
        <v>43355.0</v>
      </c>
      <c r="D202" s="176">
        <v>146.32</v>
      </c>
      <c r="E202" s="4" t="s">
        <v>222</v>
      </c>
      <c r="F202" s="4" t="s">
        <v>2003</v>
      </c>
      <c r="I202" s="4" t="s">
        <v>395</v>
      </c>
      <c r="K202" s="4"/>
      <c r="L202" s="4" t="s">
        <v>293</v>
      </c>
    </row>
    <row r="203" hidden="1">
      <c r="A203" s="67" t="str">
        <f t="shared" si="1"/>
        <v>Thu</v>
      </c>
      <c r="B203" s="69">
        <v>43356.0</v>
      </c>
      <c r="D203" s="176">
        <v>146.32</v>
      </c>
      <c r="E203" s="4" t="s">
        <v>222</v>
      </c>
      <c r="F203" s="4" t="s">
        <v>2003</v>
      </c>
      <c r="I203" s="4" t="s">
        <v>395</v>
      </c>
      <c r="K203" s="4"/>
      <c r="L203" s="4" t="s">
        <v>293</v>
      </c>
    </row>
    <row r="204" hidden="1">
      <c r="A204" s="67" t="str">
        <f t="shared" si="1"/>
        <v>Fri</v>
      </c>
      <c r="B204" s="69">
        <v>43357.0</v>
      </c>
      <c r="D204" s="176">
        <v>146.32</v>
      </c>
      <c r="E204" s="4" t="s">
        <v>222</v>
      </c>
      <c r="F204" s="4" t="s">
        <v>2003</v>
      </c>
      <c r="I204" s="4" t="s">
        <v>395</v>
      </c>
      <c r="K204" s="4"/>
      <c r="L204" s="4" t="s">
        <v>293</v>
      </c>
    </row>
    <row r="205" hidden="1">
      <c r="A205" s="67" t="str">
        <f t="shared" si="1"/>
        <v>Sat</v>
      </c>
      <c r="B205" s="69">
        <v>43358.0</v>
      </c>
      <c r="D205" s="176">
        <v>146.32</v>
      </c>
      <c r="E205" s="4" t="s">
        <v>222</v>
      </c>
      <c r="F205" s="4" t="s">
        <v>2003</v>
      </c>
      <c r="I205" s="4" t="s">
        <v>395</v>
      </c>
      <c r="K205" s="4"/>
      <c r="L205" s="4" t="s">
        <v>293</v>
      </c>
    </row>
    <row r="206" hidden="1">
      <c r="A206" s="67" t="str">
        <f t="shared" si="1"/>
        <v>Sun</v>
      </c>
      <c r="B206" s="69">
        <v>43359.0</v>
      </c>
      <c r="D206" s="176">
        <v>146.32</v>
      </c>
      <c r="E206" s="4" t="s">
        <v>222</v>
      </c>
      <c r="F206" s="4" t="s">
        <v>2003</v>
      </c>
      <c r="I206" s="4" t="s">
        <v>395</v>
      </c>
      <c r="K206" s="4"/>
      <c r="L206" s="4" t="s">
        <v>293</v>
      </c>
    </row>
    <row r="207" hidden="1">
      <c r="A207" s="67" t="str">
        <f t="shared" si="1"/>
        <v>Mon</v>
      </c>
      <c r="B207" s="69">
        <v>43360.0</v>
      </c>
      <c r="D207" s="171"/>
      <c r="H207" s="4" t="s">
        <v>2003</v>
      </c>
    </row>
    <row r="208" hidden="1">
      <c r="A208" s="67" t="str">
        <f t="shared" si="1"/>
        <v>Tue</v>
      </c>
      <c r="B208" s="69">
        <v>43361.0</v>
      </c>
      <c r="D208" s="171"/>
    </row>
    <row r="209" hidden="1">
      <c r="A209" s="67" t="str">
        <f t="shared" si="1"/>
        <v>Wed</v>
      </c>
      <c r="B209" s="69">
        <v>43362.0</v>
      </c>
      <c r="D209" s="176">
        <v>168.7</v>
      </c>
      <c r="E209" s="4" t="s">
        <v>222</v>
      </c>
      <c r="F209" s="4" t="s">
        <v>2004</v>
      </c>
      <c r="G209" s="4" t="s">
        <v>2004</v>
      </c>
      <c r="I209" s="4" t="s">
        <v>395</v>
      </c>
      <c r="K209" s="4"/>
      <c r="L209" s="4" t="s">
        <v>293</v>
      </c>
    </row>
    <row r="210" hidden="1">
      <c r="A210" s="67" t="str">
        <f t="shared" si="1"/>
        <v>Thu</v>
      </c>
      <c r="B210" s="69">
        <v>43363.0</v>
      </c>
      <c r="D210" s="176">
        <v>168.7</v>
      </c>
      <c r="E210" s="4" t="s">
        <v>222</v>
      </c>
      <c r="F210" s="4" t="s">
        <v>2004</v>
      </c>
      <c r="I210" s="4" t="s">
        <v>395</v>
      </c>
      <c r="K210" s="4"/>
      <c r="L210" s="4" t="s">
        <v>293</v>
      </c>
    </row>
    <row r="211" hidden="1">
      <c r="A211" s="67" t="str">
        <f t="shared" si="1"/>
        <v>Fri</v>
      </c>
      <c r="B211" s="69">
        <v>43364.0</v>
      </c>
      <c r="D211" s="176">
        <v>168.7</v>
      </c>
      <c r="E211" s="4" t="s">
        <v>222</v>
      </c>
      <c r="F211" s="4" t="s">
        <v>2004</v>
      </c>
      <c r="I211" s="4" t="s">
        <v>395</v>
      </c>
      <c r="K211" s="4"/>
      <c r="L211" s="4" t="s">
        <v>293</v>
      </c>
    </row>
    <row r="212" hidden="1">
      <c r="A212" s="67" t="str">
        <f t="shared" si="1"/>
        <v>Sat</v>
      </c>
      <c r="B212" s="69">
        <v>43365.0</v>
      </c>
      <c r="D212" s="176">
        <v>168.7</v>
      </c>
      <c r="E212" s="4" t="s">
        <v>222</v>
      </c>
      <c r="F212" s="4" t="s">
        <v>2004</v>
      </c>
      <c r="I212" s="4" t="s">
        <v>395</v>
      </c>
      <c r="K212" s="4"/>
      <c r="L212" s="4" t="s">
        <v>293</v>
      </c>
    </row>
    <row r="213" hidden="1">
      <c r="A213" s="67" t="str">
        <f t="shared" si="1"/>
        <v>Sun</v>
      </c>
      <c r="B213" s="69">
        <v>43366.0</v>
      </c>
      <c r="D213" s="176">
        <v>144.6</v>
      </c>
      <c r="E213" s="4" t="s">
        <v>222</v>
      </c>
      <c r="F213" s="4" t="s">
        <v>2006</v>
      </c>
      <c r="G213" s="4" t="s">
        <v>2006</v>
      </c>
      <c r="H213" s="4" t="s">
        <v>2004</v>
      </c>
      <c r="I213" s="4" t="s">
        <v>395</v>
      </c>
      <c r="K213" s="4"/>
      <c r="L213" s="4" t="s">
        <v>293</v>
      </c>
    </row>
    <row r="214" hidden="1">
      <c r="A214" s="67" t="str">
        <f t="shared" si="1"/>
        <v>Mon</v>
      </c>
      <c r="B214" s="69">
        <v>43367.0</v>
      </c>
      <c r="D214" s="176">
        <v>144.6</v>
      </c>
      <c r="E214" s="4" t="s">
        <v>222</v>
      </c>
      <c r="F214" s="4" t="s">
        <v>2006</v>
      </c>
      <c r="I214" s="4" t="s">
        <v>395</v>
      </c>
      <c r="K214" s="4"/>
      <c r="L214" s="4" t="s">
        <v>293</v>
      </c>
    </row>
    <row r="215" hidden="1">
      <c r="A215" s="67" t="str">
        <f t="shared" si="1"/>
        <v>Tue</v>
      </c>
      <c r="B215" s="69">
        <v>43368.0</v>
      </c>
      <c r="D215" s="176">
        <v>144.6</v>
      </c>
      <c r="E215" s="4" t="s">
        <v>222</v>
      </c>
      <c r="F215" s="4" t="s">
        <v>2006</v>
      </c>
      <c r="I215" s="4" t="s">
        <v>395</v>
      </c>
      <c r="K215" s="4"/>
      <c r="L215" s="4" t="s">
        <v>293</v>
      </c>
    </row>
    <row r="216" hidden="1">
      <c r="A216" s="67" t="str">
        <f t="shared" si="1"/>
        <v>Wed</v>
      </c>
      <c r="B216" s="69">
        <v>43369.0</v>
      </c>
      <c r="D216" s="176">
        <v>144.6</v>
      </c>
      <c r="E216" s="4" t="s">
        <v>222</v>
      </c>
      <c r="F216" s="4" t="s">
        <v>2006</v>
      </c>
      <c r="I216" s="4" t="s">
        <v>395</v>
      </c>
      <c r="K216" s="4"/>
      <c r="L216" s="4" t="s">
        <v>293</v>
      </c>
    </row>
    <row r="217" hidden="1">
      <c r="A217" s="67" t="str">
        <f t="shared" si="1"/>
        <v>Thu</v>
      </c>
      <c r="B217" s="69">
        <v>43370.0</v>
      </c>
      <c r="D217" s="171"/>
      <c r="H217" s="4" t="s">
        <v>2006</v>
      </c>
    </row>
    <row r="218" hidden="1">
      <c r="A218" s="67" t="str">
        <f t="shared" si="1"/>
        <v>Fri</v>
      </c>
      <c r="B218" s="69">
        <v>43371.0</v>
      </c>
      <c r="D218" s="176">
        <v>145.5</v>
      </c>
      <c r="E218" s="4" t="s">
        <v>222</v>
      </c>
      <c r="F218" s="4" t="s">
        <v>2007</v>
      </c>
      <c r="G218" s="4" t="s">
        <v>2007</v>
      </c>
      <c r="I218" s="4" t="s">
        <v>395</v>
      </c>
      <c r="K218" s="4"/>
      <c r="L218" s="4" t="s">
        <v>293</v>
      </c>
    </row>
    <row r="219" hidden="1">
      <c r="A219" s="67" t="str">
        <f t="shared" si="1"/>
        <v>Sat</v>
      </c>
      <c r="B219" s="69">
        <v>43372.0</v>
      </c>
      <c r="D219" s="176">
        <v>145.5</v>
      </c>
      <c r="E219" s="4" t="s">
        <v>222</v>
      </c>
      <c r="F219" s="4" t="s">
        <v>2007</v>
      </c>
      <c r="I219" s="4" t="s">
        <v>395</v>
      </c>
      <c r="K219" s="4"/>
      <c r="L219" s="4" t="s">
        <v>293</v>
      </c>
    </row>
    <row r="220" hidden="1">
      <c r="A220" s="67" t="str">
        <f t="shared" si="1"/>
        <v>Sun</v>
      </c>
      <c r="B220" s="69">
        <v>43373.0</v>
      </c>
      <c r="D220" s="171"/>
      <c r="H220" s="4" t="s">
        <v>2007</v>
      </c>
    </row>
    <row r="221" hidden="1">
      <c r="A221" s="67" t="str">
        <f t="shared" si="1"/>
        <v>Mon</v>
      </c>
      <c r="B221" s="69">
        <v>43374.0</v>
      </c>
      <c r="D221" s="176">
        <v>194.0</v>
      </c>
      <c r="E221" s="4" t="s">
        <v>222</v>
      </c>
      <c r="F221" s="4" t="s">
        <v>2008</v>
      </c>
      <c r="G221" s="4" t="s">
        <v>2008</v>
      </c>
      <c r="I221" s="4" t="s">
        <v>395</v>
      </c>
      <c r="K221" s="4"/>
      <c r="L221" s="4" t="s">
        <v>293</v>
      </c>
    </row>
    <row r="222" hidden="1">
      <c r="A222" s="67" t="str">
        <f t="shared" si="1"/>
        <v>Tue</v>
      </c>
      <c r="B222" s="69">
        <v>43375.0</v>
      </c>
      <c r="D222" s="171"/>
      <c r="H222" s="4" t="s">
        <v>2008</v>
      </c>
    </row>
    <row r="223" hidden="1">
      <c r="A223" s="67" t="str">
        <f t="shared" si="1"/>
        <v>Wed</v>
      </c>
      <c r="B223" s="69">
        <v>43376.0</v>
      </c>
      <c r="D223" s="171"/>
    </row>
    <row r="224" hidden="1">
      <c r="A224" s="67" t="str">
        <f t="shared" si="1"/>
        <v>Thu</v>
      </c>
      <c r="B224" s="69">
        <v>43377.0</v>
      </c>
      <c r="C224" s="4" t="s">
        <v>185</v>
      </c>
      <c r="D224" s="171"/>
    </row>
    <row r="225" hidden="1">
      <c r="A225" s="67" t="str">
        <f t="shared" si="1"/>
        <v>Fri</v>
      </c>
      <c r="B225" s="69">
        <v>43378.0</v>
      </c>
      <c r="C225" s="4" t="s">
        <v>185</v>
      </c>
      <c r="D225" s="171"/>
    </row>
    <row r="226" hidden="1">
      <c r="A226" s="67" t="str">
        <f t="shared" si="1"/>
        <v>Sat</v>
      </c>
      <c r="B226" s="69">
        <v>43379.0</v>
      </c>
      <c r="C226" s="4" t="s">
        <v>185</v>
      </c>
      <c r="D226" s="171"/>
    </row>
    <row r="227" hidden="1">
      <c r="A227" s="67" t="str">
        <f t="shared" si="1"/>
        <v>Sun</v>
      </c>
      <c r="B227" s="69">
        <v>43380.0</v>
      </c>
      <c r="C227" s="4" t="s">
        <v>185</v>
      </c>
      <c r="D227" s="171"/>
    </row>
    <row r="228" hidden="1">
      <c r="A228" s="67" t="str">
        <f t="shared" si="1"/>
        <v>Mon</v>
      </c>
      <c r="B228" s="69">
        <v>43381.0</v>
      </c>
      <c r="C228" s="4" t="s">
        <v>185</v>
      </c>
      <c r="D228" s="176">
        <v>175.0</v>
      </c>
      <c r="E228" s="4" t="s">
        <v>337</v>
      </c>
      <c r="F228" s="4" t="s">
        <v>1013</v>
      </c>
      <c r="G228" s="4" t="s">
        <v>1013</v>
      </c>
      <c r="I228" s="4" t="s">
        <v>395</v>
      </c>
      <c r="K228" s="4"/>
      <c r="L228" s="4" t="s">
        <v>293</v>
      </c>
    </row>
    <row r="229" hidden="1">
      <c r="A229" s="67" t="str">
        <f t="shared" si="1"/>
        <v>Tue</v>
      </c>
      <c r="B229" s="69">
        <v>43382.0</v>
      </c>
      <c r="C229" s="4" t="s">
        <v>185</v>
      </c>
      <c r="D229" s="176">
        <v>175.0</v>
      </c>
      <c r="E229" s="4" t="s">
        <v>337</v>
      </c>
      <c r="F229" s="4" t="s">
        <v>1013</v>
      </c>
      <c r="I229" s="4" t="s">
        <v>395</v>
      </c>
      <c r="K229" s="4"/>
      <c r="L229" s="4" t="s">
        <v>293</v>
      </c>
    </row>
    <row r="230" hidden="1">
      <c r="A230" s="67" t="str">
        <f t="shared" si="1"/>
        <v>Wed</v>
      </c>
      <c r="B230" s="69">
        <v>43383.0</v>
      </c>
      <c r="C230" s="4" t="s">
        <v>185</v>
      </c>
      <c r="D230" s="176">
        <v>175.0</v>
      </c>
      <c r="E230" s="4" t="s">
        <v>337</v>
      </c>
      <c r="F230" s="4" t="s">
        <v>1013</v>
      </c>
      <c r="I230" s="4" t="s">
        <v>395</v>
      </c>
      <c r="K230" s="4"/>
      <c r="L230" s="4" t="s">
        <v>293</v>
      </c>
    </row>
    <row r="231" hidden="1">
      <c r="A231" s="67" t="str">
        <f t="shared" si="1"/>
        <v>Thu</v>
      </c>
      <c r="B231" s="69">
        <v>43384.0</v>
      </c>
      <c r="C231" s="4" t="s">
        <v>185</v>
      </c>
      <c r="D231" s="175">
        <v>323.3333333333333</v>
      </c>
      <c r="E231" s="4" t="s">
        <v>222</v>
      </c>
      <c r="F231" s="4" t="s">
        <v>2009</v>
      </c>
      <c r="G231" s="4" t="s">
        <v>2009</v>
      </c>
      <c r="H231" s="4" t="s">
        <v>1013</v>
      </c>
      <c r="I231" s="4" t="s">
        <v>395</v>
      </c>
      <c r="K231" s="4"/>
      <c r="L231" s="4" t="s">
        <v>293</v>
      </c>
    </row>
    <row r="232" hidden="1">
      <c r="A232" s="67" t="str">
        <f t="shared" si="1"/>
        <v>Fri</v>
      </c>
      <c r="B232" s="69">
        <v>43385.0</v>
      </c>
      <c r="C232" s="4" t="s">
        <v>185</v>
      </c>
      <c r="D232" s="175">
        <v>323.3333333333333</v>
      </c>
      <c r="E232" s="4" t="s">
        <v>222</v>
      </c>
      <c r="F232" s="4" t="s">
        <v>2009</v>
      </c>
      <c r="I232" s="4" t="s">
        <v>395</v>
      </c>
      <c r="K232" s="4"/>
      <c r="L232" s="4" t="s">
        <v>293</v>
      </c>
    </row>
    <row r="233" hidden="1">
      <c r="A233" s="67" t="str">
        <f t="shared" si="1"/>
        <v>Sat</v>
      </c>
      <c r="B233" s="69">
        <v>43386.0</v>
      </c>
      <c r="C233" s="4" t="s">
        <v>185</v>
      </c>
      <c r="D233" s="175">
        <v>323.3333333333333</v>
      </c>
      <c r="E233" s="4" t="s">
        <v>222</v>
      </c>
      <c r="F233" s="4" t="s">
        <v>2009</v>
      </c>
      <c r="I233" s="4" t="s">
        <v>395</v>
      </c>
      <c r="K233" s="4"/>
      <c r="L233" s="4" t="s">
        <v>293</v>
      </c>
    </row>
    <row r="234" hidden="1">
      <c r="A234" s="67" t="str">
        <f t="shared" si="1"/>
        <v>Sun</v>
      </c>
      <c r="B234" s="69">
        <v>43387.0</v>
      </c>
      <c r="C234" s="4" t="s">
        <v>185</v>
      </c>
      <c r="D234" s="171"/>
      <c r="H234" s="4" t="s">
        <v>2009</v>
      </c>
    </row>
    <row r="235" hidden="1">
      <c r="A235" s="67" t="str">
        <f t="shared" si="1"/>
        <v>Mon</v>
      </c>
      <c r="B235" s="69">
        <v>43388.0</v>
      </c>
      <c r="D235" s="171"/>
    </row>
    <row r="236" hidden="1">
      <c r="A236" s="67" t="str">
        <f t="shared" si="1"/>
        <v>Tue</v>
      </c>
      <c r="B236" s="69">
        <v>43389.0</v>
      </c>
      <c r="D236" s="171"/>
    </row>
    <row r="237" hidden="1">
      <c r="A237" s="67" t="str">
        <f t="shared" si="1"/>
        <v>Wed</v>
      </c>
      <c r="B237" s="69">
        <v>43390.0</v>
      </c>
      <c r="D237" s="238"/>
      <c r="F237" s="4" t="s">
        <v>395</v>
      </c>
      <c r="G237" s="4" t="s">
        <v>395</v>
      </c>
      <c r="K237" s="4"/>
      <c r="L237" s="4" t="s">
        <v>293</v>
      </c>
    </row>
    <row r="238" hidden="1">
      <c r="A238" s="67" t="str">
        <f t="shared" si="1"/>
        <v>Thu</v>
      </c>
      <c r="B238" s="69">
        <v>43391.0</v>
      </c>
      <c r="D238" s="238"/>
      <c r="F238" s="4" t="s">
        <v>395</v>
      </c>
      <c r="K238" s="4"/>
      <c r="L238" s="4" t="s">
        <v>293</v>
      </c>
    </row>
    <row r="239" hidden="1">
      <c r="A239" s="67" t="str">
        <f t="shared" si="1"/>
        <v>Fri</v>
      </c>
      <c r="B239" s="69">
        <v>43392.0</v>
      </c>
      <c r="D239" s="238"/>
      <c r="F239" s="4" t="s">
        <v>395</v>
      </c>
      <c r="K239" s="4"/>
      <c r="L239" s="4" t="s">
        <v>293</v>
      </c>
    </row>
    <row r="240" hidden="1">
      <c r="A240" s="67" t="str">
        <f t="shared" si="1"/>
        <v>Sat</v>
      </c>
      <c r="B240" s="69">
        <v>43393.0</v>
      </c>
      <c r="D240" s="171"/>
      <c r="H240" s="4" t="s">
        <v>395</v>
      </c>
    </row>
    <row r="241" hidden="1">
      <c r="A241" s="67" t="str">
        <f t="shared" si="1"/>
        <v>Sun</v>
      </c>
      <c r="B241" s="69">
        <v>43394.0</v>
      </c>
      <c r="D241" s="176">
        <v>145.5</v>
      </c>
      <c r="E241" s="4" t="s">
        <v>222</v>
      </c>
      <c r="F241" s="4" t="s">
        <v>2010</v>
      </c>
      <c r="G241" s="4" t="s">
        <v>2010</v>
      </c>
      <c r="I241" s="4" t="s">
        <v>395</v>
      </c>
      <c r="K241" s="4"/>
      <c r="L241" s="4" t="s">
        <v>293</v>
      </c>
    </row>
    <row r="242" hidden="1">
      <c r="A242" s="67" t="str">
        <f t="shared" si="1"/>
        <v>Mon</v>
      </c>
      <c r="B242" s="69">
        <v>43395.0</v>
      </c>
      <c r="D242" s="176">
        <v>145.5</v>
      </c>
      <c r="E242" s="4" t="s">
        <v>222</v>
      </c>
      <c r="F242" s="4" t="s">
        <v>2010</v>
      </c>
      <c r="I242" s="4" t="s">
        <v>395</v>
      </c>
      <c r="K242" s="4"/>
      <c r="L242" s="4" t="s">
        <v>293</v>
      </c>
    </row>
    <row r="243" hidden="1">
      <c r="A243" s="67" t="str">
        <f t="shared" si="1"/>
        <v>Tue</v>
      </c>
      <c r="B243" s="69">
        <v>43396.0</v>
      </c>
      <c r="D243" s="176">
        <v>145.5</v>
      </c>
      <c r="E243" s="4" t="s">
        <v>222</v>
      </c>
      <c r="F243" s="4" t="s">
        <v>2011</v>
      </c>
      <c r="H243" s="4" t="s">
        <v>2010</v>
      </c>
      <c r="I243" s="4" t="s">
        <v>395</v>
      </c>
      <c r="K243" s="4"/>
      <c r="L243" s="4" t="s">
        <v>293</v>
      </c>
    </row>
    <row r="244" hidden="1">
      <c r="A244" s="67" t="str">
        <f t="shared" si="1"/>
        <v>Wed</v>
      </c>
      <c r="B244" s="69">
        <v>43397.0</v>
      </c>
      <c r="D244" s="176">
        <v>145.5</v>
      </c>
      <c r="E244" s="4" t="s">
        <v>222</v>
      </c>
      <c r="F244" s="4" t="s">
        <v>2011</v>
      </c>
      <c r="I244" s="4" t="s">
        <v>395</v>
      </c>
      <c r="K244" s="4"/>
      <c r="L244" s="4" t="s">
        <v>293</v>
      </c>
    </row>
    <row r="245" hidden="1">
      <c r="A245" s="67" t="str">
        <f t="shared" si="1"/>
        <v>Thu</v>
      </c>
      <c r="B245" s="69">
        <v>43398.0</v>
      </c>
      <c r="D245" s="176">
        <v>145.5</v>
      </c>
      <c r="E245" s="4" t="s">
        <v>222</v>
      </c>
      <c r="F245" s="4" t="s">
        <v>2011</v>
      </c>
      <c r="I245" s="4" t="s">
        <v>395</v>
      </c>
      <c r="K245" s="4"/>
      <c r="L245" s="4" t="s">
        <v>293</v>
      </c>
    </row>
    <row r="246" hidden="1">
      <c r="A246" s="67" t="str">
        <f t="shared" si="1"/>
        <v>Fri</v>
      </c>
      <c r="B246" s="69">
        <v>43399.0</v>
      </c>
      <c r="D246" s="176">
        <v>194.0</v>
      </c>
      <c r="E246" s="4" t="s">
        <v>222</v>
      </c>
      <c r="F246" s="4" t="s">
        <v>2012</v>
      </c>
      <c r="G246" s="4" t="s">
        <v>2012</v>
      </c>
      <c r="H246" s="4" t="s">
        <v>2011</v>
      </c>
      <c r="I246" s="4" t="s">
        <v>395</v>
      </c>
      <c r="K246" s="4"/>
      <c r="L246" s="4" t="s">
        <v>293</v>
      </c>
    </row>
    <row r="247" hidden="1">
      <c r="A247" s="67" t="str">
        <f t="shared" si="1"/>
        <v>Sat</v>
      </c>
      <c r="B247" s="69">
        <v>43400.0</v>
      </c>
      <c r="D247" s="176">
        <v>194.0</v>
      </c>
      <c r="E247" s="4" t="s">
        <v>222</v>
      </c>
      <c r="F247" s="4" t="s">
        <v>2012</v>
      </c>
      <c r="I247" s="4" t="s">
        <v>395</v>
      </c>
      <c r="K247" s="4"/>
      <c r="L247" s="4" t="s">
        <v>293</v>
      </c>
    </row>
    <row r="248" hidden="1">
      <c r="A248" s="67" t="str">
        <f t="shared" si="1"/>
        <v>Sun</v>
      </c>
      <c r="B248" s="69">
        <v>43401.0</v>
      </c>
      <c r="D248" s="176">
        <v>194.0</v>
      </c>
      <c r="E248" s="4" t="s">
        <v>222</v>
      </c>
      <c r="F248" s="4" t="s">
        <v>2013</v>
      </c>
      <c r="G248" s="4" t="s">
        <v>2013</v>
      </c>
      <c r="H248" s="4" t="s">
        <v>2012</v>
      </c>
      <c r="I248" s="4" t="s">
        <v>395</v>
      </c>
      <c r="K248" s="4"/>
      <c r="L248" s="4" t="s">
        <v>293</v>
      </c>
    </row>
    <row r="249" hidden="1">
      <c r="A249" s="67" t="str">
        <f t="shared" si="1"/>
        <v>Mon</v>
      </c>
      <c r="B249" s="69">
        <v>43402.0</v>
      </c>
      <c r="D249" s="176">
        <v>194.0</v>
      </c>
      <c r="E249" s="4" t="s">
        <v>222</v>
      </c>
      <c r="F249" s="4" t="s">
        <v>2013</v>
      </c>
      <c r="I249" s="4" t="s">
        <v>395</v>
      </c>
      <c r="K249" s="4"/>
      <c r="L249" s="4" t="s">
        <v>293</v>
      </c>
    </row>
    <row r="250" hidden="1">
      <c r="A250" s="67" t="str">
        <f t="shared" si="1"/>
        <v>Tue</v>
      </c>
      <c r="B250" s="69">
        <v>43403.0</v>
      </c>
      <c r="D250" s="171"/>
      <c r="H250" s="4" t="s">
        <v>2013</v>
      </c>
    </row>
    <row r="251" hidden="1">
      <c r="A251" s="67" t="str">
        <f t="shared" si="1"/>
        <v>Wed</v>
      </c>
      <c r="B251" s="69">
        <v>43404.0</v>
      </c>
      <c r="D251" s="176">
        <v>194.0</v>
      </c>
      <c r="E251" s="4" t="s">
        <v>222</v>
      </c>
      <c r="F251" s="4" t="s">
        <v>2014</v>
      </c>
      <c r="G251" s="4" t="s">
        <v>2014</v>
      </c>
      <c r="I251" s="4" t="s">
        <v>395</v>
      </c>
      <c r="K251" s="4"/>
      <c r="L251" s="4" t="s">
        <v>293</v>
      </c>
    </row>
    <row r="252" hidden="1">
      <c r="A252" s="67" t="str">
        <f t="shared" si="1"/>
        <v>Thu</v>
      </c>
      <c r="B252" s="69">
        <v>43405.0</v>
      </c>
      <c r="C252" s="4" t="s">
        <v>638</v>
      </c>
      <c r="D252" s="176">
        <v>194.0</v>
      </c>
      <c r="E252" s="4" t="s">
        <v>222</v>
      </c>
      <c r="F252" s="4" t="s">
        <v>2014</v>
      </c>
      <c r="I252" s="4" t="s">
        <v>395</v>
      </c>
      <c r="K252" s="4"/>
      <c r="L252" s="4" t="s">
        <v>293</v>
      </c>
    </row>
    <row r="253" hidden="1">
      <c r="A253" s="67" t="str">
        <f t="shared" si="1"/>
        <v>Fri</v>
      </c>
      <c r="B253" s="69">
        <v>43406.0</v>
      </c>
      <c r="C253" s="4" t="s">
        <v>638</v>
      </c>
      <c r="D253" s="171"/>
      <c r="H253" s="4" t="s">
        <v>2014</v>
      </c>
    </row>
    <row r="254" hidden="1">
      <c r="A254" s="67" t="str">
        <f t="shared" si="1"/>
        <v>Sat</v>
      </c>
      <c r="B254" s="69">
        <v>43407.0</v>
      </c>
      <c r="C254" s="4" t="s">
        <v>638</v>
      </c>
      <c r="D254" s="171"/>
    </row>
    <row r="255" hidden="1">
      <c r="A255" s="67" t="str">
        <f t="shared" si="1"/>
        <v>Sun</v>
      </c>
      <c r="B255" s="69">
        <v>43408.0</v>
      </c>
      <c r="D255" s="176">
        <v>242.5</v>
      </c>
      <c r="E255" s="4" t="s">
        <v>222</v>
      </c>
      <c r="F255" s="4" t="s">
        <v>2015</v>
      </c>
      <c r="G255" s="4" t="s">
        <v>2015</v>
      </c>
      <c r="I255" s="4" t="s">
        <v>395</v>
      </c>
      <c r="K255" s="4"/>
      <c r="L255" s="4" t="s">
        <v>293</v>
      </c>
    </row>
    <row r="256" hidden="1">
      <c r="A256" s="67" t="str">
        <f t="shared" si="1"/>
        <v>Mon</v>
      </c>
      <c r="B256" s="69">
        <v>43409.0</v>
      </c>
      <c r="D256" s="176">
        <v>242.5</v>
      </c>
      <c r="E256" s="4" t="s">
        <v>222</v>
      </c>
      <c r="F256" s="4" t="s">
        <v>2015</v>
      </c>
      <c r="I256" s="4" t="s">
        <v>395</v>
      </c>
      <c r="K256" s="4"/>
      <c r="L256" s="4" t="s">
        <v>293</v>
      </c>
    </row>
    <row r="257" hidden="1">
      <c r="A257" s="67" t="str">
        <f t="shared" si="1"/>
        <v>Tue</v>
      </c>
      <c r="B257" s="69">
        <v>43410.0</v>
      </c>
      <c r="D257" s="176">
        <v>242.5</v>
      </c>
      <c r="E257" s="4" t="s">
        <v>222</v>
      </c>
      <c r="F257" s="4" t="s">
        <v>2015</v>
      </c>
      <c r="I257" s="4" t="s">
        <v>395</v>
      </c>
      <c r="K257" s="4"/>
      <c r="L257" s="4" t="s">
        <v>293</v>
      </c>
    </row>
    <row r="258" hidden="1">
      <c r="A258" s="67" t="str">
        <f t="shared" si="1"/>
        <v>Wed</v>
      </c>
      <c r="B258" s="69">
        <v>43411.0</v>
      </c>
      <c r="D258" s="176">
        <v>242.5</v>
      </c>
      <c r="E258" s="4" t="s">
        <v>222</v>
      </c>
      <c r="F258" s="4" t="s">
        <v>2015</v>
      </c>
      <c r="I258" s="4" t="s">
        <v>395</v>
      </c>
      <c r="K258" s="4"/>
      <c r="L258" s="4" t="s">
        <v>293</v>
      </c>
    </row>
    <row r="259" hidden="1">
      <c r="A259" s="67" t="str">
        <f t="shared" si="1"/>
        <v>Thu</v>
      </c>
      <c r="B259" s="69">
        <v>43412.0</v>
      </c>
      <c r="D259" s="176">
        <v>242.5</v>
      </c>
      <c r="E259" s="4" t="s">
        <v>222</v>
      </c>
      <c r="F259" s="4" t="s">
        <v>2015</v>
      </c>
      <c r="I259" s="4" t="s">
        <v>395</v>
      </c>
      <c r="K259" s="4"/>
      <c r="L259" s="4" t="s">
        <v>293</v>
      </c>
    </row>
    <row r="260" hidden="1">
      <c r="A260" s="67" t="str">
        <f t="shared" si="1"/>
        <v>Fri</v>
      </c>
      <c r="B260" s="69">
        <v>43413.0</v>
      </c>
      <c r="D260" s="171"/>
      <c r="H260" s="4" t="s">
        <v>2015</v>
      </c>
    </row>
    <row r="261" hidden="1">
      <c r="A261" s="67" t="str">
        <f t="shared" si="1"/>
        <v>Sat</v>
      </c>
      <c r="B261" s="69">
        <v>43414.0</v>
      </c>
      <c r="D261" s="176">
        <v>242.5</v>
      </c>
      <c r="E261" s="4" t="s">
        <v>222</v>
      </c>
      <c r="F261" s="4" t="s">
        <v>2016</v>
      </c>
      <c r="G261" s="4" t="s">
        <v>2016</v>
      </c>
      <c r="I261" s="4" t="s">
        <v>395</v>
      </c>
      <c r="K261" s="4"/>
      <c r="L261" s="4" t="s">
        <v>293</v>
      </c>
    </row>
    <row r="262" hidden="1">
      <c r="A262" s="67" t="str">
        <f t="shared" si="1"/>
        <v>Sun</v>
      </c>
      <c r="B262" s="69">
        <v>43415.0</v>
      </c>
      <c r="D262" s="171"/>
      <c r="H262" s="4" t="s">
        <v>2016</v>
      </c>
    </row>
    <row r="263" hidden="1">
      <c r="A263" s="67" t="str">
        <f t="shared" si="1"/>
        <v>Mon</v>
      </c>
      <c r="B263" s="69">
        <v>43416.0</v>
      </c>
      <c r="D263" s="176">
        <v>274.51</v>
      </c>
      <c r="E263" s="4" t="s">
        <v>222</v>
      </c>
      <c r="F263" s="4" t="s">
        <v>2017</v>
      </c>
      <c r="G263" s="4" t="s">
        <v>2017</v>
      </c>
      <c r="I263" s="4" t="s">
        <v>395</v>
      </c>
      <c r="K263" s="4"/>
      <c r="L263" s="4" t="s">
        <v>293</v>
      </c>
    </row>
    <row r="264" hidden="1">
      <c r="A264" s="67" t="str">
        <f t="shared" si="1"/>
        <v>Tue</v>
      </c>
      <c r="B264" s="69">
        <v>43417.0</v>
      </c>
      <c r="D264" s="176">
        <v>274.51</v>
      </c>
      <c r="E264" s="4" t="s">
        <v>222</v>
      </c>
      <c r="F264" s="4" t="s">
        <v>2017</v>
      </c>
      <c r="I264" s="4" t="s">
        <v>395</v>
      </c>
      <c r="K264" s="4"/>
      <c r="L264" s="4" t="s">
        <v>293</v>
      </c>
    </row>
    <row r="265" hidden="1">
      <c r="A265" s="67" t="str">
        <f t="shared" si="1"/>
        <v>Wed</v>
      </c>
      <c r="B265" s="69">
        <v>43418.0</v>
      </c>
      <c r="C265" s="4" t="s">
        <v>638</v>
      </c>
      <c r="D265" s="171"/>
      <c r="H265" s="4" t="s">
        <v>2017</v>
      </c>
    </row>
    <row r="266" hidden="1">
      <c r="A266" s="67" t="str">
        <f t="shared" si="1"/>
        <v>Thu</v>
      </c>
      <c r="B266" s="69">
        <v>43419.0</v>
      </c>
      <c r="C266" s="4" t="s">
        <v>638</v>
      </c>
      <c r="D266" s="176">
        <v>363.75</v>
      </c>
      <c r="E266" s="4" t="s">
        <v>222</v>
      </c>
      <c r="F266" s="4" t="s">
        <v>2024</v>
      </c>
      <c r="G266" s="4" t="s">
        <v>2024</v>
      </c>
      <c r="I266" s="4" t="s">
        <v>395</v>
      </c>
      <c r="K266" s="4"/>
      <c r="L266" s="4" t="s">
        <v>293</v>
      </c>
    </row>
    <row r="267" hidden="1">
      <c r="A267" s="67" t="str">
        <f t="shared" si="1"/>
        <v>Fri</v>
      </c>
      <c r="B267" s="69">
        <v>43420.0</v>
      </c>
      <c r="C267" s="4" t="s">
        <v>638</v>
      </c>
      <c r="D267" s="176">
        <v>363.75</v>
      </c>
      <c r="E267" s="4" t="s">
        <v>222</v>
      </c>
      <c r="F267" s="4" t="s">
        <v>2024</v>
      </c>
      <c r="I267" s="4" t="s">
        <v>395</v>
      </c>
      <c r="K267" s="4"/>
      <c r="L267" s="4" t="s">
        <v>293</v>
      </c>
    </row>
    <row r="268" hidden="1">
      <c r="A268" s="67" t="str">
        <f t="shared" si="1"/>
        <v>Sat</v>
      </c>
      <c r="B268" s="69">
        <v>43421.0</v>
      </c>
      <c r="C268" s="4" t="s">
        <v>638</v>
      </c>
      <c r="D268" s="176">
        <v>363.75</v>
      </c>
      <c r="E268" s="4" t="s">
        <v>222</v>
      </c>
      <c r="F268" s="4" t="s">
        <v>2024</v>
      </c>
      <c r="I268" s="4" t="s">
        <v>395</v>
      </c>
      <c r="K268" s="4"/>
      <c r="L268" s="4" t="s">
        <v>293</v>
      </c>
    </row>
    <row r="269" hidden="1">
      <c r="A269" s="67" t="str">
        <f t="shared" si="1"/>
        <v>Sun</v>
      </c>
      <c r="B269" s="69">
        <v>43422.0</v>
      </c>
      <c r="D269" s="176">
        <v>363.75</v>
      </c>
      <c r="E269" s="4" t="s">
        <v>222</v>
      </c>
      <c r="F269" s="4" t="s">
        <v>2024</v>
      </c>
      <c r="I269" s="4" t="s">
        <v>395</v>
      </c>
      <c r="K269" s="4"/>
      <c r="L269" s="4" t="s">
        <v>293</v>
      </c>
    </row>
    <row r="270" hidden="1">
      <c r="A270" s="67" t="str">
        <f t="shared" si="1"/>
        <v>Mon</v>
      </c>
      <c r="B270" s="69">
        <v>43423.0</v>
      </c>
      <c r="D270" s="176">
        <v>145.5</v>
      </c>
      <c r="E270" s="4" t="s">
        <v>222</v>
      </c>
      <c r="F270" s="4" t="s">
        <v>2025</v>
      </c>
      <c r="G270" s="4" t="s">
        <v>2025</v>
      </c>
      <c r="H270" s="4" t="s">
        <v>2024</v>
      </c>
      <c r="K270" s="4"/>
      <c r="L270" s="4" t="s">
        <v>293</v>
      </c>
    </row>
    <row r="271" hidden="1">
      <c r="A271" s="67" t="str">
        <f t="shared" si="1"/>
        <v>Tue</v>
      </c>
      <c r="B271" s="69">
        <v>43424.0</v>
      </c>
      <c r="D271" s="176">
        <v>145.5</v>
      </c>
      <c r="E271" s="4" t="s">
        <v>222</v>
      </c>
      <c r="F271" s="4" t="s">
        <v>2026</v>
      </c>
      <c r="G271" s="4" t="s">
        <v>2026</v>
      </c>
      <c r="H271" s="4" t="s">
        <v>2025</v>
      </c>
      <c r="I271" s="4" t="s">
        <v>395</v>
      </c>
      <c r="K271" s="4"/>
      <c r="L271" s="4" t="s">
        <v>293</v>
      </c>
    </row>
    <row r="272" hidden="1">
      <c r="A272" s="67" t="str">
        <f t="shared" si="1"/>
        <v>Wed</v>
      </c>
      <c r="B272" s="69">
        <v>43425.0</v>
      </c>
      <c r="D272" s="176">
        <v>145.5</v>
      </c>
      <c r="E272" s="4" t="s">
        <v>222</v>
      </c>
      <c r="F272" s="4" t="s">
        <v>2026</v>
      </c>
      <c r="I272" s="4" t="s">
        <v>395</v>
      </c>
      <c r="K272" s="4"/>
      <c r="L272" s="4" t="s">
        <v>293</v>
      </c>
    </row>
    <row r="273" hidden="1">
      <c r="A273" s="67" t="str">
        <f t="shared" si="1"/>
        <v>Thu</v>
      </c>
      <c r="B273" s="69">
        <v>43426.0</v>
      </c>
      <c r="D273" s="176">
        <v>145.5</v>
      </c>
      <c r="E273" s="4" t="s">
        <v>222</v>
      </c>
      <c r="F273" s="4" t="s">
        <v>2026</v>
      </c>
      <c r="I273" s="4" t="s">
        <v>395</v>
      </c>
      <c r="K273" s="4"/>
      <c r="L273" s="4" t="s">
        <v>293</v>
      </c>
    </row>
    <row r="274" hidden="1">
      <c r="A274" s="67" t="str">
        <f t="shared" si="1"/>
        <v>Fri</v>
      </c>
      <c r="B274" s="69">
        <v>43427.0</v>
      </c>
      <c r="D274" s="176">
        <v>291.0</v>
      </c>
      <c r="E274" s="4" t="s">
        <v>222</v>
      </c>
      <c r="F274" s="4" t="s">
        <v>2027</v>
      </c>
      <c r="G274" s="4" t="s">
        <v>2027</v>
      </c>
      <c r="H274" s="4" t="s">
        <v>2026</v>
      </c>
      <c r="I274" s="4" t="s">
        <v>395</v>
      </c>
      <c r="K274" s="4"/>
      <c r="L274" s="4" t="s">
        <v>293</v>
      </c>
    </row>
    <row r="275" hidden="1">
      <c r="A275" s="67" t="str">
        <f t="shared" si="1"/>
        <v>Sat</v>
      </c>
      <c r="B275" s="69">
        <v>43428.0</v>
      </c>
      <c r="D275" s="176">
        <v>291.0</v>
      </c>
      <c r="E275" s="4" t="s">
        <v>222</v>
      </c>
      <c r="F275" s="4" t="s">
        <v>2027</v>
      </c>
      <c r="I275" s="4" t="s">
        <v>395</v>
      </c>
      <c r="K275" s="4"/>
      <c r="L275" s="4" t="s">
        <v>293</v>
      </c>
    </row>
    <row r="276" hidden="1">
      <c r="A276" s="67" t="str">
        <f t="shared" si="1"/>
        <v>Sun</v>
      </c>
      <c r="B276" s="69">
        <v>43429.0</v>
      </c>
      <c r="D276" s="171"/>
      <c r="H276" s="4" t="s">
        <v>2027</v>
      </c>
    </row>
    <row r="277" hidden="1">
      <c r="A277" s="67" t="str">
        <f t="shared" si="1"/>
        <v>Mon</v>
      </c>
      <c r="B277" s="69">
        <v>43430.0</v>
      </c>
      <c r="D277" s="238"/>
      <c r="J277" s="4" t="s">
        <v>2028</v>
      </c>
    </row>
    <row r="278" hidden="1">
      <c r="A278" s="67" t="str">
        <f t="shared" si="1"/>
        <v>Tue</v>
      </c>
      <c r="B278" s="69">
        <v>43431.0</v>
      </c>
      <c r="D278" s="238"/>
      <c r="J278" s="4" t="s">
        <v>2028</v>
      </c>
    </row>
    <row r="279" hidden="1">
      <c r="A279" s="67" t="str">
        <f t="shared" si="1"/>
        <v>Wed</v>
      </c>
      <c r="B279" s="69">
        <v>43432.0</v>
      </c>
      <c r="D279" s="238"/>
      <c r="J279" s="4" t="s">
        <v>2028</v>
      </c>
    </row>
    <row r="280" hidden="1">
      <c r="A280" s="67" t="str">
        <f t="shared" si="1"/>
        <v>Thu</v>
      </c>
      <c r="B280" s="69">
        <v>43433.0</v>
      </c>
      <c r="D280" s="176">
        <v>363.75</v>
      </c>
      <c r="E280" s="4" t="s">
        <v>222</v>
      </c>
      <c r="F280" s="4" t="s">
        <v>2029</v>
      </c>
      <c r="G280" s="4" t="s">
        <v>2029</v>
      </c>
      <c r="I280" s="4" t="s">
        <v>395</v>
      </c>
      <c r="K280" s="4"/>
      <c r="L280" s="4" t="s">
        <v>293</v>
      </c>
    </row>
    <row r="281" hidden="1">
      <c r="A281" s="67" t="str">
        <f t="shared" si="1"/>
        <v>Fri</v>
      </c>
      <c r="B281" s="69">
        <v>43434.0</v>
      </c>
      <c r="D281" s="176">
        <v>363.75</v>
      </c>
      <c r="E281" s="4" t="s">
        <v>222</v>
      </c>
      <c r="F281" s="4" t="s">
        <v>2029</v>
      </c>
      <c r="I281" s="4" t="s">
        <v>395</v>
      </c>
      <c r="K281" s="4"/>
      <c r="L281" s="4" t="s">
        <v>293</v>
      </c>
    </row>
    <row r="282" hidden="1">
      <c r="A282" s="67" t="str">
        <f t="shared" si="1"/>
        <v>Sat</v>
      </c>
      <c r="B282" s="69">
        <v>43435.0</v>
      </c>
      <c r="D282" s="176">
        <v>363.75</v>
      </c>
      <c r="E282" s="4" t="s">
        <v>222</v>
      </c>
      <c r="F282" s="4" t="s">
        <v>2029</v>
      </c>
      <c r="I282" s="4" t="s">
        <v>395</v>
      </c>
      <c r="K282" s="4"/>
      <c r="L282" s="4" t="s">
        <v>293</v>
      </c>
    </row>
    <row r="283" hidden="1">
      <c r="A283" s="67" t="str">
        <f t="shared" si="1"/>
        <v>Sun</v>
      </c>
      <c r="B283" s="69">
        <v>43436.0</v>
      </c>
      <c r="D283" s="176">
        <v>363.75</v>
      </c>
      <c r="E283" s="4" t="s">
        <v>222</v>
      </c>
      <c r="F283" s="4" t="s">
        <v>2029</v>
      </c>
      <c r="I283" s="4" t="s">
        <v>395</v>
      </c>
    </row>
    <row r="284" hidden="1">
      <c r="A284" s="67" t="str">
        <f t="shared" si="1"/>
        <v>Mon</v>
      </c>
      <c r="B284" s="69">
        <v>43437.0</v>
      </c>
      <c r="D284" s="176">
        <v>174.6</v>
      </c>
      <c r="E284" s="4" t="s">
        <v>222</v>
      </c>
      <c r="F284" s="4" t="s">
        <v>2030</v>
      </c>
      <c r="G284" s="4" t="s">
        <v>2030</v>
      </c>
      <c r="H284" s="4" t="s">
        <v>2029</v>
      </c>
      <c r="I284" s="4" t="s">
        <v>395</v>
      </c>
      <c r="K284" s="4"/>
      <c r="L284" s="4" t="s">
        <v>293</v>
      </c>
    </row>
    <row r="285" hidden="1">
      <c r="A285" s="67" t="str">
        <f t="shared" si="1"/>
        <v>Tue</v>
      </c>
      <c r="B285" s="69">
        <v>43438.0</v>
      </c>
      <c r="D285" s="176">
        <v>174.6</v>
      </c>
      <c r="E285" s="4" t="s">
        <v>222</v>
      </c>
      <c r="F285" s="4" t="s">
        <v>2030</v>
      </c>
      <c r="I285" s="4" t="s">
        <v>395</v>
      </c>
      <c r="K285" s="4"/>
      <c r="L285" s="4" t="s">
        <v>293</v>
      </c>
    </row>
    <row r="286" hidden="1">
      <c r="A286" s="67" t="str">
        <f t="shared" si="1"/>
        <v>Wed</v>
      </c>
      <c r="B286" s="69">
        <v>43439.0</v>
      </c>
      <c r="D286" s="176">
        <v>174.6</v>
      </c>
      <c r="E286" s="4" t="s">
        <v>222</v>
      </c>
      <c r="F286" s="4" t="s">
        <v>2031</v>
      </c>
      <c r="G286" s="4" t="s">
        <v>2031</v>
      </c>
      <c r="H286" s="4" t="s">
        <v>2030</v>
      </c>
      <c r="I286" s="4" t="s">
        <v>395</v>
      </c>
      <c r="K286" s="4"/>
      <c r="L286" s="4" t="s">
        <v>293</v>
      </c>
    </row>
    <row r="287" hidden="1">
      <c r="A287" s="67" t="str">
        <f t="shared" si="1"/>
        <v>Thu</v>
      </c>
      <c r="B287" s="69">
        <v>43440.0</v>
      </c>
      <c r="D287" s="176">
        <v>174.6</v>
      </c>
      <c r="E287" s="4" t="s">
        <v>222</v>
      </c>
      <c r="F287" s="4" t="s">
        <v>2031</v>
      </c>
      <c r="I287" s="4" t="s">
        <v>395</v>
      </c>
      <c r="K287" s="4"/>
      <c r="L287" s="4" t="s">
        <v>293</v>
      </c>
    </row>
    <row r="288" hidden="1">
      <c r="A288" s="67" t="str">
        <f t="shared" si="1"/>
        <v>Fri</v>
      </c>
      <c r="B288" s="69">
        <v>43441.0</v>
      </c>
      <c r="D288" s="176">
        <v>174.6</v>
      </c>
      <c r="E288" s="4" t="s">
        <v>222</v>
      </c>
      <c r="F288" s="4" t="s">
        <v>2031</v>
      </c>
      <c r="I288" s="4" t="s">
        <v>395</v>
      </c>
      <c r="K288" s="4"/>
      <c r="L288" s="4" t="s">
        <v>293</v>
      </c>
    </row>
    <row r="289" hidden="1">
      <c r="A289" s="67" t="str">
        <f t="shared" si="1"/>
        <v>Sat</v>
      </c>
      <c r="B289" s="69">
        <v>43442.0</v>
      </c>
      <c r="D289" s="176">
        <f t="shared" ref="D289:D292" si="2">1349.6/4</f>
        <v>337.4</v>
      </c>
      <c r="E289" s="4" t="s">
        <v>222</v>
      </c>
      <c r="F289" s="4" t="s">
        <v>2032</v>
      </c>
      <c r="G289" s="4" t="s">
        <v>2032</v>
      </c>
      <c r="H289" s="4" t="s">
        <v>2031</v>
      </c>
      <c r="I289" s="4" t="s">
        <v>395</v>
      </c>
      <c r="K289" s="4"/>
      <c r="L289" s="4" t="s">
        <v>293</v>
      </c>
    </row>
    <row r="290" hidden="1">
      <c r="A290" s="67" t="str">
        <f t="shared" si="1"/>
        <v>Sun</v>
      </c>
      <c r="B290" s="69">
        <v>43443.0</v>
      </c>
      <c r="D290" s="176">
        <f t="shared" si="2"/>
        <v>337.4</v>
      </c>
      <c r="E290" s="4" t="s">
        <v>222</v>
      </c>
      <c r="F290" s="4" t="s">
        <v>2032</v>
      </c>
      <c r="I290" s="4" t="s">
        <v>395</v>
      </c>
      <c r="K290" s="4"/>
      <c r="L290" s="4" t="s">
        <v>293</v>
      </c>
    </row>
    <row r="291" hidden="1">
      <c r="A291" s="67" t="str">
        <f t="shared" si="1"/>
        <v>Mon</v>
      </c>
      <c r="B291" s="69">
        <v>43444.0</v>
      </c>
      <c r="D291" s="176">
        <f t="shared" si="2"/>
        <v>337.4</v>
      </c>
      <c r="E291" s="4" t="s">
        <v>222</v>
      </c>
      <c r="F291" s="4" t="s">
        <v>2032</v>
      </c>
      <c r="I291" s="4" t="s">
        <v>395</v>
      </c>
      <c r="K291" s="4"/>
      <c r="L291" s="4" t="s">
        <v>293</v>
      </c>
    </row>
    <row r="292" hidden="1">
      <c r="A292" s="67" t="str">
        <f t="shared" si="1"/>
        <v>Tue</v>
      </c>
      <c r="B292" s="69">
        <v>43445.0</v>
      </c>
      <c r="D292" s="176">
        <f t="shared" si="2"/>
        <v>337.4</v>
      </c>
      <c r="E292" s="4" t="s">
        <v>222</v>
      </c>
      <c r="F292" s="4" t="s">
        <v>2032</v>
      </c>
      <c r="I292" s="4" t="s">
        <v>395</v>
      </c>
      <c r="K292" s="4"/>
      <c r="L292" s="4" t="s">
        <v>293</v>
      </c>
    </row>
    <row r="293" hidden="1">
      <c r="A293" s="67" t="str">
        <f t="shared" si="1"/>
        <v>Wed</v>
      </c>
      <c r="B293" s="69">
        <v>43446.0</v>
      </c>
      <c r="D293" s="176">
        <v>242.5</v>
      </c>
      <c r="E293" s="4" t="s">
        <v>222</v>
      </c>
      <c r="F293" s="4" t="s">
        <v>2033</v>
      </c>
      <c r="G293" s="4" t="s">
        <v>2033</v>
      </c>
      <c r="H293" s="4" t="s">
        <v>2032</v>
      </c>
      <c r="I293" s="4" t="s">
        <v>395</v>
      </c>
      <c r="K293" s="4"/>
      <c r="L293" s="4" t="s">
        <v>293</v>
      </c>
    </row>
    <row r="294" hidden="1">
      <c r="A294" s="67" t="str">
        <f t="shared" si="1"/>
        <v>Thu</v>
      </c>
      <c r="B294" s="69">
        <v>43447.0</v>
      </c>
      <c r="D294" s="176">
        <v>242.5</v>
      </c>
      <c r="E294" s="4" t="s">
        <v>222</v>
      </c>
      <c r="F294" s="4" t="s">
        <v>2033</v>
      </c>
      <c r="I294" s="4" t="s">
        <v>395</v>
      </c>
      <c r="K294" s="4"/>
      <c r="L294" s="4" t="s">
        <v>293</v>
      </c>
    </row>
    <row r="295" hidden="1">
      <c r="A295" s="67" t="str">
        <f t="shared" si="1"/>
        <v>Fri</v>
      </c>
      <c r="B295" s="69">
        <v>43448.0</v>
      </c>
      <c r="D295" s="171"/>
      <c r="H295" s="4" t="s">
        <v>2033</v>
      </c>
    </row>
    <row r="296" hidden="1">
      <c r="A296" s="67" t="str">
        <f t="shared" si="1"/>
        <v>Sat</v>
      </c>
      <c r="B296" s="69">
        <v>43449.0</v>
      </c>
      <c r="D296" s="175">
        <f t="shared" ref="D296:D302" si="3">2048.5/7</f>
        <v>292.6428571</v>
      </c>
      <c r="E296" s="4" t="s">
        <v>222</v>
      </c>
      <c r="F296" s="4" t="s">
        <v>2034</v>
      </c>
      <c r="G296" s="4" t="s">
        <v>2034</v>
      </c>
      <c r="I296" s="4" t="s">
        <v>395</v>
      </c>
      <c r="K296" s="4"/>
      <c r="L296" s="4" t="s">
        <v>293</v>
      </c>
    </row>
    <row r="297" hidden="1">
      <c r="A297" s="67" t="str">
        <f t="shared" si="1"/>
        <v>Sun</v>
      </c>
      <c r="B297" s="69">
        <v>43450.0</v>
      </c>
      <c r="D297" s="175">
        <f t="shared" si="3"/>
        <v>292.6428571</v>
      </c>
      <c r="E297" s="4" t="s">
        <v>222</v>
      </c>
      <c r="F297" s="4" t="s">
        <v>2034</v>
      </c>
      <c r="I297" s="4" t="s">
        <v>395</v>
      </c>
    </row>
    <row r="298" hidden="1">
      <c r="A298" s="67" t="str">
        <f t="shared" si="1"/>
        <v>Mon</v>
      </c>
      <c r="B298" s="69">
        <v>43451.0</v>
      </c>
      <c r="D298" s="175">
        <f t="shared" si="3"/>
        <v>292.6428571</v>
      </c>
      <c r="E298" s="4" t="s">
        <v>222</v>
      </c>
      <c r="F298" s="4" t="s">
        <v>2034</v>
      </c>
      <c r="I298" s="4" t="s">
        <v>395</v>
      </c>
    </row>
    <row r="299" hidden="1">
      <c r="A299" s="67" t="str">
        <f t="shared" si="1"/>
        <v>Tue</v>
      </c>
      <c r="B299" s="69">
        <v>43452.0</v>
      </c>
      <c r="D299" s="175">
        <f t="shared" si="3"/>
        <v>292.6428571</v>
      </c>
      <c r="E299" s="4" t="s">
        <v>222</v>
      </c>
      <c r="F299" s="4" t="s">
        <v>2034</v>
      </c>
      <c r="I299" s="4" t="s">
        <v>395</v>
      </c>
    </row>
    <row r="300" hidden="1">
      <c r="A300" s="67" t="str">
        <f t="shared" si="1"/>
        <v>Wed</v>
      </c>
      <c r="B300" s="69">
        <v>43453.0</v>
      </c>
      <c r="D300" s="175">
        <f t="shared" si="3"/>
        <v>292.6428571</v>
      </c>
      <c r="E300" s="4" t="s">
        <v>222</v>
      </c>
      <c r="F300" s="4" t="s">
        <v>2034</v>
      </c>
      <c r="I300" s="4" t="s">
        <v>395</v>
      </c>
    </row>
    <row r="301" hidden="1">
      <c r="A301" s="67" t="str">
        <f t="shared" si="1"/>
        <v>Thu</v>
      </c>
      <c r="B301" s="69">
        <v>43454.0</v>
      </c>
      <c r="D301" s="175">
        <f t="shared" si="3"/>
        <v>292.6428571</v>
      </c>
      <c r="E301" s="4" t="s">
        <v>222</v>
      </c>
      <c r="F301" s="4" t="s">
        <v>2034</v>
      </c>
      <c r="I301" s="4" t="s">
        <v>395</v>
      </c>
    </row>
    <row r="302" hidden="1">
      <c r="A302" s="67" t="str">
        <f t="shared" si="1"/>
        <v>Fri</v>
      </c>
      <c r="B302" s="69">
        <v>43455.0</v>
      </c>
      <c r="D302" s="175">
        <f t="shared" si="3"/>
        <v>292.6428571</v>
      </c>
      <c r="E302" s="4" t="s">
        <v>222</v>
      </c>
      <c r="F302" s="4" t="s">
        <v>2034</v>
      </c>
      <c r="I302" s="4" t="s">
        <v>395</v>
      </c>
    </row>
    <row r="303" hidden="1">
      <c r="A303" s="67" t="str">
        <f t="shared" si="1"/>
        <v>Sat</v>
      </c>
      <c r="B303" s="69">
        <v>43456.0</v>
      </c>
      <c r="C303" s="4" t="s">
        <v>638</v>
      </c>
      <c r="D303" s="175">
        <v>618.375</v>
      </c>
      <c r="E303" s="4" t="s">
        <v>222</v>
      </c>
      <c r="F303" s="4" t="s">
        <v>2035</v>
      </c>
      <c r="G303" s="4" t="s">
        <v>2035</v>
      </c>
      <c r="H303" s="4" t="s">
        <v>2034</v>
      </c>
      <c r="I303" s="4" t="s">
        <v>395</v>
      </c>
      <c r="K303" s="4"/>
      <c r="L303" s="4" t="s">
        <v>293</v>
      </c>
    </row>
    <row r="304" hidden="1">
      <c r="A304" s="67" t="str">
        <f t="shared" si="1"/>
        <v>Sun</v>
      </c>
      <c r="B304" s="69">
        <v>43457.0</v>
      </c>
      <c r="C304" s="4" t="s">
        <v>638</v>
      </c>
      <c r="D304" s="175">
        <v>618.375</v>
      </c>
      <c r="E304" s="4" t="s">
        <v>222</v>
      </c>
      <c r="F304" s="4" t="s">
        <v>2035</v>
      </c>
      <c r="I304" s="4" t="s">
        <v>395</v>
      </c>
    </row>
    <row r="305" hidden="1">
      <c r="A305" s="67" t="str">
        <f t="shared" si="1"/>
        <v>Mon</v>
      </c>
      <c r="B305" s="69">
        <v>43458.0</v>
      </c>
      <c r="C305" s="4" t="s">
        <v>638</v>
      </c>
      <c r="D305" s="175">
        <v>618.375</v>
      </c>
      <c r="E305" s="4" t="s">
        <v>222</v>
      </c>
      <c r="F305" s="4" t="s">
        <v>2035</v>
      </c>
      <c r="I305" s="4" t="s">
        <v>395</v>
      </c>
    </row>
    <row r="306" hidden="1">
      <c r="A306" s="67" t="str">
        <f t="shared" si="1"/>
        <v>Tue</v>
      </c>
      <c r="B306" s="69">
        <v>43459.0</v>
      </c>
      <c r="C306" s="4" t="s">
        <v>638</v>
      </c>
      <c r="D306" s="175">
        <v>618.375</v>
      </c>
      <c r="E306" s="4" t="s">
        <v>222</v>
      </c>
      <c r="F306" s="4" t="s">
        <v>2035</v>
      </c>
      <c r="I306" s="4" t="s">
        <v>395</v>
      </c>
    </row>
    <row r="307" hidden="1">
      <c r="A307" s="67" t="str">
        <f t="shared" si="1"/>
        <v>Wed</v>
      </c>
      <c r="B307" s="69">
        <v>43460.0</v>
      </c>
      <c r="D307" s="175">
        <v>618.375</v>
      </c>
      <c r="E307" s="4" t="s">
        <v>222</v>
      </c>
      <c r="F307" s="4" t="s">
        <v>2035</v>
      </c>
      <c r="I307" s="4" t="s">
        <v>395</v>
      </c>
    </row>
    <row r="308" hidden="1">
      <c r="A308" s="67" t="str">
        <f t="shared" si="1"/>
        <v>Thu</v>
      </c>
      <c r="B308" s="69">
        <v>43461.0</v>
      </c>
      <c r="D308" s="175">
        <v>618.375</v>
      </c>
      <c r="E308" s="4" t="s">
        <v>222</v>
      </c>
      <c r="F308" s="4" t="s">
        <v>2035</v>
      </c>
      <c r="I308" s="4" t="s">
        <v>395</v>
      </c>
    </row>
    <row r="309" hidden="1">
      <c r="A309" s="67" t="str">
        <f t="shared" si="1"/>
        <v>Fri</v>
      </c>
      <c r="B309" s="69">
        <v>43462.0</v>
      </c>
      <c r="C309" s="4" t="s">
        <v>638</v>
      </c>
      <c r="D309" s="175">
        <v>618.375</v>
      </c>
      <c r="E309" s="4" t="s">
        <v>222</v>
      </c>
      <c r="F309" s="4" t="s">
        <v>2035</v>
      </c>
      <c r="I309" s="4" t="s">
        <v>395</v>
      </c>
    </row>
    <row r="310" hidden="1">
      <c r="A310" s="67" t="str">
        <f t="shared" si="1"/>
        <v>Sat</v>
      </c>
      <c r="B310" s="69">
        <v>43463.0</v>
      </c>
      <c r="C310" s="4" t="s">
        <v>638</v>
      </c>
      <c r="D310" s="175">
        <v>618.375</v>
      </c>
      <c r="E310" s="4" t="s">
        <v>222</v>
      </c>
      <c r="F310" s="4" t="s">
        <v>2035</v>
      </c>
      <c r="I310" s="4" t="s">
        <v>395</v>
      </c>
    </row>
    <row r="311" hidden="1">
      <c r="A311" s="67" t="str">
        <f t="shared" si="1"/>
        <v>Sun</v>
      </c>
      <c r="B311" s="69">
        <v>43464.0</v>
      </c>
      <c r="C311" s="4" t="s">
        <v>638</v>
      </c>
      <c r="D311" s="193">
        <v>1000.0</v>
      </c>
      <c r="E311" s="4" t="s">
        <v>337</v>
      </c>
      <c r="F311" s="4" t="s">
        <v>1060</v>
      </c>
      <c r="G311" s="4" t="s">
        <v>1060</v>
      </c>
      <c r="H311" s="4" t="s">
        <v>2035</v>
      </c>
      <c r="I311" s="4" t="s">
        <v>395</v>
      </c>
      <c r="K311" s="4"/>
      <c r="L311" s="4" t="s">
        <v>293</v>
      </c>
      <c r="M311" s="4" t="s">
        <v>226</v>
      </c>
      <c r="N311" s="4" t="s">
        <v>232</v>
      </c>
      <c r="O311" s="4" t="s">
        <v>264</v>
      </c>
      <c r="P311" s="4" t="s">
        <v>2036</v>
      </c>
      <c r="Q311" s="4" t="s">
        <v>1061</v>
      </c>
      <c r="R311" s="167" t="s">
        <v>1062</v>
      </c>
      <c r="S311" s="4"/>
    </row>
    <row r="312" hidden="1">
      <c r="A312" s="67" t="str">
        <f t="shared" si="1"/>
        <v>Mon</v>
      </c>
      <c r="B312" s="69">
        <v>43465.0</v>
      </c>
      <c r="C312" s="4" t="s">
        <v>638</v>
      </c>
      <c r="D312" s="193">
        <v>1000.0</v>
      </c>
      <c r="E312" s="4" t="s">
        <v>337</v>
      </c>
      <c r="F312" s="4" t="s">
        <v>1060</v>
      </c>
      <c r="I312" s="4" t="s">
        <v>395</v>
      </c>
    </row>
    <row r="313" hidden="1">
      <c r="A313" s="67" t="str">
        <f t="shared" si="1"/>
        <v>Tue</v>
      </c>
      <c r="B313" s="69">
        <v>43466.0</v>
      </c>
      <c r="C313" s="4" t="s">
        <v>638</v>
      </c>
      <c r="D313" s="193">
        <v>1000.0</v>
      </c>
      <c r="E313" s="4" t="s">
        <v>337</v>
      </c>
      <c r="F313" s="4" t="s">
        <v>1060</v>
      </c>
      <c r="I313" s="4" t="s">
        <v>395</v>
      </c>
    </row>
    <row r="314" hidden="1">
      <c r="A314" s="67" t="str">
        <f t="shared" si="1"/>
        <v>Wed</v>
      </c>
      <c r="B314" s="69">
        <v>43467.0</v>
      </c>
      <c r="D314" s="194">
        <v>843.9</v>
      </c>
      <c r="E314" s="4" t="s">
        <v>222</v>
      </c>
      <c r="F314" s="4" t="s">
        <v>2037</v>
      </c>
      <c r="G314" s="4" t="s">
        <v>2037</v>
      </c>
      <c r="H314" s="4" t="s">
        <v>1060</v>
      </c>
      <c r="I314" s="4" t="s">
        <v>359</v>
      </c>
      <c r="K314" s="4"/>
      <c r="L314" s="4" t="s">
        <v>293</v>
      </c>
      <c r="M314" s="4" t="s">
        <v>310</v>
      </c>
      <c r="N314" s="4" t="s">
        <v>310</v>
      </c>
      <c r="O314" s="4" t="s">
        <v>310</v>
      </c>
      <c r="P314" s="4" t="s">
        <v>310</v>
      </c>
      <c r="Q314" s="4" t="s">
        <v>2038</v>
      </c>
      <c r="R314" s="4" t="s">
        <v>2039</v>
      </c>
      <c r="S314" s="4"/>
    </row>
    <row r="315" hidden="1">
      <c r="A315" s="67" t="str">
        <f t="shared" si="1"/>
        <v>Thu</v>
      </c>
      <c r="B315" s="69">
        <v>43468.0</v>
      </c>
      <c r="D315" s="194">
        <v>843.9</v>
      </c>
      <c r="E315" s="4" t="s">
        <v>222</v>
      </c>
      <c r="F315" s="4" t="s">
        <v>2037</v>
      </c>
      <c r="I315" s="4" t="s">
        <v>359</v>
      </c>
    </row>
    <row r="316" hidden="1">
      <c r="A316" s="67" t="str">
        <f t="shared" si="1"/>
        <v>Fri</v>
      </c>
      <c r="B316" s="69">
        <v>43469.0</v>
      </c>
      <c r="D316" s="194">
        <v>843.9</v>
      </c>
      <c r="E316" s="4" t="s">
        <v>222</v>
      </c>
      <c r="F316" s="4" t="s">
        <v>2037</v>
      </c>
      <c r="I316" s="4" t="s">
        <v>359</v>
      </c>
    </row>
    <row r="317" hidden="1">
      <c r="A317" s="67" t="str">
        <f t="shared" si="1"/>
        <v>Sat</v>
      </c>
      <c r="B317" s="69">
        <v>43470.0</v>
      </c>
      <c r="D317" s="194">
        <v>843.9</v>
      </c>
      <c r="E317" s="4" t="s">
        <v>222</v>
      </c>
      <c r="F317" s="4" t="s">
        <v>2037</v>
      </c>
      <c r="I317" s="4" t="s">
        <v>359</v>
      </c>
    </row>
    <row r="318" hidden="1">
      <c r="A318" s="67" t="str">
        <f t="shared" si="1"/>
        <v>Sun</v>
      </c>
      <c r="B318" s="69">
        <v>43471.0</v>
      </c>
      <c r="D318" s="194">
        <v>843.9</v>
      </c>
      <c r="E318" s="4" t="s">
        <v>222</v>
      </c>
      <c r="F318" s="4" t="s">
        <v>2037</v>
      </c>
      <c r="I318" s="4" t="s">
        <v>359</v>
      </c>
    </row>
    <row r="319" hidden="1">
      <c r="A319" s="67" t="str">
        <f t="shared" si="1"/>
        <v>Mon</v>
      </c>
      <c r="B319" s="69">
        <v>43472.0</v>
      </c>
      <c r="D319" s="194">
        <v>630.5</v>
      </c>
      <c r="E319" s="4" t="s">
        <v>222</v>
      </c>
      <c r="F319" s="4" t="s">
        <v>2040</v>
      </c>
      <c r="G319" s="4" t="s">
        <v>2040</v>
      </c>
      <c r="H319" s="4" t="s">
        <v>2037</v>
      </c>
      <c r="I319" s="4" t="s">
        <v>395</v>
      </c>
      <c r="K319" s="4"/>
      <c r="L319" s="4" t="s">
        <v>225</v>
      </c>
      <c r="M319" s="4" t="s">
        <v>2041</v>
      </c>
      <c r="N319" s="4" t="s">
        <v>2042</v>
      </c>
      <c r="O319" s="4" t="s">
        <v>310</v>
      </c>
      <c r="P319" s="4" t="s">
        <v>310</v>
      </c>
      <c r="Q319" s="4" t="s">
        <v>2043</v>
      </c>
      <c r="R319" s="4" t="s">
        <v>2044</v>
      </c>
      <c r="S319" s="4"/>
    </row>
    <row r="320" hidden="1">
      <c r="A320" s="67" t="str">
        <f t="shared" si="1"/>
        <v>Tue</v>
      </c>
      <c r="B320" s="69">
        <v>43473.0</v>
      </c>
      <c r="D320" s="194">
        <v>630.5</v>
      </c>
      <c r="E320" s="4" t="s">
        <v>222</v>
      </c>
      <c r="F320" s="4" t="s">
        <v>2040</v>
      </c>
      <c r="I320" s="4" t="s">
        <v>395</v>
      </c>
    </row>
    <row r="321" hidden="1">
      <c r="A321" s="67" t="str">
        <f t="shared" si="1"/>
        <v>Wed</v>
      </c>
      <c r="B321" s="69">
        <v>43474.0</v>
      </c>
      <c r="D321" s="194">
        <v>630.5</v>
      </c>
      <c r="E321" s="4" t="s">
        <v>222</v>
      </c>
      <c r="F321" s="4" t="s">
        <v>2040</v>
      </c>
      <c r="I321" s="4" t="s">
        <v>395</v>
      </c>
    </row>
    <row r="322" hidden="1">
      <c r="A322" s="67" t="str">
        <f t="shared" si="1"/>
        <v>Thu</v>
      </c>
      <c r="B322" s="69">
        <v>43475.0</v>
      </c>
      <c r="D322" s="194">
        <v>630.5</v>
      </c>
      <c r="E322" s="4" t="s">
        <v>222</v>
      </c>
      <c r="F322" s="4" t="s">
        <v>2040</v>
      </c>
      <c r="I322" s="4" t="s">
        <v>395</v>
      </c>
    </row>
    <row r="323" hidden="1">
      <c r="A323" s="67" t="str">
        <f t="shared" si="1"/>
        <v>Fri</v>
      </c>
      <c r="B323" s="69">
        <v>43476.0</v>
      </c>
      <c r="D323" s="194">
        <v>630.5</v>
      </c>
      <c r="E323" s="4" t="s">
        <v>222</v>
      </c>
      <c r="F323" s="4" t="s">
        <v>2040</v>
      </c>
      <c r="I323" s="4" t="s">
        <v>395</v>
      </c>
    </row>
    <row r="324" hidden="1">
      <c r="A324" s="67" t="str">
        <f t="shared" si="1"/>
        <v>Sat</v>
      </c>
      <c r="B324" s="69">
        <v>43477.0</v>
      </c>
      <c r="D324" s="194">
        <v>630.5</v>
      </c>
      <c r="E324" s="4" t="s">
        <v>222</v>
      </c>
      <c r="F324" s="4" t="s">
        <v>2040</v>
      </c>
      <c r="I324" s="4" t="s">
        <v>395</v>
      </c>
    </row>
    <row r="325" hidden="1">
      <c r="A325" s="67" t="str">
        <f t="shared" si="1"/>
        <v>Sun</v>
      </c>
      <c r="B325" s="69">
        <v>43478.0</v>
      </c>
      <c r="D325" s="176">
        <v>873.0</v>
      </c>
      <c r="E325" s="4" t="s">
        <v>222</v>
      </c>
      <c r="F325" s="4" t="s">
        <v>2045</v>
      </c>
      <c r="G325" s="4" t="s">
        <v>2045</v>
      </c>
      <c r="H325" s="4" t="s">
        <v>2040</v>
      </c>
      <c r="I325" s="4" t="s">
        <v>395</v>
      </c>
      <c r="J325" s="4" t="s">
        <v>2046</v>
      </c>
      <c r="K325" s="4"/>
      <c r="L325" s="4" t="s">
        <v>225</v>
      </c>
    </row>
    <row r="326" hidden="1">
      <c r="A326" s="67" t="str">
        <f t="shared" si="1"/>
        <v>Mon</v>
      </c>
      <c r="B326" s="69">
        <v>43479.0</v>
      </c>
      <c r="D326" s="176">
        <v>873.0</v>
      </c>
      <c r="E326" s="4" t="s">
        <v>222</v>
      </c>
      <c r="F326" s="4" t="s">
        <v>2045</v>
      </c>
      <c r="I326" s="4" t="s">
        <v>395</v>
      </c>
    </row>
    <row r="327" hidden="1">
      <c r="A327" s="67" t="str">
        <f t="shared" si="1"/>
        <v>Tue</v>
      </c>
      <c r="B327" s="69">
        <v>43480.0</v>
      </c>
      <c r="D327" s="176">
        <v>873.0</v>
      </c>
      <c r="E327" s="4" t="s">
        <v>222</v>
      </c>
      <c r="F327" s="4" t="s">
        <v>2045</v>
      </c>
      <c r="I327" s="4" t="s">
        <v>395</v>
      </c>
    </row>
    <row r="328" hidden="1">
      <c r="A328" s="67" t="str">
        <f t="shared" si="1"/>
        <v>Wed</v>
      </c>
      <c r="B328" s="69">
        <v>43481.0</v>
      </c>
      <c r="D328" s="176">
        <v>873.0</v>
      </c>
      <c r="E328" s="4" t="s">
        <v>222</v>
      </c>
      <c r="F328" s="4" t="s">
        <v>2045</v>
      </c>
      <c r="I328" s="4" t="s">
        <v>395</v>
      </c>
    </row>
    <row r="329" hidden="1">
      <c r="A329" s="67" t="str">
        <f t="shared" si="1"/>
        <v>Thu</v>
      </c>
      <c r="B329" s="69">
        <v>43482.0</v>
      </c>
      <c r="D329" s="176">
        <v>873.0</v>
      </c>
      <c r="E329" s="4" t="s">
        <v>222</v>
      </c>
      <c r="F329" s="4" t="s">
        <v>2045</v>
      </c>
      <c r="I329" s="4" t="s">
        <v>395</v>
      </c>
    </row>
    <row r="330" hidden="1">
      <c r="A330" s="67" t="str">
        <f t="shared" si="1"/>
        <v>Fri</v>
      </c>
      <c r="B330" s="69">
        <v>43483.0</v>
      </c>
      <c r="D330" s="176">
        <v>873.0</v>
      </c>
      <c r="E330" s="4" t="s">
        <v>222</v>
      </c>
      <c r="F330" s="4" t="s">
        <v>2045</v>
      </c>
      <c r="I330" s="4" t="s">
        <v>395</v>
      </c>
    </row>
    <row r="331" hidden="1">
      <c r="A331" s="67" t="str">
        <f t="shared" si="1"/>
        <v>Sat</v>
      </c>
      <c r="B331" s="69">
        <v>43484.0</v>
      </c>
      <c r="D331" s="176">
        <v>873.0</v>
      </c>
      <c r="E331" s="4" t="s">
        <v>222</v>
      </c>
      <c r="F331" s="4" t="s">
        <v>2045</v>
      </c>
      <c r="I331" s="4" t="s">
        <v>395</v>
      </c>
    </row>
    <row r="332" hidden="1">
      <c r="A332" s="67" t="str">
        <f t="shared" si="1"/>
        <v>Sun</v>
      </c>
      <c r="B332" s="69">
        <v>43485.0</v>
      </c>
      <c r="D332" s="176">
        <v>291.0</v>
      </c>
      <c r="E332" s="4" t="s">
        <v>222</v>
      </c>
      <c r="F332" s="4" t="s">
        <v>2047</v>
      </c>
      <c r="G332" s="4" t="s">
        <v>2047</v>
      </c>
      <c r="H332" s="4" t="s">
        <v>2045</v>
      </c>
      <c r="I332" s="4" t="s">
        <v>395</v>
      </c>
      <c r="K332" s="4"/>
      <c r="L332" s="4" t="s">
        <v>225</v>
      </c>
      <c r="M332" s="4" t="s">
        <v>310</v>
      </c>
      <c r="N332" s="4" t="s">
        <v>310</v>
      </c>
      <c r="O332" s="4" t="s">
        <v>310</v>
      </c>
    </row>
    <row r="333" hidden="1">
      <c r="A333" s="67" t="str">
        <f t="shared" si="1"/>
        <v>Mon</v>
      </c>
      <c r="B333" s="69">
        <v>43486.0</v>
      </c>
      <c r="D333" s="176">
        <v>291.0</v>
      </c>
      <c r="E333" s="4" t="s">
        <v>222</v>
      </c>
      <c r="F333" s="4" t="s">
        <v>2047</v>
      </c>
      <c r="I333" s="4" t="s">
        <v>395</v>
      </c>
    </row>
    <row r="334" hidden="1">
      <c r="A334" s="67" t="str">
        <f t="shared" si="1"/>
        <v>Tue</v>
      </c>
      <c r="B334" s="69">
        <v>43487.0</v>
      </c>
      <c r="D334" s="239">
        <v>600.0</v>
      </c>
      <c r="E334" s="4" t="s">
        <v>337</v>
      </c>
      <c r="F334" s="4" t="s">
        <v>2048</v>
      </c>
      <c r="G334" s="4" t="s">
        <v>2048</v>
      </c>
      <c r="H334" s="4" t="s">
        <v>2047</v>
      </c>
      <c r="I334" s="4" t="s">
        <v>395</v>
      </c>
      <c r="K334" s="4" t="s">
        <v>231</v>
      </c>
      <c r="L334" s="4" t="s">
        <v>225</v>
      </c>
      <c r="M334" s="4" t="s">
        <v>2049</v>
      </c>
      <c r="N334" s="4" t="s">
        <v>2050</v>
      </c>
      <c r="O334" s="4" t="s">
        <v>2051</v>
      </c>
      <c r="P334" s="4" t="s">
        <v>2052</v>
      </c>
      <c r="Q334" s="4" t="s">
        <v>2053</v>
      </c>
      <c r="R334" s="167" t="s">
        <v>2054</v>
      </c>
      <c r="S334" s="4"/>
    </row>
    <row r="335" hidden="1">
      <c r="A335" s="67" t="str">
        <f t="shared" si="1"/>
        <v>Wed</v>
      </c>
      <c r="B335" s="69">
        <v>43488.0</v>
      </c>
      <c r="D335" s="239">
        <v>600.0</v>
      </c>
      <c r="E335" s="4" t="s">
        <v>337</v>
      </c>
      <c r="F335" s="4" t="s">
        <v>2048</v>
      </c>
      <c r="I335" s="4" t="s">
        <v>395</v>
      </c>
    </row>
    <row r="336" hidden="1">
      <c r="A336" s="67" t="str">
        <f t="shared" si="1"/>
        <v>Thu</v>
      </c>
      <c r="B336" s="69">
        <v>43489.0</v>
      </c>
      <c r="D336" s="239">
        <v>600.0</v>
      </c>
      <c r="E336" s="4" t="s">
        <v>337</v>
      </c>
      <c r="F336" s="4" t="s">
        <v>2048</v>
      </c>
      <c r="I336" s="4" t="s">
        <v>395</v>
      </c>
    </row>
    <row r="337" hidden="1">
      <c r="A337" s="67" t="str">
        <f t="shared" si="1"/>
        <v>Fri</v>
      </c>
      <c r="B337" s="69">
        <v>43490.0</v>
      </c>
      <c r="D337" s="239">
        <v>600.0</v>
      </c>
      <c r="E337" s="4" t="s">
        <v>337</v>
      </c>
      <c r="F337" s="4" t="s">
        <v>2048</v>
      </c>
      <c r="I337" s="4" t="s">
        <v>395</v>
      </c>
    </row>
    <row r="338" hidden="1">
      <c r="A338" s="67" t="str">
        <f t="shared" si="1"/>
        <v>Sat</v>
      </c>
      <c r="B338" s="69">
        <v>43491.0</v>
      </c>
      <c r="D338" s="239">
        <v>0.0</v>
      </c>
      <c r="E338" s="4" t="s">
        <v>337</v>
      </c>
      <c r="F338" s="4" t="s">
        <v>2055</v>
      </c>
      <c r="G338" s="4" t="s">
        <v>2055</v>
      </c>
      <c r="H338" s="4" t="s">
        <v>2048</v>
      </c>
      <c r="I338" s="4" t="s">
        <v>395</v>
      </c>
      <c r="K338" s="4" t="s">
        <v>231</v>
      </c>
      <c r="L338" s="4" t="s">
        <v>229</v>
      </c>
      <c r="M338" s="4" t="s">
        <v>226</v>
      </c>
      <c r="N338" s="4" t="s">
        <v>232</v>
      </c>
      <c r="O338" s="4" t="s">
        <v>264</v>
      </c>
    </row>
    <row r="339" hidden="1">
      <c r="A339" s="67" t="str">
        <f t="shared" si="1"/>
        <v>Sun</v>
      </c>
      <c r="B339" s="69">
        <v>43492.0</v>
      </c>
      <c r="D339" s="240">
        <f t="shared" ref="D339:D347" si="4">9409/9</f>
        <v>1045.444444</v>
      </c>
      <c r="E339" s="4" t="s">
        <v>222</v>
      </c>
      <c r="F339" s="4" t="s">
        <v>2056</v>
      </c>
      <c r="G339" s="4" t="s">
        <v>2056</v>
      </c>
      <c r="H339" s="4" t="s">
        <v>2055</v>
      </c>
      <c r="I339" s="4" t="s">
        <v>395</v>
      </c>
      <c r="K339" s="4"/>
      <c r="L339" s="4" t="s">
        <v>225</v>
      </c>
    </row>
    <row r="340" hidden="1">
      <c r="A340" s="67" t="str">
        <f t="shared" si="1"/>
        <v>Mon</v>
      </c>
      <c r="B340" s="69">
        <v>43493.0</v>
      </c>
      <c r="D340" s="175">
        <f t="shared" si="4"/>
        <v>1045.444444</v>
      </c>
      <c r="E340" s="4" t="s">
        <v>222</v>
      </c>
      <c r="F340" s="4" t="s">
        <v>2056</v>
      </c>
      <c r="I340" s="4" t="s">
        <v>395</v>
      </c>
    </row>
    <row r="341" hidden="1">
      <c r="A341" s="67" t="str">
        <f t="shared" si="1"/>
        <v>Tue</v>
      </c>
      <c r="B341" s="69">
        <v>43494.0</v>
      </c>
      <c r="D341" s="175">
        <f t="shared" si="4"/>
        <v>1045.444444</v>
      </c>
      <c r="E341" s="4" t="s">
        <v>222</v>
      </c>
      <c r="F341" s="4" t="s">
        <v>2056</v>
      </c>
      <c r="I341" s="4" t="s">
        <v>395</v>
      </c>
    </row>
    <row r="342" hidden="1">
      <c r="A342" s="67" t="str">
        <f t="shared" si="1"/>
        <v>Wed</v>
      </c>
      <c r="B342" s="69">
        <v>43495.0</v>
      </c>
      <c r="D342" s="175">
        <f t="shared" si="4"/>
        <v>1045.444444</v>
      </c>
      <c r="E342" s="4" t="s">
        <v>222</v>
      </c>
      <c r="F342" s="4" t="s">
        <v>2056</v>
      </c>
      <c r="I342" s="4" t="s">
        <v>395</v>
      </c>
    </row>
    <row r="343" hidden="1">
      <c r="A343" s="67" t="str">
        <f t="shared" si="1"/>
        <v>Thu</v>
      </c>
      <c r="B343" s="69">
        <v>43496.0</v>
      </c>
      <c r="D343" s="175">
        <f t="shared" si="4"/>
        <v>1045.444444</v>
      </c>
      <c r="E343" s="4" t="s">
        <v>222</v>
      </c>
      <c r="F343" s="4" t="s">
        <v>2056</v>
      </c>
      <c r="I343" s="4" t="s">
        <v>395</v>
      </c>
    </row>
    <row r="344" hidden="1">
      <c r="A344" s="67" t="str">
        <f t="shared" si="1"/>
        <v>Fri</v>
      </c>
      <c r="B344" s="69">
        <v>43497.0</v>
      </c>
      <c r="D344" s="175">
        <f t="shared" si="4"/>
        <v>1045.444444</v>
      </c>
      <c r="E344" s="4" t="s">
        <v>222</v>
      </c>
      <c r="F344" s="4" t="s">
        <v>2056</v>
      </c>
      <c r="I344" s="4" t="s">
        <v>395</v>
      </c>
    </row>
    <row r="345" hidden="1">
      <c r="A345" s="67" t="str">
        <f t="shared" si="1"/>
        <v>Sat</v>
      </c>
      <c r="B345" s="69">
        <v>43498.0</v>
      </c>
      <c r="D345" s="175">
        <f t="shared" si="4"/>
        <v>1045.444444</v>
      </c>
      <c r="E345" s="4" t="s">
        <v>222</v>
      </c>
      <c r="F345" s="4" t="s">
        <v>2056</v>
      </c>
      <c r="I345" s="4" t="s">
        <v>395</v>
      </c>
    </row>
    <row r="346" hidden="1">
      <c r="A346" s="67" t="str">
        <f t="shared" si="1"/>
        <v>Sun</v>
      </c>
      <c r="B346" s="69">
        <v>43499.0</v>
      </c>
      <c r="D346" s="175">
        <f t="shared" si="4"/>
        <v>1045.444444</v>
      </c>
      <c r="E346" s="4" t="s">
        <v>222</v>
      </c>
      <c r="F346" s="4" t="s">
        <v>2056</v>
      </c>
      <c r="I346" s="4" t="s">
        <v>395</v>
      </c>
    </row>
    <row r="347" hidden="1">
      <c r="A347" s="67" t="str">
        <f t="shared" si="1"/>
        <v>Mon</v>
      </c>
      <c r="B347" s="69">
        <v>43500.0</v>
      </c>
      <c r="D347" s="175">
        <f t="shared" si="4"/>
        <v>1045.444444</v>
      </c>
      <c r="E347" s="4" t="s">
        <v>222</v>
      </c>
      <c r="F347" s="4" t="s">
        <v>2056</v>
      </c>
      <c r="I347" s="4" t="s">
        <v>395</v>
      </c>
    </row>
    <row r="348" hidden="1">
      <c r="A348" s="67" t="str">
        <f t="shared" si="1"/>
        <v>Tue</v>
      </c>
      <c r="B348" s="69">
        <v>43501.0</v>
      </c>
      <c r="D348" s="194">
        <v>436.5</v>
      </c>
      <c r="E348" s="4" t="s">
        <v>222</v>
      </c>
      <c r="F348" s="4" t="s">
        <v>2057</v>
      </c>
      <c r="G348" s="4" t="s">
        <v>2057</v>
      </c>
      <c r="I348" s="4" t="s">
        <v>395</v>
      </c>
      <c r="K348" s="4"/>
      <c r="L348" s="4" t="s">
        <v>225</v>
      </c>
      <c r="M348" s="4" t="s">
        <v>2058</v>
      </c>
      <c r="N348" s="4" t="s">
        <v>232</v>
      </c>
      <c r="O348" s="4" t="s">
        <v>264</v>
      </c>
      <c r="P348" s="4" t="s">
        <v>2036</v>
      </c>
    </row>
    <row r="349" hidden="1">
      <c r="A349" s="67" t="str">
        <f t="shared" si="1"/>
        <v>Wed</v>
      </c>
      <c r="B349" s="69">
        <v>43502.0</v>
      </c>
      <c r="D349" s="194">
        <v>436.5</v>
      </c>
      <c r="E349" s="4" t="s">
        <v>222</v>
      </c>
      <c r="F349" s="4" t="s">
        <v>2057</v>
      </c>
      <c r="I349" s="4" t="s">
        <v>395</v>
      </c>
    </row>
    <row r="350" hidden="1">
      <c r="A350" s="67" t="str">
        <f t="shared" si="1"/>
        <v>Thu</v>
      </c>
      <c r="B350" s="69">
        <v>43503.0</v>
      </c>
      <c r="D350" s="194">
        <v>436.5</v>
      </c>
      <c r="E350" s="4" t="s">
        <v>222</v>
      </c>
      <c r="F350" s="4" t="s">
        <v>2057</v>
      </c>
      <c r="I350" s="4" t="s">
        <v>395</v>
      </c>
    </row>
    <row r="351" hidden="1">
      <c r="A351" s="67" t="str">
        <f t="shared" si="1"/>
        <v>Fri</v>
      </c>
      <c r="B351" s="69">
        <v>43504.0</v>
      </c>
      <c r="D351" s="171">
        <f t="shared" ref="D351:D357" si="5">4186/7</f>
        <v>598</v>
      </c>
      <c r="E351" s="4" t="s">
        <v>337</v>
      </c>
      <c r="F351" s="4" t="s">
        <v>2059</v>
      </c>
      <c r="G351" s="4" t="s">
        <v>2059</v>
      </c>
      <c r="H351" s="4" t="s">
        <v>2057</v>
      </c>
      <c r="I351" s="4" t="s">
        <v>395</v>
      </c>
      <c r="J351" s="4" t="s">
        <v>2060</v>
      </c>
      <c r="K351" s="4"/>
      <c r="L351" s="4" t="s">
        <v>225</v>
      </c>
      <c r="M351" s="4" t="s">
        <v>2061</v>
      </c>
      <c r="N351" s="4" t="s">
        <v>226</v>
      </c>
      <c r="O351" s="4" t="s">
        <v>232</v>
      </c>
      <c r="P351" s="4" t="s">
        <v>264</v>
      </c>
      <c r="Q351" s="4" t="s">
        <v>2062</v>
      </c>
      <c r="R351" s="167" t="s">
        <v>2063</v>
      </c>
      <c r="S351" s="4"/>
    </row>
    <row r="352" hidden="1">
      <c r="A352" s="67" t="str">
        <f t="shared" si="1"/>
        <v>Sat</v>
      </c>
      <c r="B352" s="69">
        <v>43505.0</v>
      </c>
      <c r="D352" s="171">
        <f t="shared" si="5"/>
        <v>598</v>
      </c>
      <c r="E352" s="4" t="s">
        <v>337</v>
      </c>
      <c r="F352" s="4" t="s">
        <v>2059</v>
      </c>
      <c r="I352" s="4" t="s">
        <v>395</v>
      </c>
    </row>
    <row r="353" hidden="1">
      <c r="A353" s="67" t="str">
        <f t="shared" si="1"/>
        <v>Sun</v>
      </c>
      <c r="B353" s="69">
        <v>43506.0</v>
      </c>
      <c r="D353" s="171">
        <f t="shared" si="5"/>
        <v>598</v>
      </c>
      <c r="E353" s="4" t="s">
        <v>337</v>
      </c>
      <c r="F353" s="4" t="s">
        <v>2059</v>
      </c>
      <c r="I353" s="4" t="s">
        <v>395</v>
      </c>
    </row>
    <row r="354" hidden="1">
      <c r="A354" s="67" t="str">
        <f t="shared" si="1"/>
        <v>Mon</v>
      </c>
      <c r="B354" s="69">
        <v>43507.0</v>
      </c>
      <c r="D354" s="171">
        <f t="shared" si="5"/>
        <v>598</v>
      </c>
      <c r="E354" s="4" t="s">
        <v>337</v>
      </c>
      <c r="F354" s="4" t="s">
        <v>2059</v>
      </c>
      <c r="I354" s="4" t="s">
        <v>395</v>
      </c>
    </row>
    <row r="355" hidden="1">
      <c r="A355" s="67" t="str">
        <f t="shared" si="1"/>
        <v>Tue</v>
      </c>
      <c r="B355" s="69">
        <v>43508.0</v>
      </c>
      <c r="D355" s="171">
        <f t="shared" si="5"/>
        <v>598</v>
      </c>
      <c r="E355" s="4" t="s">
        <v>337</v>
      </c>
      <c r="F355" s="4" t="s">
        <v>2059</v>
      </c>
      <c r="I355" s="4" t="s">
        <v>395</v>
      </c>
    </row>
    <row r="356" hidden="1">
      <c r="A356" s="67" t="str">
        <f t="shared" si="1"/>
        <v>Wed</v>
      </c>
      <c r="B356" s="69">
        <v>43509.0</v>
      </c>
      <c r="D356" s="171">
        <f t="shared" si="5"/>
        <v>598</v>
      </c>
      <c r="E356" s="4" t="s">
        <v>337</v>
      </c>
      <c r="F356" s="4" t="s">
        <v>2059</v>
      </c>
      <c r="I356" s="4" t="s">
        <v>395</v>
      </c>
    </row>
    <row r="357" hidden="1">
      <c r="A357" s="67" t="str">
        <f t="shared" si="1"/>
        <v>Thu</v>
      </c>
      <c r="B357" s="69">
        <v>43510.0</v>
      </c>
      <c r="D357" s="171">
        <f t="shared" si="5"/>
        <v>598</v>
      </c>
      <c r="E357" s="4" t="s">
        <v>337</v>
      </c>
      <c r="F357" s="4" t="s">
        <v>2059</v>
      </c>
      <c r="I357" s="4" t="s">
        <v>395</v>
      </c>
    </row>
    <row r="358" hidden="1">
      <c r="A358" s="67" t="str">
        <f t="shared" si="1"/>
        <v>Fri</v>
      </c>
      <c r="B358" s="69">
        <v>43511.0</v>
      </c>
      <c r="D358" s="194">
        <v>323.3333333333333</v>
      </c>
      <c r="E358" s="4" t="s">
        <v>222</v>
      </c>
      <c r="F358" s="4" t="s">
        <v>2064</v>
      </c>
      <c r="G358" s="4" t="s">
        <v>2064</v>
      </c>
      <c r="H358" s="4" t="s">
        <v>2059</v>
      </c>
      <c r="I358" s="4" t="s">
        <v>359</v>
      </c>
      <c r="K358" s="4" t="s">
        <v>231</v>
      </c>
      <c r="L358" s="4" t="s">
        <v>225</v>
      </c>
      <c r="M358" s="4" t="s">
        <v>226</v>
      </c>
      <c r="N358" s="4" t="s">
        <v>232</v>
      </c>
      <c r="O358" s="4" t="s">
        <v>264</v>
      </c>
      <c r="P358" s="4" t="s">
        <v>2036</v>
      </c>
    </row>
    <row r="359" hidden="1">
      <c r="A359" s="67" t="str">
        <f t="shared" si="1"/>
        <v>Sat</v>
      </c>
      <c r="B359" s="69">
        <v>43512.0</v>
      </c>
      <c r="D359" s="194">
        <v>323.3333333333333</v>
      </c>
      <c r="E359" s="4" t="s">
        <v>222</v>
      </c>
      <c r="F359" s="4" t="s">
        <v>2064</v>
      </c>
      <c r="I359" s="4" t="s">
        <v>359</v>
      </c>
    </row>
    <row r="360" hidden="1">
      <c r="A360" s="67" t="str">
        <f t="shared" si="1"/>
        <v>Sun</v>
      </c>
      <c r="B360" s="69">
        <v>43513.0</v>
      </c>
      <c r="D360" s="194">
        <v>323.3333333333333</v>
      </c>
      <c r="E360" s="4" t="s">
        <v>222</v>
      </c>
      <c r="F360" s="4" t="s">
        <v>2064</v>
      </c>
      <c r="I360" s="4" t="s">
        <v>359</v>
      </c>
    </row>
    <row r="361" hidden="1">
      <c r="A361" s="67" t="str">
        <f t="shared" si="1"/>
        <v>Mon</v>
      </c>
      <c r="B361" s="69">
        <v>43514.0</v>
      </c>
      <c r="D361" s="194">
        <v>339.5</v>
      </c>
      <c r="E361" s="4" t="s">
        <v>222</v>
      </c>
      <c r="F361" s="4" t="s">
        <v>2065</v>
      </c>
      <c r="G361" s="4" t="s">
        <v>2065</v>
      </c>
      <c r="H361" s="4" t="s">
        <v>2064</v>
      </c>
      <c r="I361" s="4" t="s">
        <v>359</v>
      </c>
      <c r="K361" s="4" t="s">
        <v>231</v>
      </c>
      <c r="L361" s="4" t="s">
        <v>225</v>
      </c>
      <c r="M361" s="4" t="s">
        <v>2066</v>
      </c>
      <c r="N361" s="4" t="s">
        <v>2067</v>
      </c>
      <c r="O361" s="4" t="s">
        <v>2068</v>
      </c>
      <c r="Q361" s="4" t="s">
        <v>2069</v>
      </c>
      <c r="R361" s="167" t="s">
        <v>2070</v>
      </c>
      <c r="S361" s="4"/>
    </row>
    <row r="362" hidden="1">
      <c r="A362" s="67" t="str">
        <f t="shared" si="1"/>
        <v>Tue</v>
      </c>
      <c r="B362" s="69">
        <v>43515.0</v>
      </c>
      <c r="D362" s="194">
        <v>339.5</v>
      </c>
      <c r="E362" s="4" t="s">
        <v>222</v>
      </c>
      <c r="F362" s="4" t="s">
        <v>2065</v>
      </c>
      <c r="I362" s="4" t="s">
        <v>359</v>
      </c>
    </row>
    <row r="363" hidden="1">
      <c r="A363" s="67" t="str">
        <f t="shared" si="1"/>
        <v>Wed</v>
      </c>
      <c r="B363" s="69">
        <v>43516.0</v>
      </c>
      <c r="D363" s="194">
        <v>339.5</v>
      </c>
      <c r="E363" s="4" t="s">
        <v>222</v>
      </c>
      <c r="F363" s="4" t="s">
        <v>2065</v>
      </c>
      <c r="I363" s="4" t="s">
        <v>359</v>
      </c>
    </row>
    <row r="364" hidden="1">
      <c r="A364" s="67" t="str">
        <f t="shared" si="1"/>
        <v>Thu</v>
      </c>
      <c r="B364" s="69">
        <v>43517.0</v>
      </c>
      <c r="D364" s="194">
        <v>339.5</v>
      </c>
      <c r="E364" s="4" t="s">
        <v>222</v>
      </c>
      <c r="F364" s="4" t="s">
        <v>2065</v>
      </c>
      <c r="I364" s="4" t="s">
        <v>359</v>
      </c>
    </row>
    <row r="365" hidden="1">
      <c r="A365" s="67" t="str">
        <f t="shared" si="1"/>
        <v>Fri</v>
      </c>
      <c r="B365" s="69">
        <v>43518.0</v>
      </c>
      <c r="D365" s="194">
        <v>339.5</v>
      </c>
      <c r="E365" s="4" t="s">
        <v>222</v>
      </c>
      <c r="F365" s="4" t="s">
        <v>2065</v>
      </c>
      <c r="I365" s="4" t="s">
        <v>359</v>
      </c>
    </row>
    <row r="366" hidden="1">
      <c r="A366" s="67" t="str">
        <f t="shared" si="1"/>
        <v>Sat</v>
      </c>
      <c r="B366" s="69">
        <v>43519.0</v>
      </c>
      <c r="D366" s="194">
        <v>339.5</v>
      </c>
      <c r="E366" s="4" t="s">
        <v>222</v>
      </c>
      <c r="F366" s="4" t="s">
        <v>2065</v>
      </c>
      <c r="I366" s="4" t="s">
        <v>359</v>
      </c>
    </row>
    <row r="367" hidden="1">
      <c r="A367" s="67" t="str">
        <f t="shared" si="1"/>
        <v>Sun</v>
      </c>
      <c r="B367" s="69">
        <v>43520.0</v>
      </c>
      <c r="D367" s="194">
        <v>339.5</v>
      </c>
      <c r="E367" s="4" t="s">
        <v>222</v>
      </c>
      <c r="F367" s="4" t="s">
        <v>2065</v>
      </c>
      <c r="I367" s="4" t="s">
        <v>359</v>
      </c>
    </row>
    <row r="368" hidden="1">
      <c r="A368" s="67" t="str">
        <f t="shared" si="1"/>
        <v>Mon</v>
      </c>
      <c r="B368" s="69">
        <v>43521.0</v>
      </c>
      <c r="D368" s="194">
        <v>291.0</v>
      </c>
      <c r="E368" s="4" t="s">
        <v>222</v>
      </c>
      <c r="F368" s="4" t="s">
        <v>2072</v>
      </c>
      <c r="G368" s="4" t="s">
        <v>2072</v>
      </c>
      <c r="H368" s="4" t="s">
        <v>2065</v>
      </c>
      <c r="I368" s="4" t="s">
        <v>359</v>
      </c>
      <c r="K368" s="4" t="s">
        <v>231</v>
      </c>
      <c r="L368" s="4" t="s">
        <v>225</v>
      </c>
      <c r="M368" s="4" t="s">
        <v>226</v>
      </c>
      <c r="N368" s="4" t="s">
        <v>232</v>
      </c>
      <c r="O368" s="4" t="s">
        <v>264</v>
      </c>
      <c r="P368" s="4" t="s">
        <v>2036</v>
      </c>
    </row>
    <row r="369" hidden="1">
      <c r="A369" s="67" t="str">
        <f t="shared" si="1"/>
        <v>Tue</v>
      </c>
      <c r="B369" s="69">
        <v>43522.0</v>
      </c>
      <c r="D369" s="194">
        <v>291.0</v>
      </c>
      <c r="E369" s="4" t="s">
        <v>222</v>
      </c>
      <c r="F369" s="4" t="s">
        <v>2072</v>
      </c>
      <c r="I369" s="4" t="s">
        <v>359</v>
      </c>
    </row>
    <row r="370" hidden="1">
      <c r="A370" s="67" t="str">
        <f t="shared" si="1"/>
        <v>Wed</v>
      </c>
      <c r="B370" s="69">
        <v>43523.0</v>
      </c>
      <c r="D370" s="194">
        <v>291.0</v>
      </c>
      <c r="E370" s="4" t="s">
        <v>222</v>
      </c>
      <c r="F370" s="4" t="s">
        <v>2072</v>
      </c>
      <c r="I370" s="4" t="s">
        <v>359</v>
      </c>
    </row>
    <row r="371" hidden="1">
      <c r="A371" s="67" t="str">
        <f t="shared" si="1"/>
        <v>Thu</v>
      </c>
      <c r="B371" s="69">
        <v>43524.0</v>
      </c>
      <c r="D371" s="193">
        <v>600.0</v>
      </c>
      <c r="E371" s="4" t="s">
        <v>337</v>
      </c>
      <c r="F371" s="4" t="s">
        <v>2073</v>
      </c>
      <c r="G371" s="4" t="s">
        <v>2073</v>
      </c>
      <c r="H371" s="4" t="s">
        <v>2072</v>
      </c>
      <c r="I371" s="4" t="s">
        <v>395</v>
      </c>
      <c r="J371" s="4" t="s">
        <v>2074</v>
      </c>
      <c r="K371" s="4" t="s">
        <v>231</v>
      </c>
      <c r="L371" s="4" t="s">
        <v>293</v>
      </c>
      <c r="M371" s="4" t="s">
        <v>226</v>
      </c>
      <c r="N371" s="4" t="s">
        <v>232</v>
      </c>
      <c r="Q371" s="4" t="s">
        <v>2075</v>
      </c>
      <c r="R371" s="167" t="s">
        <v>2076</v>
      </c>
      <c r="S371" s="4"/>
    </row>
    <row r="372">
      <c r="A372" s="67" t="str">
        <f t="shared" si="1"/>
        <v>Fri</v>
      </c>
      <c r="B372" s="69">
        <v>43525.0</v>
      </c>
      <c r="D372" s="193">
        <v>800.0</v>
      </c>
      <c r="E372" s="4" t="s">
        <v>337</v>
      </c>
      <c r="F372" s="4" t="s">
        <v>2077</v>
      </c>
      <c r="G372" s="4" t="s">
        <v>2077</v>
      </c>
      <c r="H372" s="4" t="s">
        <v>2073</v>
      </c>
      <c r="I372" s="4" t="s">
        <v>359</v>
      </c>
      <c r="J372" s="4" t="s">
        <v>2078</v>
      </c>
      <c r="K372" s="4" t="s">
        <v>231</v>
      </c>
      <c r="L372" s="4" t="s">
        <v>225</v>
      </c>
      <c r="M372" s="4" t="s">
        <v>2079</v>
      </c>
    </row>
    <row r="373">
      <c r="A373" s="67" t="str">
        <f t="shared" si="1"/>
        <v>Sat</v>
      </c>
      <c r="B373" s="69">
        <v>43526.0</v>
      </c>
      <c r="D373" s="193">
        <v>800.0</v>
      </c>
      <c r="E373" s="4" t="s">
        <v>337</v>
      </c>
      <c r="F373" s="4" t="s">
        <v>2077</v>
      </c>
      <c r="I373" s="4" t="s">
        <v>359</v>
      </c>
    </row>
    <row r="374">
      <c r="A374" s="67" t="str">
        <f t="shared" si="1"/>
        <v>Sun</v>
      </c>
      <c r="B374" s="69">
        <v>43527.0</v>
      </c>
      <c r="D374" s="193">
        <v>800.0</v>
      </c>
      <c r="E374" s="4" t="s">
        <v>337</v>
      </c>
      <c r="F374" s="4" t="s">
        <v>2077</v>
      </c>
      <c r="I374" s="4" t="s">
        <v>359</v>
      </c>
    </row>
    <row r="375">
      <c r="A375" s="67" t="str">
        <f t="shared" si="1"/>
        <v>Mon</v>
      </c>
      <c r="B375" s="69">
        <v>43528.0</v>
      </c>
      <c r="D375" s="193">
        <v>800.0</v>
      </c>
      <c r="E375" s="4" t="s">
        <v>337</v>
      </c>
      <c r="F375" s="4" t="s">
        <v>2077</v>
      </c>
      <c r="I375" s="4" t="s">
        <v>359</v>
      </c>
    </row>
    <row r="376">
      <c r="A376" s="67" t="str">
        <f t="shared" si="1"/>
        <v>Tue</v>
      </c>
      <c r="B376" s="69">
        <v>43529.0</v>
      </c>
      <c r="D376" s="193">
        <v>800.0</v>
      </c>
      <c r="E376" s="4" t="s">
        <v>337</v>
      </c>
      <c r="F376" s="4" t="s">
        <v>2077</v>
      </c>
      <c r="I376" s="4" t="s">
        <v>359</v>
      </c>
    </row>
    <row r="377">
      <c r="A377" s="67" t="str">
        <f t="shared" si="1"/>
        <v>Wed</v>
      </c>
      <c r="B377" s="69">
        <v>43530.0</v>
      </c>
      <c r="D377" s="194">
        <v>339.5</v>
      </c>
      <c r="E377" s="4" t="s">
        <v>222</v>
      </c>
      <c r="F377" s="4" t="s">
        <v>2080</v>
      </c>
      <c r="G377" s="4" t="s">
        <v>2080</v>
      </c>
      <c r="H377" s="4" t="s">
        <v>2077</v>
      </c>
      <c r="I377" s="4" t="s">
        <v>359</v>
      </c>
      <c r="K377" s="4"/>
      <c r="L377" s="4" t="s">
        <v>225</v>
      </c>
      <c r="M377" s="4" t="s">
        <v>226</v>
      </c>
      <c r="N377" s="4" t="s">
        <v>232</v>
      </c>
      <c r="O377" s="4" t="s">
        <v>264</v>
      </c>
      <c r="P377" s="4" t="s">
        <v>2036</v>
      </c>
    </row>
    <row r="378">
      <c r="A378" s="67" t="str">
        <f t="shared" si="1"/>
        <v>Thu</v>
      </c>
      <c r="B378" s="69">
        <v>43531.0</v>
      </c>
      <c r="D378" s="194">
        <v>339.5</v>
      </c>
      <c r="E378" s="4" t="s">
        <v>222</v>
      </c>
      <c r="F378" s="4" t="s">
        <v>2080</v>
      </c>
      <c r="I378" s="4" t="s">
        <v>359</v>
      </c>
    </row>
    <row r="379">
      <c r="A379" s="67" t="str">
        <f t="shared" si="1"/>
        <v>Fri</v>
      </c>
      <c r="B379" s="69">
        <v>43532.0</v>
      </c>
      <c r="D379" s="194">
        <v>339.5</v>
      </c>
      <c r="E379" s="4" t="s">
        <v>222</v>
      </c>
      <c r="F379" s="4" t="s">
        <v>2080</v>
      </c>
      <c r="I379" s="4" t="s">
        <v>359</v>
      </c>
    </row>
    <row r="380">
      <c r="A380" s="67" t="str">
        <f t="shared" si="1"/>
        <v>Sat</v>
      </c>
      <c r="B380" s="69">
        <v>43533.0</v>
      </c>
      <c r="D380" s="194">
        <v>339.5</v>
      </c>
      <c r="E380" s="4" t="s">
        <v>222</v>
      </c>
      <c r="F380" s="4" t="s">
        <v>2080</v>
      </c>
      <c r="I380" s="4" t="s">
        <v>359</v>
      </c>
    </row>
    <row r="381">
      <c r="A381" s="67" t="str">
        <f t="shared" si="1"/>
        <v>Sun</v>
      </c>
      <c r="B381" s="69">
        <v>43534.0</v>
      </c>
      <c r="D381" s="194">
        <v>242.5</v>
      </c>
      <c r="E381" s="4" t="s">
        <v>222</v>
      </c>
      <c r="F381" s="4" t="s">
        <v>2081</v>
      </c>
      <c r="G381" s="4" t="s">
        <v>2081</v>
      </c>
      <c r="H381" s="4" t="s">
        <v>2080</v>
      </c>
      <c r="I381" s="4" t="s">
        <v>359</v>
      </c>
      <c r="K381" s="4"/>
      <c r="L381" s="4" t="s">
        <v>225</v>
      </c>
      <c r="M381" s="4" t="s">
        <v>2082</v>
      </c>
      <c r="Q381" s="4" t="s">
        <v>2083</v>
      </c>
      <c r="R381" s="167" t="s">
        <v>2084</v>
      </c>
      <c r="S381" s="4"/>
    </row>
    <row r="382">
      <c r="A382" s="67" t="str">
        <f t="shared" si="1"/>
        <v>Mon</v>
      </c>
      <c r="B382" s="69">
        <v>43535.0</v>
      </c>
      <c r="D382" s="194">
        <v>242.5</v>
      </c>
      <c r="E382" s="4" t="s">
        <v>222</v>
      </c>
      <c r="F382" s="4" t="s">
        <v>2081</v>
      </c>
      <c r="I382" s="4" t="s">
        <v>359</v>
      </c>
    </row>
    <row r="383">
      <c r="A383" s="67" t="str">
        <f t="shared" si="1"/>
        <v>Tue</v>
      </c>
      <c r="B383" s="69">
        <v>43536.0</v>
      </c>
      <c r="D383" s="176">
        <v>266.75</v>
      </c>
      <c r="E383" s="4" t="s">
        <v>222</v>
      </c>
      <c r="F383" s="4" t="s">
        <v>2085</v>
      </c>
      <c r="G383" s="4" t="s">
        <v>2085</v>
      </c>
      <c r="H383" s="4" t="s">
        <v>2081</v>
      </c>
      <c r="I383" s="4" t="s">
        <v>395</v>
      </c>
      <c r="K383" s="4"/>
      <c r="L383" s="4" t="s">
        <v>225</v>
      </c>
    </row>
    <row r="384">
      <c r="A384" s="67" t="str">
        <f t="shared" si="1"/>
        <v>Wed</v>
      </c>
      <c r="B384" s="69">
        <v>43537.0</v>
      </c>
      <c r="D384" s="176">
        <v>266.75</v>
      </c>
      <c r="E384" s="4" t="s">
        <v>222</v>
      </c>
      <c r="F384" s="4" t="s">
        <v>2085</v>
      </c>
      <c r="I384" s="4" t="s">
        <v>395</v>
      </c>
    </row>
    <row r="385">
      <c r="A385" s="67" t="str">
        <f t="shared" si="1"/>
        <v>Thu</v>
      </c>
      <c r="B385" s="69">
        <v>43538.0</v>
      </c>
      <c r="D385" s="176">
        <v>266.75</v>
      </c>
      <c r="E385" s="4" t="s">
        <v>222</v>
      </c>
      <c r="F385" s="4" t="s">
        <v>2085</v>
      </c>
      <c r="I385" s="4" t="s">
        <v>395</v>
      </c>
    </row>
    <row r="386">
      <c r="A386" s="67" t="str">
        <f t="shared" si="1"/>
        <v>Fri</v>
      </c>
      <c r="B386" s="69">
        <v>43539.0</v>
      </c>
      <c r="D386" s="176">
        <v>266.75</v>
      </c>
      <c r="E386" s="4" t="s">
        <v>222</v>
      </c>
      <c r="F386" s="4" t="s">
        <v>2085</v>
      </c>
      <c r="I386" s="4" t="s">
        <v>395</v>
      </c>
    </row>
    <row r="387">
      <c r="A387" s="67" t="str">
        <f t="shared" si="1"/>
        <v>Sat</v>
      </c>
      <c r="B387" s="69">
        <v>43540.0</v>
      </c>
      <c r="D387" s="194">
        <v>242.5</v>
      </c>
      <c r="E387" s="4" t="s">
        <v>222</v>
      </c>
      <c r="F387" s="4" t="s">
        <v>2086</v>
      </c>
      <c r="G387" s="4" t="s">
        <v>2086</v>
      </c>
      <c r="H387" s="4" t="s">
        <v>2085</v>
      </c>
      <c r="I387" s="4" t="s">
        <v>224</v>
      </c>
      <c r="K387" s="4" t="s">
        <v>231</v>
      </c>
      <c r="L387" s="4" t="s">
        <v>225</v>
      </c>
      <c r="M387" s="4" t="s">
        <v>2087</v>
      </c>
      <c r="N387" s="4" t="s">
        <v>2088</v>
      </c>
      <c r="Q387" s="4" t="s">
        <v>2089</v>
      </c>
      <c r="R387" s="4" t="s">
        <v>2090</v>
      </c>
      <c r="S387" s="4">
        <v>5.357338957E9</v>
      </c>
    </row>
    <row r="388">
      <c r="A388" s="67" t="str">
        <f t="shared" si="1"/>
        <v>Sun</v>
      </c>
      <c r="B388" s="69">
        <v>43541.0</v>
      </c>
      <c r="D388" s="194">
        <v>242.5</v>
      </c>
      <c r="E388" s="4" t="s">
        <v>222</v>
      </c>
      <c r="F388" s="4" t="s">
        <v>2086</v>
      </c>
      <c r="I388" s="4" t="s">
        <v>224</v>
      </c>
    </row>
    <row r="389">
      <c r="A389" s="67" t="str">
        <f t="shared" si="1"/>
        <v>Mon</v>
      </c>
      <c r="B389" s="69">
        <v>43542.0</v>
      </c>
      <c r="D389" s="194">
        <v>242.5</v>
      </c>
      <c r="E389" s="4" t="s">
        <v>222</v>
      </c>
      <c r="F389" s="4" t="s">
        <v>2086</v>
      </c>
      <c r="I389" s="4" t="s">
        <v>224</v>
      </c>
    </row>
    <row r="390">
      <c r="A390" s="67" t="str">
        <f t="shared" si="1"/>
        <v>Tue</v>
      </c>
      <c r="B390" s="69">
        <v>43543.0</v>
      </c>
      <c r="D390" s="194">
        <v>300.0</v>
      </c>
      <c r="E390" s="4" t="s">
        <v>337</v>
      </c>
      <c r="F390" s="4" t="s">
        <v>2091</v>
      </c>
      <c r="G390" s="4" t="s">
        <v>2091</v>
      </c>
      <c r="H390" s="4" t="s">
        <v>2086</v>
      </c>
      <c r="I390" s="4" t="s">
        <v>395</v>
      </c>
      <c r="K390" s="4" t="s">
        <v>231</v>
      </c>
      <c r="L390" s="4" t="s">
        <v>225</v>
      </c>
      <c r="M390" s="4" t="s">
        <v>2092</v>
      </c>
      <c r="N390" s="4" t="s">
        <v>2093</v>
      </c>
      <c r="O390" s="4" t="s">
        <v>2094</v>
      </c>
      <c r="P390" s="4" t="s">
        <v>2095</v>
      </c>
      <c r="Q390" s="4" t="s">
        <v>2096</v>
      </c>
      <c r="R390" s="167" t="s">
        <v>2097</v>
      </c>
      <c r="S390" s="4"/>
    </row>
    <row r="391">
      <c r="A391" s="67" t="str">
        <f t="shared" si="1"/>
        <v>Wed</v>
      </c>
      <c r="B391" s="69">
        <v>43544.0</v>
      </c>
      <c r="D391" s="194">
        <v>300.0</v>
      </c>
      <c r="E391" s="4" t="s">
        <v>337</v>
      </c>
      <c r="F391" s="4" t="s">
        <v>2091</v>
      </c>
      <c r="I391" s="4" t="s">
        <v>395</v>
      </c>
    </row>
    <row r="392">
      <c r="A392" s="67" t="str">
        <f t="shared" si="1"/>
        <v>Thu</v>
      </c>
      <c r="B392" s="69">
        <v>43545.0</v>
      </c>
      <c r="D392" s="194">
        <v>300.0</v>
      </c>
      <c r="E392" s="4" t="s">
        <v>337</v>
      </c>
      <c r="F392" s="4" t="s">
        <v>2091</v>
      </c>
      <c r="I392" s="4" t="s">
        <v>395</v>
      </c>
    </row>
    <row r="393">
      <c r="A393" s="67" t="str">
        <f t="shared" si="1"/>
        <v>Fri</v>
      </c>
      <c r="B393" s="69">
        <v>43546.0</v>
      </c>
      <c r="D393" s="194">
        <v>300.0</v>
      </c>
      <c r="E393" s="4" t="s">
        <v>337</v>
      </c>
      <c r="F393" s="4" t="s">
        <v>2091</v>
      </c>
      <c r="I393" s="4" t="s">
        <v>395</v>
      </c>
    </row>
    <row r="394">
      <c r="A394" s="67" t="str">
        <f t="shared" si="1"/>
        <v>Sat</v>
      </c>
      <c r="B394" s="69">
        <v>43547.0</v>
      </c>
      <c r="D394" s="194">
        <v>300.0</v>
      </c>
      <c r="E394" s="4" t="s">
        <v>337</v>
      </c>
      <c r="F394" s="4" t="s">
        <v>2091</v>
      </c>
      <c r="I394" s="4" t="s">
        <v>395</v>
      </c>
    </row>
    <row r="395">
      <c r="A395" s="67" t="str">
        <f t="shared" si="1"/>
        <v>Sun</v>
      </c>
      <c r="B395" s="69">
        <v>43548.0</v>
      </c>
      <c r="D395" s="171"/>
      <c r="F395" s="4"/>
      <c r="G395" s="4"/>
      <c r="H395" s="4" t="s">
        <v>2091</v>
      </c>
      <c r="J395" s="4"/>
      <c r="L395" s="4" t="s">
        <v>229</v>
      </c>
      <c r="M395" s="4"/>
      <c r="N395" s="4"/>
      <c r="O395" s="4"/>
    </row>
    <row r="396">
      <c r="A396" s="67" t="str">
        <f t="shared" si="1"/>
        <v>Mon</v>
      </c>
      <c r="B396" s="69">
        <v>43549.0</v>
      </c>
      <c r="D396" s="193">
        <v>300.15</v>
      </c>
      <c r="E396" s="4" t="s">
        <v>169</v>
      </c>
      <c r="F396" s="4" t="s">
        <v>559</v>
      </c>
      <c r="G396" s="4" t="s">
        <v>559</v>
      </c>
      <c r="H396" s="4"/>
      <c r="I396" s="4" t="s">
        <v>224</v>
      </c>
      <c r="K396" s="4" t="s">
        <v>231</v>
      </c>
      <c r="L396" s="4" t="s">
        <v>229</v>
      </c>
      <c r="M396" s="4" t="s">
        <v>226</v>
      </c>
      <c r="R396" s="4" t="s">
        <v>2100</v>
      </c>
    </row>
    <row r="397">
      <c r="A397" s="67" t="str">
        <f t="shared" si="1"/>
        <v>Tue</v>
      </c>
      <c r="B397" s="69">
        <v>43550.0</v>
      </c>
      <c r="D397" s="193">
        <v>300.15</v>
      </c>
      <c r="E397" s="4" t="s">
        <v>169</v>
      </c>
      <c r="F397" s="4" t="s">
        <v>559</v>
      </c>
      <c r="I397" s="4" t="s">
        <v>224</v>
      </c>
    </row>
    <row r="398">
      <c r="A398" s="67" t="str">
        <f t="shared" si="1"/>
        <v>Wed</v>
      </c>
      <c r="B398" s="69">
        <v>43551.0</v>
      </c>
      <c r="D398" s="193">
        <v>300.15</v>
      </c>
      <c r="E398" s="4" t="s">
        <v>169</v>
      </c>
      <c r="F398" s="4" t="s">
        <v>559</v>
      </c>
      <c r="I398" s="4" t="s">
        <v>224</v>
      </c>
    </row>
    <row r="399">
      <c r="A399" s="67" t="str">
        <f t="shared" si="1"/>
        <v>Thu</v>
      </c>
      <c r="B399" s="69">
        <v>43552.0</v>
      </c>
      <c r="D399" s="193">
        <v>300.15</v>
      </c>
      <c r="E399" s="4" t="s">
        <v>169</v>
      </c>
      <c r="F399" s="4" t="s">
        <v>559</v>
      </c>
      <c r="I399" s="4" t="s">
        <v>224</v>
      </c>
    </row>
    <row r="400">
      <c r="A400" s="67" t="str">
        <f t="shared" si="1"/>
        <v>Fri</v>
      </c>
      <c r="B400" s="69">
        <v>43553.0</v>
      </c>
      <c r="D400" s="193">
        <v>300.15</v>
      </c>
      <c r="E400" s="4" t="s">
        <v>169</v>
      </c>
      <c r="F400" s="4" t="s">
        <v>559</v>
      </c>
      <c r="I400" s="4" t="s">
        <v>224</v>
      </c>
    </row>
    <row r="401">
      <c r="A401" s="67" t="str">
        <f t="shared" si="1"/>
        <v>Sat</v>
      </c>
      <c r="B401" s="69">
        <v>43554.0</v>
      </c>
      <c r="D401" s="194">
        <v>194.0</v>
      </c>
      <c r="E401" s="4" t="s">
        <v>222</v>
      </c>
      <c r="F401" s="4" t="s">
        <v>998</v>
      </c>
      <c r="G401" s="4" t="s">
        <v>998</v>
      </c>
      <c r="H401" s="4" t="s">
        <v>559</v>
      </c>
      <c r="I401" s="4" t="s">
        <v>224</v>
      </c>
      <c r="K401" s="4" t="s">
        <v>231</v>
      </c>
      <c r="L401" s="4" t="s">
        <v>1170</v>
      </c>
      <c r="M401" s="4" t="s">
        <v>2101</v>
      </c>
      <c r="R401" s="4" t="s">
        <v>2102</v>
      </c>
    </row>
    <row r="402">
      <c r="A402" s="67" t="str">
        <f t="shared" si="1"/>
        <v>Sun</v>
      </c>
      <c r="B402" s="69">
        <v>43555.0</v>
      </c>
      <c r="D402" s="171"/>
      <c r="H402" s="4" t="s">
        <v>998</v>
      </c>
      <c r="J402" s="4"/>
    </row>
    <row r="403">
      <c r="A403" s="67" t="str">
        <f t="shared" si="1"/>
        <v>Mon</v>
      </c>
      <c r="B403" s="69">
        <v>43556.0</v>
      </c>
      <c r="D403" s="171"/>
      <c r="J403" s="4"/>
    </row>
    <row r="404">
      <c r="A404" s="67" t="str">
        <f t="shared" si="1"/>
        <v>Tue</v>
      </c>
      <c r="B404" s="69">
        <v>43557.0</v>
      </c>
      <c r="D404" s="171"/>
      <c r="J404" s="4"/>
    </row>
    <row r="405">
      <c r="A405" s="67" t="str">
        <f t="shared" si="1"/>
        <v>Wed</v>
      </c>
      <c r="B405" s="69">
        <v>43558.0</v>
      </c>
      <c r="D405" s="194">
        <v>174.6</v>
      </c>
      <c r="E405" s="4" t="s">
        <v>222</v>
      </c>
      <c r="F405" s="4" t="s">
        <v>534</v>
      </c>
      <c r="G405" s="4" t="s">
        <v>534</v>
      </c>
      <c r="I405" s="4" t="s">
        <v>224</v>
      </c>
      <c r="K405" s="4" t="s">
        <v>231</v>
      </c>
      <c r="L405" s="4" t="s">
        <v>225</v>
      </c>
      <c r="M405" s="4" t="s">
        <v>226</v>
      </c>
      <c r="N405" s="4" t="s">
        <v>232</v>
      </c>
      <c r="O405" s="4" t="s">
        <v>264</v>
      </c>
      <c r="Q405" s="4" t="s">
        <v>535</v>
      </c>
      <c r="R405" s="4" t="s">
        <v>2106</v>
      </c>
      <c r="S405" s="161">
        <v>3.0836622898E10</v>
      </c>
    </row>
    <row r="406">
      <c r="A406" s="67" t="str">
        <f t="shared" si="1"/>
        <v>Thu</v>
      </c>
      <c r="B406" s="69">
        <v>43559.0</v>
      </c>
      <c r="D406" s="194">
        <v>174.6</v>
      </c>
      <c r="E406" s="4" t="s">
        <v>222</v>
      </c>
      <c r="F406" s="4" t="s">
        <v>2107</v>
      </c>
      <c r="G406" s="4" t="s">
        <v>2107</v>
      </c>
      <c r="H406" s="4" t="s">
        <v>534</v>
      </c>
      <c r="I406" s="4" t="s">
        <v>224</v>
      </c>
      <c r="K406" s="4" t="s">
        <v>231</v>
      </c>
      <c r="L406" s="4" t="s">
        <v>225</v>
      </c>
      <c r="M406" s="4" t="s">
        <v>226</v>
      </c>
      <c r="R406" s="167" t="s">
        <v>2108</v>
      </c>
    </row>
    <row r="407">
      <c r="A407" s="67" t="str">
        <f t="shared" si="1"/>
        <v>Fri</v>
      </c>
      <c r="B407" s="69">
        <v>43560.0</v>
      </c>
      <c r="D407" s="194">
        <v>174.6</v>
      </c>
      <c r="E407" s="4" t="s">
        <v>222</v>
      </c>
      <c r="F407" s="4" t="s">
        <v>2107</v>
      </c>
      <c r="I407" s="4" t="s">
        <v>224</v>
      </c>
    </row>
    <row r="408">
      <c r="A408" s="67" t="str">
        <f t="shared" si="1"/>
        <v>Sat</v>
      </c>
      <c r="B408" s="69">
        <v>43561.0</v>
      </c>
      <c r="D408" s="194">
        <v>174.6</v>
      </c>
      <c r="E408" s="4" t="s">
        <v>222</v>
      </c>
      <c r="F408" s="4" t="s">
        <v>2107</v>
      </c>
      <c r="I408" s="4" t="s">
        <v>224</v>
      </c>
    </row>
    <row r="409">
      <c r="A409" s="67" t="str">
        <f t="shared" si="1"/>
        <v>Sun</v>
      </c>
      <c r="B409" s="69">
        <v>43562.0</v>
      </c>
      <c r="D409" s="194">
        <v>174.6</v>
      </c>
      <c r="E409" s="4" t="s">
        <v>222</v>
      </c>
      <c r="F409" s="4" t="s">
        <v>2110</v>
      </c>
      <c r="G409" s="4" t="s">
        <v>2110</v>
      </c>
      <c r="H409" s="4" t="s">
        <v>2107</v>
      </c>
      <c r="I409" s="4" t="s">
        <v>224</v>
      </c>
      <c r="K409" s="4" t="s">
        <v>231</v>
      </c>
      <c r="L409" s="4" t="s">
        <v>225</v>
      </c>
      <c r="M409" s="4" t="s">
        <v>2111</v>
      </c>
      <c r="N409" s="4" t="s">
        <v>2112</v>
      </c>
      <c r="O409" s="4" t="s">
        <v>264</v>
      </c>
      <c r="Q409" s="4" t="s">
        <v>2113</v>
      </c>
      <c r="R409" s="4" t="s">
        <v>2114</v>
      </c>
      <c r="S409" s="4" t="s">
        <v>2115</v>
      </c>
    </row>
    <row r="410">
      <c r="A410" s="67" t="str">
        <f t="shared" si="1"/>
        <v>Mon</v>
      </c>
      <c r="B410" s="69">
        <v>43563.0</v>
      </c>
      <c r="D410" s="194">
        <v>174.6</v>
      </c>
      <c r="E410" s="4" t="s">
        <v>222</v>
      </c>
      <c r="F410" s="4" t="s">
        <v>2110</v>
      </c>
      <c r="I410" s="4" t="s">
        <v>224</v>
      </c>
    </row>
    <row r="411">
      <c r="A411" s="67" t="str">
        <f t="shared" si="1"/>
        <v>Tue</v>
      </c>
      <c r="B411" s="69">
        <v>43564.0</v>
      </c>
      <c r="D411" s="194">
        <v>174.6</v>
      </c>
      <c r="E411" s="4" t="s">
        <v>222</v>
      </c>
      <c r="F411" s="4" t="s">
        <v>2110</v>
      </c>
      <c r="I411" s="4" t="s">
        <v>224</v>
      </c>
    </row>
    <row r="412">
      <c r="A412" s="67" t="str">
        <f t="shared" si="1"/>
        <v>Wed</v>
      </c>
      <c r="B412" s="69">
        <v>43565.0</v>
      </c>
      <c r="D412" s="194">
        <v>174.6</v>
      </c>
      <c r="E412" s="4" t="s">
        <v>222</v>
      </c>
      <c r="F412" s="4" t="s">
        <v>2110</v>
      </c>
      <c r="I412" s="4" t="s">
        <v>224</v>
      </c>
    </row>
    <row r="413">
      <c r="A413" s="67" t="str">
        <f t="shared" si="1"/>
        <v>Thu</v>
      </c>
      <c r="B413" s="69">
        <v>43566.0</v>
      </c>
      <c r="D413" s="194">
        <v>174.6</v>
      </c>
      <c r="E413" s="4" t="s">
        <v>222</v>
      </c>
      <c r="F413" s="4" t="s">
        <v>2110</v>
      </c>
      <c r="I413" s="4" t="s">
        <v>224</v>
      </c>
    </row>
    <row r="414">
      <c r="A414" s="67" t="str">
        <f t="shared" si="1"/>
        <v>Fri</v>
      </c>
      <c r="B414" s="69">
        <v>43567.0</v>
      </c>
      <c r="D414" s="194">
        <f t="shared" ref="D414:D420" si="6">(2012.5-261.62)/7</f>
        <v>250.1257143</v>
      </c>
      <c r="E414" s="4" t="s">
        <v>169</v>
      </c>
      <c r="F414" s="4" t="s">
        <v>2117</v>
      </c>
      <c r="G414" s="4" t="s">
        <v>2117</v>
      </c>
      <c r="H414" s="4" t="s">
        <v>2110</v>
      </c>
      <c r="I414" s="4" t="s">
        <v>359</v>
      </c>
      <c r="K414" s="4" t="s">
        <v>231</v>
      </c>
      <c r="L414" s="4" t="s">
        <v>225</v>
      </c>
      <c r="M414" s="4" t="s">
        <v>2119</v>
      </c>
      <c r="N414" s="4" t="s">
        <v>2120</v>
      </c>
      <c r="O414" s="4" t="s">
        <v>2121</v>
      </c>
      <c r="Q414" s="4" t="s">
        <v>2122</v>
      </c>
      <c r="R414" s="4">
        <v>9.9555312E7</v>
      </c>
      <c r="S414" s="4" t="s">
        <v>2124</v>
      </c>
    </row>
    <row r="415">
      <c r="A415" s="67" t="str">
        <f t="shared" si="1"/>
        <v>Sat</v>
      </c>
      <c r="B415" s="69">
        <v>43568.0</v>
      </c>
      <c r="D415" s="194">
        <f t="shared" si="6"/>
        <v>250.1257143</v>
      </c>
      <c r="E415" s="4" t="s">
        <v>169</v>
      </c>
      <c r="F415" s="4" t="s">
        <v>2117</v>
      </c>
      <c r="I415" s="4" t="s">
        <v>359</v>
      </c>
    </row>
    <row r="416">
      <c r="A416" s="67" t="str">
        <f t="shared" si="1"/>
        <v>Sun</v>
      </c>
      <c r="B416" s="69">
        <v>43569.0</v>
      </c>
      <c r="D416" s="194">
        <f t="shared" si="6"/>
        <v>250.1257143</v>
      </c>
      <c r="E416" s="4" t="s">
        <v>169</v>
      </c>
      <c r="F416" s="4" t="s">
        <v>2117</v>
      </c>
      <c r="I416" s="4" t="s">
        <v>359</v>
      </c>
    </row>
    <row r="417">
      <c r="A417" s="67" t="str">
        <f t="shared" si="1"/>
        <v>Mon</v>
      </c>
      <c r="B417" s="69">
        <v>43570.0</v>
      </c>
      <c r="D417" s="194">
        <f t="shared" si="6"/>
        <v>250.1257143</v>
      </c>
      <c r="E417" s="4" t="s">
        <v>169</v>
      </c>
      <c r="F417" s="4" t="s">
        <v>2117</v>
      </c>
      <c r="I417" s="4" t="s">
        <v>359</v>
      </c>
    </row>
    <row r="418">
      <c r="A418" s="67" t="str">
        <f t="shared" si="1"/>
        <v>Tue</v>
      </c>
      <c r="B418" s="69">
        <v>43571.0</v>
      </c>
      <c r="D418" s="194">
        <f t="shared" si="6"/>
        <v>250.1257143</v>
      </c>
      <c r="E418" s="4" t="s">
        <v>169</v>
      </c>
      <c r="F418" s="4" t="s">
        <v>2117</v>
      </c>
      <c r="I418" s="4" t="s">
        <v>359</v>
      </c>
    </row>
    <row r="419">
      <c r="A419" s="67" t="str">
        <f t="shared" si="1"/>
        <v>Wed</v>
      </c>
      <c r="B419" s="69">
        <v>43572.0</v>
      </c>
      <c r="D419" s="194">
        <f t="shared" si="6"/>
        <v>250.1257143</v>
      </c>
      <c r="E419" s="4" t="s">
        <v>169</v>
      </c>
      <c r="F419" s="4" t="s">
        <v>2117</v>
      </c>
      <c r="I419" s="4" t="s">
        <v>359</v>
      </c>
    </row>
    <row r="420">
      <c r="A420" s="67" t="str">
        <f t="shared" si="1"/>
        <v>Thu</v>
      </c>
      <c r="B420" s="69">
        <v>43573.0</v>
      </c>
      <c r="D420" s="194">
        <f t="shared" si="6"/>
        <v>250.1257143</v>
      </c>
      <c r="E420" s="4" t="s">
        <v>169</v>
      </c>
      <c r="F420" s="4" t="s">
        <v>2117</v>
      </c>
      <c r="I420" s="4" t="s">
        <v>359</v>
      </c>
    </row>
    <row r="421">
      <c r="A421" s="67" t="str">
        <f t="shared" si="1"/>
        <v>Fri</v>
      </c>
      <c r="B421" s="69">
        <v>43574.0</v>
      </c>
      <c r="D421" s="193">
        <v>333.0</v>
      </c>
      <c r="E421" s="4" t="s">
        <v>337</v>
      </c>
      <c r="F421" s="4" t="s">
        <v>2131</v>
      </c>
      <c r="G421" s="4" t="s">
        <v>2131</v>
      </c>
      <c r="H421" s="4" t="s">
        <v>2117</v>
      </c>
      <c r="I421" s="4" t="s">
        <v>224</v>
      </c>
      <c r="J421" s="4" t="s">
        <v>2132</v>
      </c>
      <c r="K421" s="4" t="s">
        <v>231</v>
      </c>
      <c r="L421" s="4" t="s">
        <v>225</v>
      </c>
      <c r="M421" s="4" t="s">
        <v>226</v>
      </c>
      <c r="N421" s="4" t="s">
        <v>232</v>
      </c>
      <c r="O421" s="4" t="s">
        <v>264</v>
      </c>
    </row>
    <row r="422">
      <c r="A422" s="67" t="str">
        <f t="shared" si="1"/>
        <v>Sat</v>
      </c>
      <c r="B422" s="69">
        <v>43575.0</v>
      </c>
      <c r="D422" s="193">
        <v>333.0</v>
      </c>
      <c r="E422" s="4" t="s">
        <v>337</v>
      </c>
      <c r="F422" s="4" t="s">
        <v>2131</v>
      </c>
      <c r="I422" s="4" t="s">
        <v>224</v>
      </c>
    </row>
    <row r="423">
      <c r="A423" s="67" t="str">
        <f t="shared" si="1"/>
        <v>Sun</v>
      </c>
      <c r="B423" s="69">
        <v>43576.0</v>
      </c>
      <c r="D423" s="193">
        <v>225.0</v>
      </c>
      <c r="E423" s="4" t="s">
        <v>337</v>
      </c>
      <c r="F423" s="4" t="s">
        <v>2111</v>
      </c>
      <c r="G423" s="4" t="s">
        <v>2111</v>
      </c>
      <c r="H423" s="4" t="s">
        <v>2131</v>
      </c>
      <c r="I423" s="4" t="s">
        <v>224</v>
      </c>
      <c r="K423" s="4" t="s">
        <v>231</v>
      </c>
      <c r="L423" s="4" t="s">
        <v>225</v>
      </c>
      <c r="M423" s="4" t="s">
        <v>2110</v>
      </c>
      <c r="N423" s="4" t="s">
        <v>2112</v>
      </c>
      <c r="O423" s="4" t="s">
        <v>264</v>
      </c>
      <c r="Q423" s="4" t="s">
        <v>2113</v>
      </c>
      <c r="R423" s="6" t="s">
        <v>2136</v>
      </c>
      <c r="S423" s="6" t="s">
        <v>2137</v>
      </c>
    </row>
    <row r="424">
      <c r="A424" s="67" t="str">
        <f t="shared" si="1"/>
        <v>Mon</v>
      </c>
      <c r="B424" s="69">
        <v>43577.0</v>
      </c>
      <c r="D424" s="193">
        <v>225.0</v>
      </c>
      <c r="E424" s="4" t="s">
        <v>337</v>
      </c>
      <c r="F424" s="4" t="s">
        <v>2111</v>
      </c>
      <c r="I424" s="4" t="s">
        <v>224</v>
      </c>
    </row>
    <row r="425">
      <c r="A425" s="67" t="str">
        <f t="shared" si="1"/>
        <v>Tue</v>
      </c>
      <c r="B425" s="69">
        <v>43578.0</v>
      </c>
      <c r="D425" s="193">
        <v>225.0</v>
      </c>
      <c r="E425" s="4" t="s">
        <v>337</v>
      </c>
      <c r="F425" s="4" t="s">
        <v>2111</v>
      </c>
      <c r="I425" s="4" t="s">
        <v>224</v>
      </c>
    </row>
    <row r="426">
      <c r="A426" s="67" t="str">
        <f t="shared" si="1"/>
        <v>Wed</v>
      </c>
      <c r="B426" s="69">
        <v>43579.0</v>
      </c>
      <c r="D426" s="193">
        <v>225.0</v>
      </c>
      <c r="E426" s="4" t="s">
        <v>337</v>
      </c>
      <c r="F426" s="4" t="s">
        <v>2111</v>
      </c>
      <c r="I426" s="4" t="s">
        <v>224</v>
      </c>
    </row>
    <row r="427">
      <c r="A427" s="67" t="str">
        <f t="shared" si="1"/>
        <v>Thu</v>
      </c>
      <c r="B427" s="69">
        <v>43580.0</v>
      </c>
      <c r="D427" s="194">
        <v>242.5</v>
      </c>
      <c r="E427" s="4" t="s">
        <v>222</v>
      </c>
      <c r="F427" s="4" t="s">
        <v>2138</v>
      </c>
      <c r="G427" s="4" t="s">
        <v>2138</v>
      </c>
      <c r="H427" s="4" t="s">
        <v>2111</v>
      </c>
      <c r="I427" s="4" t="s">
        <v>224</v>
      </c>
      <c r="K427" s="4" t="s">
        <v>231</v>
      </c>
      <c r="L427" s="4" t="s">
        <v>225</v>
      </c>
      <c r="M427" s="4" t="s">
        <v>2139</v>
      </c>
      <c r="N427" s="4" t="s">
        <v>2140</v>
      </c>
      <c r="O427" s="4" t="s">
        <v>2141</v>
      </c>
      <c r="R427" s="4" t="s">
        <v>2142</v>
      </c>
      <c r="S427" s="4" t="s">
        <v>2143</v>
      </c>
    </row>
    <row r="428">
      <c r="A428" s="67" t="str">
        <f t="shared" si="1"/>
        <v>Fri</v>
      </c>
      <c r="B428" s="69">
        <v>43581.0</v>
      </c>
      <c r="D428" s="194">
        <v>242.5</v>
      </c>
      <c r="E428" s="4" t="s">
        <v>222</v>
      </c>
      <c r="F428" s="4" t="s">
        <v>2138</v>
      </c>
      <c r="I428" s="4" t="s">
        <v>224</v>
      </c>
    </row>
    <row r="429">
      <c r="A429" s="67" t="str">
        <f t="shared" si="1"/>
        <v>Sat</v>
      </c>
      <c r="B429" s="69">
        <v>43582.0</v>
      </c>
      <c r="D429" s="194">
        <v>242.5</v>
      </c>
      <c r="E429" s="4" t="s">
        <v>222</v>
      </c>
      <c r="F429" s="4" t="s">
        <v>2138</v>
      </c>
      <c r="I429" s="4" t="s">
        <v>224</v>
      </c>
    </row>
    <row r="430">
      <c r="A430" s="67" t="str">
        <f t="shared" si="1"/>
        <v>Sun</v>
      </c>
      <c r="B430" s="69">
        <v>43583.0</v>
      </c>
      <c r="D430" s="194">
        <v>242.5</v>
      </c>
      <c r="E430" s="4" t="s">
        <v>222</v>
      </c>
      <c r="F430" s="4" t="s">
        <v>2138</v>
      </c>
      <c r="I430" s="4" t="s">
        <v>224</v>
      </c>
    </row>
    <row r="431">
      <c r="A431" s="67" t="str">
        <f t="shared" si="1"/>
        <v>Mon</v>
      </c>
      <c r="B431" s="69">
        <v>43584.0</v>
      </c>
      <c r="D431" s="194">
        <v>242.5</v>
      </c>
      <c r="E431" s="4" t="s">
        <v>222</v>
      </c>
      <c r="F431" s="4" t="s">
        <v>2138</v>
      </c>
      <c r="I431" s="4" t="s">
        <v>224</v>
      </c>
    </row>
    <row r="432">
      <c r="A432" s="67" t="str">
        <f t="shared" si="1"/>
        <v>Tue</v>
      </c>
      <c r="B432" s="69">
        <v>43585.0</v>
      </c>
      <c r="D432" s="193">
        <v>194.0</v>
      </c>
      <c r="E432" s="4" t="s">
        <v>222</v>
      </c>
      <c r="F432" s="4" t="s">
        <v>2147</v>
      </c>
      <c r="G432" s="4" t="s">
        <v>2147</v>
      </c>
      <c r="H432" s="4" t="s">
        <v>2138</v>
      </c>
      <c r="I432" s="4" t="s">
        <v>224</v>
      </c>
      <c r="K432" s="4" t="s">
        <v>231</v>
      </c>
      <c r="L432" s="4" t="s">
        <v>225</v>
      </c>
      <c r="M432" s="4" t="s">
        <v>2148</v>
      </c>
      <c r="N432" s="4" t="s">
        <v>2149</v>
      </c>
      <c r="O432" s="4"/>
      <c r="Q432" s="4" t="s">
        <v>2150</v>
      </c>
      <c r="R432" s="4" t="s">
        <v>2151</v>
      </c>
    </row>
    <row r="433">
      <c r="A433" s="67" t="str">
        <f t="shared" si="1"/>
        <v>Wed</v>
      </c>
      <c r="B433" s="69">
        <v>43586.0</v>
      </c>
      <c r="D433" s="171"/>
      <c r="F433" s="4"/>
      <c r="H433" s="4" t="s">
        <v>2147</v>
      </c>
    </row>
    <row r="434">
      <c r="A434" s="67" t="str">
        <f t="shared" si="1"/>
        <v>Thu</v>
      </c>
      <c r="B434" s="69">
        <v>43587.0</v>
      </c>
      <c r="D434" s="194">
        <v>145.5</v>
      </c>
      <c r="E434" s="4" t="s">
        <v>222</v>
      </c>
      <c r="F434" s="4" t="s">
        <v>2152</v>
      </c>
      <c r="G434" s="4" t="s">
        <v>2152</v>
      </c>
      <c r="H434" s="4"/>
      <c r="I434" s="4" t="s">
        <v>224</v>
      </c>
      <c r="K434" s="4" t="s">
        <v>231</v>
      </c>
      <c r="L434" s="4" t="s">
        <v>225</v>
      </c>
      <c r="M434" s="4" t="s">
        <v>2153</v>
      </c>
      <c r="N434" s="4" t="s">
        <v>2155</v>
      </c>
      <c r="O434" s="4"/>
      <c r="Q434" s="4" t="s">
        <v>2156</v>
      </c>
      <c r="R434" s="4" t="s">
        <v>2157</v>
      </c>
    </row>
    <row r="435">
      <c r="A435" s="67" t="str">
        <f t="shared" si="1"/>
        <v>Fri</v>
      </c>
      <c r="B435" s="69">
        <v>43588.0</v>
      </c>
      <c r="D435" s="171"/>
      <c r="F435" s="4"/>
      <c r="H435" s="4" t="s">
        <v>2152</v>
      </c>
    </row>
    <row r="436">
      <c r="A436" s="67" t="str">
        <f t="shared" si="1"/>
        <v>Sat</v>
      </c>
      <c r="B436" s="69">
        <v>43589.0</v>
      </c>
      <c r="D436" s="171"/>
      <c r="F436" s="4"/>
      <c r="G436" s="4"/>
      <c r="H436" s="4"/>
      <c r="N436" s="4"/>
      <c r="O436" s="4"/>
    </row>
    <row r="437">
      <c r="A437" s="67" t="str">
        <f t="shared" si="1"/>
        <v>Sun</v>
      </c>
      <c r="B437" s="69">
        <v>43590.0</v>
      </c>
      <c r="D437" s="171"/>
      <c r="F437" s="4"/>
    </row>
    <row r="438">
      <c r="A438" s="67" t="str">
        <f t="shared" si="1"/>
        <v>Mon</v>
      </c>
      <c r="B438" s="69">
        <v>43591.0</v>
      </c>
      <c r="D438" s="171"/>
      <c r="F438" s="4"/>
      <c r="G438" s="4"/>
      <c r="H438" s="4"/>
      <c r="N438" s="4"/>
      <c r="O438" s="4"/>
    </row>
    <row r="439">
      <c r="A439" s="67" t="str">
        <f t="shared" si="1"/>
        <v>Tue</v>
      </c>
      <c r="B439" s="69">
        <v>43592.0</v>
      </c>
      <c r="D439" s="194">
        <v>145.5</v>
      </c>
      <c r="E439" s="4" t="s">
        <v>222</v>
      </c>
      <c r="F439" s="4"/>
    </row>
    <row r="440">
      <c r="A440" s="67" t="str">
        <f t="shared" si="1"/>
        <v>Wed</v>
      </c>
      <c r="B440" s="69">
        <v>43593.0</v>
      </c>
      <c r="D440" s="171"/>
      <c r="F440" s="4"/>
      <c r="G440" s="4"/>
      <c r="H440" s="4"/>
      <c r="N440" s="4"/>
      <c r="O440" s="4"/>
    </row>
    <row r="441">
      <c r="A441" s="67" t="str">
        <f t="shared" si="1"/>
        <v>Thu</v>
      </c>
      <c r="B441" s="69">
        <v>43594.0</v>
      </c>
      <c r="D441" s="194">
        <v>145.5</v>
      </c>
      <c r="E441" s="4" t="s">
        <v>222</v>
      </c>
      <c r="F441" s="4" t="s">
        <v>2160</v>
      </c>
      <c r="G441" s="4" t="s">
        <v>2160</v>
      </c>
      <c r="H441" s="4"/>
      <c r="I441" s="4" t="s">
        <v>224</v>
      </c>
      <c r="K441" s="4" t="s">
        <v>231</v>
      </c>
      <c r="L441" s="4" t="s">
        <v>225</v>
      </c>
      <c r="M441" s="4" t="s">
        <v>226</v>
      </c>
      <c r="Q441" s="4" t="s">
        <v>2161</v>
      </c>
      <c r="R441" s="4" t="s">
        <v>2162</v>
      </c>
      <c r="S441" s="4" t="s">
        <v>2163</v>
      </c>
    </row>
    <row r="442">
      <c r="A442" s="67" t="str">
        <f t="shared" si="1"/>
        <v>Fri</v>
      </c>
      <c r="B442" s="69">
        <v>43595.0</v>
      </c>
      <c r="D442" s="194">
        <v>194.0</v>
      </c>
      <c r="E442" s="4" t="s">
        <v>222</v>
      </c>
      <c r="F442" s="4" t="s">
        <v>2164</v>
      </c>
      <c r="G442" s="4" t="s">
        <v>2164</v>
      </c>
      <c r="H442" s="4" t="s">
        <v>2160</v>
      </c>
      <c r="I442" s="4" t="s">
        <v>224</v>
      </c>
      <c r="K442" s="4" t="s">
        <v>231</v>
      </c>
      <c r="L442" s="4" t="s">
        <v>225</v>
      </c>
      <c r="M442" s="4" t="s">
        <v>2165</v>
      </c>
      <c r="N442" s="4" t="s">
        <v>2166</v>
      </c>
      <c r="O442" s="4" t="s">
        <v>2167</v>
      </c>
      <c r="Q442" s="4" t="s">
        <v>2168</v>
      </c>
      <c r="R442" s="4" t="s">
        <v>2169</v>
      </c>
      <c r="S442" s="161">
        <v>9.5230432004E10</v>
      </c>
    </row>
    <row r="443">
      <c r="A443" s="67" t="str">
        <f t="shared" si="1"/>
        <v>Sat</v>
      </c>
      <c r="B443" s="69">
        <v>43596.0</v>
      </c>
      <c r="D443" s="194">
        <v>194.0</v>
      </c>
      <c r="E443" s="4" t="s">
        <v>222</v>
      </c>
      <c r="F443" s="4" t="s">
        <v>2164</v>
      </c>
      <c r="I443" s="4" t="s">
        <v>224</v>
      </c>
    </row>
    <row r="444">
      <c r="A444" s="67" t="str">
        <f t="shared" si="1"/>
        <v>Sun</v>
      </c>
      <c r="B444" s="69">
        <v>43597.0</v>
      </c>
      <c r="D444" s="194">
        <v>194.0</v>
      </c>
      <c r="E444" s="4" t="s">
        <v>222</v>
      </c>
      <c r="F444" s="4" t="s">
        <v>2164</v>
      </c>
      <c r="I444" s="4" t="s">
        <v>224</v>
      </c>
    </row>
    <row r="445">
      <c r="A445" s="67" t="str">
        <f t="shared" si="1"/>
        <v>Mon</v>
      </c>
      <c r="B445" s="69">
        <v>43598.0</v>
      </c>
      <c r="D445" s="194">
        <v>194.19400000000002</v>
      </c>
      <c r="E445" s="4" t="s">
        <v>222</v>
      </c>
      <c r="F445" s="4" t="s">
        <v>2173</v>
      </c>
      <c r="G445" s="4" t="s">
        <v>2173</v>
      </c>
      <c r="H445" s="4" t="s">
        <v>2164</v>
      </c>
      <c r="I445" s="4" t="s">
        <v>359</v>
      </c>
      <c r="K445" s="4"/>
      <c r="L445" s="4" t="s">
        <v>225</v>
      </c>
      <c r="M445" s="6" t="s">
        <v>2177</v>
      </c>
      <c r="N445" s="4" t="s">
        <v>232</v>
      </c>
      <c r="O445" s="4" t="s">
        <v>264</v>
      </c>
      <c r="Q445" s="234" t="s">
        <v>2178</v>
      </c>
      <c r="R445" s="243" t="s">
        <v>2179</v>
      </c>
    </row>
    <row r="446">
      <c r="A446" s="67" t="str">
        <f t="shared" si="1"/>
        <v>Tue</v>
      </c>
      <c r="B446" s="69">
        <v>43599.0</v>
      </c>
      <c r="D446" s="194">
        <v>194.19400000000002</v>
      </c>
      <c r="E446" s="4" t="s">
        <v>222</v>
      </c>
      <c r="F446" s="4" t="s">
        <v>2173</v>
      </c>
      <c r="I446" s="4" t="s">
        <v>359</v>
      </c>
    </row>
    <row r="447">
      <c r="A447" s="67" t="str">
        <f t="shared" si="1"/>
        <v>Wed</v>
      </c>
      <c r="B447" s="69">
        <v>43600.0</v>
      </c>
      <c r="D447" s="194">
        <v>194.19400000000002</v>
      </c>
      <c r="E447" s="4" t="s">
        <v>222</v>
      </c>
      <c r="F447" s="4" t="s">
        <v>2173</v>
      </c>
      <c r="I447" s="4" t="s">
        <v>359</v>
      </c>
    </row>
    <row r="448">
      <c r="A448" s="67" t="str">
        <f t="shared" si="1"/>
        <v>Thu</v>
      </c>
      <c r="B448" s="69">
        <v>43601.0</v>
      </c>
      <c r="D448" s="194">
        <v>194.19400000000002</v>
      </c>
      <c r="E448" s="4" t="s">
        <v>222</v>
      </c>
      <c r="F448" s="4" t="s">
        <v>2173</v>
      </c>
      <c r="I448" s="4" t="s">
        <v>359</v>
      </c>
    </row>
    <row r="449">
      <c r="A449" s="67" t="str">
        <f t="shared" si="1"/>
        <v>Fri</v>
      </c>
      <c r="B449" s="69">
        <v>43602.0</v>
      </c>
      <c r="D449" s="194">
        <v>194.19400000000002</v>
      </c>
      <c r="E449" s="4" t="s">
        <v>222</v>
      </c>
      <c r="F449" s="4" t="s">
        <v>2173</v>
      </c>
      <c r="I449" s="4" t="s">
        <v>359</v>
      </c>
    </row>
    <row r="450">
      <c r="A450" s="67" t="str">
        <f t="shared" si="1"/>
        <v>Sat</v>
      </c>
      <c r="B450" s="69">
        <v>43603.0</v>
      </c>
      <c r="D450" s="193">
        <v>242.5</v>
      </c>
      <c r="E450" s="4" t="s">
        <v>222</v>
      </c>
      <c r="F450" s="4" t="s">
        <v>1615</v>
      </c>
      <c r="G450" s="4" t="s">
        <v>1615</v>
      </c>
      <c r="H450" s="4" t="s">
        <v>2173</v>
      </c>
      <c r="I450" s="4" t="s">
        <v>224</v>
      </c>
      <c r="L450" s="4" t="s">
        <v>225</v>
      </c>
      <c r="M450" s="4" t="s">
        <v>226</v>
      </c>
      <c r="N450" s="4"/>
      <c r="O450" s="4"/>
      <c r="R450" s="4" t="s">
        <v>1618</v>
      </c>
    </row>
    <row r="451">
      <c r="A451" s="67" t="str">
        <f t="shared" si="1"/>
        <v>Sun</v>
      </c>
      <c r="B451" s="69">
        <v>43604.0</v>
      </c>
      <c r="D451" s="171"/>
      <c r="F451" s="4"/>
      <c r="H451" s="4" t="s">
        <v>1615</v>
      </c>
    </row>
    <row r="452">
      <c r="A452" s="67" t="str">
        <f t="shared" si="1"/>
        <v>Mon</v>
      </c>
      <c r="B452" s="69">
        <v>43605.0</v>
      </c>
      <c r="D452" s="171"/>
      <c r="H452" s="4"/>
    </row>
    <row r="453">
      <c r="A453" s="67" t="str">
        <f t="shared" si="1"/>
        <v>Tue</v>
      </c>
      <c r="B453" s="69">
        <v>43606.0</v>
      </c>
      <c r="D453" s="194">
        <v>355.6666666666667</v>
      </c>
      <c r="E453" s="4" t="s">
        <v>222</v>
      </c>
      <c r="F453" s="4" t="s">
        <v>2181</v>
      </c>
      <c r="G453" s="4" t="s">
        <v>2181</v>
      </c>
      <c r="I453" s="4" t="s">
        <v>224</v>
      </c>
      <c r="K453" s="4" t="s">
        <v>231</v>
      </c>
      <c r="L453" s="4" t="s">
        <v>225</v>
      </c>
      <c r="M453" s="4" t="s">
        <v>226</v>
      </c>
      <c r="Q453" s="4" t="s">
        <v>2184</v>
      </c>
      <c r="R453" s="167" t="s">
        <v>2186</v>
      </c>
      <c r="S453" s="4">
        <v>5.244543E8</v>
      </c>
    </row>
    <row r="454">
      <c r="A454" s="67" t="str">
        <f t="shared" si="1"/>
        <v>Wed</v>
      </c>
      <c r="B454" s="69">
        <v>43607.0</v>
      </c>
      <c r="D454" s="194">
        <v>355.6666666666667</v>
      </c>
      <c r="E454" s="4" t="s">
        <v>222</v>
      </c>
      <c r="F454" s="4" t="s">
        <v>2181</v>
      </c>
      <c r="I454" s="4" t="s">
        <v>224</v>
      </c>
    </row>
    <row r="455">
      <c r="A455" s="67" t="str">
        <f t="shared" si="1"/>
        <v>Thu</v>
      </c>
      <c r="B455" s="69">
        <v>43608.0</v>
      </c>
      <c r="D455" s="194">
        <v>355.6666666666667</v>
      </c>
      <c r="E455" s="4" t="s">
        <v>222</v>
      </c>
      <c r="F455" s="4" t="s">
        <v>2181</v>
      </c>
      <c r="I455" s="4" t="s">
        <v>224</v>
      </c>
    </row>
    <row r="456">
      <c r="A456" s="67" t="str">
        <f t="shared" si="1"/>
        <v>Fri</v>
      </c>
      <c r="B456" s="69">
        <v>43609.0</v>
      </c>
      <c r="D456" s="194">
        <v>355.6666666666667</v>
      </c>
      <c r="E456" s="4" t="s">
        <v>222</v>
      </c>
      <c r="F456" s="4" t="s">
        <v>2181</v>
      </c>
      <c r="I456" s="4" t="s">
        <v>224</v>
      </c>
    </row>
    <row r="457">
      <c r="A457" s="67" t="str">
        <f t="shared" si="1"/>
        <v>Sat</v>
      </c>
      <c r="B457" s="69">
        <v>43610.0</v>
      </c>
      <c r="D457" s="194">
        <v>355.6666666666667</v>
      </c>
      <c r="E457" s="4" t="s">
        <v>222</v>
      </c>
      <c r="F457" s="4" t="s">
        <v>2181</v>
      </c>
      <c r="I457" s="4" t="s">
        <v>224</v>
      </c>
    </row>
    <row r="458">
      <c r="A458" s="67" t="str">
        <f t="shared" si="1"/>
        <v>Sun</v>
      </c>
      <c r="B458" s="69">
        <v>43611.0</v>
      </c>
      <c r="D458" s="194">
        <v>355.6666666666667</v>
      </c>
      <c r="E458" s="4" t="s">
        <v>222</v>
      </c>
      <c r="F458" s="4" t="s">
        <v>2181</v>
      </c>
      <c r="I458" s="4" t="s">
        <v>224</v>
      </c>
    </row>
    <row r="459">
      <c r="A459" s="67" t="str">
        <f t="shared" si="1"/>
        <v>Mon</v>
      </c>
      <c r="B459" s="69">
        <v>43612.0</v>
      </c>
      <c r="D459" s="171"/>
      <c r="F459" s="4"/>
      <c r="G459" s="4"/>
      <c r="H459" s="4" t="s">
        <v>2181</v>
      </c>
      <c r="J459" s="4" t="s">
        <v>228</v>
      </c>
      <c r="L459" s="4" t="s">
        <v>229</v>
      </c>
      <c r="M459" s="4"/>
      <c r="N459" s="4"/>
      <c r="O459" s="4"/>
    </row>
    <row r="460">
      <c r="A460" s="67" t="str">
        <f t="shared" si="1"/>
        <v>Tue</v>
      </c>
      <c r="B460" s="69">
        <v>43613.0</v>
      </c>
      <c r="D460" s="171"/>
      <c r="F460" s="4"/>
      <c r="J460" s="4" t="s">
        <v>228</v>
      </c>
    </row>
    <row r="461">
      <c r="A461" s="67" t="str">
        <f t="shared" si="1"/>
        <v>Wed</v>
      </c>
      <c r="B461" s="69">
        <v>43614.0</v>
      </c>
      <c r="D461" s="171"/>
      <c r="F461" s="4"/>
      <c r="G461" s="4"/>
      <c r="H461" s="4"/>
      <c r="J461" s="4" t="s">
        <v>228</v>
      </c>
      <c r="L461" s="4" t="s">
        <v>229</v>
      </c>
      <c r="M461" s="4"/>
      <c r="N461" s="4"/>
      <c r="O461" s="4"/>
    </row>
    <row r="462">
      <c r="A462" s="67" t="str">
        <f t="shared" si="1"/>
        <v>Thu</v>
      </c>
      <c r="B462" s="69">
        <v>43615.0</v>
      </c>
      <c r="D462" s="171"/>
      <c r="F462" s="4"/>
      <c r="J462" s="4" t="s">
        <v>228</v>
      </c>
    </row>
    <row r="463">
      <c r="A463" s="67" t="str">
        <f t="shared" si="1"/>
        <v>Fri</v>
      </c>
      <c r="B463" s="69">
        <v>43616.0</v>
      </c>
      <c r="D463" s="171"/>
      <c r="F463" s="4"/>
      <c r="G463" s="4"/>
      <c r="H463" s="4"/>
      <c r="J463" s="4" t="s">
        <v>295</v>
      </c>
      <c r="L463" s="4" t="s">
        <v>229</v>
      </c>
      <c r="M463" s="4"/>
      <c r="N463" s="4"/>
      <c r="O463" s="4"/>
    </row>
    <row r="464">
      <c r="A464" s="67" t="str">
        <f t="shared" si="1"/>
        <v>Sat</v>
      </c>
      <c r="B464" s="69">
        <v>43617.0</v>
      </c>
      <c r="D464" s="194">
        <v>242.5</v>
      </c>
      <c r="E464" s="4" t="s">
        <v>222</v>
      </c>
      <c r="F464" s="4" t="s">
        <v>2188</v>
      </c>
      <c r="G464" s="4" t="s">
        <v>2188</v>
      </c>
      <c r="H464" s="4"/>
      <c r="I464" s="4" t="s">
        <v>224</v>
      </c>
      <c r="K464" s="4" t="s">
        <v>231</v>
      </c>
      <c r="L464" s="4" t="s">
        <v>225</v>
      </c>
      <c r="M464" s="4" t="s">
        <v>2189</v>
      </c>
      <c r="N464" s="4" t="s">
        <v>2190</v>
      </c>
      <c r="O464" s="4" t="s">
        <v>2191</v>
      </c>
      <c r="R464" s="4" t="s">
        <v>2192</v>
      </c>
      <c r="S464" s="4" t="s">
        <v>2193</v>
      </c>
    </row>
    <row r="465">
      <c r="A465" s="67" t="str">
        <f t="shared" si="1"/>
        <v>Sun</v>
      </c>
      <c r="B465" s="69">
        <v>43618.0</v>
      </c>
      <c r="D465" s="194">
        <v>242.5</v>
      </c>
      <c r="E465" s="4" t="s">
        <v>222</v>
      </c>
      <c r="F465" s="4" t="s">
        <v>2188</v>
      </c>
      <c r="I465" s="4" t="s">
        <v>224</v>
      </c>
    </row>
    <row r="466">
      <c r="A466" s="67" t="str">
        <f t="shared" si="1"/>
        <v>Mon</v>
      </c>
      <c r="B466" s="69">
        <v>43619.0</v>
      </c>
      <c r="D466" s="171"/>
      <c r="H466" s="4" t="s">
        <v>2188</v>
      </c>
    </row>
    <row r="467">
      <c r="A467" s="67" t="str">
        <f t="shared" si="1"/>
        <v>Tue</v>
      </c>
      <c r="B467" s="69">
        <v>43620.0</v>
      </c>
      <c r="D467" s="171"/>
    </row>
    <row r="468">
      <c r="A468" s="67" t="str">
        <f t="shared" si="1"/>
        <v>Wed</v>
      </c>
      <c r="B468" s="69">
        <v>43621.0</v>
      </c>
      <c r="D468" s="194">
        <v>213.012</v>
      </c>
      <c r="E468" s="4" t="s">
        <v>222</v>
      </c>
      <c r="F468" s="4" t="s">
        <v>2194</v>
      </c>
      <c r="G468" s="4" t="s">
        <v>2194</v>
      </c>
      <c r="I468" s="4" t="s">
        <v>224</v>
      </c>
      <c r="K468" s="4" t="s">
        <v>231</v>
      </c>
      <c r="L468" s="4" t="s">
        <v>225</v>
      </c>
      <c r="M468" s="4" t="s">
        <v>2195</v>
      </c>
      <c r="Q468" s="234" t="s">
        <v>2196</v>
      </c>
      <c r="R468" s="4" t="s">
        <v>2197</v>
      </c>
      <c r="S468" s="179" t="s">
        <v>2198</v>
      </c>
    </row>
    <row r="469">
      <c r="A469" s="67" t="str">
        <f t="shared" si="1"/>
        <v>Thu</v>
      </c>
      <c r="B469" s="69">
        <v>43622.0</v>
      </c>
      <c r="D469" s="194">
        <v>213.012</v>
      </c>
      <c r="E469" s="4" t="s">
        <v>222</v>
      </c>
      <c r="F469" s="4" t="s">
        <v>2194</v>
      </c>
      <c r="I469" s="4" t="s">
        <v>224</v>
      </c>
    </row>
    <row r="470">
      <c r="A470" s="67" t="str">
        <f t="shared" si="1"/>
        <v>Fri</v>
      </c>
      <c r="B470" s="69">
        <v>43623.0</v>
      </c>
      <c r="D470" s="194">
        <v>213.012</v>
      </c>
      <c r="E470" s="4" t="s">
        <v>222</v>
      </c>
      <c r="F470" s="4" t="s">
        <v>2194</v>
      </c>
      <c r="I470" s="4" t="s">
        <v>224</v>
      </c>
    </row>
    <row r="471">
      <c r="A471" s="67" t="str">
        <f t="shared" si="1"/>
        <v>Sat</v>
      </c>
      <c r="B471" s="69">
        <v>43624.0</v>
      </c>
      <c r="D471" s="194">
        <v>213.012</v>
      </c>
      <c r="E471" s="4" t="s">
        <v>222</v>
      </c>
      <c r="F471" s="4" t="s">
        <v>2194</v>
      </c>
      <c r="I471" s="4" t="s">
        <v>224</v>
      </c>
    </row>
    <row r="472">
      <c r="A472" s="67" t="str">
        <f t="shared" si="1"/>
        <v>Sun</v>
      </c>
      <c r="B472" s="69">
        <v>43625.0</v>
      </c>
      <c r="D472" s="194">
        <v>213.012</v>
      </c>
      <c r="E472" s="4" t="s">
        <v>222</v>
      </c>
      <c r="F472" s="4" t="s">
        <v>2194</v>
      </c>
      <c r="I472" s="4" t="s">
        <v>224</v>
      </c>
    </row>
    <row r="473">
      <c r="A473" s="67" t="str">
        <f t="shared" si="1"/>
        <v>Mon</v>
      </c>
      <c r="B473" s="69">
        <v>43626.0</v>
      </c>
      <c r="D473" s="171"/>
      <c r="H473" s="4" t="s">
        <v>2194</v>
      </c>
    </row>
    <row r="474">
      <c r="A474" s="67" t="str">
        <f t="shared" si="1"/>
        <v>Tue</v>
      </c>
      <c r="B474" s="69">
        <v>43627.0</v>
      </c>
      <c r="D474" s="171"/>
    </row>
    <row r="475">
      <c r="A475" s="67" t="str">
        <f t="shared" si="1"/>
        <v>Wed</v>
      </c>
      <c r="B475" s="69">
        <v>43628.0</v>
      </c>
      <c r="D475" s="171"/>
    </row>
    <row r="476">
      <c r="A476" s="67" t="str">
        <f t="shared" si="1"/>
        <v>Thu</v>
      </c>
      <c r="B476" s="69">
        <v>43629.0</v>
      </c>
      <c r="D476" s="171"/>
    </row>
    <row r="477">
      <c r="A477" s="67" t="str">
        <f t="shared" si="1"/>
        <v>Fri</v>
      </c>
      <c r="B477" s="69">
        <v>43630.0</v>
      </c>
      <c r="D477" s="171"/>
    </row>
    <row r="478">
      <c r="A478" s="67" t="str">
        <f t="shared" si="1"/>
        <v>Sat</v>
      </c>
      <c r="B478" s="69">
        <v>43631.0</v>
      </c>
      <c r="D478" s="171"/>
    </row>
    <row r="479">
      <c r="A479" s="67" t="str">
        <f t="shared" si="1"/>
        <v>Sun</v>
      </c>
      <c r="B479" s="69">
        <v>43632.0</v>
      </c>
      <c r="D479" s="171"/>
    </row>
    <row r="480">
      <c r="A480" s="67" t="str">
        <f t="shared" si="1"/>
        <v>Mon</v>
      </c>
      <c r="B480" s="69">
        <v>43633.0</v>
      </c>
      <c r="D480" s="171"/>
    </row>
    <row r="481">
      <c r="A481" s="67" t="str">
        <f t="shared" si="1"/>
        <v>Tue</v>
      </c>
      <c r="B481" s="69">
        <v>43634.0</v>
      </c>
      <c r="D481" s="171"/>
    </row>
    <row r="482">
      <c r="A482" s="67" t="str">
        <f t="shared" si="1"/>
        <v>Wed</v>
      </c>
      <c r="B482" s="69">
        <v>43635.0</v>
      </c>
      <c r="D482" s="194">
        <v>291.0</v>
      </c>
      <c r="E482" s="4" t="s">
        <v>222</v>
      </c>
      <c r="F482" s="4" t="s">
        <v>2204</v>
      </c>
      <c r="G482" s="4" t="s">
        <v>2204</v>
      </c>
      <c r="I482" s="4" t="s">
        <v>224</v>
      </c>
      <c r="K482" s="4" t="s">
        <v>231</v>
      </c>
      <c r="L482" s="4" t="s">
        <v>225</v>
      </c>
      <c r="M482" s="4" t="s">
        <v>2205</v>
      </c>
      <c r="N482" s="4" t="s">
        <v>2206</v>
      </c>
      <c r="O482" s="4" t="s">
        <v>2207</v>
      </c>
      <c r="R482" s="4" t="s">
        <v>2208</v>
      </c>
      <c r="S482" s="4" t="s">
        <v>2209</v>
      </c>
    </row>
    <row r="483">
      <c r="A483" s="67" t="str">
        <f t="shared" si="1"/>
        <v>Thu</v>
      </c>
      <c r="B483" s="69">
        <v>43636.0</v>
      </c>
      <c r="D483" s="194">
        <v>291.0</v>
      </c>
      <c r="E483" s="4" t="s">
        <v>222</v>
      </c>
      <c r="F483" s="4" t="s">
        <v>2204</v>
      </c>
      <c r="I483" s="4" t="s">
        <v>224</v>
      </c>
    </row>
    <row r="484">
      <c r="A484" s="67" t="str">
        <f t="shared" si="1"/>
        <v>Fri</v>
      </c>
      <c r="B484" s="69">
        <v>43637.0</v>
      </c>
      <c r="D484" s="194">
        <v>291.0</v>
      </c>
      <c r="E484" s="4" t="s">
        <v>222</v>
      </c>
      <c r="F484" s="4" t="s">
        <v>2204</v>
      </c>
      <c r="I484" s="4" t="s">
        <v>224</v>
      </c>
    </row>
    <row r="485">
      <c r="A485" s="67" t="str">
        <f t="shared" si="1"/>
        <v>Sat</v>
      </c>
      <c r="B485" s="69">
        <v>43638.0</v>
      </c>
      <c r="D485" s="194">
        <v>291.0</v>
      </c>
      <c r="E485" s="4" t="s">
        <v>222</v>
      </c>
      <c r="F485" s="4" t="s">
        <v>2204</v>
      </c>
      <c r="I485" s="4" t="s">
        <v>224</v>
      </c>
    </row>
    <row r="486">
      <c r="A486" s="67" t="str">
        <f t="shared" si="1"/>
        <v>Sun</v>
      </c>
      <c r="B486" s="69">
        <v>43639.0</v>
      </c>
      <c r="D486" s="171"/>
      <c r="H486" s="4" t="s">
        <v>2215</v>
      </c>
    </row>
    <row r="487">
      <c r="A487" s="67" t="str">
        <f t="shared" si="1"/>
        <v>Mon</v>
      </c>
      <c r="B487" s="69">
        <v>43640.0</v>
      </c>
      <c r="D487" s="171"/>
    </row>
    <row r="488">
      <c r="A488" s="67" t="str">
        <f t="shared" si="1"/>
        <v>Tue</v>
      </c>
      <c r="B488" s="69">
        <v>43641.0</v>
      </c>
      <c r="D488" s="171"/>
    </row>
    <row r="489">
      <c r="A489" s="67" t="str">
        <f t="shared" si="1"/>
        <v>Wed</v>
      </c>
      <c r="B489" s="69">
        <v>43642.0</v>
      </c>
      <c r="D489" s="171"/>
    </row>
    <row r="490">
      <c r="A490" s="67" t="str">
        <f t="shared" si="1"/>
        <v>Thu</v>
      </c>
      <c r="B490" s="69">
        <v>43643.0</v>
      </c>
      <c r="D490" s="171"/>
    </row>
    <row r="491">
      <c r="A491" s="67" t="str">
        <f t="shared" si="1"/>
        <v>Fri</v>
      </c>
      <c r="B491" s="69">
        <v>43644.0</v>
      </c>
      <c r="D491" s="171"/>
    </row>
    <row r="492">
      <c r="A492" s="67" t="str">
        <f t="shared" si="1"/>
        <v>Sat</v>
      </c>
      <c r="B492" s="69">
        <v>43645.0</v>
      </c>
      <c r="D492" s="171"/>
    </row>
    <row r="493">
      <c r="A493" s="67" t="str">
        <f t="shared" si="1"/>
        <v>Sun</v>
      </c>
      <c r="B493" s="69">
        <v>43646.0</v>
      </c>
      <c r="D493" s="171"/>
    </row>
    <row r="494">
      <c r="A494" s="67" t="str">
        <f t="shared" si="1"/>
        <v>Mon</v>
      </c>
      <c r="B494" s="69">
        <v>43647.0</v>
      </c>
      <c r="D494" s="171"/>
    </row>
    <row r="495">
      <c r="A495" s="67" t="str">
        <f t="shared" si="1"/>
        <v>Tue</v>
      </c>
      <c r="B495" s="69">
        <v>43648.0</v>
      </c>
      <c r="D495" s="171"/>
    </row>
    <row r="496">
      <c r="A496" s="67" t="str">
        <f t="shared" si="1"/>
        <v>Wed</v>
      </c>
      <c r="B496" s="69">
        <v>43649.0</v>
      </c>
      <c r="D496" s="171"/>
    </row>
    <row r="497">
      <c r="A497" s="67" t="str">
        <f t="shared" si="1"/>
        <v>Thu</v>
      </c>
      <c r="B497" s="69">
        <v>43650.0</v>
      </c>
      <c r="D497" s="171"/>
    </row>
    <row r="498">
      <c r="A498" s="67" t="str">
        <f t="shared" si="1"/>
        <v>Fri</v>
      </c>
      <c r="B498" s="69">
        <v>43651.0</v>
      </c>
      <c r="D498" s="171"/>
    </row>
    <row r="499">
      <c r="A499" s="67" t="str">
        <f t="shared" si="1"/>
        <v>Sat</v>
      </c>
      <c r="B499" s="69">
        <v>43652.0</v>
      </c>
      <c r="D499" s="171"/>
    </row>
    <row r="500">
      <c r="A500" s="67" t="str">
        <f t="shared" si="1"/>
        <v>Sun</v>
      </c>
      <c r="B500" s="69">
        <v>43653.0</v>
      </c>
      <c r="D500" s="171"/>
    </row>
    <row r="501">
      <c r="A501" s="67" t="str">
        <f t="shared" si="1"/>
        <v>Mon</v>
      </c>
      <c r="B501" s="69">
        <v>43654.0</v>
      </c>
      <c r="D501" s="171"/>
    </row>
    <row r="502">
      <c r="A502" s="67" t="str">
        <f t="shared" si="1"/>
        <v>Tue</v>
      </c>
      <c r="B502" s="69">
        <v>43655.0</v>
      </c>
      <c r="D502" s="171"/>
    </row>
    <row r="503">
      <c r="A503" s="67" t="str">
        <f t="shared" si="1"/>
        <v>Wed</v>
      </c>
      <c r="B503" s="69">
        <v>43656.0</v>
      </c>
      <c r="D503" s="171"/>
    </row>
    <row r="504">
      <c r="A504" s="67" t="str">
        <f t="shared" si="1"/>
        <v>Thu</v>
      </c>
      <c r="B504" s="69">
        <v>43657.0</v>
      </c>
      <c r="D504" s="171"/>
    </row>
    <row r="505">
      <c r="A505" s="67" t="str">
        <f t="shared" si="1"/>
        <v>Fri</v>
      </c>
      <c r="B505" s="69">
        <v>43658.0</v>
      </c>
      <c r="D505" s="171"/>
    </row>
    <row r="506">
      <c r="A506" s="67" t="str">
        <f t="shared" si="1"/>
        <v>Sat</v>
      </c>
      <c r="B506" s="69">
        <v>43659.0</v>
      </c>
      <c r="D506" s="171"/>
    </row>
    <row r="507">
      <c r="A507" s="67" t="str">
        <f t="shared" si="1"/>
        <v>Sun</v>
      </c>
      <c r="B507" s="69">
        <v>43660.0</v>
      </c>
      <c r="D507" s="171"/>
    </row>
    <row r="508">
      <c r="A508" s="67" t="str">
        <f t="shared" si="1"/>
        <v>Mon</v>
      </c>
      <c r="B508" s="69">
        <v>43661.0</v>
      </c>
      <c r="D508" s="171"/>
    </row>
    <row r="509">
      <c r="A509" s="67" t="str">
        <f t="shared" si="1"/>
        <v>Tue</v>
      </c>
      <c r="B509" s="69">
        <v>43662.0</v>
      </c>
      <c r="D509" s="171"/>
    </row>
    <row r="510">
      <c r="A510" s="67" t="str">
        <f t="shared" si="1"/>
        <v>Wed</v>
      </c>
      <c r="B510" s="69">
        <v>43663.0</v>
      </c>
      <c r="D510" s="171"/>
    </row>
    <row r="511">
      <c r="A511" s="67" t="str">
        <f t="shared" si="1"/>
        <v>Thu</v>
      </c>
      <c r="B511" s="69">
        <v>43664.0</v>
      </c>
      <c r="D511" s="171"/>
    </row>
    <row r="512">
      <c r="A512" s="67" t="str">
        <f t="shared" si="1"/>
        <v>Fri</v>
      </c>
      <c r="B512" s="69">
        <v>43665.0</v>
      </c>
      <c r="D512" s="171"/>
    </row>
    <row r="513">
      <c r="A513" s="67" t="str">
        <f t="shared" si="1"/>
        <v>Sat</v>
      </c>
      <c r="B513" s="69">
        <v>43666.0</v>
      </c>
      <c r="D513" s="171"/>
    </row>
    <row r="514">
      <c r="A514" s="67" t="str">
        <f t="shared" si="1"/>
        <v>Sun</v>
      </c>
      <c r="B514" s="69">
        <v>43667.0</v>
      </c>
      <c r="D514" s="171"/>
    </row>
    <row r="515">
      <c r="A515" s="67" t="str">
        <f t="shared" si="1"/>
        <v>Mon</v>
      </c>
      <c r="B515" s="69">
        <v>43668.0</v>
      </c>
      <c r="D515" s="171"/>
    </row>
    <row r="516">
      <c r="A516" s="67" t="str">
        <f t="shared" si="1"/>
        <v>Tue</v>
      </c>
      <c r="B516" s="69">
        <v>43669.0</v>
      </c>
      <c r="D516" s="171"/>
    </row>
    <row r="517">
      <c r="A517" s="67" t="str">
        <f t="shared" si="1"/>
        <v>Wed</v>
      </c>
      <c r="B517" s="69">
        <v>43670.0</v>
      </c>
      <c r="D517" s="171"/>
    </row>
    <row r="518">
      <c r="A518" s="67" t="str">
        <f t="shared" si="1"/>
        <v>Thu</v>
      </c>
      <c r="B518" s="69">
        <v>43671.0</v>
      </c>
      <c r="D518" s="171"/>
    </row>
    <row r="519">
      <c r="A519" s="67" t="str">
        <f t="shared" si="1"/>
        <v>Fri</v>
      </c>
      <c r="B519" s="69">
        <v>43672.0</v>
      </c>
      <c r="D519" s="171"/>
    </row>
    <row r="520">
      <c r="A520" s="67" t="str">
        <f t="shared" si="1"/>
        <v>Sat</v>
      </c>
      <c r="B520" s="69">
        <v>43673.0</v>
      </c>
      <c r="D520" s="171"/>
    </row>
    <row r="521">
      <c r="A521" s="67" t="str">
        <f t="shared" si="1"/>
        <v>Sun</v>
      </c>
      <c r="B521" s="69">
        <v>43674.0</v>
      </c>
      <c r="D521" s="171"/>
    </row>
    <row r="522">
      <c r="A522" s="67" t="str">
        <f t="shared" si="1"/>
        <v>Mon</v>
      </c>
      <c r="B522" s="69">
        <v>43675.0</v>
      </c>
      <c r="D522" s="171"/>
    </row>
    <row r="523">
      <c r="A523" s="67" t="str">
        <f t="shared" si="1"/>
        <v>Tue</v>
      </c>
      <c r="B523" s="69">
        <v>43676.0</v>
      </c>
      <c r="D523" s="171"/>
    </row>
    <row r="524">
      <c r="A524" s="67" t="str">
        <f t="shared" si="1"/>
        <v>Wed</v>
      </c>
      <c r="B524" s="69">
        <v>43677.0</v>
      </c>
      <c r="D524" s="171"/>
    </row>
    <row r="525">
      <c r="A525" s="67" t="str">
        <f t="shared" si="1"/>
        <v>Thu</v>
      </c>
      <c r="B525" s="69">
        <v>43678.0</v>
      </c>
      <c r="D525" s="171"/>
    </row>
    <row r="526">
      <c r="A526" s="67" t="str">
        <f t="shared" si="1"/>
        <v>Fri</v>
      </c>
      <c r="B526" s="69">
        <v>43679.0</v>
      </c>
      <c r="D526" s="171"/>
    </row>
    <row r="527">
      <c r="A527" s="67" t="str">
        <f t="shared" si="1"/>
        <v>Sat</v>
      </c>
      <c r="B527" s="69">
        <v>43680.0</v>
      </c>
      <c r="D527" s="171"/>
    </row>
    <row r="528">
      <c r="A528" s="67" t="str">
        <f t="shared" si="1"/>
        <v>Sun</v>
      </c>
      <c r="B528" s="69">
        <v>43681.0</v>
      </c>
      <c r="D528" s="171"/>
    </row>
    <row r="529">
      <c r="A529" s="67" t="str">
        <f t="shared" si="1"/>
        <v>Mon</v>
      </c>
      <c r="B529" s="69">
        <v>43682.0</v>
      </c>
      <c r="D529" s="171"/>
    </row>
    <row r="530">
      <c r="A530" s="67" t="str">
        <f t="shared" si="1"/>
        <v>Tue</v>
      </c>
      <c r="B530" s="69">
        <v>43683.0</v>
      </c>
      <c r="D530" s="171"/>
    </row>
    <row r="531">
      <c r="A531" s="67" t="str">
        <f t="shared" si="1"/>
        <v>Wed</v>
      </c>
      <c r="B531" s="69">
        <v>43684.0</v>
      </c>
      <c r="D531" s="171"/>
    </row>
    <row r="532">
      <c r="A532" s="67" t="str">
        <f t="shared" si="1"/>
        <v>Thu</v>
      </c>
      <c r="B532" s="69">
        <v>43685.0</v>
      </c>
      <c r="D532" s="171"/>
    </row>
    <row r="533">
      <c r="A533" s="67" t="str">
        <f t="shared" si="1"/>
        <v>Fri</v>
      </c>
      <c r="B533" s="69">
        <v>43686.0</v>
      </c>
      <c r="D533" s="171"/>
    </row>
    <row r="534">
      <c r="A534" s="67" t="str">
        <f t="shared" si="1"/>
        <v>Sat</v>
      </c>
      <c r="B534" s="69">
        <v>43687.0</v>
      </c>
      <c r="D534" s="171"/>
    </row>
    <row r="535">
      <c r="A535" s="67" t="str">
        <f t="shared" si="1"/>
        <v>Sun</v>
      </c>
      <c r="B535" s="69">
        <v>43688.0</v>
      </c>
      <c r="D535" s="171"/>
    </row>
    <row r="536">
      <c r="A536" s="67" t="str">
        <f t="shared" si="1"/>
        <v>Mon</v>
      </c>
      <c r="B536" s="69">
        <v>43689.0</v>
      </c>
      <c r="D536" s="171"/>
    </row>
    <row r="537">
      <c r="A537" s="67" t="str">
        <f t="shared" si="1"/>
        <v>Tue</v>
      </c>
      <c r="B537" s="69">
        <v>43690.0</v>
      </c>
      <c r="D537" s="171"/>
    </row>
    <row r="538">
      <c r="A538" s="67" t="str">
        <f t="shared" si="1"/>
        <v>Wed</v>
      </c>
      <c r="B538" s="69">
        <v>43691.0</v>
      </c>
      <c r="D538" s="171"/>
    </row>
    <row r="539">
      <c r="A539" s="67" t="str">
        <f t="shared" si="1"/>
        <v>Thu</v>
      </c>
      <c r="B539" s="69">
        <v>43692.0</v>
      </c>
      <c r="D539" s="171"/>
    </row>
    <row r="540">
      <c r="A540" s="67" t="str">
        <f t="shared" si="1"/>
        <v>Fri</v>
      </c>
      <c r="B540" s="69">
        <v>43693.0</v>
      </c>
      <c r="D540" s="171"/>
    </row>
    <row r="541">
      <c r="A541" s="67" t="str">
        <f t="shared" si="1"/>
        <v>Sat</v>
      </c>
      <c r="B541" s="69">
        <v>43694.0</v>
      </c>
      <c r="D541" s="171"/>
    </row>
    <row r="542">
      <c r="A542" s="67" t="str">
        <f t="shared" si="1"/>
        <v>Sun</v>
      </c>
      <c r="B542" s="69">
        <v>43695.0</v>
      </c>
      <c r="D542" s="171"/>
    </row>
    <row r="543">
      <c r="A543" s="67" t="str">
        <f t="shared" si="1"/>
        <v>Mon</v>
      </c>
      <c r="B543" s="69">
        <v>43696.0</v>
      </c>
      <c r="D543" s="171"/>
    </row>
    <row r="544">
      <c r="A544" s="67" t="str">
        <f t="shared" si="1"/>
        <v>Tue</v>
      </c>
      <c r="B544" s="69">
        <v>43697.0</v>
      </c>
      <c r="D544" s="171"/>
    </row>
    <row r="545">
      <c r="A545" s="67" t="str">
        <f t="shared" si="1"/>
        <v>Wed</v>
      </c>
      <c r="B545" s="69">
        <v>43698.0</v>
      </c>
      <c r="D545" s="171"/>
    </row>
    <row r="546">
      <c r="A546" s="67" t="str">
        <f t="shared" si="1"/>
        <v>Thu</v>
      </c>
      <c r="B546" s="69">
        <v>43699.0</v>
      </c>
      <c r="D546" s="171"/>
    </row>
    <row r="547">
      <c r="A547" s="67" t="str">
        <f t="shared" si="1"/>
        <v>Fri</v>
      </c>
      <c r="B547" s="69">
        <v>43700.0</v>
      </c>
      <c r="D547" s="171"/>
    </row>
    <row r="548">
      <c r="A548" s="67" t="str">
        <f t="shared" si="1"/>
        <v>Sat</v>
      </c>
      <c r="B548" s="69">
        <v>43701.0</v>
      </c>
      <c r="D548" s="171"/>
    </row>
    <row r="549">
      <c r="A549" s="67" t="str">
        <f t="shared" si="1"/>
        <v>Sun</v>
      </c>
      <c r="B549" s="69">
        <v>43702.0</v>
      </c>
      <c r="D549" s="171"/>
    </row>
    <row r="550">
      <c r="A550" s="67" t="str">
        <f t="shared" si="1"/>
        <v>Mon</v>
      </c>
      <c r="B550" s="69">
        <v>43703.0</v>
      </c>
      <c r="D550" s="171"/>
    </row>
    <row r="551">
      <c r="A551" s="67" t="str">
        <f t="shared" si="1"/>
        <v>Tue</v>
      </c>
      <c r="B551" s="69">
        <v>43704.0</v>
      </c>
      <c r="D551" s="171"/>
    </row>
    <row r="552">
      <c r="A552" s="67" t="str">
        <f t="shared" si="1"/>
        <v>Wed</v>
      </c>
      <c r="B552" s="69">
        <v>43705.0</v>
      </c>
      <c r="D552" s="171"/>
    </row>
    <row r="553">
      <c r="A553" s="67" t="str">
        <f t="shared" si="1"/>
        <v>Thu</v>
      </c>
      <c r="B553" s="69">
        <v>43706.0</v>
      </c>
      <c r="D553" s="171"/>
    </row>
    <row r="554">
      <c r="A554" s="67" t="str">
        <f t="shared" si="1"/>
        <v>Fri</v>
      </c>
      <c r="B554" s="69">
        <v>43707.0</v>
      </c>
      <c r="D554" s="171"/>
    </row>
    <row r="555">
      <c r="A555" s="67" t="str">
        <f t="shared" si="1"/>
        <v>Sat</v>
      </c>
      <c r="B555" s="69">
        <v>43708.0</v>
      </c>
      <c r="D555" s="171"/>
    </row>
    <row r="556">
      <c r="A556" s="67" t="str">
        <f t="shared" si="1"/>
        <v>Sun</v>
      </c>
      <c r="B556" s="69">
        <v>43709.0</v>
      </c>
      <c r="D556" s="171"/>
    </row>
    <row r="557">
      <c r="A557" s="67" t="str">
        <f t="shared" si="1"/>
        <v>Mon</v>
      </c>
      <c r="B557" s="69">
        <v>43710.0</v>
      </c>
      <c r="D557" s="171"/>
    </row>
    <row r="558">
      <c r="A558" s="67" t="str">
        <f t="shared" si="1"/>
        <v>Tue</v>
      </c>
      <c r="B558" s="69">
        <v>43711.0</v>
      </c>
      <c r="D558" s="171"/>
    </row>
    <row r="559">
      <c r="A559" s="67" t="str">
        <f t="shared" si="1"/>
        <v>Wed</v>
      </c>
      <c r="B559" s="69">
        <v>43712.0</v>
      </c>
      <c r="D559" s="171"/>
    </row>
    <row r="560">
      <c r="A560" s="67" t="str">
        <f t="shared" si="1"/>
        <v>Thu</v>
      </c>
      <c r="B560" s="69">
        <v>43713.0</v>
      </c>
      <c r="D560" s="171"/>
    </row>
    <row r="561">
      <c r="A561" s="67" t="str">
        <f t="shared" si="1"/>
        <v>Fri</v>
      </c>
      <c r="B561" s="69">
        <v>43714.0</v>
      </c>
      <c r="D561" s="171"/>
    </row>
    <row r="562">
      <c r="A562" s="67" t="str">
        <f t="shared" si="1"/>
        <v>Sat</v>
      </c>
      <c r="B562" s="69">
        <v>43715.0</v>
      </c>
      <c r="D562" s="171"/>
    </row>
    <row r="563">
      <c r="A563" s="67" t="str">
        <f t="shared" si="1"/>
        <v>Sun</v>
      </c>
      <c r="B563" s="69">
        <v>43716.0</v>
      </c>
      <c r="D563" s="171"/>
    </row>
    <row r="564">
      <c r="A564" s="67" t="str">
        <f t="shared" si="1"/>
        <v>Mon</v>
      </c>
      <c r="B564" s="69">
        <v>43717.0</v>
      </c>
      <c r="D564" s="171"/>
    </row>
    <row r="565">
      <c r="A565" s="67" t="str">
        <f t="shared" si="1"/>
        <v>Tue</v>
      </c>
      <c r="B565" s="69">
        <v>43718.0</v>
      </c>
      <c r="D565" s="171"/>
    </row>
    <row r="566">
      <c r="A566" s="67" t="str">
        <f t="shared" si="1"/>
        <v>Wed</v>
      </c>
      <c r="B566" s="69">
        <v>43719.0</v>
      </c>
      <c r="D566" s="171"/>
    </row>
    <row r="567">
      <c r="A567" s="67" t="str">
        <f t="shared" si="1"/>
        <v>Thu</v>
      </c>
      <c r="B567" s="69">
        <v>43720.0</v>
      </c>
      <c r="D567" s="171"/>
    </row>
    <row r="568">
      <c r="A568" s="67" t="str">
        <f t="shared" si="1"/>
        <v>Fri</v>
      </c>
      <c r="B568" s="69">
        <v>43721.0</v>
      </c>
      <c r="D568" s="171"/>
    </row>
    <row r="569">
      <c r="A569" s="67" t="str">
        <f t="shared" si="1"/>
        <v>Sat</v>
      </c>
      <c r="B569" s="69">
        <v>43722.0</v>
      </c>
      <c r="D569" s="171"/>
    </row>
    <row r="570">
      <c r="A570" s="67" t="str">
        <f t="shared" si="1"/>
        <v>Sun</v>
      </c>
      <c r="B570" s="69">
        <v>43723.0</v>
      </c>
      <c r="D570" s="171"/>
    </row>
    <row r="571">
      <c r="A571" s="67" t="str">
        <f t="shared" si="1"/>
        <v>Mon</v>
      </c>
      <c r="B571" s="69">
        <v>43724.0</v>
      </c>
      <c r="D571" s="171"/>
    </row>
    <row r="572">
      <c r="A572" s="67" t="str">
        <f t="shared" si="1"/>
        <v>Tue</v>
      </c>
      <c r="B572" s="69">
        <v>43725.0</v>
      </c>
      <c r="D572" s="171"/>
    </row>
    <row r="573">
      <c r="A573" s="67" t="str">
        <f t="shared" si="1"/>
        <v>Wed</v>
      </c>
      <c r="B573" s="69">
        <v>43726.0</v>
      </c>
      <c r="D573" s="171"/>
    </row>
    <row r="574">
      <c r="A574" s="67" t="str">
        <f t="shared" si="1"/>
        <v>Thu</v>
      </c>
      <c r="B574" s="69">
        <v>43727.0</v>
      </c>
      <c r="D574" s="171"/>
    </row>
    <row r="575">
      <c r="A575" s="67" t="str">
        <f t="shared" si="1"/>
        <v>Fri</v>
      </c>
      <c r="B575" s="69">
        <v>43728.0</v>
      </c>
      <c r="D575" s="171"/>
    </row>
    <row r="576">
      <c r="A576" s="67" t="str">
        <f t="shared" si="1"/>
        <v>Sat</v>
      </c>
      <c r="B576" s="69">
        <v>43729.0</v>
      </c>
      <c r="D576" s="171"/>
    </row>
    <row r="577">
      <c r="A577" s="67" t="str">
        <f t="shared" si="1"/>
        <v>Sun</v>
      </c>
      <c r="B577" s="69">
        <v>43730.0</v>
      </c>
      <c r="D577" s="171"/>
    </row>
    <row r="578">
      <c r="A578" s="67" t="str">
        <f t="shared" si="1"/>
        <v>Mon</v>
      </c>
      <c r="B578" s="69">
        <v>43731.0</v>
      </c>
      <c r="D578" s="171"/>
    </row>
    <row r="579">
      <c r="A579" s="67" t="str">
        <f t="shared" si="1"/>
        <v>Tue</v>
      </c>
      <c r="B579" s="69">
        <v>43732.0</v>
      </c>
      <c r="D579" s="171"/>
    </row>
    <row r="580">
      <c r="A580" s="67" t="str">
        <f t="shared" si="1"/>
        <v>Wed</v>
      </c>
      <c r="B580" s="69">
        <v>43733.0</v>
      </c>
      <c r="D580" s="171"/>
    </row>
    <row r="581">
      <c r="A581" s="67" t="str">
        <f t="shared" si="1"/>
        <v>Thu</v>
      </c>
      <c r="B581" s="69">
        <v>43734.0</v>
      </c>
      <c r="D581" s="171"/>
    </row>
    <row r="582">
      <c r="A582" s="67" t="str">
        <f t="shared" si="1"/>
        <v>Fri</v>
      </c>
      <c r="B582" s="69">
        <v>43735.0</v>
      </c>
      <c r="D582" s="171"/>
    </row>
    <row r="583">
      <c r="A583" s="67" t="str">
        <f t="shared" si="1"/>
        <v>Sat</v>
      </c>
      <c r="B583" s="69">
        <v>43736.0</v>
      </c>
      <c r="D583" s="171"/>
    </row>
    <row r="584">
      <c r="A584" s="67" t="str">
        <f t="shared" si="1"/>
        <v>Sun</v>
      </c>
      <c r="B584" s="69">
        <v>43737.0</v>
      </c>
      <c r="D584" s="171"/>
    </row>
    <row r="585">
      <c r="A585" s="67" t="str">
        <f t="shared" si="1"/>
        <v>Mon</v>
      </c>
      <c r="B585" s="69">
        <v>43738.0</v>
      </c>
      <c r="D585" s="171"/>
    </row>
    <row r="586">
      <c r="A586" s="67" t="str">
        <f t="shared" si="1"/>
        <v>Tue</v>
      </c>
      <c r="B586" s="69">
        <v>43739.0</v>
      </c>
      <c r="D586" s="171"/>
    </row>
    <row r="587">
      <c r="A587" s="67" t="str">
        <f t="shared" si="1"/>
        <v>Wed</v>
      </c>
      <c r="B587" s="69">
        <v>43740.0</v>
      </c>
      <c r="D587" s="171"/>
    </row>
    <row r="588">
      <c r="A588" s="67" t="str">
        <f t="shared" si="1"/>
        <v>Thu</v>
      </c>
      <c r="B588" s="69">
        <v>43741.0</v>
      </c>
      <c r="D588" s="171"/>
    </row>
    <row r="589">
      <c r="A589" s="67" t="str">
        <f t="shared" si="1"/>
        <v>Fri</v>
      </c>
      <c r="B589" s="69">
        <v>43742.0</v>
      </c>
      <c r="D589" s="171"/>
    </row>
    <row r="590">
      <c r="A590" s="67" t="str">
        <f t="shared" si="1"/>
        <v>Sat</v>
      </c>
      <c r="B590" s="69">
        <v>43743.0</v>
      </c>
      <c r="D590" s="171"/>
    </row>
    <row r="591">
      <c r="A591" s="67" t="str">
        <f t="shared" si="1"/>
        <v>Sun</v>
      </c>
      <c r="B591" s="69">
        <v>43744.0</v>
      </c>
      <c r="D591" s="171"/>
    </row>
    <row r="592">
      <c r="A592" s="67" t="str">
        <f t="shared" si="1"/>
        <v>Mon</v>
      </c>
      <c r="B592" s="69">
        <v>43745.0</v>
      </c>
      <c r="D592" s="171"/>
    </row>
    <row r="593">
      <c r="A593" s="67" t="str">
        <f t="shared" si="1"/>
        <v>Tue</v>
      </c>
      <c r="B593" s="69">
        <v>43746.0</v>
      </c>
      <c r="D593" s="171"/>
    </row>
    <row r="594">
      <c r="A594" s="67" t="str">
        <f t="shared" si="1"/>
        <v>Wed</v>
      </c>
      <c r="B594" s="69">
        <v>43747.0</v>
      </c>
      <c r="D594" s="171"/>
    </row>
    <row r="595">
      <c r="A595" s="67" t="str">
        <f t="shared" si="1"/>
        <v>Thu</v>
      </c>
      <c r="B595" s="69">
        <v>43748.0</v>
      </c>
      <c r="D595" s="171"/>
    </row>
    <row r="596">
      <c r="A596" s="67" t="str">
        <f t="shared" si="1"/>
        <v>Fri</v>
      </c>
      <c r="B596" s="69">
        <v>43749.0</v>
      </c>
      <c r="D596" s="171"/>
    </row>
    <row r="597">
      <c r="A597" s="67" t="str">
        <f t="shared" si="1"/>
        <v>Sat</v>
      </c>
      <c r="B597" s="69">
        <v>43750.0</v>
      </c>
      <c r="D597" s="171"/>
    </row>
    <row r="598">
      <c r="A598" s="67" t="str">
        <f t="shared" si="1"/>
        <v>Sun</v>
      </c>
      <c r="B598" s="69">
        <v>43751.0</v>
      </c>
      <c r="D598" s="171"/>
    </row>
    <row r="599">
      <c r="A599" s="67" t="str">
        <f t="shared" si="1"/>
        <v>Mon</v>
      </c>
      <c r="B599" s="69">
        <v>43752.0</v>
      </c>
      <c r="D599" s="171"/>
    </row>
    <row r="600">
      <c r="A600" s="67" t="str">
        <f t="shared" si="1"/>
        <v>Tue</v>
      </c>
      <c r="B600" s="69">
        <v>43753.0</v>
      </c>
      <c r="D600" s="171"/>
    </row>
    <row r="601">
      <c r="A601" s="67" t="str">
        <f t="shared" si="1"/>
        <v>Wed</v>
      </c>
      <c r="B601" s="69">
        <v>43754.0</v>
      </c>
      <c r="D601" s="171"/>
    </row>
    <row r="602">
      <c r="A602" s="67" t="str">
        <f t="shared" si="1"/>
        <v>Thu</v>
      </c>
      <c r="B602" s="69">
        <v>43755.0</v>
      </c>
      <c r="D602" s="171"/>
    </row>
    <row r="603">
      <c r="A603" s="67" t="str">
        <f t="shared" si="1"/>
        <v>Fri</v>
      </c>
      <c r="B603" s="69">
        <v>43756.0</v>
      </c>
      <c r="D603" s="171"/>
    </row>
    <row r="604">
      <c r="A604" s="67" t="str">
        <f t="shared" si="1"/>
        <v>Sat</v>
      </c>
      <c r="B604" s="69">
        <v>43757.0</v>
      </c>
      <c r="D604" s="171"/>
    </row>
    <row r="605">
      <c r="A605" s="67" t="str">
        <f t="shared" si="1"/>
        <v>Sun</v>
      </c>
      <c r="B605" s="69">
        <v>43758.0</v>
      </c>
      <c r="D605" s="171"/>
    </row>
    <row r="606">
      <c r="A606" s="67" t="str">
        <f t="shared" si="1"/>
        <v>Mon</v>
      </c>
      <c r="B606" s="69">
        <v>43759.0</v>
      </c>
      <c r="D606" s="171"/>
    </row>
    <row r="607">
      <c r="A607" s="67" t="str">
        <f t="shared" si="1"/>
        <v>Tue</v>
      </c>
      <c r="B607" s="69">
        <v>43760.0</v>
      </c>
      <c r="D607" s="171"/>
    </row>
    <row r="608">
      <c r="A608" s="67" t="str">
        <f t="shared" si="1"/>
        <v>Wed</v>
      </c>
      <c r="B608" s="69">
        <v>43761.0</v>
      </c>
      <c r="D608" s="171"/>
    </row>
    <row r="609">
      <c r="A609" s="67" t="str">
        <f t="shared" si="1"/>
        <v>Thu</v>
      </c>
      <c r="B609" s="69">
        <v>43762.0</v>
      </c>
      <c r="D609" s="171"/>
    </row>
    <row r="610">
      <c r="A610" s="67" t="str">
        <f t="shared" si="1"/>
        <v>Fri</v>
      </c>
      <c r="B610" s="69">
        <v>43763.0</v>
      </c>
      <c r="D610" s="171"/>
    </row>
    <row r="611">
      <c r="A611" s="67" t="str">
        <f t="shared" si="1"/>
        <v>Sat</v>
      </c>
      <c r="B611" s="69">
        <v>43764.0</v>
      </c>
      <c r="D611" s="171"/>
    </row>
    <row r="612">
      <c r="A612" s="67" t="str">
        <f t="shared" si="1"/>
        <v>Sun</v>
      </c>
      <c r="B612" s="69">
        <v>43765.0</v>
      </c>
      <c r="D612" s="171"/>
    </row>
    <row r="613">
      <c r="A613" s="67" t="str">
        <f t="shared" si="1"/>
        <v>Mon</v>
      </c>
      <c r="B613" s="69">
        <v>43766.0</v>
      </c>
      <c r="D613" s="171"/>
    </row>
    <row r="614">
      <c r="A614" s="67" t="str">
        <f t="shared" si="1"/>
        <v>Tue</v>
      </c>
      <c r="B614" s="69">
        <v>43767.0</v>
      </c>
      <c r="D614" s="171"/>
    </row>
    <row r="615">
      <c r="A615" s="67" t="str">
        <f t="shared" si="1"/>
        <v>Wed</v>
      </c>
      <c r="B615" s="69">
        <v>43768.0</v>
      </c>
      <c r="D615" s="171"/>
    </row>
    <row r="616">
      <c r="A616" s="67" t="str">
        <f t="shared" si="1"/>
        <v>Thu</v>
      </c>
      <c r="B616" s="69">
        <v>43769.0</v>
      </c>
      <c r="D616" s="171"/>
    </row>
    <row r="617">
      <c r="A617" s="67" t="str">
        <f t="shared" si="1"/>
        <v>Fri</v>
      </c>
      <c r="B617" s="69">
        <v>43770.0</v>
      </c>
      <c r="D617" s="171"/>
    </row>
    <row r="618">
      <c r="A618" s="67" t="str">
        <f t="shared" si="1"/>
        <v>Sat</v>
      </c>
      <c r="B618" s="69">
        <v>43771.0</v>
      </c>
      <c r="D618" s="171"/>
    </row>
    <row r="619">
      <c r="A619" s="67" t="str">
        <f t="shared" si="1"/>
        <v>Sun</v>
      </c>
      <c r="B619" s="69">
        <v>43772.0</v>
      </c>
      <c r="D619" s="171"/>
    </row>
    <row r="620">
      <c r="A620" s="67" t="str">
        <f t="shared" si="1"/>
        <v>Mon</v>
      </c>
      <c r="B620" s="69">
        <v>43773.0</v>
      </c>
      <c r="D620" s="171"/>
    </row>
    <row r="621">
      <c r="A621" s="67" t="str">
        <f t="shared" si="1"/>
        <v>Tue</v>
      </c>
      <c r="B621" s="69">
        <v>43774.0</v>
      </c>
      <c r="D621" s="171"/>
    </row>
    <row r="622">
      <c r="A622" s="67" t="str">
        <f t="shared" si="1"/>
        <v>Wed</v>
      </c>
      <c r="B622" s="69">
        <v>43775.0</v>
      </c>
      <c r="D622" s="171"/>
    </row>
    <row r="623">
      <c r="A623" s="67" t="str">
        <f t="shared" si="1"/>
        <v>Thu</v>
      </c>
      <c r="B623" s="69">
        <v>43776.0</v>
      </c>
      <c r="D623" s="171"/>
    </row>
    <row r="624">
      <c r="A624" s="67" t="str">
        <f t="shared" si="1"/>
        <v>Fri</v>
      </c>
      <c r="B624" s="69">
        <v>43777.0</v>
      </c>
      <c r="D624" s="171"/>
    </row>
    <row r="625">
      <c r="A625" s="67" t="str">
        <f t="shared" si="1"/>
        <v>Sat</v>
      </c>
      <c r="B625" s="69">
        <v>43778.0</v>
      </c>
      <c r="D625" s="171"/>
    </row>
    <row r="626">
      <c r="A626" s="67" t="str">
        <f t="shared" si="1"/>
        <v>Sun</v>
      </c>
      <c r="B626" s="69">
        <v>43779.0</v>
      </c>
      <c r="D626" s="171"/>
    </row>
    <row r="627">
      <c r="A627" s="67" t="str">
        <f t="shared" si="1"/>
        <v>Mon</v>
      </c>
      <c r="B627" s="69">
        <v>43780.0</v>
      </c>
      <c r="D627" s="171"/>
    </row>
    <row r="628">
      <c r="A628" s="67" t="str">
        <f t="shared" si="1"/>
        <v>Tue</v>
      </c>
      <c r="B628" s="69">
        <v>43781.0</v>
      </c>
      <c r="D628" s="171"/>
    </row>
    <row r="629">
      <c r="A629" s="67" t="str">
        <f t="shared" si="1"/>
        <v>Wed</v>
      </c>
      <c r="B629" s="69">
        <v>43782.0</v>
      </c>
      <c r="D629" s="171"/>
    </row>
    <row r="630">
      <c r="A630" s="67" t="str">
        <f t="shared" si="1"/>
        <v>Thu</v>
      </c>
      <c r="B630" s="69">
        <v>43783.0</v>
      </c>
      <c r="D630" s="171"/>
    </row>
    <row r="631">
      <c r="A631" s="67" t="str">
        <f t="shared" si="1"/>
        <v>Fri</v>
      </c>
      <c r="B631" s="69">
        <v>43784.0</v>
      </c>
      <c r="D631" s="171"/>
    </row>
    <row r="632">
      <c r="A632" s="67" t="str">
        <f t="shared" si="1"/>
        <v>Sat</v>
      </c>
      <c r="B632" s="69">
        <v>43785.0</v>
      </c>
      <c r="D632" s="171"/>
    </row>
    <row r="633">
      <c r="A633" s="67" t="str">
        <f t="shared" si="1"/>
        <v>Sun</v>
      </c>
      <c r="B633" s="69">
        <v>43786.0</v>
      </c>
      <c r="D633" s="171"/>
    </row>
    <row r="634">
      <c r="A634" s="67" t="str">
        <f t="shared" si="1"/>
        <v>Mon</v>
      </c>
      <c r="B634" s="69">
        <v>43787.0</v>
      </c>
      <c r="D634" s="171"/>
    </row>
    <row r="635">
      <c r="A635" s="67" t="str">
        <f t="shared" si="1"/>
        <v>Tue</v>
      </c>
      <c r="B635" s="69">
        <v>43788.0</v>
      </c>
      <c r="D635" s="171"/>
    </row>
    <row r="636">
      <c r="A636" s="67" t="str">
        <f t="shared" si="1"/>
        <v>Wed</v>
      </c>
      <c r="B636" s="69">
        <v>43789.0</v>
      </c>
      <c r="D636" s="171"/>
    </row>
    <row r="637">
      <c r="A637" s="67" t="str">
        <f t="shared" si="1"/>
        <v>Thu</v>
      </c>
      <c r="B637" s="69">
        <v>43790.0</v>
      </c>
      <c r="D637" s="171"/>
    </row>
    <row r="638">
      <c r="A638" s="67" t="str">
        <f t="shared" si="1"/>
        <v>Fri</v>
      </c>
      <c r="B638" s="69">
        <v>43791.0</v>
      </c>
      <c r="D638" s="171"/>
    </row>
    <row r="639">
      <c r="A639" s="67" t="str">
        <f t="shared" si="1"/>
        <v>Sat</v>
      </c>
      <c r="B639" s="69">
        <v>43792.0</v>
      </c>
      <c r="D639" s="171"/>
    </row>
    <row r="640">
      <c r="A640" s="67" t="str">
        <f t="shared" si="1"/>
        <v>Sun</v>
      </c>
      <c r="B640" s="69">
        <v>43793.0</v>
      </c>
      <c r="D640" s="171"/>
    </row>
    <row r="641">
      <c r="A641" s="67" t="str">
        <f t="shared" si="1"/>
        <v>Mon</v>
      </c>
      <c r="B641" s="69">
        <v>43794.0</v>
      </c>
      <c r="D641" s="171"/>
    </row>
    <row r="642">
      <c r="A642" s="67" t="str">
        <f t="shared" si="1"/>
        <v>Tue</v>
      </c>
      <c r="B642" s="69">
        <v>43795.0</v>
      </c>
      <c r="D642" s="171"/>
    </row>
    <row r="643">
      <c r="A643" s="67" t="str">
        <f t="shared" si="1"/>
        <v>Wed</v>
      </c>
      <c r="B643" s="69">
        <v>43796.0</v>
      </c>
      <c r="D643" s="171"/>
    </row>
    <row r="644">
      <c r="A644" s="67" t="str">
        <f t="shared" si="1"/>
        <v>Thu</v>
      </c>
      <c r="B644" s="69">
        <v>43797.0</v>
      </c>
      <c r="D644" s="171"/>
    </row>
    <row r="645">
      <c r="A645" s="67" t="str">
        <f t="shared" si="1"/>
        <v>Fri</v>
      </c>
      <c r="B645" s="69">
        <v>43798.0</v>
      </c>
      <c r="D645" s="171"/>
    </row>
    <row r="646">
      <c r="A646" s="67" t="str">
        <f t="shared" si="1"/>
        <v>Sat</v>
      </c>
      <c r="B646" s="69">
        <v>43799.0</v>
      </c>
      <c r="D646" s="171"/>
    </row>
    <row r="647">
      <c r="A647" s="67" t="str">
        <f t="shared" si="1"/>
        <v>Sun</v>
      </c>
      <c r="B647" s="69">
        <v>43800.0</v>
      </c>
      <c r="D647" s="171"/>
    </row>
    <row r="648">
      <c r="A648" s="67" t="str">
        <f t="shared" si="1"/>
        <v>Mon</v>
      </c>
      <c r="B648" s="69">
        <v>43801.0</v>
      </c>
      <c r="D648" s="171"/>
    </row>
    <row r="649">
      <c r="A649" s="67" t="str">
        <f t="shared" si="1"/>
        <v>Tue</v>
      </c>
      <c r="B649" s="69">
        <v>43802.0</v>
      </c>
      <c r="D649" s="171"/>
    </row>
    <row r="650">
      <c r="A650" s="67" t="str">
        <f t="shared" si="1"/>
        <v>Wed</v>
      </c>
      <c r="B650" s="69">
        <v>43803.0</v>
      </c>
      <c r="D650" s="171"/>
    </row>
    <row r="651">
      <c r="A651" s="67" t="str">
        <f t="shared" si="1"/>
        <v>Thu</v>
      </c>
      <c r="B651" s="69">
        <v>43804.0</v>
      </c>
      <c r="D651" s="171"/>
    </row>
    <row r="652">
      <c r="A652" s="67" t="str">
        <f t="shared" si="1"/>
        <v>Fri</v>
      </c>
      <c r="B652" s="69">
        <v>43805.0</v>
      </c>
      <c r="D652" s="171"/>
    </row>
    <row r="653">
      <c r="A653" s="67" t="str">
        <f t="shared" si="1"/>
        <v>Sat</v>
      </c>
      <c r="B653" s="69">
        <v>43806.0</v>
      </c>
      <c r="D653" s="171"/>
    </row>
    <row r="654">
      <c r="A654" s="67" t="str">
        <f t="shared" si="1"/>
        <v>Sun</v>
      </c>
      <c r="B654" s="69">
        <v>43807.0</v>
      </c>
      <c r="D654" s="171"/>
    </row>
    <row r="655">
      <c r="A655" s="67" t="str">
        <f t="shared" si="1"/>
        <v>Mon</v>
      </c>
      <c r="B655" s="69">
        <v>43808.0</v>
      </c>
      <c r="D655" s="171"/>
    </row>
    <row r="656">
      <c r="A656" s="67" t="str">
        <f t="shared" si="1"/>
        <v>Tue</v>
      </c>
      <c r="B656" s="69">
        <v>43809.0</v>
      </c>
      <c r="D656" s="171"/>
    </row>
    <row r="657">
      <c r="A657" s="67" t="str">
        <f t="shared" si="1"/>
        <v>Wed</v>
      </c>
      <c r="B657" s="69">
        <v>43810.0</v>
      </c>
      <c r="D657" s="171"/>
    </row>
    <row r="658">
      <c r="A658" s="67" t="str">
        <f t="shared" si="1"/>
        <v>Thu</v>
      </c>
      <c r="B658" s="69">
        <v>43811.0</v>
      </c>
      <c r="D658" s="171"/>
    </row>
    <row r="659">
      <c r="A659" s="67" t="str">
        <f t="shared" si="1"/>
        <v>Fri</v>
      </c>
      <c r="B659" s="69">
        <v>43812.0</v>
      </c>
      <c r="D659" s="171"/>
    </row>
    <row r="660">
      <c r="A660" s="67" t="str">
        <f t="shared" si="1"/>
        <v>Sat</v>
      </c>
      <c r="B660" s="69">
        <v>43813.0</v>
      </c>
      <c r="D660" s="171"/>
    </row>
    <row r="661">
      <c r="A661" s="67" t="str">
        <f t="shared" si="1"/>
        <v>Sun</v>
      </c>
      <c r="B661" s="69">
        <v>43814.0</v>
      </c>
      <c r="D661" s="171"/>
    </row>
    <row r="662">
      <c r="A662" s="67" t="str">
        <f t="shared" si="1"/>
        <v>Mon</v>
      </c>
      <c r="B662" s="69">
        <v>43815.0</v>
      </c>
      <c r="D662" s="171"/>
    </row>
    <row r="663">
      <c r="A663" s="67" t="str">
        <f t="shared" si="1"/>
        <v>Tue</v>
      </c>
      <c r="B663" s="69">
        <v>43816.0</v>
      </c>
      <c r="D663" s="171"/>
    </row>
    <row r="664">
      <c r="A664" s="67" t="str">
        <f t="shared" si="1"/>
        <v>Wed</v>
      </c>
      <c r="B664" s="69">
        <v>43817.0</v>
      </c>
      <c r="D664" s="171"/>
    </row>
    <row r="665">
      <c r="A665" s="67" t="str">
        <f t="shared" si="1"/>
        <v>Thu</v>
      </c>
      <c r="B665" s="69">
        <v>43818.0</v>
      </c>
      <c r="D665" s="171"/>
    </row>
    <row r="666">
      <c r="A666" s="67" t="str">
        <f t="shared" si="1"/>
        <v>Fri</v>
      </c>
      <c r="B666" s="69">
        <v>43819.0</v>
      </c>
      <c r="D666" s="194">
        <v>499.55</v>
      </c>
      <c r="E666" s="4" t="s">
        <v>222</v>
      </c>
      <c r="F666" s="4" t="s">
        <v>2301</v>
      </c>
      <c r="G666" s="4" t="s">
        <v>2301</v>
      </c>
      <c r="I666" s="4" t="s">
        <v>224</v>
      </c>
      <c r="K666" s="4" t="s">
        <v>231</v>
      </c>
      <c r="L666" s="4" t="s">
        <v>229</v>
      </c>
      <c r="M666" s="4" t="s">
        <v>2302</v>
      </c>
      <c r="N666" s="4" t="s">
        <v>2303</v>
      </c>
      <c r="O666" s="4" t="s">
        <v>2304</v>
      </c>
      <c r="Q666" s="4" t="s">
        <v>2305</v>
      </c>
      <c r="R666" s="4" t="s">
        <v>2306</v>
      </c>
      <c r="S666" s="161">
        <v>2.5601031843E10</v>
      </c>
    </row>
    <row r="667">
      <c r="A667" s="67" t="str">
        <f t="shared" si="1"/>
        <v>Sat</v>
      </c>
      <c r="B667" s="69">
        <v>43820.0</v>
      </c>
      <c r="D667" s="194">
        <v>499.55</v>
      </c>
      <c r="E667" s="4" t="s">
        <v>222</v>
      </c>
      <c r="F667" s="4" t="s">
        <v>2301</v>
      </c>
      <c r="I667" s="4" t="s">
        <v>224</v>
      </c>
    </row>
    <row r="668">
      <c r="A668" s="67" t="str">
        <f t="shared" si="1"/>
        <v>Sun</v>
      </c>
      <c r="B668" s="69">
        <v>43821.0</v>
      </c>
      <c r="D668" s="194">
        <v>499.55</v>
      </c>
      <c r="E668" s="4" t="s">
        <v>222</v>
      </c>
      <c r="F668" s="4" t="s">
        <v>2301</v>
      </c>
      <c r="I668" s="4" t="s">
        <v>224</v>
      </c>
    </row>
    <row r="669">
      <c r="A669" s="67" t="str">
        <f t="shared" si="1"/>
        <v>Mon</v>
      </c>
      <c r="B669" s="69">
        <v>43822.0</v>
      </c>
      <c r="D669" s="194">
        <v>499.55</v>
      </c>
      <c r="E669" s="4" t="s">
        <v>222</v>
      </c>
      <c r="F669" s="4" t="s">
        <v>2301</v>
      </c>
      <c r="I669" s="4" t="s">
        <v>224</v>
      </c>
    </row>
    <row r="670">
      <c r="A670" s="67" t="str">
        <f t="shared" si="1"/>
        <v>Tue</v>
      </c>
      <c r="B670" s="69">
        <v>43823.0</v>
      </c>
      <c r="D670" s="194">
        <v>499.55</v>
      </c>
      <c r="E670" s="4" t="s">
        <v>222</v>
      </c>
      <c r="F670" s="4" t="s">
        <v>2301</v>
      </c>
      <c r="I670" s="4" t="s">
        <v>224</v>
      </c>
    </row>
    <row r="671">
      <c r="A671" s="67" t="str">
        <f t="shared" si="1"/>
        <v>Wed</v>
      </c>
      <c r="B671" s="69">
        <v>43824.0</v>
      </c>
      <c r="D671" s="194">
        <v>499.55</v>
      </c>
      <c r="E671" s="4" t="s">
        <v>222</v>
      </c>
      <c r="F671" s="4" t="s">
        <v>2301</v>
      </c>
      <c r="I671" s="4" t="s">
        <v>224</v>
      </c>
    </row>
    <row r="672">
      <c r="A672" s="67" t="str">
        <f t="shared" si="1"/>
        <v>Thu</v>
      </c>
      <c r="B672" s="69">
        <v>43825.0</v>
      </c>
      <c r="D672" s="171"/>
      <c r="H672" s="4" t="s">
        <v>2301</v>
      </c>
    </row>
    <row r="673">
      <c r="A673" s="67" t="str">
        <f t="shared" si="1"/>
        <v>Fri</v>
      </c>
      <c r="B673" s="69">
        <v>43826.0</v>
      </c>
      <c r="D673" s="171"/>
    </row>
    <row r="674">
      <c r="A674" s="67" t="str">
        <f t="shared" si="1"/>
        <v>Sat</v>
      </c>
      <c r="B674" s="69">
        <v>43827.0</v>
      </c>
      <c r="D674" s="171"/>
    </row>
    <row r="675">
      <c r="A675" s="67" t="str">
        <f t="shared" si="1"/>
        <v>Sun</v>
      </c>
      <c r="B675" s="69">
        <v>43828.0</v>
      </c>
      <c r="D675" s="171"/>
    </row>
    <row r="676">
      <c r="A676" s="67" t="str">
        <f t="shared" si="1"/>
        <v>Mon</v>
      </c>
      <c r="B676" s="69">
        <v>43829.0</v>
      </c>
      <c r="D676" s="171"/>
    </row>
    <row r="677">
      <c r="A677" s="67" t="str">
        <f t="shared" si="1"/>
        <v>Tue</v>
      </c>
      <c r="B677" s="69">
        <v>43830.0</v>
      </c>
      <c r="D677" s="171"/>
    </row>
    <row r="678">
      <c r="A678" s="67" t="str">
        <f t="shared" si="1"/>
        <v>Wed</v>
      </c>
      <c r="B678" s="69">
        <v>43831.0</v>
      </c>
      <c r="D678" s="171"/>
    </row>
    <row r="679">
      <c r="A679" s="67" t="str">
        <f t="shared" si="1"/>
        <v>Thu</v>
      </c>
      <c r="B679" s="69">
        <v>43832.0</v>
      </c>
      <c r="D679" s="171"/>
    </row>
    <row r="680">
      <c r="A680" s="67" t="str">
        <f t="shared" si="1"/>
        <v>Fri</v>
      </c>
      <c r="B680" s="69">
        <v>43833.0</v>
      </c>
      <c r="D680" s="171"/>
    </row>
    <row r="681">
      <c r="A681" s="67" t="str">
        <f t="shared" si="1"/>
        <v>Sat</v>
      </c>
      <c r="B681" s="69">
        <v>43834.0</v>
      </c>
      <c r="D681" s="171"/>
    </row>
    <row r="682">
      <c r="A682" s="67" t="str">
        <f t="shared" si="1"/>
        <v>Sun</v>
      </c>
      <c r="B682" s="69">
        <v>43835.0</v>
      </c>
      <c r="D682" s="171"/>
    </row>
    <row r="683">
      <c r="A683" s="67" t="str">
        <f t="shared" si="1"/>
        <v>Mon</v>
      </c>
      <c r="B683" s="69">
        <v>43836.0</v>
      </c>
      <c r="D683" s="171"/>
    </row>
    <row r="684">
      <c r="A684" s="67" t="str">
        <f t="shared" si="1"/>
        <v>Tue</v>
      </c>
      <c r="B684" s="69">
        <v>43837.0</v>
      </c>
      <c r="D684" s="171"/>
    </row>
    <row r="685">
      <c r="A685" s="67" t="str">
        <f t="shared" si="1"/>
        <v>Wed</v>
      </c>
      <c r="B685" s="69">
        <v>43838.0</v>
      </c>
      <c r="D685" s="171"/>
    </row>
    <row r="686">
      <c r="A686" s="67" t="str">
        <f t="shared" si="1"/>
        <v>Thu</v>
      </c>
      <c r="B686" s="69">
        <v>43839.0</v>
      </c>
      <c r="D686" s="171"/>
    </row>
    <row r="687">
      <c r="A687" s="67" t="str">
        <f t="shared" si="1"/>
        <v>Fri</v>
      </c>
      <c r="B687" s="69">
        <v>43840.0</v>
      </c>
      <c r="D687" s="171"/>
    </row>
    <row r="688">
      <c r="A688" s="67" t="str">
        <f t="shared" si="1"/>
        <v>Sat</v>
      </c>
      <c r="B688" s="69">
        <v>43841.0</v>
      </c>
      <c r="D688" s="171"/>
    </row>
    <row r="689">
      <c r="A689" s="67" t="str">
        <f t="shared" si="1"/>
        <v>Sun</v>
      </c>
      <c r="B689" s="69">
        <v>43842.0</v>
      </c>
      <c r="D689" s="171"/>
    </row>
    <row r="690">
      <c r="A690" s="67" t="str">
        <f t="shared" si="1"/>
        <v>Mon</v>
      </c>
      <c r="B690" s="69">
        <v>43843.0</v>
      </c>
      <c r="D690" s="171"/>
    </row>
    <row r="691">
      <c r="A691" s="67" t="str">
        <f t="shared" si="1"/>
        <v>Tue</v>
      </c>
      <c r="B691" s="69">
        <v>43844.0</v>
      </c>
      <c r="D691" s="171"/>
    </row>
    <row r="692">
      <c r="A692" s="67" t="str">
        <f t="shared" si="1"/>
        <v>Wed</v>
      </c>
      <c r="B692" s="69">
        <v>43845.0</v>
      </c>
      <c r="D692" s="171"/>
    </row>
    <row r="693">
      <c r="A693" s="67" t="str">
        <f t="shared" si="1"/>
        <v>Thu</v>
      </c>
      <c r="B693" s="69">
        <v>43846.0</v>
      </c>
      <c r="D693" s="171"/>
    </row>
    <row r="694">
      <c r="A694" s="67" t="str">
        <f t="shared" si="1"/>
        <v>Fri</v>
      </c>
      <c r="B694" s="69">
        <v>43847.0</v>
      </c>
      <c r="D694" s="171"/>
    </row>
    <row r="695">
      <c r="A695" s="67" t="str">
        <f t="shared" si="1"/>
        <v>Sat</v>
      </c>
      <c r="B695" s="69">
        <v>43848.0</v>
      </c>
      <c r="D695" s="171"/>
    </row>
    <row r="696">
      <c r="A696" s="67" t="str">
        <f t="shared" si="1"/>
        <v>Sun</v>
      </c>
      <c r="B696" s="69">
        <v>43849.0</v>
      </c>
      <c r="D696" s="171"/>
    </row>
    <row r="697">
      <c r="A697" s="67" t="str">
        <f t="shared" si="1"/>
        <v>Mon</v>
      </c>
      <c r="B697" s="69">
        <v>43850.0</v>
      </c>
      <c r="D697" s="171"/>
    </row>
    <row r="698">
      <c r="A698" s="67" t="str">
        <f t="shared" si="1"/>
        <v>Tue</v>
      </c>
      <c r="B698" s="69">
        <v>43851.0</v>
      </c>
      <c r="D698" s="171"/>
    </row>
    <row r="699">
      <c r="A699" s="67" t="str">
        <f t="shared" si="1"/>
        <v>Wed</v>
      </c>
      <c r="B699" s="69">
        <v>43852.0</v>
      </c>
      <c r="D699" s="171"/>
    </row>
    <row r="700">
      <c r="A700" s="67" t="str">
        <f t="shared" si="1"/>
        <v>Thu</v>
      </c>
      <c r="B700" s="69">
        <v>43853.0</v>
      </c>
      <c r="D700" s="171"/>
    </row>
    <row r="701">
      <c r="A701" s="67" t="str">
        <f t="shared" si="1"/>
        <v>Fri</v>
      </c>
      <c r="B701" s="69">
        <v>43854.0</v>
      </c>
      <c r="D701" s="171"/>
    </row>
    <row r="702">
      <c r="A702" s="67" t="str">
        <f t="shared" si="1"/>
        <v>Sat</v>
      </c>
      <c r="B702" s="69">
        <v>43855.0</v>
      </c>
      <c r="D702" s="171"/>
    </row>
    <row r="703">
      <c r="A703" s="67" t="str">
        <f t="shared" si="1"/>
        <v>Sun</v>
      </c>
      <c r="B703" s="69">
        <v>43856.0</v>
      </c>
      <c r="D703" s="171"/>
    </row>
    <row r="704">
      <c r="A704" s="67" t="str">
        <f t="shared" si="1"/>
        <v>Mon</v>
      </c>
      <c r="B704" s="69">
        <v>43857.0</v>
      </c>
      <c r="D704" s="171"/>
    </row>
    <row r="705">
      <c r="A705" s="67" t="str">
        <f t="shared" si="1"/>
        <v>Tue</v>
      </c>
      <c r="B705" s="69">
        <v>43858.0</v>
      </c>
      <c r="D705" s="171"/>
    </row>
    <row r="706">
      <c r="A706" s="67" t="str">
        <f t="shared" si="1"/>
        <v>Wed</v>
      </c>
      <c r="B706" s="69">
        <v>43859.0</v>
      </c>
      <c r="D706" s="171"/>
    </row>
    <row r="707">
      <c r="A707" s="67" t="str">
        <f t="shared" si="1"/>
        <v>Thu</v>
      </c>
      <c r="B707" s="69">
        <v>43860.0</v>
      </c>
      <c r="D707" s="171"/>
    </row>
    <row r="708">
      <c r="A708" s="67" t="str">
        <f t="shared" si="1"/>
        <v>Fri</v>
      </c>
      <c r="B708" s="69">
        <v>43861.0</v>
      </c>
      <c r="D708" s="171"/>
    </row>
    <row r="709">
      <c r="A709" s="67" t="str">
        <f t="shared" si="1"/>
        <v>Sat</v>
      </c>
      <c r="B709" s="69">
        <v>43862.0</v>
      </c>
      <c r="D709" s="171"/>
    </row>
    <row r="710">
      <c r="A710" s="67" t="str">
        <f t="shared" si="1"/>
        <v>Sun</v>
      </c>
      <c r="B710" s="69">
        <v>43863.0</v>
      </c>
      <c r="D710" s="171"/>
    </row>
    <row r="711">
      <c r="A711" s="67" t="str">
        <f t="shared" si="1"/>
        <v>Mon</v>
      </c>
      <c r="B711" s="69">
        <v>43864.0</v>
      </c>
      <c r="D711" s="171"/>
    </row>
    <row r="712">
      <c r="A712" s="67" t="str">
        <f t="shared" si="1"/>
        <v>Tue</v>
      </c>
      <c r="B712" s="69">
        <v>43865.0</v>
      </c>
      <c r="D712" s="171"/>
    </row>
    <row r="713">
      <c r="A713" s="67" t="str">
        <f t="shared" si="1"/>
        <v>Wed</v>
      </c>
      <c r="B713" s="69">
        <v>43866.0</v>
      </c>
      <c r="D713" s="171"/>
    </row>
    <row r="714">
      <c r="A714" s="67" t="str">
        <f t="shared" si="1"/>
        <v>Thu</v>
      </c>
      <c r="B714" s="69">
        <v>43867.0</v>
      </c>
      <c r="D714" s="171"/>
    </row>
    <row r="715">
      <c r="A715" s="67" t="str">
        <f t="shared" si="1"/>
        <v>Fri</v>
      </c>
      <c r="B715" s="69">
        <v>43868.0</v>
      </c>
      <c r="D715" s="171"/>
    </row>
    <row r="716">
      <c r="A716" s="67" t="str">
        <f t="shared" si="1"/>
        <v>Sat</v>
      </c>
      <c r="B716" s="69">
        <v>43869.0</v>
      </c>
      <c r="D716" s="171"/>
    </row>
    <row r="717">
      <c r="A717" s="67" t="str">
        <f t="shared" si="1"/>
        <v>Sun</v>
      </c>
      <c r="B717" s="69">
        <v>43870.0</v>
      </c>
      <c r="D717" s="171"/>
    </row>
    <row r="718">
      <c r="A718" s="67" t="str">
        <f t="shared" si="1"/>
        <v>Mon</v>
      </c>
      <c r="B718" s="69">
        <v>43871.0</v>
      </c>
      <c r="D718" s="171"/>
    </row>
    <row r="719">
      <c r="A719" s="67" t="str">
        <f t="shared" si="1"/>
        <v>Tue</v>
      </c>
      <c r="B719" s="69">
        <v>43872.0</v>
      </c>
      <c r="D719" s="171"/>
    </row>
    <row r="720">
      <c r="A720" s="67" t="str">
        <f t="shared" si="1"/>
        <v>Wed</v>
      </c>
      <c r="B720" s="69">
        <v>43873.0</v>
      </c>
      <c r="D720" s="171"/>
    </row>
    <row r="721">
      <c r="A721" s="67" t="str">
        <f t="shared" si="1"/>
        <v>Thu</v>
      </c>
      <c r="B721" s="69">
        <v>43874.0</v>
      </c>
      <c r="D721" s="171"/>
    </row>
    <row r="722">
      <c r="A722" s="67" t="str">
        <f t="shared" si="1"/>
        <v>Fri</v>
      </c>
      <c r="B722" s="69">
        <v>43875.0</v>
      </c>
      <c r="D722" s="171"/>
    </row>
    <row r="723">
      <c r="A723" s="67" t="str">
        <f t="shared" si="1"/>
        <v>Sat</v>
      </c>
      <c r="B723" s="69">
        <v>43876.0</v>
      </c>
      <c r="D723" s="171"/>
    </row>
    <row r="724">
      <c r="A724" s="67" t="str">
        <f t="shared" si="1"/>
        <v>Sun</v>
      </c>
      <c r="B724" s="69">
        <v>43877.0</v>
      </c>
      <c r="D724" s="171"/>
    </row>
    <row r="725">
      <c r="A725" s="67" t="str">
        <f t="shared" si="1"/>
        <v>Mon</v>
      </c>
      <c r="B725" s="69">
        <v>43878.0</v>
      </c>
      <c r="D725" s="171"/>
    </row>
    <row r="726">
      <c r="A726" s="67" t="str">
        <f t="shared" si="1"/>
        <v>Tue</v>
      </c>
      <c r="B726" s="69">
        <v>43879.0</v>
      </c>
      <c r="D726" s="171"/>
    </row>
    <row r="727">
      <c r="A727" s="67" t="str">
        <f t="shared" si="1"/>
        <v>Wed</v>
      </c>
      <c r="B727" s="69">
        <v>43880.0</v>
      </c>
      <c r="D727" s="171"/>
    </row>
    <row r="728">
      <c r="A728" s="67" t="str">
        <f t="shared" si="1"/>
        <v>Thu</v>
      </c>
      <c r="B728" s="69">
        <v>43881.0</v>
      </c>
      <c r="D728" s="171"/>
    </row>
    <row r="729">
      <c r="A729" s="67" t="str">
        <f t="shared" si="1"/>
        <v>Fri</v>
      </c>
      <c r="B729" s="69">
        <v>43882.0</v>
      </c>
      <c r="D729" s="171"/>
    </row>
    <row r="730">
      <c r="A730" s="67" t="str">
        <f t="shared" si="1"/>
        <v>Sat</v>
      </c>
      <c r="B730" s="69">
        <v>43883.0</v>
      </c>
      <c r="D730" s="171"/>
    </row>
    <row r="731">
      <c r="A731" s="67" t="str">
        <f t="shared" si="1"/>
        <v>Sun</v>
      </c>
      <c r="B731" s="69">
        <v>43884.0</v>
      </c>
      <c r="D731" s="171"/>
    </row>
    <row r="732">
      <c r="A732" s="67" t="str">
        <f t="shared" si="1"/>
        <v>Mon</v>
      </c>
      <c r="B732" s="69">
        <v>43885.0</v>
      </c>
      <c r="D732" s="171"/>
    </row>
    <row r="733">
      <c r="A733" s="67" t="str">
        <f t="shared" si="1"/>
        <v>Tue</v>
      </c>
      <c r="B733" s="69">
        <v>43886.0</v>
      </c>
      <c r="D733" s="171"/>
    </row>
    <row r="734">
      <c r="A734" s="67" t="str">
        <f t="shared" si="1"/>
        <v>Wed</v>
      </c>
      <c r="B734" s="69">
        <v>43887.0</v>
      </c>
      <c r="D734" s="171"/>
    </row>
    <row r="735">
      <c r="A735" s="67" t="str">
        <f t="shared" si="1"/>
        <v>Thu</v>
      </c>
      <c r="B735" s="69">
        <v>43888.0</v>
      </c>
      <c r="D735" s="171"/>
    </row>
    <row r="736">
      <c r="A736" s="67" t="str">
        <f t="shared" si="1"/>
        <v>Fri</v>
      </c>
      <c r="B736" s="69">
        <v>43889.0</v>
      </c>
      <c r="D736" s="171"/>
    </row>
    <row r="737">
      <c r="A737" s="67" t="str">
        <f t="shared" si="1"/>
        <v>Sat</v>
      </c>
      <c r="B737" s="69">
        <v>43890.0</v>
      </c>
      <c r="D737" s="171"/>
    </row>
    <row r="738">
      <c r="A738" s="67" t="str">
        <f t="shared" si="1"/>
        <v>Sun</v>
      </c>
      <c r="B738" s="69">
        <v>43891.0</v>
      </c>
      <c r="D738" s="171"/>
    </row>
    <row r="739">
      <c r="A739" s="67" t="str">
        <f t="shared" si="1"/>
        <v>Mon</v>
      </c>
      <c r="B739" s="69">
        <v>43892.0</v>
      </c>
      <c r="D739" s="171"/>
    </row>
    <row r="740">
      <c r="A740" s="67" t="str">
        <f t="shared" si="1"/>
        <v>Tue</v>
      </c>
      <c r="B740" s="69">
        <v>43893.0</v>
      </c>
      <c r="D740" s="171"/>
    </row>
    <row r="741">
      <c r="A741" s="67" t="str">
        <f t="shared" si="1"/>
        <v>Wed</v>
      </c>
      <c r="B741" s="69">
        <v>43894.0</v>
      </c>
      <c r="D741" s="171"/>
    </row>
    <row r="742">
      <c r="A742" s="67" t="str">
        <f t="shared" si="1"/>
        <v>Thu</v>
      </c>
      <c r="B742" s="69">
        <v>43895.0</v>
      </c>
      <c r="D742" s="171"/>
    </row>
    <row r="743">
      <c r="A743" s="67" t="str">
        <f t="shared" si="1"/>
        <v>Fri</v>
      </c>
      <c r="B743" s="69">
        <v>43896.0</v>
      </c>
      <c r="D743" s="171"/>
    </row>
    <row r="744">
      <c r="A744" s="67" t="str">
        <f t="shared" si="1"/>
        <v>Sat</v>
      </c>
      <c r="B744" s="69">
        <v>43897.0</v>
      </c>
      <c r="D744" s="171"/>
    </row>
    <row r="745">
      <c r="A745" s="67" t="str">
        <f t="shared" si="1"/>
        <v>Sun</v>
      </c>
      <c r="B745" s="69">
        <v>43898.0</v>
      </c>
      <c r="D745" s="171"/>
    </row>
    <row r="746">
      <c r="A746" s="67" t="str">
        <f t="shared" si="1"/>
        <v>Mon</v>
      </c>
      <c r="B746" s="69">
        <v>43899.0</v>
      </c>
      <c r="D746" s="171"/>
    </row>
    <row r="747">
      <c r="A747" s="67" t="str">
        <f t="shared" si="1"/>
        <v>Tue</v>
      </c>
      <c r="B747" s="69">
        <v>43900.0</v>
      </c>
      <c r="D747" s="171"/>
    </row>
    <row r="748">
      <c r="A748" s="67" t="str">
        <f t="shared" si="1"/>
        <v>Wed</v>
      </c>
      <c r="B748" s="69">
        <v>43901.0</v>
      </c>
      <c r="D748" s="171"/>
    </row>
    <row r="749">
      <c r="A749" s="67" t="str">
        <f t="shared" si="1"/>
        <v>Thu</v>
      </c>
      <c r="B749" s="69">
        <v>43902.0</v>
      </c>
      <c r="D749" s="171"/>
    </row>
    <row r="750">
      <c r="A750" s="67" t="str">
        <f t="shared" si="1"/>
        <v>Fri</v>
      </c>
      <c r="B750" s="69">
        <v>43903.0</v>
      </c>
      <c r="D750" s="171"/>
    </row>
    <row r="751">
      <c r="A751" s="67" t="str">
        <f t="shared" si="1"/>
        <v>Sat</v>
      </c>
      <c r="B751" s="69">
        <v>43904.0</v>
      </c>
      <c r="D751" s="171"/>
    </row>
    <row r="752">
      <c r="A752" s="67" t="str">
        <f t="shared" si="1"/>
        <v>Sun</v>
      </c>
      <c r="B752" s="69">
        <v>43905.0</v>
      </c>
      <c r="D752" s="171"/>
    </row>
    <row r="753">
      <c r="A753" s="67" t="str">
        <f t="shared" si="1"/>
        <v>Mon</v>
      </c>
      <c r="B753" s="69">
        <v>43906.0</v>
      </c>
      <c r="D753" s="171"/>
    </row>
    <row r="754">
      <c r="A754" s="67" t="str">
        <f t="shared" si="1"/>
        <v>Tue</v>
      </c>
      <c r="B754" s="69">
        <v>43907.0</v>
      </c>
      <c r="D754" s="171"/>
    </row>
    <row r="755">
      <c r="A755" s="67" t="str">
        <f t="shared" si="1"/>
        <v>Wed</v>
      </c>
      <c r="B755" s="69">
        <v>43908.0</v>
      </c>
      <c r="D755" s="171"/>
    </row>
    <row r="756">
      <c r="A756" s="67" t="str">
        <f t="shared" si="1"/>
        <v>Thu</v>
      </c>
      <c r="B756" s="69">
        <v>43909.0</v>
      </c>
      <c r="D756" s="171"/>
    </row>
    <row r="757">
      <c r="A757" s="67" t="str">
        <f t="shared" si="1"/>
        <v>Fri</v>
      </c>
      <c r="B757" s="69">
        <v>43910.0</v>
      </c>
      <c r="D757" s="171"/>
    </row>
    <row r="758">
      <c r="A758" s="67" t="str">
        <f t="shared" si="1"/>
        <v>Sat</v>
      </c>
      <c r="B758" s="69">
        <v>43911.0</v>
      </c>
      <c r="D758" s="171"/>
    </row>
    <row r="759">
      <c r="A759" s="67" t="str">
        <f t="shared" si="1"/>
        <v>Sun</v>
      </c>
      <c r="B759" s="69">
        <v>43912.0</v>
      </c>
      <c r="D759" s="171"/>
    </row>
    <row r="760">
      <c r="A760" s="67" t="str">
        <f t="shared" si="1"/>
        <v>Mon</v>
      </c>
      <c r="B760" s="69">
        <v>43913.0</v>
      </c>
      <c r="D760" s="171"/>
    </row>
    <row r="761">
      <c r="A761" s="67" t="str">
        <f t="shared" si="1"/>
        <v>Tue</v>
      </c>
      <c r="B761" s="69">
        <v>43914.0</v>
      </c>
      <c r="D761" s="171"/>
    </row>
    <row r="762">
      <c r="A762" s="67" t="str">
        <f t="shared" si="1"/>
        <v>Wed</v>
      </c>
      <c r="B762" s="69">
        <v>43915.0</v>
      </c>
      <c r="D762" s="171"/>
    </row>
    <row r="763">
      <c r="A763" s="67" t="str">
        <f t="shared" si="1"/>
        <v>Thu</v>
      </c>
      <c r="B763" s="69">
        <v>43916.0</v>
      </c>
      <c r="D763" s="171"/>
    </row>
    <row r="764">
      <c r="A764" s="67" t="str">
        <f t="shared" si="1"/>
        <v>Fri</v>
      </c>
      <c r="B764" s="69">
        <v>43917.0</v>
      </c>
      <c r="D764" s="171"/>
    </row>
    <row r="765">
      <c r="A765" s="67" t="str">
        <f t="shared" si="1"/>
        <v>Sat</v>
      </c>
      <c r="B765" s="69">
        <v>43918.0</v>
      </c>
      <c r="D765" s="171"/>
    </row>
    <row r="766">
      <c r="A766" s="67" t="str">
        <f t="shared" si="1"/>
        <v>Sun</v>
      </c>
      <c r="B766" s="69">
        <v>43919.0</v>
      </c>
      <c r="D766" s="171"/>
    </row>
    <row r="767">
      <c r="A767" s="67" t="str">
        <f t="shared" si="1"/>
        <v>Mon</v>
      </c>
      <c r="B767" s="69">
        <v>43920.0</v>
      </c>
      <c r="D767" s="171"/>
    </row>
    <row r="768">
      <c r="A768" s="67" t="str">
        <f t="shared" si="1"/>
        <v>Tue</v>
      </c>
      <c r="B768" s="69">
        <v>43921.0</v>
      </c>
      <c r="D768" s="171"/>
    </row>
    <row r="769">
      <c r="A769" s="67" t="str">
        <f t="shared" si="1"/>
        <v>Wed</v>
      </c>
      <c r="B769" s="69">
        <v>43922.0</v>
      </c>
      <c r="D769" s="171"/>
    </row>
    <row r="770">
      <c r="A770" s="67" t="str">
        <f t="shared" si="1"/>
        <v>Thu</v>
      </c>
      <c r="B770" s="69">
        <v>43923.0</v>
      </c>
      <c r="D770" s="171"/>
    </row>
    <row r="771">
      <c r="A771" s="67" t="str">
        <f t="shared" si="1"/>
        <v>Fri</v>
      </c>
      <c r="B771" s="69">
        <v>43924.0</v>
      </c>
      <c r="D771" s="171"/>
    </row>
    <row r="772">
      <c r="A772" s="67" t="str">
        <f t="shared" si="1"/>
        <v>Sat</v>
      </c>
      <c r="B772" s="69">
        <v>43925.0</v>
      </c>
      <c r="D772" s="171"/>
    </row>
    <row r="773">
      <c r="A773" s="67" t="str">
        <f t="shared" si="1"/>
        <v>Sun</v>
      </c>
      <c r="B773" s="69">
        <v>43926.0</v>
      </c>
      <c r="D773" s="171"/>
    </row>
    <row r="774">
      <c r="A774" s="67" t="str">
        <f t="shared" si="1"/>
        <v>Mon</v>
      </c>
      <c r="B774" s="69">
        <v>43927.0</v>
      </c>
      <c r="D774" s="171"/>
    </row>
    <row r="775">
      <c r="A775" s="67" t="str">
        <f t="shared" si="1"/>
        <v>Tue</v>
      </c>
      <c r="B775" s="69">
        <v>43928.0</v>
      </c>
      <c r="D775" s="171"/>
    </row>
    <row r="776">
      <c r="A776" s="67" t="str">
        <f t="shared" si="1"/>
        <v>Wed</v>
      </c>
      <c r="B776" s="69">
        <v>43929.0</v>
      </c>
      <c r="D776" s="171"/>
    </row>
    <row r="777">
      <c r="A777" s="67" t="str">
        <f t="shared" si="1"/>
        <v>Thu</v>
      </c>
      <c r="B777" s="69">
        <v>43930.0</v>
      </c>
      <c r="D777" s="171"/>
    </row>
    <row r="778">
      <c r="A778" s="67" t="str">
        <f t="shared" si="1"/>
        <v>Fri</v>
      </c>
      <c r="B778" s="69">
        <v>43931.0</v>
      </c>
      <c r="D778" s="171"/>
    </row>
    <row r="779">
      <c r="A779" s="67" t="str">
        <f t="shared" si="1"/>
        <v>Sat</v>
      </c>
      <c r="B779" s="69">
        <v>43932.0</v>
      </c>
      <c r="D779" s="171"/>
    </row>
    <row r="780">
      <c r="A780" s="67" t="str">
        <f t="shared" si="1"/>
        <v>Sun</v>
      </c>
      <c r="B780" s="69">
        <v>43933.0</v>
      </c>
      <c r="D780" s="171"/>
    </row>
    <row r="781">
      <c r="A781" s="67" t="str">
        <f t="shared" si="1"/>
        <v>Mon</v>
      </c>
      <c r="B781" s="69">
        <v>43934.0</v>
      </c>
      <c r="D781" s="171"/>
    </row>
    <row r="782">
      <c r="A782" s="67" t="str">
        <f t="shared" si="1"/>
        <v>Tue</v>
      </c>
      <c r="B782" s="69">
        <v>43935.0</v>
      </c>
      <c r="D782" s="171"/>
    </row>
    <row r="783">
      <c r="A783" s="67" t="str">
        <f t="shared" si="1"/>
        <v>Wed</v>
      </c>
      <c r="B783" s="69">
        <v>43936.0</v>
      </c>
      <c r="D783" s="171"/>
    </row>
    <row r="784">
      <c r="A784" s="67" t="str">
        <f t="shared" si="1"/>
        <v>Thu</v>
      </c>
      <c r="B784" s="69">
        <v>43937.0</v>
      </c>
      <c r="D784" s="171"/>
    </row>
    <row r="785">
      <c r="A785" s="67" t="str">
        <f t="shared" si="1"/>
        <v>Fri</v>
      </c>
      <c r="B785" s="69">
        <v>43938.0</v>
      </c>
      <c r="D785" s="171"/>
    </row>
    <row r="786">
      <c r="A786" s="67" t="str">
        <f t="shared" si="1"/>
        <v>Sat</v>
      </c>
      <c r="B786" s="69">
        <v>43939.0</v>
      </c>
      <c r="D786" s="171"/>
    </row>
    <row r="787">
      <c r="A787" s="67" t="str">
        <f t="shared" si="1"/>
        <v>Sun</v>
      </c>
      <c r="B787" s="69">
        <v>43940.0</v>
      </c>
      <c r="D787" s="171"/>
    </row>
    <row r="788">
      <c r="A788" s="67" t="str">
        <f t="shared" si="1"/>
        <v>Mon</v>
      </c>
      <c r="B788" s="69">
        <v>43941.0</v>
      </c>
      <c r="D788" s="171"/>
    </row>
    <row r="789">
      <c r="A789" s="67" t="str">
        <f t="shared" si="1"/>
        <v>Tue</v>
      </c>
      <c r="B789" s="69">
        <v>43942.0</v>
      </c>
      <c r="D789" s="171"/>
    </row>
    <row r="790">
      <c r="A790" s="67" t="str">
        <f t="shared" si="1"/>
        <v>Wed</v>
      </c>
      <c r="B790" s="69">
        <v>43943.0</v>
      </c>
      <c r="D790" s="171"/>
    </row>
    <row r="791">
      <c r="A791" s="67" t="str">
        <f t="shared" si="1"/>
        <v>Thu</v>
      </c>
      <c r="B791" s="69">
        <v>43944.0</v>
      </c>
      <c r="D791" s="171"/>
    </row>
    <row r="792">
      <c r="A792" s="67" t="str">
        <f t="shared" si="1"/>
        <v>Fri</v>
      </c>
      <c r="B792" s="69">
        <v>43945.0</v>
      </c>
      <c r="D792" s="171"/>
    </row>
    <row r="793">
      <c r="A793" s="67" t="str">
        <f t="shared" si="1"/>
        <v>Sat</v>
      </c>
      <c r="B793" s="69">
        <v>43946.0</v>
      </c>
      <c r="D793" s="171"/>
    </row>
    <row r="794">
      <c r="A794" s="67" t="str">
        <f t="shared" si="1"/>
        <v>Sun</v>
      </c>
      <c r="B794" s="69">
        <v>43947.0</v>
      </c>
      <c r="D794" s="171"/>
    </row>
    <row r="795">
      <c r="A795" s="67" t="str">
        <f t="shared" si="1"/>
        <v>Mon</v>
      </c>
      <c r="B795" s="69">
        <v>43948.0</v>
      </c>
      <c r="D795" s="171"/>
    </row>
    <row r="796">
      <c r="A796" s="67" t="str">
        <f t="shared" si="1"/>
        <v>Tue</v>
      </c>
      <c r="B796" s="69">
        <v>43949.0</v>
      </c>
      <c r="D796" s="171"/>
    </row>
    <row r="797">
      <c r="A797" s="67" t="str">
        <f t="shared" si="1"/>
        <v>Wed</v>
      </c>
      <c r="B797" s="69">
        <v>43950.0</v>
      </c>
      <c r="D797" s="171"/>
    </row>
    <row r="798">
      <c r="A798" s="67" t="str">
        <f t="shared" si="1"/>
        <v>Thu</v>
      </c>
      <c r="B798" s="69">
        <v>43951.0</v>
      </c>
      <c r="D798" s="171"/>
    </row>
    <row r="799">
      <c r="A799" s="67" t="str">
        <f t="shared" si="1"/>
        <v>Fri</v>
      </c>
      <c r="B799" s="69">
        <v>43952.0</v>
      </c>
      <c r="D799" s="171"/>
    </row>
    <row r="800">
      <c r="A800" s="67" t="str">
        <f t="shared" si="1"/>
        <v>Sat</v>
      </c>
      <c r="B800" s="69">
        <v>43953.0</v>
      </c>
      <c r="D800" s="171"/>
    </row>
    <row r="801">
      <c r="A801" s="67" t="str">
        <f t="shared" si="1"/>
        <v>Sun</v>
      </c>
      <c r="B801" s="69">
        <v>43954.0</v>
      </c>
      <c r="D801" s="171"/>
    </row>
    <row r="802">
      <c r="A802" s="67" t="str">
        <f t="shared" si="1"/>
        <v>Mon</v>
      </c>
      <c r="B802" s="69">
        <v>43955.0</v>
      </c>
      <c r="D802" s="171"/>
    </row>
    <row r="803">
      <c r="A803" s="67" t="str">
        <f t="shared" si="1"/>
        <v>Tue</v>
      </c>
      <c r="B803" s="69">
        <v>43956.0</v>
      </c>
      <c r="D803" s="171"/>
    </row>
    <row r="804">
      <c r="A804" s="67" t="str">
        <f t="shared" si="1"/>
        <v>Wed</v>
      </c>
      <c r="B804" s="69">
        <v>43957.0</v>
      </c>
      <c r="D804" s="171"/>
    </row>
    <row r="805">
      <c r="A805" s="67" t="str">
        <f t="shared" si="1"/>
        <v>Thu</v>
      </c>
      <c r="B805" s="69">
        <v>43958.0</v>
      </c>
      <c r="D805" s="171"/>
    </row>
    <row r="806">
      <c r="A806" s="67" t="str">
        <f t="shared" si="1"/>
        <v>Fri</v>
      </c>
      <c r="B806" s="69">
        <v>43959.0</v>
      </c>
      <c r="D806" s="171"/>
    </row>
    <row r="807">
      <c r="A807" s="67" t="str">
        <f t="shared" si="1"/>
        <v>Sat</v>
      </c>
      <c r="B807" s="69">
        <v>43960.0</v>
      </c>
      <c r="D807" s="171"/>
    </row>
    <row r="808">
      <c r="A808" s="67" t="str">
        <f t="shared" si="1"/>
        <v>Sun</v>
      </c>
      <c r="B808" s="69">
        <v>43961.0</v>
      </c>
      <c r="D808" s="171"/>
    </row>
    <row r="809">
      <c r="A809" s="67" t="str">
        <f t="shared" si="1"/>
        <v>Mon</v>
      </c>
      <c r="B809" s="69">
        <v>43962.0</v>
      </c>
      <c r="D809" s="171"/>
    </row>
    <row r="810">
      <c r="A810" s="67" t="str">
        <f t="shared" si="1"/>
        <v>Tue</v>
      </c>
      <c r="B810" s="69">
        <v>43963.0</v>
      </c>
      <c r="D810" s="171"/>
    </row>
    <row r="811">
      <c r="A811" s="67" t="str">
        <f t="shared" si="1"/>
        <v>Wed</v>
      </c>
      <c r="B811" s="69">
        <v>43964.0</v>
      </c>
      <c r="D811" s="171"/>
    </row>
    <row r="812">
      <c r="A812" s="67" t="str">
        <f t="shared" si="1"/>
        <v>Thu</v>
      </c>
      <c r="B812" s="69">
        <v>43965.0</v>
      </c>
      <c r="D812" s="171"/>
    </row>
    <row r="813">
      <c r="A813" s="67" t="str">
        <f t="shared" si="1"/>
        <v>Fri</v>
      </c>
      <c r="B813" s="69">
        <v>43966.0</v>
      </c>
      <c r="D813" s="171"/>
    </row>
    <row r="814">
      <c r="A814" s="67" t="str">
        <f t="shared" si="1"/>
        <v>Sat</v>
      </c>
      <c r="B814" s="69">
        <v>43967.0</v>
      </c>
      <c r="D814" s="171"/>
    </row>
    <row r="815">
      <c r="A815" s="67" t="str">
        <f t="shared" si="1"/>
        <v>Sun</v>
      </c>
      <c r="B815" s="69">
        <v>43968.0</v>
      </c>
      <c r="D815" s="171"/>
    </row>
    <row r="816">
      <c r="A816" s="67" t="str">
        <f t="shared" si="1"/>
        <v>Mon</v>
      </c>
      <c r="B816" s="69">
        <v>43969.0</v>
      </c>
      <c r="D816" s="171"/>
    </row>
    <row r="817">
      <c r="A817" s="67" t="str">
        <f t="shared" si="1"/>
        <v>Tue</v>
      </c>
      <c r="B817" s="69">
        <v>43970.0</v>
      </c>
      <c r="D817" s="171"/>
    </row>
    <row r="818">
      <c r="A818" s="67" t="str">
        <f t="shared" si="1"/>
        <v>Wed</v>
      </c>
      <c r="B818" s="69">
        <v>43971.0</v>
      </c>
      <c r="D818" s="171"/>
    </row>
    <row r="819">
      <c r="A819" s="67" t="str">
        <f t="shared" si="1"/>
        <v>Thu</v>
      </c>
      <c r="B819" s="69">
        <v>43972.0</v>
      </c>
      <c r="D819" s="171"/>
    </row>
    <row r="820">
      <c r="A820" s="67" t="str">
        <f t="shared" si="1"/>
        <v>Fri</v>
      </c>
      <c r="B820" s="69">
        <v>43973.0</v>
      </c>
      <c r="D820" s="171"/>
    </row>
    <row r="821">
      <c r="A821" s="67" t="str">
        <f t="shared" si="1"/>
        <v>Sat</v>
      </c>
      <c r="B821" s="69">
        <v>43974.0</v>
      </c>
      <c r="D821" s="171"/>
    </row>
    <row r="822">
      <c r="A822" s="67" t="str">
        <f t="shared" si="1"/>
        <v>Sun</v>
      </c>
      <c r="B822" s="69">
        <v>43975.0</v>
      </c>
      <c r="D822" s="171"/>
    </row>
    <row r="823">
      <c r="A823" s="67" t="str">
        <f t="shared" si="1"/>
        <v>Mon</v>
      </c>
      <c r="B823" s="69">
        <v>43976.0</v>
      </c>
      <c r="D823" s="171"/>
    </row>
    <row r="824">
      <c r="A824" s="67" t="str">
        <f t="shared" si="1"/>
        <v>Tue</v>
      </c>
      <c r="B824" s="69">
        <v>43977.0</v>
      </c>
      <c r="D824" s="171"/>
    </row>
    <row r="825">
      <c r="A825" s="67" t="str">
        <f t="shared" si="1"/>
        <v>Wed</v>
      </c>
      <c r="B825" s="69">
        <v>43978.0</v>
      </c>
      <c r="D825" s="171"/>
    </row>
    <row r="826">
      <c r="A826" s="67" t="str">
        <f t="shared" si="1"/>
        <v>Thu</v>
      </c>
      <c r="B826" s="69">
        <v>43979.0</v>
      </c>
      <c r="D826" s="171"/>
    </row>
    <row r="827">
      <c r="A827" s="67" t="str">
        <f t="shared" si="1"/>
        <v>Fri</v>
      </c>
      <c r="B827" s="69">
        <v>43980.0</v>
      </c>
      <c r="D827" s="171"/>
    </row>
    <row r="828">
      <c r="A828" s="67" t="str">
        <f t="shared" si="1"/>
        <v>Sat</v>
      </c>
      <c r="B828" s="69">
        <v>43981.0</v>
      </c>
      <c r="D828" s="171"/>
    </row>
    <row r="829">
      <c r="A829" s="67" t="str">
        <f t="shared" si="1"/>
        <v>Sun</v>
      </c>
      <c r="B829" s="69">
        <v>43982.0</v>
      </c>
      <c r="D829" s="171"/>
    </row>
    <row r="830">
      <c r="A830" s="67" t="str">
        <f t="shared" si="1"/>
        <v>Mon</v>
      </c>
      <c r="B830" s="69">
        <v>43983.0</v>
      </c>
      <c r="D830" s="171"/>
    </row>
    <row r="831">
      <c r="A831" s="67" t="str">
        <f t="shared" si="1"/>
        <v>Tue</v>
      </c>
      <c r="B831" s="69">
        <v>43984.0</v>
      </c>
      <c r="D831" s="171"/>
    </row>
    <row r="832">
      <c r="A832" s="67" t="str">
        <f t="shared" si="1"/>
        <v>Wed</v>
      </c>
      <c r="B832" s="69">
        <v>43985.0</v>
      </c>
      <c r="D832" s="171"/>
    </row>
    <row r="833">
      <c r="A833" s="67" t="str">
        <f t="shared" si="1"/>
        <v>Thu</v>
      </c>
      <c r="B833" s="69">
        <v>43986.0</v>
      </c>
      <c r="D833" s="171"/>
    </row>
    <row r="834">
      <c r="A834" s="67" t="str">
        <f t="shared" si="1"/>
        <v>Fri</v>
      </c>
      <c r="B834" s="69">
        <v>43987.0</v>
      </c>
      <c r="D834" s="171"/>
    </row>
    <row r="835">
      <c r="A835" s="67" t="str">
        <f t="shared" si="1"/>
        <v>Sat</v>
      </c>
      <c r="B835" s="69">
        <v>43988.0</v>
      </c>
      <c r="D835" s="171"/>
    </row>
    <row r="836">
      <c r="A836" s="67" t="str">
        <f t="shared" si="1"/>
        <v>Sun</v>
      </c>
      <c r="B836" s="69">
        <v>43989.0</v>
      </c>
      <c r="D836" s="171"/>
    </row>
    <row r="837">
      <c r="A837" s="67" t="str">
        <f t="shared" si="1"/>
        <v>Mon</v>
      </c>
      <c r="B837" s="69">
        <v>43990.0</v>
      </c>
      <c r="D837" s="171"/>
    </row>
    <row r="838">
      <c r="A838" s="67" t="str">
        <f t="shared" si="1"/>
        <v>Tue</v>
      </c>
      <c r="B838" s="69">
        <v>43991.0</v>
      </c>
      <c r="D838" s="171"/>
    </row>
    <row r="839">
      <c r="A839" s="67" t="str">
        <f t="shared" si="1"/>
        <v>Wed</v>
      </c>
      <c r="B839" s="69">
        <v>43992.0</v>
      </c>
      <c r="D839" s="171"/>
    </row>
    <row r="840">
      <c r="A840" s="67" t="str">
        <f t="shared" si="1"/>
        <v>Thu</v>
      </c>
      <c r="B840" s="69">
        <v>43993.0</v>
      </c>
      <c r="D840" s="171"/>
    </row>
    <row r="841">
      <c r="A841" s="67" t="str">
        <f t="shared" si="1"/>
        <v>Fri</v>
      </c>
      <c r="B841" s="69">
        <v>43994.0</v>
      </c>
      <c r="D841" s="171"/>
    </row>
    <row r="842">
      <c r="A842" s="67" t="str">
        <f t="shared" si="1"/>
        <v>Sat</v>
      </c>
      <c r="B842" s="69">
        <v>43995.0</v>
      </c>
      <c r="D842" s="171"/>
    </row>
    <row r="843">
      <c r="A843" s="67" t="str">
        <f t="shared" si="1"/>
        <v>Sun</v>
      </c>
      <c r="B843" s="69">
        <v>43996.0</v>
      </c>
      <c r="D843" s="171"/>
    </row>
    <row r="844">
      <c r="A844" s="67" t="str">
        <f t="shared" si="1"/>
        <v>Mon</v>
      </c>
      <c r="B844" s="69">
        <v>43997.0</v>
      </c>
      <c r="D844" s="171"/>
    </row>
    <row r="845">
      <c r="A845" s="67" t="str">
        <f t="shared" si="1"/>
        <v>Tue</v>
      </c>
      <c r="B845" s="69">
        <v>43998.0</v>
      </c>
      <c r="D845" s="171"/>
    </row>
    <row r="846">
      <c r="A846" s="67" t="str">
        <f t="shared" si="1"/>
        <v>Wed</v>
      </c>
      <c r="B846" s="69">
        <v>43999.0</v>
      </c>
      <c r="D846" s="171"/>
    </row>
    <row r="847">
      <c r="A847" s="67" t="str">
        <f t="shared" si="1"/>
        <v>Thu</v>
      </c>
      <c r="B847" s="69">
        <v>44000.0</v>
      </c>
      <c r="D847" s="171"/>
    </row>
    <row r="848">
      <c r="A848" s="67" t="str">
        <f t="shared" si="1"/>
        <v>Fri</v>
      </c>
      <c r="B848" s="69">
        <v>44001.0</v>
      </c>
      <c r="D848" s="171"/>
    </row>
    <row r="849">
      <c r="A849" s="67" t="str">
        <f t="shared" si="1"/>
        <v>Sat</v>
      </c>
      <c r="B849" s="69">
        <v>44002.0</v>
      </c>
      <c r="D849" s="171"/>
    </row>
    <row r="850">
      <c r="A850" s="67" t="str">
        <f t="shared" si="1"/>
        <v>Sun</v>
      </c>
      <c r="B850" s="69">
        <v>44003.0</v>
      </c>
      <c r="D850" s="171"/>
    </row>
    <row r="851">
      <c r="A851" s="67" t="str">
        <f t="shared" si="1"/>
        <v>Mon</v>
      </c>
      <c r="B851" s="69">
        <v>44004.0</v>
      </c>
      <c r="D851" s="171"/>
    </row>
    <row r="852">
      <c r="A852" s="67" t="str">
        <f t="shared" si="1"/>
        <v>Tue</v>
      </c>
      <c r="B852" s="69">
        <v>44005.0</v>
      </c>
      <c r="D852" s="171"/>
    </row>
    <row r="853">
      <c r="A853" s="67" t="str">
        <f t="shared" si="1"/>
        <v>Wed</v>
      </c>
      <c r="B853" s="69">
        <v>44006.0</v>
      </c>
      <c r="D853" s="171"/>
    </row>
    <row r="854">
      <c r="A854" s="67" t="str">
        <f t="shared" si="1"/>
        <v>Thu</v>
      </c>
      <c r="B854" s="69">
        <v>44007.0</v>
      </c>
      <c r="D854" s="171"/>
    </row>
    <row r="855">
      <c r="A855" s="67" t="str">
        <f t="shared" si="1"/>
        <v>Fri</v>
      </c>
      <c r="B855" s="69">
        <v>44008.0</v>
      </c>
      <c r="D855" s="171"/>
    </row>
    <row r="856">
      <c r="A856" s="67" t="str">
        <f t="shared" si="1"/>
        <v>Sat</v>
      </c>
      <c r="B856" s="69">
        <v>44009.0</v>
      </c>
      <c r="D856" s="171"/>
    </row>
    <row r="857">
      <c r="A857" s="67" t="str">
        <f t="shared" si="1"/>
        <v>Sun</v>
      </c>
      <c r="B857" s="69">
        <v>44010.0</v>
      </c>
      <c r="D857" s="171"/>
    </row>
    <row r="858">
      <c r="A858" s="67" t="str">
        <f t="shared" si="1"/>
        <v>Mon</v>
      </c>
      <c r="B858" s="69">
        <v>44011.0</v>
      </c>
      <c r="D858" s="171"/>
    </row>
    <row r="859">
      <c r="A859" s="67" t="str">
        <f t="shared" si="1"/>
        <v>Tue</v>
      </c>
      <c r="B859" s="69">
        <v>44012.0</v>
      </c>
      <c r="D859" s="171"/>
    </row>
    <row r="860">
      <c r="A860" s="67" t="str">
        <f t="shared" si="1"/>
        <v>Wed</v>
      </c>
      <c r="B860" s="69">
        <v>44013.0</v>
      </c>
      <c r="D860" s="171"/>
    </row>
    <row r="861">
      <c r="A861" s="67" t="str">
        <f t="shared" si="1"/>
        <v>Thu</v>
      </c>
      <c r="B861" s="69">
        <v>44014.0</v>
      </c>
      <c r="D861" s="171"/>
    </row>
    <row r="862">
      <c r="A862" s="67" t="str">
        <f t="shared" si="1"/>
        <v>Fri</v>
      </c>
      <c r="B862" s="69">
        <v>44015.0</v>
      </c>
      <c r="D862" s="171"/>
    </row>
    <row r="863">
      <c r="A863" s="67" t="str">
        <f t="shared" si="1"/>
        <v>Sat</v>
      </c>
      <c r="B863" s="69">
        <v>44016.0</v>
      </c>
      <c r="D863" s="171"/>
    </row>
    <row r="864">
      <c r="A864" s="67" t="str">
        <f t="shared" si="1"/>
        <v>Sun</v>
      </c>
      <c r="B864" s="69">
        <v>44017.0</v>
      </c>
      <c r="D864" s="171"/>
    </row>
    <row r="865">
      <c r="A865" s="67" t="str">
        <f t="shared" si="1"/>
        <v>Mon</v>
      </c>
      <c r="B865" s="69">
        <v>44018.0</v>
      </c>
      <c r="D865" s="171"/>
    </row>
    <row r="866">
      <c r="A866" s="67" t="str">
        <f t="shared" si="1"/>
        <v>Tue</v>
      </c>
      <c r="B866" s="69">
        <v>44019.0</v>
      </c>
      <c r="D866" s="171"/>
    </row>
    <row r="867">
      <c r="A867" s="67" t="str">
        <f t="shared" si="1"/>
        <v>Wed</v>
      </c>
      <c r="B867" s="69">
        <v>44020.0</v>
      </c>
      <c r="D867" s="171"/>
    </row>
    <row r="868">
      <c r="A868" s="67" t="str">
        <f t="shared" si="1"/>
        <v>Thu</v>
      </c>
      <c r="B868" s="69">
        <v>44021.0</v>
      </c>
      <c r="D868" s="171"/>
    </row>
    <row r="869">
      <c r="A869" s="67" t="str">
        <f t="shared" si="1"/>
        <v>Fri</v>
      </c>
      <c r="B869" s="69">
        <v>44022.0</v>
      </c>
      <c r="D869" s="171"/>
    </row>
    <row r="870">
      <c r="A870" s="67" t="str">
        <f t="shared" si="1"/>
        <v>Sat</v>
      </c>
      <c r="B870" s="69">
        <v>44023.0</v>
      </c>
      <c r="D870" s="171"/>
    </row>
    <row r="871">
      <c r="A871" s="67" t="str">
        <f t="shared" si="1"/>
        <v>Sun</v>
      </c>
      <c r="B871" s="69">
        <v>44024.0</v>
      </c>
      <c r="D871" s="171"/>
    </row>
    <row r="872">
      <c r="A872" s="67" t="str">
        <f t="shared" si="1"/>
        <v>Mon</v>
      </c>
      <c r="B872" s="69">
        <v>44025.0</v>
      </c>
      <c r="D872" s="171"/>
    </row>
    <row r="873">
      <c r="A873" s="67" t="str">
        <f t="shared" si="1"/>
        <v>Tue</v>
      </c>
      <c r="B873" s="69">
        <v>44026.0</v>
      </c>
      <c r="D873" s="171"/>
    </row>
    <row r="874">
      <c r="A874" s="67" t="str">
        <f t="shared" si="1"/>
        <v>Wed</v>
      </c>
      <c r="B874" s="69">
        <v>44027.0</v>
      </c>
      <c r="D874" s="171"/>
    </row>
    <row r="875">
      <c r="A875" s="67" t="str">
        <f t="shared" si="1"/>
        <v>Thu</v>
      </c>
      <c r="B875" s="69">
        <v>44028.0</v>
      </c>
      <c r="D875" s="171"/>
    </row>
    <row r="876">
      <c r="A876" s="67" t="str">
        <f t="shared" si="1"/>
        <v>Fri</v>
      </c>
      <c r="B876" s="69">
        <v>44029.0</v>
      </c>
      <c r="D876" s="171"/>
    </row>
    <row r="877">
      <c r="A877" s="67" t="str">
        <f t="shared" si="1"/>
        <v>Sat</v>
      </c>
      <c r="B877" s="69">
        <v>44030.0</v>
      </c>
      <c r="D877" s="171"/>
    </row>
    <row r="878">
      <c r="A878" s="67" t="str">
        <f t="shared" si="1"/>
        <v>Sun</v>
      </c>
      <c r="B878" s="69">
        <v>44031.0</v>
      </c>
      <c r="D878" s="171"/>
    </row>
    <row r="879">
      <c r="A879" s="67" t="str">
        <f t="shared" si="1"/>
        <v>Mon</v>
      </c>
      <c r="B879" s="69">
        <v>44032.0</v>
      </c>
      <c r="D879" s="171"/>
    </row>
    <row r="880">
      <c r="A880" s="67" t="str">
        <f t="shared" si="1"/>
        <v>Tue</v>
      </c>
      <c r="B880" s="69">
        <v>44033.0</v>
      </c>
      <c r="D880" s="171"/>
    </row>
    <row r="881">
      <c r="A881" s="67" t="str">
        <f t="shared" si="1"/>
        <v>Wed</v>
      </c>
      <c r="B881" s="69">
        <v>44034.0</v>
      </c>
      <c r="D881" s="171"/>
    </row>
    <row r="882">
      <c r="A882" s="67" t="str">
        <f t="shared" si="1"/>
        <v>Thu</v>
      </c>
      <c r="B882" s="69">
        <v>44035.0</v>
      </c>
      <c r="D882" s="171"/>
    </row>
    <row r="883">
      <c r="A883" s="67" t="str">
        <f t="shared" si="1"/>
        <v>Fri</v>
      </c>
      <c r="B883" s="69">
        <v>44036.0</v>
      </c>
      <c r="D883" s="171"/>
    </row>
    <row r="884">
      <c r="A884" s="67" t="str">
        <f t="shared" si="1"/>
        <v>Sat</v>
      </c>
      <c r="B884" s="69">
        <v>44037.0</v>
      </c>
      <c r="D884" s="171"/>
    </row>
    <row r="885">
      <c r="A885" s="67" t="str">
        <f t="shared" si="1"/>
        <v>Sun</v>
      </c>
      <c r="B885" s="69">
        <v>44038.0</v>
      </c>
      <c r="D885" s="171"/>
    </row>
    <row r="886">
      <c r="A886" s="67" t="str">
        <f t="shared" si="1"/>
        <v>Mon</v>
      </c>
      <c r="B886" s="69">
        <v>44039.0</v>
      </c>
      <c r="D886" s="171"/>
    </row>
    <row r="887">
      <c r="A887" s="67" t="str">
        <f t="shared" si="1"/>
        <v>Tue</v>
      </c>
      <c r="B887" s="69">
        <v>44040.0</v>
      </c>
      <c r="D887" s="171"/>
    </row>
    <row r="888">
      <c r="A888" s="67" t="str">
        <f t="shared" si="1"/>
        <v>Wed</v>
      </c>
      <c r="B888" s="69">
        <v>44041.0</v>
      </c>
      <c r="D888" s="171"/>
    </row>
    <row r="889">
      <c r="A889" s="67" t="str">
        <f t="shared" si="1"/>
        <v>Thu</v>
      </c>
      <c r="B889" s="69">
        <v>44042.0</v>
      </c>
      <c r="D889" s="171"/>
    </row>
    <row r="890">
      <c r="A890" s="67" t="str">
        <f t="shared" si="1"/>
        <v>Fri</v>
      </c>
      <c r="B890" s="69">
        <v>44043.0</v>
      </c>
      <c r="D890" s="171"/>
    </row>
    <row r="891">
      <c r="A891" s="67" t="str">
        <f t="shared" si="1"/>
        <v>Sat</v>
      </c>
      <c r="B891" s="69">
        <v>44044.0</v>
      </c>
      <c r="D891" s="171"/>
    </row>
    <row r="892">
      <c r="A892" s="67" t="str">
        <f t="shared" si="1"/>
        <v>Sun</v>
      </c>
      <c r="B892" s="69">
        <v>44045.0</v>
      </c>
      <c r="D892" s="171"/>
    </row>
    <row r="893">
      <c r="A893" s="67" t="str">
        <f t="shared" si="1"/>
        <v>Mon</v>
      </c>
      <c r="B893" s="69">
        <v>44046.0</v>
      </c>
      <c r="D893" s="171"/>
    </row>
    <row r="894">
      <c r="A894" s="67" t="str">
        <f t="shared" si="1"/>
        <v>Tue</v>
      </c>
      <c r="B894" s="69">
        <v>44047.0</v>
      </c>
      <c r="D894" s="171"/>
    </row>
    <row r="895">
      <c r="A895" s="67" t="str">
        <f t="shared" si="1"/>
        <v>Wed</v>
      </c>
      <c r="B895" s="69">
        <v>44048.0</v>
      </c>
      <c r="D895" s="171"/>
    </row>
    <row r="896">
      <c r="A896" s="67" t="str">
        <f t="shared" si="1"/>
        <v>Thu</v>
      </c>
      <c r="B896" s="69">
        <v>44049.0</v>
      </c>
      <c r="D896" s="171"/>
    </row>
    <row r="897">
      <c r="A897" s="67" t="str">
        <f t="shared" si="1"/>
        <v>Fri</v>
      </c>
      <c r="B897" s="69">
        <v>44050.0</v>
      </c>
      <c r="D897" s="171"/>
    </row>
    <row r="898">
      <c r="A898" s="67" t="str">
        <f t="shared" si="1"/>
        <v>Sat</v>
      </c>
      <c r="B898" s="69">
        <v>44051.0</v>
      </c>
      <c r="D898" s="171"/>
    </row>
    <row r="899">
      <c r="A899" s="67" t="str">
        <f t="shared" si="1"/>
        <v>Sun</v>
      </c>
      <c r="B899" s="69">
        <v>44052.0</v>
      </c>
      <c r="D899" s="171"/>
    </row>
    <row r="900">
      <c r="A900" s="67" t="str">
        <f t="shared" si="1"/>
        <v>Mon</v>
      </c>
      <c r="B900" s="69">
        <v>44053.0</v>
      </c>
      <c r="D900" s="171"/>
    </row>
    <row r="901">
      <c r="A901" s="67" t="str">
        <f t="shared" si="1"/>
        <v>Tue</v>
      </c>
      <c r="B901" s="69">
        <v>44054.0</v>
      </c>
      <c r="D901" s="171"/>
    </row>
    <row r="902">
      <c r="A902" s="67" t="str">
        <f t="shared" si="1"/>
        <v>Wed</v>
      </c>
      <c r="B902" s="69">
        <v>44055.0</v>
      </c>
      <c r="D902" s="171"/>
    </row>
    <row r="903">
      <c r="A903" s="67" t="str">
        <f t="shared" si="1"/>
        <v>Thu</v>
      </c>
      <c r="B903" s="69">
        <v>44056.0</v>
      </c>
      <c r="D903" s="171"/>
    </row>
    <row r="904">
      <c r="A904" s="67" t="str">
        <f t="shared" si="1"/>
        <v>Fri</v>
      </c>
      <c r="B904" s="69">
        <v>44057.0</v>
      </c>
      <c r="D904" s="171"/>
    </row>
    <row r="905">
      <c r="A905" s="67" t="str">
        <f t="shared" si="1"/>
        <v>Sat</v>
      </c>
      <c r="B905" s="69">
        <v>44058.0</v>
      </c>
      <c r="D905" s="171"/>
    </row>
    <row r="906">
      <c r="A906" s="67" t="str">
        <f t="shared" si="1"/>
        <v>Sun</v>
      </c>
      <c r="B906" s="69">
        <v>44059.0</v>
      </c>
      <c r="D906" s="171"/>
    </row>
    <row r="907">
      <c r="A907" s="67" t="str">
        <f t="shared" si="1"/>
        <v>Mon</v>
      </c>
      <c r="B907" s="69">
        <v>44060.0</v>
      </c>
      <c r="D907" s="171"/>
    </row>
    <row r="908">
      <c r="A908" s="67" t="str">
        <f t="shared" si="1"/>
        <v>Tue</v>
      </c>
      <c r="B908" s="69">
        <v>44061.0</v>
      </c>
      <c r="D908" s="171"/>
    </row>
    <row r="909">
      <c r="A909" s="67" t="str">
        <f t="shared" si="1"/>
        <v>Wed</v>
      </c>
      <c r="B909" s="69">
        <v>44062.0</v>
      </c>
      <c r="D909" s="171"/>
    </row>
    <row r="910">
      <c r="A910" s="67" t="str">
        <f t="shared" si="1"/>
        <v>Thu</v>
      </c>
      <c r="B910" s="69">
        <v>44063.0</v>
      </c>
      <c r="D910" s="171"/>
    </row>
    <row r="911">
      <c r="A911" s="67" t="str">
        <f t="shared" si="1"/>
        <v>Fri</v>
      </c>
      <c r="B911" s="69">
        <v>44064.0</v>
      </c>
      <c r="D911" s="171"/>
    </row>
    <row r="912">
      <c r="A912" s="67" t="str">
        <f t="shared" si="1"/>
        <v>Sat</v>
      </c>
      <c r="B912" s="69">
        <v>44065.0</v>
      </c>
      <c r="D912" s="171"/>
    </row>
    <row r="913">
      <c r="A913" s="67" t="str">
        <f t="shared" si="1"/>
        <v>Sun</v>
      </c>
      <c r="B913" s="69">
        <v>44066.0</v>
      </c>
      <c r="D913" s="171"/>
    </row>
    <row r="914">
      <c r="A914" s="67" t="str">
        <f t="shared" si="1"/>
        <v>Mon</v>
      </c>
      <c r="B914" s="69">
        <v>44067.0</v>
      </c>
      <c r="D914" s="171"/>
    </row>
    <row r="915">
      <c r="A915" s="67" t="str">
        <f t="shared" si="1"/>
        <v>Tue</v>
      </c>
      <c r="B915" s="69">
        <v>44068.0</v>
      </c>
      <c r="D915" s="171"/>
    </row>
    <row r="916">
      <c r="A916" s="67" t="str">
        <f t="shared" si="1"/>
        <v>Wed</v>
      </c>
      <c r="B916" s="69">
        <v>44069.0</v>
      </c>
      <c r="D916" s="171"/>
    </row>
    <row r="917">
      <c r="A917" s="67" t="str">
        <f t="shared" si="1"/>
        <v>Thu</v>
      </c>
      <c r="B917" s="69">
        <v>44070.0</v>
      </c>
      <c r="D917" s="171"/>
    </row>
    <row r="918">
      <c r="A918" s="67" t="str">
        <f t="shared" si="1"/>
        <v>Fri</v>
      </c>
      <c r="B918" s="69">
        <v>44071.0</v>
      </c>
      <c r="D918" s="171"/>
    </row>
    <row r="919">
      <c r="A919" s="67" t="str">
        <f t="shared" si="1"/>
        <v>Sat</v>
      </c>
      <c r="B919" s="69">
        <v>44072.0</v>
      </c>
      <c r="D919" s="171"/>
    </row>
    <row r="920">
      <c r="A920" s="67" t="str">
        <f t="shared" si="1"/>
        <v>Sun</v>
      </c>
      <c r="B920" s="69">
        <v>44073.0</v>
      </c>
      <c r="D920" s="171"/>
    </row>
    <row r="921">
      <c r="A921" s="67" t="str">
        <f t="shared" si="1"/>
        <v>Mon</v>
      </c>
      <c r="B921" s="69">
        <v>44074.0</v>
      </c>
      <c r="D921" s="171"/>
    </row>
    <row r="922">
      <c r="A922" s="67" t="str">
        <f t="shared" si="1"/>
        <v>Tue</v>
      </c>
      <c r="B922" s="69">
        <v>44075.0</v>
      </c>
      <c r="D922" s="171"/>
    </row>
    <row r="923">
      <c r="A923" s="67" t="str">
        <f t="shared" si="1"/>
        <v>Wed</v>
      </c>
      <c r="B923" s="69">
        <v>44076.0</v>
      </c>
      <c r="D923" s="171"/>
    </row>
    <row r="924">
      <c r="A924" s="67" t="str">
        <f t="shared" si="1"/>
        <v>Thu</v>
      </c>
      <c r="B924" s="69">
        <v>44077.0</v>
      </c>
      <c r="D924" s="171"/>
    </row>
    <row r="925">
      <c r="A925" s="67" t="str">
        <f t="shared" si="1"/>
        <v>Fri</v>
      </c>
      <c r="B925" s="69">
        <v>44078.0</v>
      </c>
      <c r="D925" s="171"/>
    </row>
    <row r="926">
      <c r="A926" s="67" t="str">
        <f t="shared" si="1"/>
        <v>Sat</v>
      </c>
      <c r="B926" s="69">
        <v>44079.0</v>
      </c>
      <c r="D926" s="171"/>
    </row>
    <row r="927">
      <c r="A927" s="67" t="str">
        <f t="shared" si="1"/>
        <v>Sun</v>
      </c>
      <c r="B927" s="69">
        <v>44080.0</v>
      </c>
      <c r="D927" s="171"/>
    </row>
    <row r="928">
      <c r="A928" s="67" t="str">
        <f t="shared" si="1"/>
        <v>Mon</v>
      </c>
      <c r="B928" s="69">
        <v>44081.0</v>
      </c>
      <c r="D928" s="171"/>
    </row>
    <row r="929">
      <c r="A929" s="67" t="str">
        <f t="shared" si="1"/>
        <v>Tue</v>
      </c>
      <c r="B929" s="69">
        <v>44082.0</v>
      </c>
      <c r="D929" s="171"/>
    </row>
    <row r="930">
      <c r="A930" s="67" t="str">
        <f t="shared" si="1"/>
        <v>Wed</v>
      </c>
      <c r="B930" s="69">
        <v>44083.0</v>
      </c>
      <c r="D930" s="171"/>
    </row>
    <row r="931">
      <c r="A931" s="67" t="str">
        <f t="shared" si="1"/>
        <v>Thu</v>
      </c>
      <c r="B931" s="69">
        <v>44084.0</v>
      </c>
      <c r="D931" s="171"/>
    </row>
    <row r="932">
      <c r="A932" s="67" t="str">
        <f t="shared" si="1"/>
        <v>Fri</v>
      </c>
      <c r="B932" s="69">
        <v>44085.0</v>
      </c>
      <c r="D932" s="171"/>
    </row>
    <row r="933">
      <c r="A933" s="67" t="str">
        <f t="shared" si="1"/>
        <v>Sat</v>
      </c>
      <c r="B933" s="69">
        <v>44086.0</v>
      </c>
      <c r="D933" s="171"/>
    </row>
    <row r="934">
      <c r="A934" s="67" t="str">
        <f t="shared" si="1"/>
        <v>Sun</v>
      </c>
      <c r="B934" s="69">
        <v>44087.0</v>
      </c>
      <c r="D934" s="171"/>
    </row>
    <row r="935">
      <c r="A935" s="67" t="str">
        <f t="shared" si="1"/>
        <v>Mon</v>
      </c>
      <c r="B935" s="69">
        <v>44088.0</v>
      </c>
      <c r="D935" s="171"/>
    </row>
    <row r="936">
      <c r="A936" s="67" t="str">
        <f t="shared" si="1"/>
        <v>Tue</v>
      </c>
      <c r="B936" s="69">
        <v>44089.0</v>
      </c>
      <c r="D936" s="171"/>
    </row>
    <row r="937">
      <c r="A937" s="67" t="str">
        <f t="shared" si="1"/>
        <v>Wed</v>
      </c>
      <c r="B937" s="69">
        <v>44090.0</v>
      </c>
      <c r="D937" s="171"/>
    </row>
    <row r="938">
      <c r="A938" s="67" t="str">
        <f t="shared" si="1"/>
        <v>Thu</v>
      </c>
      <c r="B938" s="69">
        <v>44091.0</v>
      </c>
      <c r="D938" s="171"/>
    </row>
    <row r="939">
      <c r="A939" s="67" t="str">
        <f t="shared" si="1"/>
        <v>Fri</v>
      </c>
      <c r="B939" s="69">
        <v>44092.0</v>
      </c>
      <c r="D939" s="171"/>
    </row>
    <row r="940">
      <c r="A940" s="67" t="str">
        <f t="shared" si="1"/>
        <v>Sat</v>
      </c>
      <c r="B940" s="69">
        <v>44093.0</v>
      </c>
      <c r="D940" s="171"/>
    </row>
    <row r="941">
      <c r="A941" s="67" t="str">
        <f t="shared" si="1"/>
        <v>Sun</v>
      </c>
      <c r="B941" s="69">
        <v>44094.0</v>
      </c>
      <c r="D941" s="171"/>
    </row>
    <row r="942">
      <c r="A942" s="67" t="str">
        <f t="shared" si="1"/>
        <v>Mon</v>
      </c>
      <c r="B942" s="69">
        <v>44095.0</v>
      </c>
      <c r="D942" s="171"/>
    </row>
    <row r="943">
      <c r="A943" s="67" t="str">
        <f t="shared" si="1"/>
        <v>Tue</v>
      </c>
      <c r="B943" s="69">
        <v>44096.0</v>
      </c>
      <c r="D943" s="171"/>
    </row>
    <row r="944">
      <c r="A944" s="67" t="str">
        <f t="shared" si="1"/>
        <v>Wed</v>
      </c>
      <c r="B944" s="69">
        <v>44097.0</v>
      </c>
      <c r="D944" s="171"/>
    </row>
    <row r="945">
      <c r="A945" s="67" t="str">
        <f t="shared" si="1"/>
        <v>Thu</v>
      </c>
      <c r="B945" s="69">
        <v>44098.0</v>
      </c>
      <c r="D945" s="171"/>
    </row>
    <row r="946">
      <c r="A946" s="67" t="str">
        <f t="shared" si="1"/>
        <v>Fri</v>
      </c>
      <c r="B946" s="69">
        <v>44099.0</v>
      </c>
      <c r="D946" s="171"/>
    </row>
    <row r="947">
      <c r="A947" s="67" t="str">
        <f t="shared" si="1"/>
        <v>Sat</v>
      </c>
      <c r="B947" s="69">
        <v>44100.0</v>
      </c>
      <c r="D947" s="171"/>
    </row>
    <row r="948">
      <c r="A948" s="67" t="str">
        <f t="shared" si="1"/>
        <v>Sun</v>
      </c>
      <c r="B948" s="69">
        <v>44101.0</v>
      </c>
      <c r="D948" s="171"/>
    </row>
    <row r="949">
      <c r="A949" s="67" t="str">
        <f t="shared" si="1"/>
        <v>Mon</v>
      </c>
      <c r="B949" s="69">
        <v>44102.0</v>
      </c>
      <c r="D949" s="171"/>
    </row>
    <row r="950">
      <c r="A950" s="67" t="str">
        <f t="shared" si="1"/>
        <v>Tue</v>
      </c>
      <c r="B950" s="69">
        <v>44103.0</v>
      </c>
      <c r="D950" s="171"/>
    </row>
    <row r="951">
      <c r="A951" s="67" t="str">
        <f t="shared" si="1"/>
        <v>Wed</v>
      </c>
      <c r="B951" s="69">
        <v>44104.0</v>
      </c>
      <c r="D951" s="171"/>
    </row>
    <row r="952">
      <c r="A952" s="67" t="str">
        <f t="shared" si="1"/>
        <v>Thu</v>
      </c>
      <c r="B952" s="69">
        <v>44105.0</v>
      </c>
      <c r="D952" s="171"/>
    </row>
    <row r="953">
      <c r="A953" s="67" t="str">
        <f t="shared" si="1"/>
        <v>Fri</v>
      </c>
      <c r="B953" s="69">
        <v>44106.0</v>
      </c>
      <c r="D953" s="171"/>
    </row>
    <row r="954">
      <c r="A954" s="67" t="str">
        <f t="shared" si="1"/>
        <v>Sat</v>
      </c>
      <c r="B954" s="69">
        <v>44107.0</v>
      </c>
      <c r="D954" s="171"/>
    </row>
    <row r="955">
      <c r="A955" s="67" t="str">
        <f t="shared" si="1"/>
        <v>Sun</v>
      </c>
      <c r="B955" s="69">
        <v>44108.0</v>
      </c>
      <c r="D955" s="171"/>
    </row>
    <row r="956">
      <c r="A956" s="67" t="str">
        <f t="shared" si="1"/>
        <v>Mon</v>
      </c>
      <c r="B956" s="69">
        <v>44109.0</v>
      </c>
      <c r="D956" s="171"/>
      <c r="L956" s="19"/>
      <c r="M956" s="19"/>
      <c r="N956" s="19"/>
      <c r="O956" s="19"/>
      <c r="P956" s="19"/>
      <c r="Q956" s="19"/>
    </row>
  </sheetData>
  <mergeCells count="5">
    <mergeCell ref="E1:F1"/>
    <mergeCell ref="E2:F2"/>
    <mergeCell ref="E3:F3"/>
    <mergeCell ref="A1:C3"/>
    <mergeCell ref="G1:R3"/>
  </mergeCells>
  <conditionalFormatting sqref="K1:L956">
    <cfRule type="cellIs" dxfId="0" priority="1" operator="equal">
      <formula>"Enviar email para hotel"</formula>
    </cfRule>
  </conditionalFormatting>
  <dataValidations>
    <dataValidation type="list" allowBlank="1" sqref="L313:L956">
      <formula1>"Enviar email para hotel,Enviado para o hotel,Código de reserva enviado para hóspede,Verificar dados com o hóspede,URGENTE,Fechado"</formula1>
    </dataValidation>
    <dataValidation type="list" allowBlank="1" sqref="K6:L312">
      <formula1>"Enviar email para hotel,Enviado para o hotel,Código de reserva enviado para hóspede,Fechado"</formula1>
    </dataValidation>
    <dataValidation type="list" allowBlank="1" sqref="K313:K956">
      <formula1>"A PAGAR,PARCIALMENTE PAGO,PAGO"</formula1>
    </dataValidation>
  </dataValidations>
  <hyperlinks>
    <hyperlink display="Sumario" location="Sumario!A1" ref="B4"/>
  </hyperlinks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13.57"/>
    <col customWidth="1" min="3" max="3" width="6.43"/>
    <col customWidth="1" min="4" max="4" width="17.0"/>
  </cols>
  <sheetData>
    <row r="1">
      <c r="A1" s="1"/>
      <c r="B1" s="2"/>
      <c r="C1" s="3"/>
      <c r="D1" s="11" t="s">
        <v>198</v>
      </c>
      <c r="E1" s="153" t="s">
        <v>1921</v>
      </c>
      <c r="F1" s="3"/>
      <c r="G1" s="154" t="s">
        <v>2071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>
      <c r="A2" s="13"/>
      <c r="C2" s="15"/>
      <c r="D2" s="9" t="s">
        <v>201</v>
      </c>
      <c r="E2" s="156">
        <v>462.0</v>
      </c>
      <c r="F2" s="15"/>
      <c r="S2" s="15"/>
    </row>
    <row r="3" ht="29.25" customHeight="1">
      <c r="A3" s="17"/>
      <c r="B3" s="19"/>
      <c r="C3" s="21"/>
      <c r="D3" s="26" t="s">
        <v>202</v>
      </c>
      <c r="E3" s="157" t="s">
        <v>395</v>
      </c>
      <c r="F3" s="21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21"/>
    </row>
    <row r="4">
      <c r="A4" s="158" t="s">
        <v>203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N4" s="30"/>
      <c r="O4" s="30"/>
      <c r="P4" s="30"/>
      <c r="Q4" s="30"/>
      <c r="R4" s="30"/>
      <c r="S4" s="30"/>
      <c r="T4" s="30"/>
      <c r="U4" s="30"/>
    </row>
    <row r="5">
      <c r="A5" s="42" t="s">
        <v>204</v>
      </c>
      <c r="B5" s="45" t="s">
        <v>33</v>
      </c>
      <c r="C5" s="45" t="s">
        <v>205</v>
      </c>
      <c r="D5" s="45" t="s">
        <v>206</v>
      </c>
      <c r="E5" s="45" t="s">
        <v>207</v>
      </c>
      <c r="F5" s="45" t="s">
        <v>208</v>
      </c>
      <c r="G5" s="45" t="s">
        <v>209</v>
      </c>
      <c r="H5" s="45" t="s">
        <v>210</v>
      </c>
      <c r="I5" s="45" t="s">
        <v>211</v>
      </c>
      <c r="J5" s="45" t="s">
        <v>212</v>
      </c>
      <c r="K5" s="45" t="s">
        <v>213</v>
      </c>
      <c r="L5" s="45" t="s">
        <v>214</v>
      </c>
      <c r="M5" s="45" t="s">
        <v>215</v>
      </c>
      <c r="N5" s="45" t="s">
        <v>216</v>
      </c>
      <c r="O5" s="45" t="s">
        <v>217</v>
      </c>
      <c r="P5" s="45" t="s">
        <v>218</v>
      </c>
      <c r="Q5" s="45" t="s">
        <v>219</v>
      </c>
      <c r="R5" s="45" t="s">
        <v>220</v>
      </c>
      <c r="S5" s="159" t="s">
        <v>221</v>
      </c>
    </row>
    <row r="6" hidden="1">
      <c r="A6" s="67" t="str">
        <f t="shared" ref="A6:A401" si="1">CHOOSE(weekday(B6),"Sun","Mon","Tue","Wed","Thu","Fri","Sat")</f>
        <v>Sat</v>
      </c>
      <c r="B6" s="69">
        <v>43435.0</v>
      </c>
      <c r="M6" s="166"/>
      <c r="N6" s="166"/>
      <c r="O6" s="166"/>
      <c r="P6" s="166"/>
      <c r="Q6" s="166"/>
      <c r="R6" s="166"/>
      <c r="S6" s="241"/>
    </row>
    <row r="7" hidden="1">
      <c r="A7" s="67" t="str">
        <f t="shared" si="1"/>
        <v>Sun</v>
      </c>
      <c r="B7" s="69">
        <v>43436.0</v>
      </c>
      <c r="S7" s="15"/>
    </row>
    <row r="8" hidden="1">
      <c r="A8" s="67" t="str">
        <f t="shared" si="1"/>
        <v>Mon</v>
      </c>
      <c r="B8" s="69">
        <v>43437.0</v>
      </c>
      <c r="M8" s="166"/>
      <c r="N8" s="166"/>
      <c r="O8" s="166"/>
      <c r="P8" s="166"/>
      <c r="Q8" s="166"/>
      <c r="R8" s="166"/>
      <c r="S8" s="241"/>
    </row>
    <row r="9" hidden="1">
      <c r="A9" s="67" t="str">
        <f t="shared" si="1"/>
        <v>Tue</v>
      </c>
      <c r="B9" s="69">
        <v>43438.0</v>
      </c>
      <c r="S9" s="15"/>
    </row>
    <row r="10" hidden="1">
      <c r="A10" s="67" t="str">
        <f t="shared" si="1"/>
        <v>Wed</v>
      </c>
      <c r="B10" s="69">
        <v>43439.0</v>
      </c>
      <c r="S10" s="15"/>
    </row>
    <row r="11" hidden="1">
      <c r="A11" s="67" t="str">
        <f t="shared" si="1"/>
        <v>Thu</v>
      </c>
      <c r="B11" s="69">
        <v>43440.0</v>
      </c>
      <c r="S11" s="15"/>
    </row>
    <row r="12" hidden="1">
      <c r="A12" s="67" t="str">
        <f t="shared" si="1"/>
        <v>Fri</v>
      </c>
      <c r="B12" s="69">
        <v>43441.0</v>
      </c>
      <c r="S12" s="15"/>
    </row>
    <row r="13" hidden="1">
      <c r="A13" s="67" t="str">
        <f t="shared" si="1"/>
        <v>Sat</v>
      </c>
      <c r="B13" s="69">
        <v>43442.0</v>
      </c>
      <c r="S13" s="15"/>
    </row>
    <row r="14" hidden="1">
      <c r="A14" s="67" t="str">
        <f t="shared" si="1"/>
        <v>Sun</v>
      </c>
      <c r="B14" s="69">
        <v>43443.0</v>
      </c>
      <c r="S14" s="15"/>
    </row>
    <row r="15" hidden="1">
      <c r="A15" s="67" t="str">
        <f t="shared" si="1"/>
        <v>Mon</v>
      </c>
      <c r="B15" s="69">
        <v>43444.0</v>
      </c>
      <c r="S15" s="15"/>
    </row>
    <row r="16" hidden="1">
      <c r="A16" s="67" t="str">
        <f t="shared" si="1"/>
        <v>Tue</v>
      </c>
      <c r="B16" s="69">
        <v>43445.0</v>
      </c>
      <c r="S16" s="15"/>
    </row>
    <row r="17" hidden="1">
      <c r="A17" s="67" t="str">
        <f t="shared" si="1"/>
        <v>Wed</v>
      </c>
      <c r="B17" s="69">
        <v>43446.0</v>
      </c>
      <c r="S17" s="15"/>
    </row>
    <row r="18" hidden="1">
      <c r="A18" s="67" t="str">
        <f t="shared" si="1"/>
        <v>Thu</v>
      </c>
      <c r="B18" s="69">
        <v>43447.0</v>
      </c>
      <c r="S18" s="15"/>
    </row>
    <row r="19" hidden="1">
      <c r="A19" s="67" t="str">
        <f t="shared" si="1"/>
        <v>Fri</v>
      </c>
      <c r="B19" s="69">
        <v>43448.0</v>
      </c>
      <c r="S19" s="15"/>
    </row>
    <row r="20" hidden="1">
      <c r="A20" s="67" t="str">
        <f t="shared" si="1"/>
        <v>Sat</v>
      </c>
      <c r="B20" s="69">
        <v>43449.0</v>
      </c>
      <c r="S20" s="15"/>
    </row>
    <row r="21" hidden="1">
      <c r="A21" s="67" t="str">
        <f t="shared" si="1"/>
        <v>Sun</v>
      </c>
      <c r="B21" s="69">
        <v>43450.0</v>
      </c>
      <c r="M21" s="166"/>
      <c r="N21" s="166"/>
      <c r="O21" s="166"/>
      <c r="P21" s="166"/>
      <c r="Q21" s="166"/>
      <c r="R21" s="166"/>
      <c r="S21" s="241"/>
    </row>
    <row r="22" hidden="1">
      <c r="A22" s="67" t="str">
        <f t="shared" si="1"/>
        <v>Mon</v>
      </c>
      <c r="B22" s="69">
        <v>43451.0</v>
      </c>
      <c r="S22" s="15"/>
    </row>
    <row r="23" hidden="1">
      <c r="A23" s="67" t="str">
        <f t="shared" si="1"/>
        <v>Tue</v>
      </c>
      <c r="B23" s="69">
        <v>43452.0</v>
      </c>
      <c r="S23" s="15"/>
    </row>
    <row r="24" hidden="1">
      <c r="A24" s="67" t="str">
        <f t="shared" si="1"/>
        <v>Wed</v>
      </c>
      <c r="B24" s="69">
        <v>43453.0</v>
      </c>
      <c r="S24" s="15"/>
    </row>
    <row r="25" hidden="1">
      <c r="A25" s="67" t="str">
        <f t="shared" si="1"/>
        <v>Thu</v>
      </c>
      <c r="B25" s="69">
        <v>43454.0</v>
      </c>
      <c r="D25" s="161">
        <v>650.0</v>
      </c>
      <c r="E25" s="4" t="s">
        <v>337</v>
      </c>
      <c r="F25" s="4" t="s">
        <v>2098</v>
      </c>
      <c r="G25" s="4" t="s">
        <v>2098</v>
      </c>
      <c r="I25" s="4" t="s">
        <v>395</v>
      </c>
      <c r="K25" s="4"/>
      <c r="L25" s="4" t="s">
        <v>225</v>
      </c>
      <c r="M25" s="4" t="s">
        <v>226</v>
      </c>
      <c r="N25" s="4" t="s">
        <v>232</v>
      </c>
      <c r="O25" s="4" t="s">
        <v>264</v>
      </c>
      <c r="P25" s="4"/>
      <c r="Q25" s="4" t="s">
        <v>1061</v>
      </c>
      <c r="R25" s="4"/>
      <c r="S25" s="162" t="s">
        <v>2099</v>
      </c>
    </row>
    <row r="26" hidden="1">
      <c r="A26" s="67" t="str">
        <f t="shared" si="1"/>
        <v>Fri</v>
      </c>
      <c r="B26" s="69">
        <v>43455.0</v>
      </c>
      <c r="D26" s="161">
        <v>650.0</v>
      </c>
      <c r="E26" s="4" t="s">
        <v>337</v>
      </c>
      <c r="F26" s="4" t="s">
        <v>2098</v>
      </c>
      <c r="I26" s="4" t="s">
        <v>395</v>
      </c>
      <c r="S26" s="15"/>
    </row>
    <row r="27" hidden="1">
      <c r="A27" s="67" t="str">
        <f t="shared" si="1"/>
        <v>Sat</v>
      </c>
      <c r="B27" s="69">
        <v>43456.0</v>
      </c>
      <c r="D27" s="161">
        <v>650.0</v>
      </c>
      <c r="E27" s="4" t="s">
        <v>337</v>
      </c>
      <c r="F27" s="4" t="s">
        <v>2098</v>
      </c>
      <c r="I27" s="4" t="s">
        <v>395</v>
      </c>
      <c r="S27" s="15"/>
    </row>
    <row r="28" hidden="1">
      <c r="A28" s="67" t="str">
        <f t="shared" si="1"/>
        <v>Sun</v>
      </c>
      <c r="B28" s="69">
        <v>43457.0</v>
      </c>
      <c r="D28" s="161">
        <v>650.0</v>
      </c>
      <c r="E28" s="4" t="s">
        <v>337</v>
      </c>
      <c r="F28" s="4" t="s">
        <v>2098</v>
      </c>
      <c r="I28" s="4" t="s">
        <v>395</v>
      </c>
      <c r="S28" s="15"/>
    </row>
    <row r="29" hidden="1">
      <c r="A29" s="67" t="str">
        <f t="shared" si="1"/>
        <v>Mon</v>
      </c>
      <c r="B29" s="69">
        <v>43458.0</v>
      </c>
      <c r="D29" s="161">
        <v>650.0</v>
      </c>
      <c r="E29" s="4" t="s">
        <v>337</v>
      </c>
      <c r="F29" s="4" t="s">
        <v>2098</v>
      </c>
      <c r="I29" s="4" t="s">
        <v>395</v>
      </c>
      <c r="S29" s="15"/>
    </row>
    <row r="30" hidden="1">
      <c r="A30" s="67" t="str">
        <f t="shared" si="1"/>
        <v>Tue</v>
      </c>
      <c r="B30" s="69">
        <v>43459.0</v>
      </c>
      <c r="D30" s="161">
        <v>650.0</v>
      </c>
      <c r="E30" s="4" t="s">
        <v>337</v>
      </c>
      <c r="F30" s="4" t="s">
        <v>2098</v>
      </c>
      <c r="I30" s="4" t="s">
        <v>395</v>
      </c>
      <c r="S30" s="15"/>
    </row>
    <row r="31" hidden="1">
      <c r="A31" s="67" t="str">
        <f t="shared" si="1"/>
        <v>Wed</v>
      </c>
      <c r="B31" s="69">
        <v>43460.0</v>
      </c>
      <c r="D31" s="161">
        <v>650.0</v>
      </c>
      <c r="E31" s="4" t="s">
        <v>337</v>
      </c>
      <c r="F31" s="4" t="s">
        <v>2098</v>
      </c>
      <c r="I31" s="4" t="s">
        <v>395</v>
      </c>
      <c r="S31" s="15"/>
    </row>
    <row r="32" hidden="1">
      <c r="A32" s="67" t="str">
        <f t="shared" si="1"/>
        <v>Thu</v>
      </c>
      <c r="B32" s="69">
        <v>43461.0</v>
      </c>
      <c r="H32" s="4" t="s">
        <v>2098</v>
      </c>
      <c r="S32" s="15"/>
    </row>
    <row r="33" hidden="1">
      <c r="A33" s="67" t="str">
        <f t="shared" si="1"/>
        <v>Fri</v>
      </c>
      <c r="B33" s="69">
        <v>43462.0</v>
      </c>
      <c r="D33" s="161">
        <v>909.375</v>
      </c>
      <c r="E33" s="4" t="s">
        <v>222</v>
      </c>
      <c r="F33" s="4" t="s">
        <v>2103</v>
      </c>
      <c r="G33" s="4" t="s">
        <v>2103</v>
      </c>
      <c r="I33" s="4" t="s">
        <v>395</v>
      </c>
      <c r="K33" s="4"/>
      <c r="L33" s="4" t="s">
        <v>225</v>
      </c>
      <c r="M33" s="4" t="s">
        <v>226</v>
      </c>
      <c r="N33" s="4" t="s">
        <v>232</v>
      </c>
      <c r="O33" s="4" t="s">
        <v>264</v>
      </c>
      <c r="P33" s="4" t="s">
        <v>2036</v>
      </c>
      <c r="Q33" s="4" t="s">
        <v>2104</v>
      </c>
      <c r="R33" s="4"/>
      <c r="S33" s="242" t="s">
        <v>2105</v>
      </c>
    </row>
    <row r="34" hidden="1">
      <c r="A34" s="67" t="str">
        <f t="shared" si="1"/>
        <v>Sat</v>
      </c>
      <c r="B34" s="69">
        <v>43463.0</v>
      </c>
      <c r="D34" s="161">
        <v>909.375</v>
      </c>
      <c r="E34" s="4" t="s">
        <v>222</v>
      </c>
      <c r="F34" s="4" t="s">
        <v>2103</v>
      </c>
      <c r="I34" s="4" t="s">
        <v>395</v>
      </c>
      <c r="S34" s="15"/>
    </row>
    <row r="35" hidden="1">
      <c r="A35" s="67" t="str">
        <f t="shared" si="1"/>
        <v>Sun</v>
      </c>
      <c r="B35" s="69">
        <v>43464.0</v>
      </c>
      <c r="D35" s="161">
        <v>909.375</v>
      </c>
      <c r="E35" s="4" t="s">
        <v>222</v>
      </c>
      <c r="F35" s="4" t="s">
        <v>2103</v>
      </c>
      <c r="I35" s="4" t="s">
        <v>395</v>
      </c>
      <c r="S35" s="15"/>
    </row>
    <row r="36" hidden="1">
      <c r="A36" s="67" t="str">
        <f t="shared" si="1"/>
        <v>Mon</v>
      </c>
      <c r="B36" s="69">
        <v>43465.0</v>
      </c>
      <c r="D36" s="161">
        <v>909.375</v>
      </c>
      <c r="E36" s="4" t="s">
        <v>222</v>
      </c>
      <c r="F36" s="4" t="s">
        <v>2103</v>
      </c>
      <c r="I36" s="4" t="s">
        <v>395</v>
      </c>
      <c r="S36" s="15"/>
    </row>
    <row r="37" hidden="1">
      <c r="A37" s="67" t="str">
        <f t="shared" si="1"/>
        <v>Tue</v>
      </c>
      <c r="B37" s="69">
        <v>43466.0</v>
      </c>
      <c r="D37" s="161">
        <v>622.718888888889</v>
      </c>
      <c r="E37" s="4" t="s">
        <v>222</v>
      </c>
      <c r="F37" s="4" t="s">
        <v>2109</v>
      </c>
      <c r="G37" s="4" t="s">
        <v>2109</v>
      </c>
      <c r="H37" s="4" t="s">
        <v>2103</v>
      </c>
      <c r="I37" s="4" t="s">
        <v>395</v>
      </c>
      <c r="K37" s="4"/>
      <c r="L37" s="4" t="s">
        <v>293</v>
      </c>
      <c r="M37" s="4" t="s">
        <v>226</v>
      </c>
      <c r="N37" s="4" t="s">
        <v>232</v>
      </c>
      <c r="O37" s="4" t="s">
        <v>264</v>
      </c>
      <c r="P37" s="4"/>
      <c r="Q37" s="4" t="s">
        <v>2116</v>
      </c>
      <c r="S37" s="15"/>
    </row>
    <row r="38" hidden="1">
      <c r="A38" s="67" t="str">
        <f t="shared" si="1"/>
        <v>Wed</v>
      </c>
      <c r="B38" s="69">
        <v>43467.0</v>
      </c>
      <c r="D38" s="161">
        <v>622.718888888889</v>
      </c>
      <c r="E38" s="4" t="s">
        <v>222</v>
      </c>
      <c r="F38" s="4" t="s">
        <v>2109</v>
      </c>
      <c r="I38" s="4" t="s">
        <v>395</v>
      </c>
      <c r="S38" s="15"/>
    </row>
    <row r="39" hidden="1">
      <c r="A39" s="67" t="str">
        <f t="shared" si="1"/>
        <v>Thu</v>
      </c>
      <c r="B39" s="69">
        <v>43468.0</v>
      </c>
      <c r="D39" s="161">
        <v>622.718888888889</v>
      </c>
      <c r="E39" s="4" t="s">
        <v>222</v>
      </c>
      <c r="F39" s="4" t="s">
        <v>2109</v>
      </c>
      <c r="I39" s="4" t="s">
        <v>395</v>
      </c>
      <c r="S39" s="15"/>
    </row>
    <row r="40" hidden="1">
      <c r="A40" s="67" t="str">
        <f t="shared" si="1"/>
        <v>Fri</v>
      </c>
      <c r="B40" s="69">
        <v>43469.0</v>
      </c>
      <c r="D40" s="161">
        <v>622.718888888889</v>
      </c>
      <c r="E40" s="4" t="s">
        <v>222</v>
      </c>
      <c r="F40" s="4" t="s">
        <v>2109</v>
      </c>
      <c r="I40" s="4" t="s">
        <v>395</v>
      </c>
      <c r="S40" s="15"/>
    </row>
    <row r="41" hidden="1">
      <c r="A41" s="67" t="str">
        <f t="shared" si="1"/>
        <v>Sat</v>
      </c>
      <c r="B41" s="69">
        <v>43470.0</v>
      </c>
      <c r="D41" s="161">
        <v>622.718888888889</v>
      </c>
      <c r="E41" s="4" t="s">
        <v>222</v>
      </c>
      <c r="F41" s="4" t="s">
        <v>2109</v>
      </c>
      <c r="I41" s="4" t="s">
        <v>395</v>
      </c>
      <c r="S41" s="15"/>
    </row>
    <row r="42" hidden="1">
      <c r="A42" s="67" t="str">
        <f t="shared" si="1"/>
        <v>Sun</v>
      </c>
      <c r="B42" s="69">
        <v>43471.0</v>
      </c>
      <c r="D42" s="161">
        <v>622.718888888889</v>
      </c>
      <c r="E42" s="4" t="s">
        <v>222</v>
      </c>
      <c r="F42" s="4" t="s">
        <v>2109</v>
      </c>
      <c r="I42" s="4" t="s">
        <v>395</v>
      </c>
      <c r="S42" s="15"/>
    </row>
    <row r="43" hidden="1">
      <c r="A43" s="67" t="str">
        <f t="shared" si="1"/>
        <v>Mon</v>
      </c>
      <c r="B43" s="69">
        <v>43472.0</v>
      </c>
      <c r="D43" s="161">
        <v>622.718888888889</v>
      </c>
      <c r="E43" s="4" t="s">
        <v>222</v>
      </c>
      <c r="F43" s="4" t="s">
        <v>2109</v>
      </c>
      <c r="I43" s="4" t="s">
        <v>395</v>
      </c>
      <c r="S43" s="15"/>
    </row>
    <row r="44" hidden="1">
      <c r="A44" s="67" t="str">
        <f t="shared" si="1"/>
        <v>Tue</v>
      </c>
      <c r="B44" s="69">
        <v>43473.0</v>
      </c>
      <c r="D44" s="161">
        <v>622.718888888889</v>
      </c>
      <c r="E44" s="4" t="s">
        <v>222</v>
      </c>
      <c r="F44" s="4" t="s">
        <v>2109</v>
      </c>
      <c r="I44" s="4" t="s">
        <v>395</v>
      </c>
      <c r="S44" s="15"/>
    </row>
    <row r="45" hidden="1">
      <c r="A45" s="67" t="str">
        <f t="shared" si="1"/>
        <v>Wed</v>
      </c>
      <c r="B45" s="69">
        <v>43474.0</v>
      </c>
      <c r="D45" s="161">
        <v>622.718888888889</v>
      </c>
      <c r="E45" s="4" t="s">
        <v>222</v>
      </c>
      <c r="F45" s="4" t="s">
        <v>2109</v>
      </c>
      <c r="I45" s="4" t="s">
        <v>395</v>
      </c>
      <c r="S45" s="15"/>
    </row>
    <row r="46" hidden="1">
      <c r="A46" s="67" t="str">
        <f t="shared" si="1"/>
        <v>Thu</v>
      </c>
      <c r="B46" s="69">
        <v>43475.0</v>
      </c>
      <c r="D46" s="161">
        <v>582.0</v>
      </c>
      <c r="E46" s="4" t="s">
        <v>222</v>
      </c>
      <c r="F46" s="4" t="s">
        <v>2118</v>
      </c>
      <c r="G46" s="4" t="s">
        <v>2118</v>
      </c>
      <c r="H46" s="4" t="s">
        <v>2109</v>
      </c>
      <c r="I46" s="4" t="s">
        <v>395</v>
      </c>
      <c r="J46" s="4" t="s">
        <v>2123</v>
      </c>
      <c r="K46" s="4"/>
      <c r="L46" s="4" t="s">
        <v>225</v>
      </c>
      <c r="M46" s="4" t="s">
        <v>2125</v>
      </c>
      <c r="N46" s="4" t="s">
        <v>2126</v>
      </c>
      <c r="O46" s="4" t="s">
        <v>2127</v>
      </c>
      <c r="P46" s="4"/>
      <c r="Q46" s="4" t="s">
        <v>2128</v>
      </c>
      <c r="R46" s="4"/>
      <c r="S46" s="162" t="s">
        <v>2129</v>
      </c>
    </row>
    <row r="47" hidden="1">
      <c r="A47" s="67" t="str">
        <f t="shared" si="1"/>
        <v>Fri</v>
      </c>
      <c r="B47" s="69">
        <v>43476.0</v>
      </c>
      <c r="D47" s="161">
        <v>582.0</v>
      </c>
      <c r="E47" s="4" t="s">
        <v>222</v>
      </c>
      <c r="F47" s="4" t="s">
        <v>2118</v>
      </c>
      <c r="I47" s="4" t="s">
        <v>395</v>
      </c>
      <c r="J47" s="4" t="s">
        <v>2123</v>
      </c>
      <c r="S47" s="15"/>
    </row>
    <row r="48" hidden="1">
      <c r="A48" s="67" t="str">
        <f t="shared" si="1"/>
        <v>Sat</v>
      </c>
      <c r="B48" s="69">
        <v>43477.0</v>
      </c>
      <c r="D48" s="161">
        <v>582.0</v>
      </c>
      <c r="E48" s="4" t="s">
        <v>222</v>
      </c>
      <c r="F48" s="4" t="s">
        <v>2118</v>
      </c>
      <c r="I48" s="4" t="s">
        <v>395</v>
      </c>
      <c r="J48" s="4" t="s">
        <v>2123</v>
      </c>
      <c r="S48" s="15"/>
    </row>
    <row r="49" hidden="1">
      <c r="A49" s="67" t="str">
        <f t="shared" si="1"/>
        <v>Sun</v>
      </c>
      <c r="B49" s="69">
        <v>43478.0</v>
      </c>
      <c r="D49" s="161">
        <v>582.0</v>
      </c>
      <c r="E49" s="4" t="s">
        <v>222</v>
      </c>
      <c r="F49" s="4" t="s">
        <v>2118</v>
      </c>
      <c r="I49" s="4" t="s">
        <v>395</v>
      </c>
      <c r="J49" s="4" t="s">
        <v>2123</v>
      </c>
      <c r="S49" s="15"/>
    </row>
    <row r="50" hidden="1">
      <c r="A50" s="67" t="str">
        <f t="shared" si="1"/>
        <v>Mon</v>
      </c>
      <c r="B50" s="69">
        <v>43479.0</v>
      </c>
      <c r="D50" s="161">
        <v>582.0</v>
      </c>
      <c r="E50" s="4" t="s">
        <v>222</v>
      </c>
      <c r="F50" s="4" t="s">
        <v>2118</v>
      </c>
      <c r="I50" s="4" t="s">
        <v>395</v>
      </c>
      <c r="J50" s="4" t="s">
        <v>2123</v>
      </c>
      <c r="S50" s="15"/>
    </row>
    <row r="51" hidden="1">
      <c r="A51" s="67" t="str">
        <f t="shared" si="1"/>
        <v>Tue</v>
      </c>
      <c r="B51" s="69">
        <v>43480.0</v>
      </c>
      <c r="D51">
        <f t="shared" ref="D51:D57" si="2">4500/7</f>
        <v>642.8571429</v>
      </c>
      <c r="E51" s="4" t="s">
        <v>337</v>
      </c>
      <c r="F51" s="4" t="s">
        <v>2130</v>
      </c>
      <c r="G51" s="4" t="s">
        <v>2130</v>
      </c>
      <c r="H51" s="4" t="s">
        <v>2118</v>
      </c>
      <c r="I51" s="4" t="s">
        <v>395</v>
      </c>
      <c r="J51" s="4" t="s">
        <v>495</v>
      </c>
      <c r="K51" s="4" t="s">
        <v>231</v>
      </c>
      <c r="L51" s="4" t="s">
        <v>225</v>
      </c>
      <c r="M51" s="4" t="s">
        <v>2133</v>
      </c>
      <c r="N51" s="4" t="s">
        <v>310</v>
      </c>
      <c r="O51" s="4" t="s">
        <v>310</v>
      </c>
      <c r="P51" s="4" t="s">
        <v>310</v>
      </c>
      <c r="Q51" s="4" t="s">
        <v>2134</v>
      </c>
      <c r="R51" s="4"/>
      <c r="S51" s="162" t="s">
        <v>2135</v>
      </c>
    </row>
    <row r="52" hidden="1">
      <c r="A52" s="67" t="str">
        <f t="shared" si="1"/>
        <v>Wed</v>
      </c>
      <c r="B52" s="69">
        <v>43481.0</v>
      </c>
      <c r="D52">
        <f t="shared" si="2"/>
        <v>642.8571429</v>
      </c>
      <c r="E52" s="4" t="s">
        <v>337</v>
      </c>
      <c r="F52" s="4" t="s">
        <v>2130</v>
      </c>
      <c r="I52" s="4" t="s">
        <v>395</v>
      </c>
      <c r="S52" s="15"/>
    </row>
    <row r="53" hidden="1">
      <c r="A53" s="67" t="str">
        <f t="shared" si="1"/>
        <v>Thu</v>
      </c>
      <c r="B53" s="69">
        <v>43482.0</v>
      </c>
      <c r="D53">
        <f t="shared" si="2"/>
        <v>642.8571429</v>
      </c>
      <c r="E53" s="4" t="s">
        <v>337</v>
      </c>
      <c r="F53" s="4" t="s">
        <v>2130</v>
      </c>
      <c r="I53" s="4" t="s">
        <v>395</v>
      </c>
      <c r="S53" s="15"/>
    </row>
    <row r="54" hidden="1">
      <c r="A54" s="67" t="str">
        <f t="shared" si="1"/>
        <v>Fri</v>
      </c>
      <c r="B54" s="69">
        <v>43483.0</v>
      </c>
      <c r="D54">
        <f t="shared" si="2"/>
        <v>642.8571429</v>
      </c>
      <c r="E54" s="4" t="s">
        <v>337</v>
      </c>
      <c r="F54" s="4" t="s">
        <v>2130</v>
      </c>
      <c r="I54" s="4" t="s">
        <v>395</v>
      </c>
      <c r="S54" s="15"/>
    </row>
    <row r="55" hidden="1">
      <c r="A55" s="67" t="str">
        <f t="shared" si="1"/>
        <v>Sat</v>
      </c>
      <c r="B55" s="69">
        <v>43484.0</v>
      </c>
      <c r="D55">
        <f t="shared" si="2"/>
        <v>642.8571429</v>
      </c>
      <c r="E55" s="4" t="s">
        <v>337</v>
      </c>
      <c r="F55" s="4" t="s">
        <v>2130</v>
      </c>
      <c r="I55" s="4" t="s">
        <v>395</v>
      </c>
      <c r="S55" s="15"/>
    </row>
    <row r="56" hidden="1">
      <c r="A56" s="67" t="str">
        <f t="shared" si="1"/>
        <v>Sun</v>
      </c>
      <c r="B56" s="69">
        <v>43485.0</v>
      </c>
      <c r="D56">
        <f t="shared" si="2"/>
        <v>642.8571429</v>
      </c>
      <c r="E56" s="4" t="s">
        <v>337</v>
      </c>
      <c r="F56" s="4" t="s">
        <v>2130</v>
      </c>
      <c r="I56" s="4" t="s">
        <v>395</v>
      </c>
      <c r="S56" s="15"/>
    </row>
    <row r="57" hidden="1">
      <c r="A57" s="67" t="str">
        <f t="shared" si="1"/>
        <v>Mon</v>
      </c>
      <c r="B57" s="69">
        <v>43486.0</v>
      </c>
      <c r="D57">
        <f t="shared" si="2"/>
        <v>642.8571429</v>
      </c>
      <c r="E57" s="4" t="s">
        <v>337</v>
      </c>
      <c r="F57" s="4" t="s">
        <v>2130</v>
      </c>
      <c r="I57" s="4" t="s">
        <v>395</v>
      </c>
      <c r="S57" s="15"/>
    </row>
    <row r="58" hidden="1">
      <c r="A58" s="67" t="str">
        <f t="shared" si="1"/>
        <v>Tue</v>
      </c>
      <c r="B58" s="69">
        <v>43487.0</v>
      </c>
      <c r="H58" s="4" t="s">
        <v>2130</v>
      </c>
      <c r="K58" s="4"/>
      <c r="L58" s="4" t="s">
        <v>229</v>
      </c>
      <c r="M58" s="4" t="s">
        <v>226</v>
      </c>
      <c r="N58" s="4" t="s">
        <v>232</v>
      </c>
      <c r="S58" s="15"/>
    </row>
    <row r="59" hidden="1">
      <c r="A59" s="67" t="str">
        <f t="shared" si="1"/>
        <v>Wed</v>
      </c>
      <c r="B59" s="69">
        <v>43488.0</v>
      </c>
      <c r="S59" s="15"/>
    </row>
    <row r="60" hidden="1">
      <c r="A60" s="67" t="str">
        <f t="shared" si="1"/>
        <v>Thu</v>
      </c>
      <c r="B60" s="69">
        <v>43489.0</v>
      </c>
      <c r="S60" s="15"/>
    </row>
    <row r="61" hidden="1">
      <c r="A61" s="67" t="str">
        <f t="shared" si="1"/>
        <v>Fri</v>
      </c>
      <c r="B61" s="69">
        <v>43490.0</v>
      </c>
      <c r="D61" s="161">
        <f>1455/2</f>
        <v>727.5</v>
      </c>
      <c r="E61" s="4" t="s">
        <v>222</v>
      </c>
      <c r="F61" s="4" t="s">
        <v>2144</v>
      </c>
      <c r="G61" s="4" t="s">
        <v>2144</v>
      </c>
      <c r="I61" s="4" t="s">
        <v>359</v>
      </c>
      <c r="K61" s="4" t="s">
        <v>231</v>
      </c>
      <c r="L61" s="4" t="s">
        <v>229</v>
      </c>
      <c r="Q61" s="4" t="s">
        <v>2145</v>
      </c>
      <c r="R61" s="4"/>
      <c r="S61" s="162" t="s">
        <v>2146</v>
      </c>
    </row>
    <row r="62" hidden="1">
      <c r="A62" s="67" t="str">
        <f t="shared" si="1"/>
        <v>Sat</v>
      </c>
      <c r="B62" s="69">
        <v>43491.0</v>
      </c>
      <c r="D62" s="161">
        <f>D61</f>
        <v>727.5</v>
      </c>
      <c r="E62" s="4" t="s">
        <v>222</v>
      </c>
      <c r="F62" s="4" t="s">
        <v>2144</v>
      </c>
      <c r="I62" s="4" t="s">
        <v>359</v>
      </c>
      <c r="S62" s="15"/>
    </row>
    <row r="63" hidden="1">
      <c r="A63" s="67" t="str">
        <f t="shared" si="1"/>
        <v>Sun</v>
      </c>
      <c r="B63" s="69">
        <v>43492.0</v>
      </c>
      <c r="D63" s="161">
        <v>669.3000000000001</v>
      </c>
      <c r="E63" s="4" t="s">
        <v>222</v>
      </c>
      <c r="F63" s="4" t="s">
        <v>2154</v>
      </c>
      <c r="G63" s="4" t="s">
        <v>2154</v>
      </c>
      <c r="H63" s="4" t="s">
        <v>2144</v>
      </c>
      <c r="I63" s="4" t="s">
        <v>359</v>
      </c>
      <c r="K63" s="4"/>
      <c r="L63" s="4" t="s">
        <v>225</v>
      </c>
      <c r="M63" s="4" t="s">
        <v>2158</v>
      </c>
      <c r="N63" s="4" t="s">
        <v>2159</v>
      </c>
      <c r="S63" s="15"/>
    </row>
    <row r="64" hidden="1">
      <c r="A64" s="67" t="str">
        <f t="shared" si="1"/>
        <v>Mon</v>
      </c>
      <c r="B64" s="69">
        <v>43493.0</v>
      </c>
      <c r="D64" s="161">
        <v>669.3000000000001</v>
      </c>
      <c r="E64" s="4" t="s">
        <v>222</v>
      </c>
      <c r="F64" s="4" t="s">
        <v>2154</v>
      </c>
      <c r="I64" s="4" t="s">
        <v>359</v>
      </c>
      <c r="S64" s="15"/>
    </row>
    <row r="65" hidden="1">
      <c r="A65" s="67" t="str">
        <f t="shared" si="1"/>
        <v>Tue</v>
      </c>
      <c r="B65" s="69">
        <v>43494.0</v>
      </c>
      <c r="D65" s="161">
        <v>669.3000000000001</v>
      </c>
      <c r="E65" s="4" t="s">
        <v>222</v>
      </c>
      <c r="F65" s="4" t="s">
        <v>2154</v>
      </c>
      <c r="I65" s="4" t="s">
        <v>359</v>
      </c>
      <c r="S65" s="15"/>
    </row>
    <row r="66" hidden="1">
      <c r="A66" s="67" t="str">
        <f t="shared" si="1"/>
        <v>Wed</v>
      </c>
      <c r="B66" s="69">
        <v>43495.0</v>
      </c>
      <c r="D66" s="161">
        <v>669.3000000000001</v>
      </c>
      <c r="E66" s="4" t="s">
        <v>222</v>
      </c>
      <c r="F66" s="4" t="s">
        <v>2154</v>
      </c>
      <c r="I66" s="4" t="s">
        <v>359</v>
      </c>
      <c r="S66" s="15"/>
    </row>
    <row r="67" hidden="1">
      <c r="A67" s="67" t="str">
        <f t="shared" si="1"/>
        <v>Thu</v>
      </c>
      <c r="B67" s="69">
        <v>43496.0</v>
      </c>
      <c r="D67" s="161">
        <v>669.3000000000001</v>
      </c>
      <c r="E67" s="4" t="s">
        <v>222</v>
      </c>
      <c r="F67" s="4" t="s">
        <v>2154</v>
      </c>
      <c r="I67" s="4" t="s">
        <v>359</v>
      </c>
      <c r="S67" s="15"/>
    </row>
    <row r="68" hidden="1">
      <c r="A68" s="67" t="str">
        <f t="shared" si="1"/>
        <v>Fri</v>
      </c>
      <c r="B68" s="69">
        <v>43497.0</v>
      </c>
      <c r="D68" s="161">
        <v>669.3000000000001</v>
      </c>
      <c r="E68" s="4" t="s">
        <v>222</v>
      </c>
      <c r="F68" s="4" t="s">
        <v>2154</v>
      </c>
      <c r="I68" s="4" t="s">
        <v>359</v>
      </c>
      <c r="S68" s="15"/>
    </row>
    <row r="69" hidden="1">
      <c r="A69" s="67" t="str">
        <f t="shared" si="1"/>
        <v>Sat</v>
      </c>
      <c r="B69" s="69">
        <v>43498.0</v>
      </c>
      <c r="D69" s="161">
        <v>669.3000000000001</v>
      </c>
      <c r="E69" s="4" t="s">
        <v>222</v>
      </c>
      <c r="F69" s="4" t="s">
        <v>2154</v>
      </c>
      <c r="I69" s="4" t="s">
        <v>359</v>
      </c>
      <c r="S69" s="15"/>
    </row>
    <row r="70" hidden="1">
      <c r="A70" s="67" t="str">
        <f t="shared" si="1"/>
        <v>Sun</v>
      </c>
      <c r="B70" s="69">
        <v>43499.0</v>
      </c>
      <c r="D70" s="161">
        <v>567.45</v>
      </c>
      <c r="E70" s="4" t="s">
        <v>222</v>
      </c>
      <c r="F70" s="4" t="s">
        <v>2170</v>
      </c>
      <c r="G70" s="4" t="s">
        <v>2170</v>
      </c>
      <c r="H70" s="4" t="s">
        <v>2154</v>
      </c>
      <c r="I70" s="4" t="s">
        <v>359</v>
      </c>
      <c r="K70" s="4"/>
      <c r="L70" s="4" t="s">
        <v>225</v>
      </c>
      <c r="M70" s="4" t="s">
        <v>2171</v>
      </c>
      <c r="N70" s="4" t="s">
        <v>2172</v>
      </c>
      <c r="O70" s="4" t="s">
        <v>2174</v>
      </c>
      <c r="P70" s="4" t="s">
        <v>310</v>
      </c>
      <c r="Q70" s="4" t="s">
        <v>2175</v>
      </c>
      <c r="R70" s="4"/>
      <c r="S70" s="242" t="s">
        <v>2176</v>
      </c>
    </row>
    <row r="71" hidden="1">
      <c r="A71" s="67" t="str">
        <f t="shared" si="1"/>
        <v>Mon</v>
      </c>
      <c r="B71" s="69">
        <v>43500.0</v>
      </c>
      <c r="D71" s="161">
        <v>567.45</v>
      </c>
      <c r="E71" s="4" t="s">
        <v>222</v>
      </c>
      <c r="F71" s="4" t="s">
        <v>2170</v>
      </c>
      <c r="I71" s="4" t="s">
        <v>359</v>
      </c>
      <c r="S71" s="15"/>
    </row>
    <row r="72" hidden="1">
      <c r="A72" s="67" t="str">
        <f t="shared" si="1"/>
        <v>Tue</v>
      </c>
      <c r="B72" s="69">
        <v>43501.0</v>
      </c>
      <c r="D72" s="161">
        <v>567.45</v>
      </c>
      <c r="E72" s="4" t="s">
        <v>222</v>
      </c>
      <c r="F72" s="4" t="s">
        <v>2170</v>
      </c>
      <c r="I72" s="4" t="s">
        <v>359</v>
      </c>
      <c r="S72" s="15"/>
    </row>
    <row r="73" hidden="1">
      <c r="A73" s="67" t="str">
        <f t="shared" si="1"/>
        <v>Wed</v>
      </c>
      <c r="B73" s="69">
        <v>43502.0</v>
      </c>
      <c r="D73" s="161">
        <v>567.45</v>
      </c>
      <c r="E73" s="4" t="s">
        <v>222</v>
      </c>
      <c r="F73" s="4" t="s">
        <v>2170</v>
      </c>
      <c r="I73" s="4" t="s">
        <v>359</v>
      </c>
      <c r="S73" s="15"/>
    </row>
    <row r="74" hidden="1">
      <c r="A74" s="67" t="str">
        <f t="shared" si="1"/>
        <v>Thu</v>
      </c>
      <c r="B74" s="69">
        <v>43503.0</v>
      </c>
      <c r="D74" s="161">
        <v>567.45</v>
      </c>
      <c r="E74" s="4" t="s">
        <v>222</v>
      </c>
      <c r="F74" s="4" t="s">
        <v>2170</v>
      </c>
      <c r="I74" s="4" t="s">
        <v>359</v>
      </c>
      <c r="S74" s="15"/>
    </row>
    <row r="75" hidden="1">
      <c r="A75" s="67" t="str">
        <f t="shared" si="1"/>
        <v>Fri</v>
      </c>
      <c r="B75" s="69">
        <v>43504.0</v>
      </c>
      <c r="D75" s="161">
        <v>567.45</v>
      </c>
      <c r="E75" s="4" t="s">
        <v>222</v>
      </c>
      <c r="F75" s="4" t="s">
        <v>2170</v>
      </c>
      <c r="I75" s="4" t="s">
        <v>359</v>
      </c>
      <c r="S75" s="15"/>
    </row>
    <row r="76" hidden="1">
      <c r="A76" s="67" t="str">
        <f t="shared" si="1"/>
        <v>Sat</v>
      </c>
      <c r="B76" s="69">
        <v>43505.0</v>
      </c>
      <c r="D76" s="161">
        <v>567.45</v>
      </c>
      <c r="E76" s="4" t="s">
        <v>222</v>
      </c>
      <c r="F76" s="4" t="s">
        <v>2170</v>
      </c>
      <c r="I76" s="4" t="s">
        <v>359</v>
      </c>
      <c r="S76" s="15"/>
    </row>
    <row r="77" hidden="1">
      <c r="A77" s="67" t="str">
        <f t="shared" si="1"/>
        <v>Sun</v>
      </c>
      <c r="B77" s="69">
        <v>43506.0</v>
      </c>
      <c r="D77" s="161">
        <v>567.45</v>
      </c>
      <c r="E77" s="4" t="s">
        <v>222</v>
      </c>
      <c r="F77" s="4" t="s">
        <v>2170</v>
      </c>
      <c r="I77" s="4" t="s">
        <v>359</v>
      </c>
      <c r="S77" s="15"/>
    </row>
    <row r="78" hidden="1">
      <c r="A78" s="67" t="str">
        <f t="shared" si="1"/>
        <v>Mon</v>
      </c>
      <c r="B78" s="69">
        <v>43507.0</v>
      </c>
      <c r="H78" s="4" t="s">
        <v>2170</v>
      </c>
      <c r="S78" s="15"/>
    </row>
    <row r="79" hidden="1">
      <c r="A79" s="67" t="str">
        <f t="shared" si="1"/>
        <v>Tue</v>
      </c>
      <c r="B79" s="69">
        <v>43508.0</v>
      </c>
      <c r="D79" s="4">
        <f t="shared" ref="D79:D92" si="3">7944.3/14</f>
        <v>567.45</v>
      </c>
      <c r="E79" s="4" t="s">
        <v>222</v>
      </c>
      <c r="F79" s="4" t="s">
        <v>2180</v>
      </c>
      <c r="G79" s="4" t="s">
        <v>2180</v>
      </c>
      <c r="I79" s="4" t="s">
        <v>359</v>
      </c>
      <c r="K79" s="4"/>
      <c r="L79" s="4" t="s">
        <v>225</v>
      </c>
      <c r="M79" s="4" t="s">
        <v>2182</v>
      </c>
      <c r="N79" s="4" t="s">
        <v>2183</v>
      </c>
      <c r="P79" s="4"/>
      <c r="Q79" s="4" t="s">
        <v>2185</v>
      </c>
      <c r="R79" s="4"/>
      <c r="S79" s="242" t="s">
        <v>2187</v>
      </c>
    </row>
    <row r="80" hidden="1">
      <c r="A80" s="67" t="str">
        <f t="shared" si="1"/>
        <v>Wed</v>
      </c>
      <c r="B80" s="69">
        <v>43509.0</v>
      </c>
      <c r="D80" s="4">
        <f t="shared" si="3"/>
        <v>567.45</v>
      </c>
      <c r="E80" s="4" t="s">
        <v>222</v>
      </c>
      <c r="F80" s="4" t="s">
        <v>2180</v>
      </c>
      <c r="I80" s="4" t="s">
        <v>359</v>
      </c>
      <c r="S80" s="15"/>
    </row>
    <row r="81" hidden="1">
      <c r="A81" s="67" t="str">
        <f t="shared" si="1"/>
        <v>Thu</v>
      </c>
      <c r="B81" s="69">
        <v>43510.0</v>
      </c>
      <c r="D81" s="4">
        <f t="shared" si="3"/>
        <v>567.45</v>
      </c>
      <c r="E81" s="4" t="s">
        <v>222</v>
      </c>
      <c r="F81" s="4" t="s">
        <v>2180</v>
      </c>
      <c r="I81" s="4" t="s">
        <v>359</v>
      </c>
      <c r="S81" s="15"/>
    </row>
    <row r="82" hidden="1">
      <c r="A82" s="67" t="str">
        <f t="shared" si="1"/>
        <v>Fri</v>
      </c>
      <c r="B82" s="69">
        <v>43511.0</v>
      </c>
      <c r="D82" s="4">
        <f t="shared" si="3"/>
        <v>567.45</v>
      </c>
      <c r="E82" s="4" t="s">
        <v>222</v>
      </c>
      <c r="F82" s="4" t="s">
        <v>2180</v>
      </c>
      <c r="I82" s="4" t="s">
        <v>359</v>
      </c>
      <c r="S82" s="15"/>
    </row>
    <row r="83" hidden="1">
      <c r="A83" s="67" t="str">
        <f t="shared" si="1"/>
        <v>Sat</v>
      </c>
      <c r="B83" s="69">
        <v>43512.0</v>
      </c>
      <c r="D83" s="4">
        <f t="shared" si="3"/>
        <v>567.45</v>
      </c>
      <c r="E83" s="4" t="s">
        <v>222</v>
      </c>
      <c r="F83" s="4" t="s">
        <v>2180</v>
      </c>
      <c r="I83" s="4" t="s">
        <v>359</v>
      </c>
      <c r="S83" s="15"/>
    </row>
    <row r="84" hidden="1">
      <c r="A84" s="67" t="str">
        <f t="shared" si="1"/>
        <v>Sun</v>
      </c>
      <c r="B84" s="69">
        <v>43513.0</v>
      </c>
      <c r="D84" s="4">
        <f t="shared" si="3"/>
        <v>567.45</v>
      </c>
      <c r="E84" s="4" t="s">
        <v>222</v>
      </c>
      <c r="F84" s="4" t="s">
        <v>2180</v>
      </c>
      <c r="I84" s="4" t="s">
        <v>359</v>
      </c>
      <c r="S84" s="15"/>
    </row>
    <row r="85" hidden="1">
      <c r="A85" s="67" t="str">
        <f t="shared" si="1"/>
        <v>Mon</v>
      </c>
      <c r="B85" s="69">
        <v>43514.0</v>
      </c>
      <c r="D85" s="4">
        <f t="shared" si="3"/>
        <v>567.45</v>
      </c>
      <c r="E85" s="4" t="s">
        <v>222</v>
      </c>
      <c r="F85" s="4" t="s">
        <v>2180</v>
      </c>
      <c r="I85" s="4" t="s">
        <v>359</v>
      </c>
      <c r="S85" s="15"/>
    </row>
    <row r="86" hidden="1">
      <c r="A86" s="67" t="str">
        <f t="shared" si="1"/>
        <v>Tue</v>
      </c>
      <c r="B86" s="69">
        <v>43515.0</v>
      </c>
      <c r="D86" s="4">
        <f t="shared" si="3"/>
        <v>567.45</v>
      </c>
      <c r="E86" s="4" t="s">
        <v>222</v>
      </c>
      <c r="F86" s="4" t="s">
        <v>2180</v>
      </c>
      <c r="I86" s="4" t="s">
        <v>359</v>
      </c>
      <c r="S86" s="15"/>
    </row>
    <row r="87" hidden="1">
      <c r="A87" s="67" t="str">
        <f t="shared" si="1"/>
        <v>Wed</v>
      </c>
      <c r="B87" s="69">
        <v>43516.0</v>
      </c>
      <c r="D87" s="4">
        <f t="shared" si="3"/>
        <v>567.45</v>
      </c>
      <c r="E87" s="4" t="s">
        <v>222</v>
      </c>
      <c r="F87" s="4" t="s">
        <v>2180</v>
      </c>
      <c r="I87" s="4" t="s">
        <v>359</v>
      </c>
      <c r="S87" s="15"/>
    </row>
    <row r="88" hidden="1">
      <c r="A88" s="67" t="str">
        <f t="shared" si="1"/>
        <v>Thu</v>
      </c>
      <c r="B88" s="69">
        <v>43517.0</v>
      </c>
      <c r="D88" s="4">
        <f t="shared" si="3"/>
        <v>567.45</v>
      </c>
      <c r="E88" s="4" t="s">
        <v>222</v>
      </c>
      <c r="F88" s="4" t="s">
        <v>2180</v>
      </c>
      <c r="I88" s="4" t="s">
        <v>359</v>
      </c>
      <c r="S88" s="15"/>
    </row>
    <row r="89" hidden="1">
      <c r="A89" s="67" t="str">
        <f t="shared" si="1"/>
        <v>Fri</v>
      </c>
      <c r="B89" s="69">
        <v>43518.0</v>
      </c>
      <c r="D89" s="4">
        <f t="shared" si="3"/>
        <v>567.45</v>
      </c>
      <c r="E89" s="4" t="s">
        <v>222</v>
      </c>
      <c r="F89" s="4" t="s">
        <v>2180</v>
      </c>
      <c r="I89" s="4" t="s">
        <v>359</v>
      </c>
      <c r="S89" s="15"/>
    </row>
    <row r="90" hidden="1">
      <c r="A90" s="67" t="str">
        <f t="shared" si="1"/>
        <v>Sat</v>
      </c>
      <c r="B90" s="69">
        <v>43519.0</v>
      </c>
      <c r="D90" s="4">
        <f t="shared" si="3"/>
        <v>567.45</v>
      </c>
      <c r="E90" s="4" t="s">
        <v>222</v>
      </c>
      <c r="F90" s="4" t="s">
        <v>2180</v>
      </c>
      <c r="I90" s="4" t="s">
        <v>359</v>
      </c>
      <c r="S90" s="15"/>
    </row>
    <row r="91" hidden="1">
      <c r="A91" s="67" t="str">
        <f t="shared" si="1"/>
        <v>Sun</v>
      </c>
      <c r="B91" s="69">
        <v>43520.0</v>
      </c>
      <c r="D91" s="4">
        <f t="shared" si="3"/>
        <v>567.45</v>
      </c>
      <c r="E91" s="4" t="s">
        <v>222</v>
      </c>
      <c r="F91" s="4" t="s">
        <v>2180</v>
      </c>
      <c r="I91" s="4" t="s">
        <v>359</v>
      </c>
      <c r="S91" s="15"/>
    </row>
    <row r="92" hidden="1">
      <c r="A92" s="67" t="str">
        <f t="shared" si="1"/>
        <v>Mon</v>
      </c>
      <c r="B92" s="69">
        <v>43521.0</v>
      </c>
      <c r="D92" s="4">
        <f t="shared" si="3"/>
        <v>567.45</v>
      </c>
      <c r="E92" s="4" t="s">
        <v>222</v>
      </c>
      <c r="F92" s="4" t="s">
        <v>2180</v>
      </c>
      <c r="I92" s="4" t="s">
        <v>359</v>
      </c>
      <c r="S92" s="15"/>
    </row>
    <row r="93" hidden="1">
      <c r="A93" s="67" t="str">
        <f t="shared" si="1"/>
        <v>Tue</v>
      </c>
      <c r="B93" s="69">
        <v>43522.0</v>
      </c>
      <c r="D93" s="4">
        <v>242.5</v>
      </c>
      <c r="E93" s="4" t="s">
        <v>222</v>
      </c>
      <c r="F93" s="4" t="s">
        <v>2199</v>
      </c>
      <c r="G93" s="4" t="s">
        <v>2199</v>
      </c>
      <c r="H93" s="4" t="s">
        <v>2180</v>
      </c>
      <c r="I93" s="4" t="s">
        <v>359</v>
      </c>
      <c r="J93" s="4"/>
      <c r="K93" s="4" t="s">
        <v>231</v>
      </c>
      <c r="L93" s="4" t="s">
        <v>225</v>
      </c>
      <c r="M93" s="4" t="s">
        <v>226</v>
      </c>
      <c r="N93" s="4" t="s">
        <v>232</v>
      </c>
      <c r="O93" s="4" t="s">
        <v>264</v>
      </c>
      <c r="S93" s="15"/>
    </row>
    <row r="94" hidden="1">
      <c r="A94" s="67" t="str">
        <f t="shared" si="1"/>
        <v>Wed</v>
      </c>
      <c r="B94" s="69">
        <v>43523.0</v>
      </c>
      <c r="H94" s="4" t="s">
        <v>2199</v>
      </c>
      <c r="J94" s="4"/>
      <c r="L94" s="4" t="s">
        <v>225</v>
      </c>
      <c r="M94" s="4"/>
      <c r="N94" s="4"/>
      <c r="O94" s="4"/>
      <c r="S94" s="15"/>
    </row>
    <row r="95" hidden="1">
      <c r="A95" s="67" t="str">
        <f t="shared" si="1"/>
        <v>Thu</v>
      </c>
      <c r="B95" s="69">
        <v>43524.0</v>
      </c>
      <c r="D95" s="4">
        <v>850.0</v>
      </c>
      <c r="E95" s="4" t="s">
        <v>337</v>
      </c>
      <c r="F95" s="4" t="s">
        <v>2200</v>
      </c>
      <c r="G95" s="4" t="s">
        <v>2200</v>
      </c>
      <c r="H95" s="4"/>
      <c r="I95" s="4" t="s">
        <v>395</v>
      </c>
      <c r="J95" s="4" t="s">
        <v>2201</v>
      </c>
      <c r="K95" s="4" t="s">
        <v>231</v>
      </c>
      <c r="L95" s="4" t="s">
        <v>225</v>
      </c>
      <c r="M95" s="4" t="s">
        <v>226</v>
      </c>
      <c r="N95" s="4" t="s">
        <v>232</v>
      </c>
      <c r="O95" s="4" t="s">
        <v>264</v>
      </c>
      <c r="P95" s="4" t="s">
        <v>2036</v>
      </c>
      <c r="Q95" s="4" t="s">
        <v>2202</v>
      </c>
      <c r="R95" s="167" t="s">
        <v>2076</v>
      </c>
      <c r="S95" s="162"/>
    </row>
    <row r="96">
      <c r="A96" s="67" t="str">
        <f t="shared" si="1"/>
        <v>Fri</v>
      </c>
      <c r="B96" s="69">
        <v>43525.0</v>
      </c>
      <c r="D96" s="4">
        <v>850.0</v>
      </c>
      <c r="E96" s="4" t="s">
        <v>337</v>
      </c>
      <c r="F96" s="4" t="s">
        <v>2200</v>
      </c>
      <c r="I96" s="4" t="s">
        <v>395</v>
      </c>
      <c r="S96" s="15"/>
    </row>
    <row r="97">
      <c r="A97" s="67" t="str">
        <f t="shared" si="1"/>
        <v>Sat</v>
      </c>
      <c r="B97" s="69">
        <v>43526.0</v>
      </c>
      <c r="D97" s="4">
        <v>850.0</v>
      </c>
      <c r="E97" s="4" t="s">
        <v>337</v>
      </c>
      <c r="F97" s="4" t="s">
        <v>2200</v>
      </c>
      <c r="I97" s="4" t="s">
        <v>395</v>
      </c>
      <c r="S97" s="15"/>
    </row>
    <row r="98">
      <c r="A98" s="67" t="str">
        <f t="shared" si="1"/>
        <v>Sun</v>
      </c>
      <c r="B98" s="69">
        <v>43527.0</v>
      </c>
      <c r="D98" s="4">
        <v>850.0</v>
      </c>
      <c r="E98" s="4" t="s">
        <v>337</v>
      </c>
      <c r="F98" s="4" t="s">
        <v>2200</v>
      </c>
      <c r="I98" s="4" t="s">
        <v>395</v>
      </c>
      <c r="S98" s="15"/>
    </row>
    <row r="99">
      <c r="A99" s="67" t="str">
        <f t="shared" si="1"/>
        <v>Mon</v>
      </c>
      <c r="B99" s="69">
        <v>43528.0</v>
      </c>
      <c r="D99" s="4">
        <v>850.0</v>
      </c>
      <c r="E99" s="4" t="s">
        <v>337</v>
      </c>
      <c r="F99" s="4" t="s">
        <v>2200</v>
      </c>
      <c r="I99" s="4" t="s">
        <v>395</v>
      </c>
      <c r="S99" s="15"/>
    </row>
    <row r="100">
      <c r="A100" s="67" t="str">
        <f t="shared" si="1"/>
        <v>Tue</v>
      </c>
      <c r="B100" s="69">
        <v>43529.0</v>
      </c>
      <c r="D100" s="4">
        <v>850.0</v>
      </c>
      <c r="E100" s="4" t="s">
        <v>337</v>
      </c>
      <c r="F100" s="4" t="s">
        <v>2200</v>
      </c>
      <c r="I100" s="4" t="s">
        <v>395</v>
      </c>
      <c r="S100" s="15"/>
    </row>
    <row r="101">
      <c r="A101" s="67" t="str">
        <f t="shared" si="1"/>
        <v>Wed</v>
      </c>
      <c r="B101" s="69">
        <v>43530.0</v>
      </c>
      <c r="D101" s="161">
        <v>339.5</v>
      </c>
      <c r="E101" s="4" t="s">
        <v>222</v>
      </c>
      <c r="F101" s="4" t="s">
        <v>2203</v>
      </c>
      <c r="G101" s="4" t="s">
        <v>2203</v>
      </c>
      <c r="H101" s="4" t="s">
        <v>2200</v>
      </c>
      <c r="I101" s="4" t="s">
        <v>359</v>
      </c>
      <c r="K101" s="4" t="s">
        <v>231</v>
      </c>
      <c r="L101" s="4" t="s">
        <v>225</v>
      </c>
      <c r="M101" s="4" t="s">
        <v>226</v>
      </c>
      <c r="N101" s="4" t="s">
        <v>232</v>
      </c>
      <c r="O101" s="4" t="s">
        <v>264</v>
      </c>
      <c r="P101" s="4" t="s">
        <v>2036</v>
      </c>
      <c r="S101" s="15"/>
    </row>
    <row r="102">
      <c r="A102" s="67" t="str">
        <f t="shared" si="1"/>
        <v>Thu</v>
      </c>
      <c r="B102" s="69">
        <v>43531.0</v>
      </c>
      <c r="D102" s="161">
        <v>339.5</v>
      </c>
      <c r="E102" s="4" t="s">
        <v>222</v>
      </c>
      <c r="F102" s="4" t="s">
        <v>2203</v>
      </c>
      <c r="I102" s="4" t="s">
        <v>359</v>
      </c>
      <c r="S102" s="15"/>
    </row>
    <row r="103">
      <c r="A103" s="67" t="str">
        <f t="shared" si="1"/>
        <v>Fri</v>
      </c>
      <c r="B103" s="69">
        <v>43532.0</v>
      </c>
      <c r="D103" s="161">
        <v>339.5</v>
      </c>
      <c r="E103" s="4" t="s">
        <v>222</v>
      </c>
      <c r="F103" s="4" t="s">
        <v>2203</v>
      </c>
      <c r="I103" s="4" t="s">
        <v>359</v>
      </c>
      <c r="S103" s="15"/>
    </row>
    <row r="104">
      <c r="A104" s="67" t="str">
        <f t="shared" si="1"/>
        <v>Sat</v>
      </c>
      <c r="B104" s="69">
        <v>43533.0</v>
      </c>
      <c r="D104" s="161">
        <v>339.5</v>
      </c>
      <c r="E104" s="4" t="s">
        <v>222</v>
      </c>
      <c r="F104" s="4" t="s">
        <v>2203</v>
      </c>
      <c r="I104" s="4" t="s">
        <v>359</v>
      </c>
      <c r="S104" s="15"/>
    </row>
    <row r="105">
      <c r="A105" s="67" t="str">
        <f t="shared" si="1"/>
        <v>Sun</v>
      </c>
      <c r="B105" s="69">
        <v>43534.0</v>
      </c>
      <c r="D105" s="161">
        <v>339.5</v>
      </c>
      <c r="E105" s="4" t="s">
        <v>222</v>
      </c>
      <c r="F105" s="4" t="s">
        <v>2210</v>
      </c>
      <c r="G105" s="4" t="s">
        <v>2210</v>
      </c>
      <c r="H105" s="4" t="s">
        <v>2203</v>
      </c>
      <c r="I105" s="4" t="s">
        <v>359</v>
      </c>
      <c r="K105" s="4" t="s">
        <v>231</v>
      </c>
      <c r="L105" s="4" t="s">
        <v>225</v>
      </c>
      <c r="M105" s="4" t="s">
        <v>2211</v>
      </c>
      <c r="N105" s="4" t="s">
        <v>2212</v>
      </c>
      <c r="O105" s="4" t="s">
        <v>2213</v>
      </c>
      <c r="P105" s="4" t="s">
        <v>2214</v>
      </c>
      <c r="S105" s="15"/>
    </row>
    <row r="106">
      <c r="A106" s="67" t="str">
        <f t="shared" si="1"/>
        <v>Mon</v>
      </c>
      <c r="B106" s="69">
        <v>43535.0</v>
      </c>
      <c r="D106" s="161">
        <v>339.5</v>
      </c>
      <c r="E106" s="4" t="s">
        <v>222</v>
      </c>
      <c r="F106" s="4" t="s">
        <v>2210</v>
      </c>
      <c r="I106" s="4" t="s">
        <v>359</v>
      </c>
      <c r="S106" s="15"/>
    </row>
    <row r="107">
      <c r="A107" s="67" t="str">
        <f t="shared" si="1"/>
        <v>Tue</v>
      </c>
      <c r="B107" s="69">
        <v>43536.0</v>
      </c>
      <c r="D107" s="161">
        <v>339.5</v>
      </c>
      <c r="E107" s="4" t="s">
        <v>222</v>
      </c>
      <c r="F107" s="4" t="s">
        <v>2210</v>
      </c>
      <c r="I107" s="4" t="s">
        <v>359</v>
      </c>
      <c r="S107" s="15"/>
    </row>
    <row r="108">
      <c r="A108" s="67" t="str">
        <f t="shared" si="1"/>
        <v>Wed</v>
      </c>
      <c r="B108" s="69">
        <v>43537.0</v>
      </c>
      <c r="D108" s="161">
        <v>339.5</v>
      </c>
      <c r="E108" s="4" t="s">
        <v>222</v>
      </c>
      <c r="F108" s="4" t="s">
        <v>2210</v>
      </c>
      <c r="I108" s="4" t="s">
        <v>359</v>
      </c>
      <c r="S108" s="15"/>
    </row>
    <row r="109">
      <c r="A109" s="67" t="str">
        <f t="shared" si="1"/>
        <v>Thu</v>
      </c>
      <c r="B109" s="69">
        <v>43538.0</v>
      </c>
      <c r="D109" s="161">
        <v>339.5</v>
      </c>
      <c r="E109" s="4" t="s">
        <v>222</v>
      </c>
      <c r="F109" s="4" t="s">
        <v>2210</v>
      </c>
      <c r="I109" s="4" t="s">
        <v>359</v>
      </c>
      <c r="S109" s="15"/>
    </row>
    <row r="110">
      <c r="A110" s="67" t="str">
        <f t="shared" si="1"/>
        <v>Fri</v>
      </c>
      <c r="B110" s="69">
        <v>43539.0</v>
      </c>
      <c r="D110" s="161">
        <v>300.0</v>
      </c>
      <c r="E110" s="4" t="s">
        <v>337</v>
      </c>
      <c r="F110" s="4" t="s">
        <v>2216</v>
      </c>
      <c r="G110" s="4" t="s">
        <v>2216</v>
      </c>
      <c r="H110" s="4" t="s">
        <v>2210</v>
      </c>
      <c r="I110" s="4" t="s">
        <v>224</v>
      </c>
      <c r="K110" s="4" t="s">
        <v>231</v>
      </c>
      <c r="L110" s="4" t="s">
        <v>225</v>
      </c>
      <c r="M110" s="4" t="s">
        <v>2048</v>
      </c>
      <c r="N110" s="4" t="s">
        <v>2051</v>
      </c>
      <c r="O110" s="4" t="s">
        <v>2052</v>
      </c>
      <c r="R110" s="4" t="s">
        <v>2217</v>
      </c>
      <c r="S110" s="162">
        <v>8.9181093004E10</v>
      </c>
    </row>
    <row r="111">
      <c r="A111" s="67" t="str">
        <f t="shared" si="1"/>
        <v>Sat</v>
      </c>
      <c r="B111" s="69">
        <v>43540.0</v>
      </c>
      <c r="D111" s="161">
        <v>300.0</v>
      </c>
      <c r="E111" s="4" t="s">
        <v>337</v>
      </c>
      <c r="F111" s="4" t="s">
        <v>2216</v>
      </c>
      <c r="I111" s="4" t="s">
        <v>224</v>
      </c>
      <c r="S111" s="15"/>
    </row>
    <row r="112">
      <c r="A112" s="67" t="str">
        <f t="shared" si="1"/>
        <v>Sun</v>
      </c>
      <c r="B112" s="69">
        <v>43541.0</v>
      </c>
      <c r="D112" s="161">
        <v>261.9</v>
      </c>
      <c r="E112" s="4" t="s">
        <v>222</v>
      </c>
      <c r="F112" s="4" t="s">
        <v>2218</v>
      </c>
      <c r="G112" s="4" t="s">
        <v>2218</v>
      </c>
      <c r="H112" s="4" t="s">
        <v>2216</v>
      </c>
      <c r="I112" s="4" t="s">
        <v>359</v>
      </c>
      <c r="K112" s="4" t="s">
        <v>231</v>
      </c>
      <c r="L112" s="4" t="s">
        <v>225</v>
      </c>
      <c r="M112" s="4"/>
      <c r="N112" s="4"/>
      <c r="Q112" s="4" t="s">
        <v>2219</v>
      </c>
      <c r="R112" s="4" t="s">
        <v>2220</v>
      </c>
      <c r="S112" s="162">
        <v>8.1258259087E10</v>
      </c>
    </row>
    <row r="113">
      <c r="A113" s="67" t="str">
        <f t="shared" si="1"/>
        <v>Mon</v>
      </c>
      <c r="B113" s="69">
        <v>43542.0</v>
      </c>
      <c r="D113" s="161">
        <v>261.9</v>
      </c>
      <c r="E113" s="4" t="s">
        <v>222</v>
      </c>
      <c r="F113" s="4" t="s">
        <v>2218</v>
      </c>
      <c r="I113" s="4" t="s">
        <v>359</v>
      </c>
      <c r="S113" s="15"/>
    </row>
    <row r="114">
      <c r="A114" s="67" t="str">
        <f t="shared" si="1"/>
        <v>Tue</v>
      </c>
      <c r="B114" s="69">
        <v>43543.0</v>
      </c>
      <c r="D114" s="161">
        <v>261.9</v>
      </c>
      <c r="E114" s="4" t="s">
        <v>222</v>
      </c>
      <c r="F114" s="4" t="s">
        <v>2218</v>
      </c>
      <c r="I114" s="4" t="s">
        <v>359</v>
      </c>
      <c r="S114" s="15"/>
    </row>
    <row r="115">
      <c r="A115" s="67" t="str">
        <f t="shared" si="1"/>
        <v>Wed</v>
      </c>
      <c r="B115" s="69">
        <v>43544.0</v>
      </c>
      <c r="D115" s="161">
        <v>261.9</v>
      </c>
      <c r="E115" s="4" t="s">
        <v>222</v>
      </c>
      <c r="F115" s="4" t="s">
        <v>2218</v>
      </c>
      <c r="I115" s="4" t="s">
        <v>359</v>
      </c>
      <c r="S115" s="15"/>
    </row>
    <row r="116">
      <c r="A116" s="67" t="str">
        <f t="shared" si="1"/>
        <v>Thu</v>
      </c>
      <c r="B116" s="69">
        <v>43545.0</v>
      </c>
      <c r="D116" s="161">
        <v>218.25</v>
      </c>
      <c r="E116" s="4" t="s">
        <v>222</v>
      </c>
      <c r="F116" s="4" t="s">
        <v>2221</v>
      </c>
      <c r="G116" s="4" t="s">
        <v>2221</v>
      </c>
      <c r="H116" s="4" t="s">
        <v>2218</v>
      </c>
      <c r="I116" s="4" t="s">
        <v>359</v>
      </c>
      <c r="K116" s="4" t="s">
        <v>231</v>
      </c>
      <c r="L116" s="4" t="s">
        <v>225</v>
      </c>
      <c r="M116" s="4" t="s">
        <v>2222</v>
      </c>
      <c r="N116" s="4" t="s">
        <v>2223</v>
      </c>
      <c r="O116" s="4" t="s">
        <v>2224</v>
      </c>
      <c r="Q116" s="4" t="s">
        <v>2225</v>
      </c>
      <c r="R116" s="4" t="s">
        <v>2226</v>
      </c>
      <c r="S116" s="162"/>
    </row>
    <row r="117">
      <c r="A117" s="67" t="str">
        <f t="shared" si="1"/>
        <v>Fri</v>
      </c>
      <c r="B117" s="69">
        <v>43546.0</v>
      </c>
      <c r="D117" s="161">
        <v>218.25</v>
      </c>
      <c r="E117" s="4" t="s">
        <v>222</v>
      </c>
      <c r="F117" s="4" t="s">
        <v>2221</v>
      </c>
      <c r="I117" s="4" t="s">
        <v>359</v>
      </c>
      <c r="S117" s="15"/>
    </row>
    <row r="118">
      <c r="A118" s="67" t="str">
        <f t="shared" si="1"/>
        <v>Sat</v>
      </c>
      <c r="B118" s="69">
        <v>43547.0</v>
      </c>
      <c r="D118" s="161">
        <v>218.25</v>
      </c>
      <c r="E118" s="4" t="s">
        <v>222</v>
      </c>
      <c r="F118" s="4" t="s">
        <v>2221</v>
      </c>
      <c r="I118" s="4" t="s">
        <v>359</v>
      </c>
      <c r="S118" s="15"/>
    </row>
    <row r="119">
      <c r="A119" s="67" t="str">
        <f t="shared" si="1"/>
        <v>Sun</v>
      </c>
      <c r="B119" s="69">
        <v>43548.0</v>
      </c>
      <c r="D119" s="161">
        <v>218.25</v>
      </c>
      <c r="E119" s="4" t="s">
        <v>222</v>
      </c>
      <c r="F119" s="4" t="s">
        <v>2221</v>
      </c>
      <c r="I119" s="4" t="s">
        <v>359</v>
      </c>
      <c r="S119" s="15"/>
    </row>
    <row r="120">
      <c r="A120" s="67" t="str">
        <f t="shared" si="1"/>
        <v>Mon</v>
      </c>
      <c r="B120" s="69">
        <v>43549.0</v>
      </c>
      <c r="D120" s="161">
        <v>218.25</v>
      </c>
      <c r="E120" s="4" t="s">
        <v>222</v>
      </c>
      <c r="F120" s="4" t="s">
        <v>2221</v>
      </c>
      <c r="I120" s="4" t="s">
        <v>359</v>
      </c>
      <c r="S120" s="15"/>
    </row>
    <row r="121">
      <c r="A121" s="67" t="str">
        <f t="shared" si="1"/>
        <v>Tue</v>
      </c>
      <c r="B121" s="69">
        <v>43550.0</v>
      </c>
      <c r="D121" s="161">
        <v>218.25</v>
      </c>
      <c r="E121" s="4" t="s">
        <v>222</v>
      </c>
      <c r="F121" s="4" t="s">
        <v>2221</v>
      </c>
      <c r="I121" s="4" t="s">
        <v>359</v>
      </c>
      <c r="S121" s="15"/>
    </row>
    <row r="122">
      <c r="A122" s="67" t="str">
        <f t="shared" si="1"/>
        <v>Wed</v>
      </c>
      <c r="B122" s="69">
        <v>43551.0</v>
      </c>
      <c r="D122" s="161">
        <v>218.25</v>
      </c>
      <c r="E122" s="4" t="s">
        <v>222</v>
      </c>
      <c r="F122" s="4" t="s">
        <v>2221</v>
      </c>
      <c r="I122" s="4" t="s">
        <v>359</v>
      </c>
      <c r="S122" s="15"/>
    </row>
    <row r="123">
      <c r="A123" s="67" t="str">
        <f t="shared" si="1"/>
        <v>Thu</v>
      </c>
      <c r="B123" s="69">
        <v>43552.0</v>
      </c>
      <c r="D123" s="161">
        <v>218.25</v>
      </c>
      <c r="E123" s="4" t="s">
        <v>222</v>
      </c>
      <c r="F123" s="4" t="s">
        <v>2221</v>
      </c>
      <c r="I123" s="4" t="s">
        <v>359</v>
      </c>
      <c r="S123" s="15"/>
    </row>
    <row r="124">
      <c r="A124" s="67" t="str">
        <f t="shared" si="1"/>
        <v>Fri</v>
      </c>
      <c r="B124" s="69">
        <v>43553.0</v>
      </c>
      <c r="D124" s="161">
        <v>218.25</v>
      </c>
      <c r="E124" s="4" t="s">
        <v>222</v>
      </c>
      <c r="F124" s="4" t="s">
        <v>2221</v>
      </c>
      <c r="I124" s="4" t="s">
        <v>359</v>
      </c>
      <c r="S124" s="15"/>
    </row>
    <row r="125">
      <c r="A125" s="67" t="str">
        <f t="shared" si="1"/>
        <v>Sat</v>
      </c>
      <c r="B125" s="69">
        <v>43554.0</v>
      </c>
      <c r="D125" s="161">
        <v>218.25</v>
      </c>
      <c r="E125" s="4" t="s">
        <v>222</v>
      </c>
      <c r="F125" s="4" t="s">
        <v>2221</v>
      </c>
      <c r="I125" s="4" t="s">
        <v>359</v>
      </c>
      <c r="S125" s="15"/>
    </row>
    <row r="126">
      <c r="A126" s="67" t="str">
        <f t="shared" si="1"/>
        <v>Sun</v>
      </c>
      <c r="B126" s="69">
        <v>43555.0</v>
      </c>
      <c r="D126" s="161">
        <v>218.25</v>
      </c>
      <c r="E126" s="4" t="s">
        <v>222</v>
      </c>
      <c r="F126" s="4" t="s">
        <v>2221</v>
      </c>
      <c r="I126" s="4" t="s">
        <v>359</v>
      </c>
      <c r="S126" s="15"/>
    </row>
    <row r="127">
      <c r="A127" s="67" t="str">
        <f t="shared" si="1"/>
        <v>Mon</v>
      </c>
      <c r="B127" s="69">
        <v>43556.0</v>
      </c>
      <c r="H127" s="4" t="s">
        <v>2221</v>
      </c>
      <c r="J127" s="4"/>
      <c r="S127" s="15"/>
    </row>
    <row r="128">
      <c r="A128" s="67" t="str">
        <f t="shared" si="1"/>
        <v>Tue</v>
      </c>
      <c r="B128" s="69">
        <v>43557.0</v>
      </c>
      <c r="D128" s="161">
        <v>223.1</v>
      </c>
      <c r="E128" s="4" t="s">
        <v>222</v>
      </c>
      <c r="F128" s="4" t="s">
        <v>2227</v>
      </c>
      <c r="G128" s="4" t="s">
        <v>2227</v>
      </c>
      <c r="I128" s="4" t="s">
        <v>224</v>
      </c>
      <c r="J128" s="4"/>
      <c r="K128" s="4" t="s">
        <v>231</v>
      </c>
      <c r="L128" s="4" t="s">
        <v>229</v>
      </c>
      <c r="M128" s="4" t="s">
        <v>226</v>
      </c>
      <c r="N128" s="4" t="s">
        <v>232</v>
      </c>
      <c r="R128" s="4" t="s">
        <v>2228</v>
      </c>
      <c r="S128" s="15"/>
    </row>
    <row r="129">
      <c r="A129" s="67" t="str">
        <f t="shared" si="1"/>
        <v>Wed</v>
      </c>
      <c r="B129" s="69">
        <v>43558.0</v>
      </c>
      <c r="D129" s="161">
        <v>223.1</v>
      </c>
      <c r="E129" s="4" t="s">
        <v>222</v>
      </c>
      <c r="F129" s="4" t="s">
        <v>2227</v>
      </c>
      <c r="I129" s="4" t="s">
        <v>224</v>
      </c>
      <c r="J129" s="4"/>
      <c r="S129" s="15"/>
    </row>
    <row r="130">
      <c r="A130" s="67" t="str">
        <f t="shared" si="1"/>
        <v>Thu</v>
      </c>
      <c r="B130" s="69">
        <v>43559.0</v>
      </c>
      <c r="D130" s="161">
        <v>223.1</v>
      </c>
      <c r="E130" s="4" t="s">
        <v>222</v>
      </c>
      <c r="F130" s="4" t="s">
        <v>2227</v>
      </c>
      <c r="I130" s="4" t="s">
        <v>224</v>
      </c>
      <c r="J130" s="4"/>
      <c r="S130" s="15"/>
    </row>
    <row r="131">
      <c r="A131" s="67" t="str">
        <f t="shared" si="1"/>
        <v>Fri</v>
      </c>
      <c r="B131" s="69">
        <v>43560.0</v>
      </c>
      <c r="D131" s="194">
        <v>0.0</v>
      </c>
      <c r="E131" s="4" t="s">
        <v>337</v>
      </c>
      <c r="F131" s="4" t="s">
        <v>2229</v>
      </c>
      <c r="G131" s="4" t="s">
        <v>2229</v>
      </c>
      <c r="H131" s="4" t="s">
        <v>2227</v>
      </c>
      <c r="I131" s="4" t="s">
        <v>395</v>
      </c>
      <c r="J131" s="4" t="s">
        <v>1146</v>
      </c>
      <c r="K131" s="4" t="s">
        <v>231</v>
      </c>
      <c r="L131" s="4" t="s">
        <v>225</v>
      </c>
      <c r="M131" s="4" t="s">
        <v>226</v>
      </c>
      <c r="N131" s="4" t="s">
        <v>232</v>
      </c>
      <c r="O131" s="4" t="s">
        <v>264</v>
      </c>
      <c r="P131" s="4" t="s">
        <v>2036</v>
      </c>
      <c r="S131" s="15"/>
    </row>
    <row r="132">
      <c r="A132" s="67" t="str">
        <f t="shared" si="1"/>
        <v>Sat</v>
      </c>
      <c r="B132" s="69">
        <v>43561.0</v>
      </c>
      <c r="D132" s="161">
        <v>242.5</v>
      </c>
      <c r="E132" s="4" t="s">
        <v>222</v>
      </c>
      <c r="F132" s="4" t="s">
        <v>2230</v>
      </c>
      <c r="G132" s="4" t="s">
        <v>2230</v>
      </c>
      <c r="H132" s="4" t="s">
        <v>2229</v>
      </c>
      <c r="I132" s="4" t="s">
        <v>224</v>
      </c>
      <c r="K132" s="4" t="s">
        <v>231</v>
      </c>
      <c r="L132" s="4" t="s">
        <v>225</v>
      </c>
      <c r="M132" s="4" t="s">
        <v>2231</v>
      </c>
      <c r="N132" s="4" t="s">
        <v>2232</v>
      </c>
      <c r="O132" s="4" t="s">
        <v>2233</v>
      </c>
      <c r="Q132" s="4" t="s">
        <v>2234</v>
      </c>
      <c r="R132" s="4" t="s">
        <v>2235</v>
      </c>
      <c r="S132" s="162">
        <v>7.36660097E9</v>
      </c>
    </row>
    <row r="133">
      <c r="A133" s="67" t="str">
        <f t="shared" si="1"/>
        <v>Sun</v>
      </c>
      <c r="B133" s="69">
        <v>43562.0</v>
      </c>
      <c r="D133" s="194">
        <v>0.0</v>
      </c>
      <c r="E133" s="4" t="s">
        <v>337</v>
      </c>
      <c r="F133" s="4" t="s">
        <v>2229</v>
      </c>
      <c r="G133" s="4" t="s">
        <v>2229</v>
      </c>
      <c r="H133" s="4" t="s">
        <v>2230</v>
      </c>
      <c r="I133" s="4" t="s">
        <v>395</v>
      </c>
      <c r="J133" s="4" t="s">
        <v>1146</v>
      </c>
      <c r="K133" s="4" t="s">
        <v>231</v>
      </c>
      <c r="L133" s="4" t="s">
        <v>225</v>
      </c>
      <c r="M133" s="4" t="s">
        <v>226</v>
      </c>
      <c r="N133" s="4" t="s">
        <v>232</v>
      </c>
      <c r="O133" s="4" t="s">
        <v>264</v>
      </c>
      <c r="P133" s="4" t="s">
        <v>2036</v>
      </c>
      <c r="S133" s="15"/>
    </row>
    <row r="134">
      <c r="A134" s="67" t="str">
        <f t="shared" si="1"/>
        <v>Mon</v>
      </c>
      <c r="B134" s="69">
        <v>43563.0</v>
      </c>
      <c r="H134" s="4" t="s">
        <v>2229</v>
      </c>
      <c r="J134" s="4"/>
      <c r="S134" s="15"/>
    </row>
    <row r="135">
      <c r="A135" s="67" t="str">
        <f t="shared" si="1"/>
        <v>Tue</v>
      </c>
      <c r="B135" s="69">
        <v>43564.0</v>
      </c>
      <c r="J135" s="4"/>
      <c r="S135" s="15"/>
    </row>
    <row r="136">
      <c r="A136" s="67" t="str">
        <f t="shared" si="1"/>
        <v>Wed</v>
      </c>
      <c r="B136" s="69">
        <v>43565.0</v>
      </c>
      <c r="D136" s="4">
        <v>400.2</v>
      </c>
      <c r="E136" s="4" t="s">
        <v>169</v>
      </c>
      <c r="F136" s="4" t="s">
        <v>2236</v>
      </c>
      <c r="G136" s="4" t="s">
        <v>2236</v>
      </c>
      <c r="H136" s="4" t="s">
        <v>1534</v>
      </c>
      <c r="I136" s="4" t="s">
        <v>359</v>
      </c>
      <c r="K136" s="4" t="s">
        <v>231</v>
      </c>
      <c r="L136" s="4" t="s">
        <v>225</v>
      </c>
      <c r="M136" s="4" t="s">
        <v>2237</v>
      </c>
      <c r="N136" s="4" t="s">
        <v>2238</v>
      </c>
      <c r="O136" s="4" t="s">
        <v>2239</v>
      </c>
      <c r="P136" s="4" t="s">
        <v>2240</v>
      </c>
      <c r="Q136" s="4" t="s">
        <v>2241</v>
      </c>
      <c r="R136" s="167" t="s">
        <v>2242</v>
      </c>
      <c r="S136" s="162"/>
    </row>
    <row r="137">
      <c r="A137" s="67" t="str">
        <f t="shared" si="1"/>
        <v>Thu</v>
      </c>
      <c r="B137" s="69">
        <v>43566.0</v>
      </c>
      <c r="D137" s="4">
        <v>400.2</v>
      </c>
      <c r="E137" s="4" t="s">
        <v>169</v>
      </c>
      <c r="F137" s="4" t="s">
        <v>2236</v>
      </c>
      <c r="I137" s="4" t="s">
        <v>359</v>
      </c>
      <c r="S137" s="15"/>
    </row>
    <row r="138">
      <c r="A138" s="67" t="str">
        <f t="shared" si="1"/>
        <v>Fri</v>
      </c>
      <c r="B138" s="69">
        <v>43567.0</v>
      </c>
      <c r="D138" s="4">
        <v>400.2</v>
      </c>
      <c r="E138" s="4" t="s">
        <v>169</v>
      </c>
      <c r="F138" s="4" t="s">
        <v>2236</v>
      </c>
      <c r="I138" s="4" t="s">
        <v>359</v>
      </c>
      <c r="S138" s="15"/>
    </row>
    <row r="139">
      <c r="A139" s="67" t="str">
        <f t="shared" si="1"/>
        <v>Sat</v>
      </c>
      <c r="B139" s="69">
        <v>43568.0</v>
      </c>
      <c r="D139" s="4">
        <v>400.2</v>
      </c>
      <c r="E139" s="4" t="s">
        <v>169</v>
      </c>
      <c r="F139" s="4" t="s">
        <v>2236</v>
      </c>
      <c r="I139" s="4" t="s">
        <v>359</v>
      </c>
      <c r="S139" s="15"/>
    </row>
    <row r="140">
      <c r="A140" s="67" t="str">
        <f t="shared" si="1"/>
        <v>Sun</v>
      </c>
      <c r="B140" s="69">
        <v>43569.0</v>
      </c>
      <c r="D140" s="4">
        <v>400.2</v>
      </c>
      <c r="E140" s="4" t="s">
        <v>169</v>
      </c>
      <c r="F140" s="4" t="s">
        <v>2236</v>
      </c>
      <c r="I140" s="4" t="s">
        <v>359</v>
      </c>
      <c r="S140" s="15"/>
    </row>
    <row r="141">
      <c r="A141" s="67" t="str">
        <f t="shared" si="1"/>
        <v>Mon</v>
      </c>
      <c r="B141" s="69">
        <v>43570.0</v>
      </c>
      <c r="D141" s="4">
        <v>400.2</v>
      </c>
      <c r="E141" s="4" t="s">
        <v>169</v>
      </c>
      <c r="F141" s="4" t="s">
        <v>2236</v>
      </c>
      <c r="I141" s="4" t="s">
        <v>359</v>
      </c>
      <c r="S141" s="15"/>
    </row>
    <row r="142">
      <c r="A142" s="67" t="str">
        <f t="shared" si="1"/>
        <v>Tue</v>
      </c>
      <c r="B142" s="69">
        <v>43571.0</v>
      </c>
      <c r="D142" s="4">
        <v>400.2</v>
      </c>
      <c r="E142" s="4" t="s">
        <v>169</v>
      </c>
      <c r="F142" s="4" t="s">
        <v>2236</v>
      </c>
      <c r="I142" s="4" t="s">
        <v>359</v>
      </c>
      <c r="S142" s="15"/>
    </row>
    <row r="143">
      <c r="A143" s="67" t="str">
        <f t="shared" si="1"/>
        <v>Wed</v>
      </c>
      <c r="B143" s="69">
        <v>43572.0</v>
      </c>
      <c r="D143" s="4">
        <v>400.2</v>
      </c>
      <c r="E143" s="4" t="s">
        <v>169</v>
      </c>
      <c r="F143" s="4" t="s">
        <v>2236</v>
      </c>
      <c r="I143" s="4" t="s">
        <v>359</v>
      </c>
      <c r="S143" s="15"/>
    </row>
    <row r="144">
      <c r="A144" s="67" t="str">
        <f t="shared" si="1"/>
        <v>Thu</v>
      </c>
      <c r="B144" s="69">
        <v>43573.0</v>
      </c>
      <c r="D144" s="4">
        <v>400.2</v>
      </c>
      <c r="E144" s="4" t="s">
        <v>169</v>
      </c>
      <c r="F144" s="4" t="s">
        <v>2236</v>
      </c>
      <c r="I144" s="4" t="s">
        <v>359</v>
      </c>
      <c r="S144" s="15"/>
    </row>
    <row r="145">
      <c r="A145" s="67" t="str">
        <f t="shared" si="1"/>
        <v>Fri</v>
      </c>
      <c r="B145" s="69">
        <v>43574.0</v>
      </c>
      <c r="D145" s="161">
        <v>339.5</v>
      </c>
      <c r="E145" s="4" t="s">
        <v>222</v>
      </c>
      <c r="F145" s="4" t="s">
        <v>2243</v>
      </c>
      <c r="G145" s="4" t="s">
        <v>2243</v>
      </c>
      <c r="H145" s="4" t="s">
        <v>2236</v>
      </c>
      <c r="I145" s="4" t="s">
        <v>224</v>
      </c>
      <c r="K145" s="4" t="s">
        <v>231</v>
      </c>
      <c r="L145" s="4" t="s">
        <v>225</v>
      </c>
      <c r="M145" s="4" t="s">
        <v>226</v>
      </c>
      <c r="N145" s="4" t="s">
        <v>232</v>
      </c>
      <c r="O145" s="4" t="s">
        <v>264</v>
      </c>
      <c r="R145" s="4" t="s">
        <v>2244</v>
      </c>
      <c r="S145" s="15"/>
    </row>
    <row r="146">
      <c r="A146" s="67" t="str">
        <f t="shared" si="1"/>
        <v>Sat</v>
      </c>
      <c r="B146" s="69">
        <v>43575.0</v>
      </c>
      <c r="D146" s="161">
        <v>339.5</v>
      </c>
      <c r="E146" s="4" t="s">
        <v>222</v>
      </c>
      <c r="F146" s="4" t="s">
        <v>2243</v>
      </c>
      <c r="I146" s="4" t="s">
        <v>224</v>
      </c>
      <c r="S146" s="15"/>
    </row>
    <row r="147">
      <c r="A147" s="67" t="str">
        <f t="shared" si="1"/>
        <v>Sun</v>
      </c>
      <c r="B147" s="69">
        <v>43576.0</v>
      </c>
      <c r="D147" s="4">
        <v>333.0</v>
      </c>
      <c r="E147" s="4" t="s">
        <v>337</v>
      </c>
      <c r="F147" s="4" t="s">
        <v>2131</v>
      </c>
      <c r="G147" s="4" t="s">
        <v>2131</v>
      </c>
      <c r="H147" s="4" t="s">
        <v>2243</v>
      </c>
      <c r="I147" s="4" t="s">
        <v>224</v>
      </c>
      <c r="J147" s="4" t="s">
        <v>2132</v>
      </c>
      <c r="K147" s="4" t="s">
        <v>231</v>
      </c>
      <c r="L147" s="4" t="s">
        <v>225</v>
      </c>
      <c r="M147" s="4" t="s">
        <v>226</v>
      </c>
      <c r="N147" s="4" t="s">
        <v>232</v>
      </c>
      <c r="O147" s="4" t="s">
        <v>264</v>
      </c>
      <c r="S147" s="15"/>
    </row>
    <row r="148">
      <c r="A148" s="67" t="str">
        <f t="shared" si="1"/>
        <v>Mon</v>
      </c>
      <c r="B148" s="69">
        <v>43577.0</v>
      </c>
      <c r="H148" s="4" t="s">
        <v>2131</v>
      </c>
      <c r="S148" s="15"/>
    </row>
    <row r="149">
      <c r="A149" s="67" t="str">
        <f t="shared" si="1"/>
        <v>Tue</v>
      </c>
      <c r="B149" s="69">
        <v>43578.0</v>
      </c>
      <c r="S149" s="15"/>
    </row>
    <row r="150">
      <c r="A150" s="67" t="str">
        <f t="shared" si="1"/>
        <v>Wed</v>
      </c>
      <c r="B150" s="69">
        <v>43579.0</v>
      </c>
      <c r="J150" s="4" t="s">
        <v>422</v>
      </c>
      <c r="L150" s="4" t="s">
        <v>225</v>
      </c>
      <c r="M150" s="4" t="s">
        <v>226</v>
      </c>
      <c r="N150" s="4" t="s">
        <v>232</v>
      </c>
      <c r="O150" s="4" t="s">
        <v>264</v>
      </c>
      <c r="S150" s="15"/>
    </row>
    <row r="151">
      <c r="A151" s="67" t="str">
        <f t="shared" si="1"/>
        <v>Thu</v>
      </c>
      <c r="B151" s="69">
        <v>43580.0</v>
      </c>
      <c r="D151" s="161">
        <v>226.01</v>
      </c>
      <c r="E151" s="4" t="s">
        <v>222</v>
      </c>
      <c r="F151" s="4" t="s">
        <v>2245</v>
      </c>
      <c r="G151" s="4" t="s">
        <v>2245</v>
      </c>
      <c r="I151" s="4" t="s">
        <v>224</v>
      </c>
      <c r="J151" s="4" t="s">
        <v>2246</v>
      </c>
      <c r="K151" s="4" t="s">
        <v>231</v>
      </c>
      <c r="L151" s="4" t="s">
        <v>225</v>
      </c>
      <c r="M151" s="4" t="s">
        <v>226</v>
      </c>
      <c r="N151" s="4" t="s">
        <v>232</v>
      </c>
      <c r="O151" s="4" t="s">
        <v>264</v>
      </c>
      <c r="R151" s="4" t="s">
        <v>2247</v>
      </c>
      <c r="S151" s="15"/>
    </row>
    <row r="152">
      <c r="A152" s="67" t="str">
        <f t="shared" si="1"/>
        <v>Fri</v>
      </c>
      <c r="B152" s="69">
        <v>43581.0</v>
      </c>
      <c r="D152" s="161">
        <v>226.01</v>
      </c>
      <c r="E152" s="4" t="s">
        <v>222</v>
      </c>
      <c r="F152" s="4" t="s">
        <v>2245</v>
      </c>
      <c r="I152" s="4" t="s">
        <v>224</v>
      </c>
      <c r="J152" s="4" t="s">
        <v>2246</v>
      </c>
      <c r="S152" s="15"/>
    </row>
    <row r="153">
      <c r="A153" s="67" t="str">
        <f t="shared" si="1"/>
        <v>Sat</v>
      </c>
      <c r="B153" s="69">
        <v>43582.0</v>
      </c>
      <c r="D153" s="161">
        <v>226.01</v>
      </c>
      <c r="E153" s="4" t="s">
        <v>222</v>
      </c>
      <c r="F153" s="4" t="s">
        <v>2245</v>
      </c>
      <c r="I153" s="4" t="s">
        <v>224</v>
      </c>
      <c r="J153" s="4" t="s">
        <v>2246</v>
      </c>
      <c r="S153" s="15"/>
    </row>
    <row r="154">
      <c r="A154" s="67" t="str">
        <f t="shared" si="1"/>
        <v>Sun</v>
      </c>
      <c r="B154" s="69">
        <v>43583.0</v>
      </c>
      <c r="D154" s="161">
        <v>157.625</v>
      </c>
      <c r="E154" s="4" t="s">
        <v>222</v>
      </c>
      <c r="F154" s="4" t="s">
        <v>2248</v>
      </c>
      <c r="G154" s="4" t="s">
        <v>2248</v>
      </c>
      <c r="H154" s="4" t="s">
        <v>2245</v>
      </c>
      <c r="I154" s="4" t="s">
        <v>224</v>
      </c>
      <c r="J154" s="4"/>
      <c r="K154" s="4" t="s">
        <v>231</v>
      </c>
      <c r="L154" s="4" t="s">
        <v>225</v>
      </c>
      <c r="M154" s="4" t="s">
        <v>2249</v>
      </c>
      <c r="N154" s="4" t="s">
        <v>232</v>
      </c>
      <c r="O154" s="4" t="s">
        <v>264</v>
      </c>
      <c r="Q154" s="4" t="s">
        <v>2250</v>
      </c>
      <c r="R154" s="4" t="s">
        <v>2251</v>
      </c>
      <c r="S154" s="162">
        <v>8.4527021915E10</v>
      </c>
    </row>
    <row r="155">
      <c r="A155" s="67" t="str">
        <f t="shared" si="1"/>
        <v>Mon</v>
      </c>
      <c r="B155" s="69">
        <v>43584.0</v>
      </c>
      <c r="D155" s="161">
        <v>157.625</v>
      </c>
      <c r="E155" s="4" t="s">
        <v>222</v>
      </c>
      <c r="F155" s="4" t="s">
        <v>2248</v>
      </c>
      <c r="I155" s="4" t="s">
        <v>224</v>
      </c>
      <c r="J155" s="4"/>
      <c r="S155" s="15"/>
    </row>
    <row r="156">
      <c r="A156" s="67" t="str">
        <f t="shared" si="1"/>
        <v>Tue</v>
      </c>
      <c r="B156" s="69">
        <v>43585.0</v>
      </c>
      <c r="D156" s="161">
        <v>157.625</v>
      </c>
      <c r="E156" s="4" t="s">
        <v>222</v>
      </c>
      <c r="F156" s="4" t="s">
        <v>2248</v>
      </c>
      <c r="H156" s="4"/>
      <c r="I156" s="4" t="s">
        <v>224</v>
      </c>
      <c r="S156" s="15"/>
    </row>
    <row r="157">
      <c r="A157" s="67" t="str">
        <f t="shared" si="1"/>
        <v>Wed</v>
      </c>
      <c r="B157" s="69">
        <v>43586.0</v>
      </c>
      <c r="D157" s="161">
        <v>157.625</v>
      </c>
      <c r="E157" s="4" t="s">
        <v>222</v>
      </c>
      <c r="F157" s="4" t="s">
        <v>2248</v>
      </c>
      <c r="I157" s="4" t="s">
        <v>224</v>
      </c>
      <c r="S157" s="15"/>
    </row>
    <row r="158">
      <c r="A158" s="67" t="str">
        <f t="shared" si="1"/>
        <v>Thu</v>
      </c>
      <c r="B158" s="69">
        <v>43587.0</v>
      </c>
      <c r="D158" s="161">
        <v>226.01</v>
      </c>
      <c r="E158" s="4" t="s">
        <v>222</v>
      </c>
      <c r="F158" s="4" t="s">
        <v>2252</v>
      </c>
      <c r="G158" s="4" t="s">
        <v>2252</v>
      </c>
      <c r="H158" s="4" t="s">
        <v>2248</v>
      </c>
      <c r="I158" s="4" t="s">
        <v>224</v>
      </c>
      <c r="K158" s="4" t="s">
        <v>231</v>
      </c>
      <c r="L158" s="4" t="s">
        <v>225</v>
      </c>
      <c r="M158" s="4" t="s">
        <v>226</v>
      </c>
      <c r="N158" s="4" t="s">
        <v>232</v>
      </c>
      <c r="O158" s="4" t="s">
        <v>264</v>
      </c>
      <c r="R158" s="4" t="s">
        <v>2253</v>
      </c>
      <c r="S158" s="15"/>
    </row>
    <row r="159">
      <c r="A159" s="67" t="str">
        <f t="shared" si="1"/>
        <v>Fri</v>
      </c>
      <c r="B159" s="69">
        <v>43588.0</v>
      </c>
      <c r="D159" s="161">
        <v>226.01</v>
      </c>
      <c r="E159" s="4" t="s">
        <v>222</v>
      </c>
      <c r="F159" s="4" t="s">
        <v>2252</v>
      </c>
      <c r="I159" s="4" t="s">
        <v>224</v>
      </c>
      <c r="S159" s="15"/>
    </row>
    <row r="160">
      <c r="A160" s="67" t="str">
        <f t="shared" si="1"/>
        <v>Sat</v>
      </c>
      <c r="B160" s="69">
        <v>43589.0</v>
      </c>
      <c r="D160" s="161">
        <v>226.01</v>
      </c>
      <c r="E160" s="4" t="s">
        <v>222</v>
      </c>
      <c r="F160" s="4" t="s">
        <v>2252</v>
      </c>
      <c r="I160" s="4" t="s">
        <v>224</v>
      </c>
      <c r="S160" s="15"/>
    </row>
    <row r="161">
      <c r="A161" s="67" t="str">
        <f t="shared" si="1"/>
        <v>Sun</v>
      </c>
      <c r="B161" s="69">
        <v>43590.0</v>
      </c>
      <c r="D161" s="34" t="s">
        <v>2254</v>
      </c>
      <c r="E161" s="4" t="s">
        <v>222</v>
      </c>
      <c r="F161" s="4" t="s">
        <v>2255</v>
      </c>
      <c r="G161" s="4" t="s">
        <v>2255</v>
      </c>
      <c r="H161" s="4" t="s">
        <v>2252</v>
      </c>
      <c r="L161" s="4" t="s">
        <v>225</v>
      </c>
      <c r="M161" s="4" t="s">
        <v>2256</v>
      </c>
      <c r="N161" s="4" t="s">
        <v>2257</v>
      </c>
      <c r="O161" s="4" t="s">
        <v>2258</v>
      </c>
      <c r="R161" s="4" t="s">
        <v>2259</v>
      </c>
      <c r="S161" s="15"/>
    </row>
    <row r="162">
      <c r="A162" s="67" t="str">
        <f t="shared" si="1"/>
        <v>Mon</v>
      </c>
      <c r="B162" s="69">
        <v>43591.0</v>
      </c>
      <c r="D162" s="34" t="s">
        <v>2254</v>
      </c>
      <c r="E162" s="4" t="s">
        <v>222</v>
      </c>
      <c r="F162" s="4" t="s">
        <v>2255</v>
      </c>
      <c r="S162" s="15"/>
    </row>
    <row r="163">
      <c r="A163" s="67" t="str">
        <f t="shared" si="1"/>
        <v>Tue</v>
      </c>
      <c r="B163" s="69">
        <v>43592.0</v>
      </c>
      <c r="D163" s="161">
        <v>145.5</v>
      </c>
      <c r="E163" s="4" t="s">
        <v>222</v>
      </c>
      <c r="F163" s="4" t="s">
        <v>2260</v>
      </c>
      <c r="G163" s="4" t="s">
        <v>2260</v>
      </c>
      <c r="H163" s="4" t="s">
        <v>2255</v>
      </c>
      <c r="I163" s="4" t="s">
        <v>224</v>
      </c>
      <c r="K163" s="4" t="s">
        <v>231</v>
      </c>
      <c r="L163" s="4" t="s">
        <v>225</v>
      </c>
      <c r="M163" s="4" t="s">
        <v>2261</v>
      </c>
      <c r="N163" s="4" t="s">
        <v>2262</v>
      </c>
      <c r="Q163" s="4" t="s">
        <v>2263</v>
      </c>
      <c r="R163" s="4" t="s">
        <v>2264</v>
      </c>
      <c r="S163" s="162" t="s">
        <v>2265</v>
      </c>
    </row>
    <row r="164">
      <c r="A164" s="67" t="str">
        <f t="shared" si="1"/>
        <v>Wed</v>
      </c>
      <c r="B164" s="69">
        <v>43593.0</v>
      </c>
      <c r="D164" s="161">
        <v>145.5</v>
      </c>
      <c r="E164" s="4" t="s">
        <v>222</v>
      </c>
      <c r="F164" s="4" t="s">
        <v>2260</v>
      </c>
      <c r="I164" s="4" t="s">
        <v>224</v>
      </c>
      <c r="S164" s="15"/>
    </row>
    <row r="165">
      <c r="A165" s="67" t="str">
        <f t="shared" si="1"/>
        <v>Thu</v>
      </c>
      <c r="B165" s="69">
        <v>43594.0</v>
      </c>
      <c r="D165" s="161">
        <v>145.5</v>
      </c>
      <c r="E165" s="4" t="s">
        <v>222</v>
      </c>
      <c r="F165" s="4" t="s">
        <v>2260</v>
      </c>
      <c r="I165" s="4" t="s">
        <v>224</v>
      </c>
      <c r="S165" s="15"/>
    </row>
    <row r="166">
      <c r="A166" s="67" t="str">
        <f t="shared" si="1"/>
        <v>Fri</v>
      </c>
      <c r="B166" s="69">
        <v>43595.0</v>
      </c>
      <c r="D166" s="161">
        <v>242.5</v>
      </c>
      <c r="E166" s="4" t="s">
        <v>222</v>
      </c>
      <c r="F166" s="4" t="s">
        <v>2266</v>
      </c>
      <c r="G166" s="4" t="s">
        <v>2266</v>
      </c>
      <c r="H166" s="4" t="s">
        <v>2260</v>
      </c>
      <c r="I166" s="4" t="s">
        <v>224</v>
      </c>
      <c r="K166" s="4" t="s">
        <v>231</v>
      </c>
      <c r="L166" s="4" t="s">
        <v>225</v>
      </c>
      <c r="M166" s="4" t="s">
        <v>226</v>
      </c>
      <c r="N166" s="4" t="s">
        <v>232</v>
      </c>
      <c r="O166" s="4" t="s">
        <v>2267</v>
      </c>
      <c r="R166" s="4" t="s">
        <v>2268</v>
      </c>
      <c r="S166" s="15"/>
    </row>
    <row r="167">
      <c r="A167" s="67" t="str">
        <f t="shared" si="1"/>
        <v>Sat</v>
      </c>
      <c r="B167" s="69">
        <v>43596.0</v>
      </c>
      <c r="D167" s="161">
        <v>242.5</v>
      </c>
      <c r="E167" s="4" t="s">
        <v>222</v>
      </c>
      <c r="F167" s="4" t="s">
        <v>2266</v>
      </c>
      <c r="I167" s="4" t="s">
        <v>224</v>
      </c>
      <c r="S167" s="15"/>
    </row>
    <row r="168">
      <c r="A168" s="67" t="str">
        <f t="shared" si="1"/>
        <v>Sun</v>
      </c>
      <c r="B168" s="69">
        <v>43597.0</v>
      </c>
      <c r="F168" s="4"/>
      <c r="G168" s="4"/>
      <c r="H168" s="4" t="s">
        <v>2266</v>
      </c>
      <c r="N168" s="4"/>
      <c r="O168" s="4"/>
      <c r="S168" s="15"/>
    </row>
    <row r="169">
      <c r="A169" s="67" t="str">
        <f t="shared" si="1"/>
        <v>Mon</v>
      </c>
      <c r="B169" s="69">
        <v>43598.0</v>
      </c>
      <c r="D169" s="161">
        <v>193.03</v>
      </c>
      <c r="E169" s="4" t="s">
        <v>222</v>
      </c>
      <c r="F169" s="4" t="s">
        <v>2269</v>
      </c>
      <c r="G169" s="4" t="s">
        <v>2269</v>
      </c>
      <c r="H169" s="4"/>
      <c r="I169" s="4" t="s">
        <v>224</v>
      </c>
      <c r="J169" s="4"/>
      <c r="K169" s="4" t="s">
        <v>231</v>
      </c>
      <c r="L169" s="4" t="s">
        <v>225</v>
      </c>
      <c r="M169" s="4" t="s">
        <v>226</v>
      </c>
      <c r="N169" s="4" t="s">
        <v>232</v>
      </c>
      <c r="O169" s="4" t="s">
        <v>264</v>
      </c>
      <c r="R169" s="4" t="s">
        <v>2270</v>
      </c>
      <c r="S169" s="162"/>
    </row>
    <row r="170">
      <c r="A170" s="67" t="str">
        <f t="shared" si="1"/>
        <v>Tue</v>
      </c>
      <c r="B170" s="69">
        <v>43599.0</v>
      </c>
      <c r="D170" s="161">
        <v>193.03</v>
      </c>
      <c r="E170" s="4" t="s">
        <v>222</v>
      </c>
      <c r="F170" s="4" t="s">
        <v>2269</v>
      </c>
      <c r="I170" s="4" t="s">
        <v>224</v>
      </c>
      <c r="S170" s="15"/>
    </row>
    <row r="171">
      <c r="A171" s="67" t="str">
        <f t="shared" si="1"/>
        <v>Wed</v>
      </c>
      <c r="B171" s="69">
        <v>43600.0</v>
      </c>
      <c r="D171" s="161">
        <v>193.03</v>
      </c>
      <c r="E171" s="4" t="s">
        <v>222</v>
      </c>
      <c r="F171" s="4" t="s">
        <v>2269</v>
      </c>
      <c r="I171" s="4" t="s">
        <v>224</v>
      </c>
      <c r="S171" s="15"/>
    </row>
    <row r="172">
      <c r="A172" s="67" t="str">
        <f t="shared" si="1"/>
        <v>Thu</v>
      </c>
      <c r="B172" s="69">
        <v>43601.0</v>
      </c>
      <c r="D172" s="161">
        <v>193.03</v>
      </c>
      <c r="E172" s="4" t="s">
        <v>222</v>
      </c>
      <c r="F172" s="4" t="s">
        <v>2269</v>
      </c>
      <c r="I172" s="4" t="s">
        <v>224</v>
      </c>
      <c r="S172" s="15"/>
    </row>
    <row r="173">
      <c r="A173" s="67" t="str">
        <f t="shared" si="1"/>
        <v>Fri</v>
      </c>
      <c r="B173" s="69">
        <v>43602.0</v>
      </c>
      <c r="D173" s="161">
        <v>242.5</v>
      </c>
      <c r="E173" s="4" t="s">
        <v>222</v>
      </c>
      <c r="F173" s="4" t="s">
        <v>2271</v>
      </c>
      <c r="G173" s="4" t="s">
        <v>2271</v>
      </c>
      <c r="H173" s="4" t="s">
        <v>2269</v>
      </c>
      <c r="I173" s="4" t="s">
        <v>224</v>
      </c>
      <c r="K173" s="4" t="s">
        <v>231</v>
      </c>
      <c r="L173" s="4" t="s">
        <v>225</v>
      </c>
      <c r="M173" s="4" t="s">
        <v>2272</v>
      </c>
      <c r="N173" s="4" t="s">
        <v>2273</v>
      </c>
      <c r="O173" s="4" t="s">
        <v>2274</v>
      </c>
      <c r="Q173" s="4" t="s">
        <v>2275</v>
      </c>
      <c r="R173" s="4" t="s">
        <v>2276</v>
      </c>
      <c r="S173" s="162" t="s">
        <v>2277</v>
      </c>
    </row>
    <row r="174">
      <c r="A174" s="67" t="str">
        <f t="shared" si="1"/>
        <v>Sat</v>
      </c>
      <c r="B174" s="69">
        <v>43603.0</v>
      </c>
      <c r="D174" s="161">
        <v>242.5</v>
      </c>
      <c r="E174" s="4" t="s">
        <v>222</v>
      </c>
      <c r="F174" s="4" t="s">
        <v>2271</v>
      </c>
      <c r="I174" s="4" t="s">
        <v>224</v>
      </c>
      <c r="S174" s="15"/>
    </row>
    <row r="175">
      <c r="A175" s="67" t="str">
        <f t="shared" si="1"/>
        <v>Sun</v>
      </c>
      <c r="B175" s="69">
        <v>43604.0</v>
      </c>
      <c r="D175" s="161">
        <v>193.03</v>
      </c>
      <c r="E175" s="4" t="s">
        <v>222</v>
      </c>
      <c r="F175" s="4" t="s">
        <v>2278</v>
      </c>
      <c r="G175" s="4" t="s">
        <v>2278</v>
      </c>
      <c r="H175" s="4" t="s">
        <v>2271</v>
      </c>
      <c r="I175" s="4" t="s">
        <v>224</v>
      </c>
      <c r="K175" s="4" t="s">
        <v>231</v>
      </c>
      <c r="L175" s="4" t="s">
        <v>225</v>
      </c>
      <c r="M175" s="4" t="s">
        <v>2279</v>
      </c>
      <c r="N175" s="4" t="s">
        <v>2280</v>
      </c>
      <c r="O175" s="4" t="s">
        <v>2281</v>
      </c>
      <c r="Q175" s="4" t="s">
        <v>2282</v>
      </c>
      <c r="R175" s="4" t="s">
        <v>2283</v>
      </c>
      <c r="S175" s="162" t="s">
        <v>2284</v>
      </c>
    </row>
    <row r="176">
      <c r="A176" s="67" t="str">
        <f t="shared" si="1"/>
        <v>Mon</v>
      </c>
      <c r="B176" s="69">
        <v>43605.0</v>
      </c>
      <c r="D176" s="161">
        <v>193.03</v>
      </c>
      <c r="E176" s="4" t="s">
        <v>222</v>
      </c>
      <c r="F176" s="4" t="s">
        <v>2278</v>
      </c>
      <c r="I176" s="4" t="s">
        <v>224</v>
      </c>
      <c r="S176" s="15"/>
    </row>
    <row r="177">
      <c r="A177" s="67" t="str">
        <f t="shared" si="1"/>
        <v>Tue</v>
      </c>
      <c r="B177" s="69">
        <v>43606.0</v>
      </c>
      <c r="H177" s="4" t="s">
        <v>2278</v>
      </c>
      <c r="S177" s="15"/>
    </row>
    <row r="178">
      <c r="A178" s="67" t="str">
        <f t="shared" si="1"/>
        <v>Wed</v>
      </c>
      <c r="B178" s="69">
        <v>43607.0</v>
      </c>
      <c r="F178" s="4"/>
      <c r="G178" s="4"/>
      <c r="N178" s="4"/>
      <c r="O178" s="4"/>
      <c r="S178" s="15"/>
    </row>
    <row r="179">
      <c r="A179" s="67" t="str">
        <f t="shared" si="1"/>
        <v>Thu</v>
      </c>
      <c r="B179" s="69">
        <v>43608.0</v>
      </c>
      <c r="D179" s="4">
        <v>257.05</v>
      </c>
      <c r="E179" s="4" t="s">
        <v>222</v>
      </c>
      <c r="F179" s="4" t="s">
        <v>2285</v>
      </c>
      <c r="G179" s="4" t="s">
        <v>2285</v>
      </c>
      <c r="H179" s="4"/>
      <c r="I179" s="4" t="s">
        <v>224</v>
      </c>
      <c r="K179" s="4" t="s">
        <v>231</v>
      </c>
      <c r="L179" s="4" t="s">
        <v>225</v>
      </c>
      <c r="M179" s="6" t="s">
        <v>2286</v>
      </c>
      <c r="N179" s="4" t="s">
        <v>2287</v>
      </c>
      <c r="O179" s="4" t="s">
        <v>2288</v>
      </c>
      <c r="Q179" s="201" t="s">
        <v>2289</v>
      </c>
      <c r="R179" s="6" t="s">
        <v>2290</v>
      </c>
      <c r="S179" s="15"/>
    </row>
    <row r="180">
      <c r="A180" s="67" t="str">
        <f t="shared" si="1"/>
        <v>Fri</v>
      </c>
      <c r="B180" s="69">
        <v>43609.0</v>
      </c>
      <c r="D180" s="4">
        <v>257.05</v>
      </c>
      <c r="E180" s="4" t="s">
        <v>222</v>
      </c>
      <c r="F180" s="4" t="s">
        <v>2285</v>
      </c>
      <c r="I180" s="4" t="s">
        <v>224</v>
      </c>
      <c r="S180" s="15"/>
    </row>
    <row r="181">
      <c r="A181" s="67" t="str">
        <f t="shared" si="1"/>
        <v>Sat</v>
      </c>
      <c r="B181" s="69">
        <v>43610.0</v>
      </c>
      <c r="D181" s="4">
        <v>257.05</v>
      </c>
      <c r="E181" s="4" t="s">
        <v>222</v>
      </c>
      <c r="F181" s="4" t="s">
        <v>2285</v>
      </c>
      <c r="I181" s="4" t="s">
        <v>224</v>
      </c>
      <c r="S181" s="15"/>
    </row>
    <row r="182">
      <c r="A182" s="67" t="str">
        <f t="shared" si="1"/>
        <v>Sun</v>
      </c>
      <c r="B182" s="69">
        <v>43611.0</v>
      </c>
      <c r="D182" s="4">
        <v>257.05</v>
      </c>
      <c r="E182" s="4" t="s">
        <v>222</v>
      </c>
      <c r="F182" s="4" t="s">
        <v>2285</v>
      </c>
      <c r="I182" s="4" t="s">
        <v>224</v>
      </c>
      <c r="S182" s="15"/>
    </row>
    <row r="183">
      <c r="A183" s="67" t="str">
        <f t="shared" si="1"/>
        <v>Mon</v>
      </c>
      <c r="B183" s="69">
        <v>43612.0</v>
      </c>
      <c r="D183" s="4">
        <v>257.05</v>
      </c>
      <c r="E183" s="4" t="s">
        <v>222</v>
      </c>
      <c r="F183" s="4" t="s">
        <v>2285</v>
      </c>
      <c r="I183" s="4" t="s">
        <v>224</v>
      </c>
      <c r="S183" s="15"/>
    </row>
    <row r="184">
      <c r="A184" s="67" t="str">
        <f t="shared" si="1"/>
        <v>Tue</v>
      </c>
      <c r="B184" s="69">
        <v>43613.0</v>
      </c>
      <c r="F184" s="4"/>
      <c r="G184" s="4"/>
      <c r="H184" s="4" t="s">
        <v>2285</v>
      </c>
      <c r="J184" s="4" t="s">
        <v>228</v>
      </c>
      <c r="L184" s="4" t="s">
        <v>229</v>
      </c>
      <c r="M184" s="4"/>
      <c r="N184" s="4"/>
      <c r="O184" s="4"/>
      <c r="S184" s="15"/>
    </row>
    <row r="185">
      <c r="A185" s="67" t="str">
        <f t="shared" si="1"/>
        <v>Wed</v>
      </c>
      <c r="B185" s="69">
        <v>43614.0</v>
      </c>
      <c r="F185" s="4"/>
      <c r="J185" s="4" t="s">
        <v>228</v>
      </c>
      <c r="S185" s="15"/>
    </row>
    <row r="186">
      <c r="A186" s="67" t="str">
        <f t="shared" si="1"/>
        <v>Thu</v>
      </c>
      <c r="B186" s="69">
        <v>43615.0</v>
      </c>
      <c r="F186" s="4"/>
      <c r="G186" s="4"/>
      <c r="H186" s="4"/>
      <c r="J186" s="4" t="s">
        <v>295</v>
      </c>
      <c r="L186" s="4" t="s">
        <v>229</v>
      </c>
      <c r="M186" s="4"/>
      <c r="N186" s="4"/>
      <c r="O186" s="4"/>
      <c r="S186" s="15"/>
    </row>
    <row r="187">
      <c r="A187" s="67" t="str">
        <f t="shared" si="1"/>
        <v>Fri</v>
      </c>
      <c r="B187" s="69">
        <v>43616.0</v>
      </c>
      <c r="F187" s="4"/>
      <c r="G187" s="4"/>
      <c r="H187" s="4"/>
      <c r="J187" s="4" t="s">
        <v>295</v>
      </c>
      <c r="L187" s="4" t="s">
        <v>229</v>
      </c>
      <c r="M187" s="4"/>
      <c r="N187" s="4"/>
      <c r="O187" s="4"/>
      <c r="S187" s="15"/>
    </row>
    <row r="188">
      <c r="A188" s="67" t="str">
        <f t="shared" si="1"/>
        <v>Sat</v>
      </c>
      <c r="B188" s="69">
        <v>43617.0</v>
      </c>
      <c r="D188" s="161">
        <v>169.75</v>
      </c>
      <c r="E188" s="4" t="s">
        <v>222</v>
      </c>
      <c r="F188" s="4" t="s">
        <v>2291</v>
      </c>
      <c r="G188" s="4" t="s">
        <v>2291</v>
      </c>
      <c r="H188" s="4"/>
      <c r="I188" s="4" t="s">
        <v>224</v>
      </c>
      <c r="K188" s="4" t="s">
        <v>231</v>
      </c>
      <c r="L188" s="4" t="s">
        <v>229</v>
      </c>
      <c r="M188" s="4" t="s">
        <v>2292</v>
      </c>
      <c r="N188" s="4" t="s">
        <v>2293</v>
      </c>
      <c r="Q188" s="4" t="s">
        <v>2294</v>
      </c>
      <c r="R188" s="4" t="s">
        <v>2295</v>
      </c>
      <c r="S188" s="164">
        <v>8.1482787091E10</v>
      </c>
    </row>
    <row r="189">
      <c r="A189" s="67" t="str">
        <f t="shared" si="1"/>
        <v>Sun</v>
      </c>
      <c r="B189" s="69">
        <v>43618.0</v>
      </c>
      <c r="D189" s="161">
        <v>169.75</v>
      </c>
      <c r="E189" s="4" t="s">
        <v>222</v>
      </c>
      <c r="F189" s="4" t="s">
        <v>2291</v>
      </c>
      <c r="I189" s="4" t="s">
        <v>224</v>
      </c>
      <c r="S189" s="15"/>
    </row>
    <row r="190">
      <c r="A190" s="67" t="str">
        <f t="shared" si="1"/>
        <v>Mon</v>
      </c>
      <c r="B190" s="69">
        <v>43619.0</v>
      </c>
      <c r="H190" s="4" t="s">
        <v>2291</v>
      </c>
      <c r="S190" s="15"/>
    </row>
    <row r="191">
      <c r="A191" s="67" t="str">
        <f t="shared" si="1"/>
        <v>Tue</v>
      </c>
      <c r="B191" s="69">
        <v>43620.0</v>
      </c>
      <c r="S191" s="15"/>
    </row>
    <row r="192">
      <c r="A192" s="67" t="str">
        <f t="shared" si="1"/>
        <v>Wed</v>
      </c>
      <c r="B192" s="69">
        <v>43621.0</v>
      </c>
      <c r="D192" s="161">
        <v>212.81799999999998</v>
      </c>
      <c r="E192" s="4" t="s">
        <v>222</v>
      </c>
      <c r="F192" s="4" t="s">
        <v>2296</v>
      </c>
      <c r="G192" s="4" t="s">
        <v>2296</v>
      </c>
      <c r="I192" s="4" t="s">
        <v>224</v>
      </c>
      <c r="K192" s="4" t="s">
        <v>231</v>
      </c>
      <c r="L192" s="4" t="s">
        <v>225</v>
      </c>
      <c r="M192" s="4" t="s">
        <v>2297</v>
      </c>
      <c r="N192" s="4" t="s">
        <v>232</v>
      </c>
      <c r="O192" s="4" t="s">
        <v>264</v>
      </c>
      <c r="Q192" s="4" t="s">
        <v>2298</v>
      </c>
      <c r="R192" s="4" t="s">
        <v>2299</v>
      </c>
      <c r="S192" s="162" t="s">
        <v>2300</v>
      </c>
    </row>
    <row r="193">
      <c r="A193" s="67" t="str">
        <f t="shared" si="1"/>
        <v>Thu</v>
      </c>
      <c r="B193" s="69">
        <v>43622.0</v>
      </c>
      <c r="D193" s="161">
        <v>212.81799999999998</v>
      </c>
      <c r="E193" s="4" t="s">
        <v>222</v>
      </c>
      <c r="F193" s="4" t="s">
        <v>2296</v>
      </c>
      <c r="I193" s="4" t="s">
        <v>224</v>
      </c>
      <c r="S193" s="15"/>
    </row>
    <row r="194">
      <c r="A194" s="67" t="str">
        <f t="shared" si="1"/>
        <v>Fri</v>
      </c>
      <c r="B194" s="69">
        <v>43623.0</v>
      </c>
      <c r="D194" s="161">
        <v>212.81799999999998</v>
      </c>
      <c r="E194" s="4" t="s">
        <v>222</v>
      </c>
      <c r="F194" s="4" t="s">
        <v>2296</v>
      </c>
      <c r="I194" s="4" t="s">
        <v>224</v>
      </c>
      <c r="S194" s="15"/>
    </row>
    <row r="195">
      <c r="A195" s="67" t="str">
        <f t="shared" si="1"/>
        <v>Sat</v>
      </c>
      <c r="B195" s="69">
        <v>43624.0</v>
      </c>
      <c r="D195" s="161">
        <v>212.81799999999998</v>
      </c>
      <c r="E195" s="4" t="s">
        <v>222</v>
      </c>
      <c r="F195" s="4" t="s">
        <v>2296</v>
      </c>
      <c r="I195" s="4" t="s">
        <v>224</v>
      </c>
      <c r="S195" s="15"/>
    </row>
    <row r="196">
      <c r="A196" s="67" t="str">
        <f t="shared" si="1"/>
        <v>Sun</v>
      </c>
      <c r="B196" s="69">
        <v>43625.0</v>
      </c>
      <c r="D196" s="161">
        <v>212.81799999999998</v>
      </c>
      <c r="E196" s="4" t="s">
        <v>222</v>
      </c>
      <c r="F196" s="4" t="s">
        <v>2296</v>
      </c>
      <c r="I196" s="4" t="s">
        <v>224</v>
      </c>
      <c r="S196" s="15"/>
    </row>
    <row r="197">
      <c r="A197" s="67" t="str">
        <f t="shared" si="1"/>
        <v>Mon</v>
      </c>
      <c r="B197" s="69">
        <v>43626.0</v>
      </c>
      <c r="H197" s="4" t="s">
        <v>2296</v>
      </c>
      <c r="S197" s="15"/>
    </row>
    <row r="198">
      <c r="A198" s="67" t="str">
        <f t="shared" si="1"/>
        <v>Tue</v>
      </c>
      <c r="B198" s="69">
        <v>43627.0</v>
      </c>
      <c r="S198" s="15"/>
    </row>
    <row r="199">
      <c r="A199" s="67" t="str">
        <f t="shared" si="1"/>
        <v>Wed</v>
      </c>
      <c r="B199" s="69">
        <v>43628.0</v>
      </c>
      <c r="S199" s="15"/>
    </row>
    <row r="200">
      <c r="A200" s="67" t="str">
        <f t="shared" si="1"/>
        <v>Thu</v>
      </c>
      <c r="B200" s="69">
        <v>43629.0</v>
      </c>
      <c r="S200" s="15"/>
    </row>
    <row r="201">
      <c r="A201" s="67" t="str">
        <f t="shared" si="1"/>
        <v>Fri</v>
      </c>
      <c r="B201" s="69">
        <v>43630.0</v>
      </c>
      <c r="S201" s="15"/>
    </row>
    <row r="202">
      <c r="A202" s="67" t="str">
        <f t="shared" si="1"/>
        <v>Sat</v>
      </c>
      <c r="B202" s="69">
        <v>43631.0</v>
      </c>
      <c r="S202" s="15"/>
    </row>
    <row r="203">
      <c r="A203" s="67" t="str">
        <f t="shared" si="1"/>
        <v>Sun</v>
      </c>
      <c r="B203" s="69">
        <v>43632.0</v>
      </c>
      <c r="S203" s="15"/>
    </row>
    <row r="204">
      <c r="A204" s="67" t="str">
        <f t="shared" si="1"/>
        <v>Mon</v>
      </c>
      <c r="B204" s="69">
        <v>43633.0</v>
      </c>
      <c r="S204" s="15"/>
    </row>
    <row r="205">
      <c r="A205" s="67" t="str">
        <f t="shared" si="1"/>
        <v>Tue</v>
      </c>
      <c r="B205" s="69">
        <v>43634.0</v>
      </c>
      <c r="S205" s="15"/>
    </row>
    <row r="206">
      <c r="A206" s="67" t="str">
        <f t="shared" si="1"/>
        <v>Wed</v>
      </c>
      <c r="B206" s="69">
        <v>43635.0</v>
      </c>
      <c r="S206" s="15"/>
    </row>
    <row r="207">
      <c r="A207" s="67" t="str">
        <f t="shared" si="1"/>
        <v>Thu</v>
      </c>
      <c r="B207" s="69">
        <v>43636.0</v>
      </c>
      <c r="S207" s="15"/>
    </row>
    <row r="208">
      <c r="A208" s="67" t="str">
        <f t="shared" si="1"/>
        <v>Fri</v>
      </c>
      <c r="B208" s="69">
        <v>43637.0</v>
      </c>
      <c r="S208" s="15"/>
    </row>
    <row r="209">
      <c r="A209" s="67" t="str">
        <f t="shared" si="1"/>
        <v>Sat</v>
      </c>
      <c r="B209" s="69">
        <v>43638.0</v>
      </c>
      <c r="S209" s="15"/>
    </row>
    <row r="210">
      <c r="A210" s="67" t="str">
        <f t="shared" si="1"/>
        <v>Sun</v>
      </c>
      <c r="B210" s="69">
        <v>43639.0</v>
      </c>
      <c r="S210" s="15"/>
    </row>
    <row r="211">
      <c r="A211" s="67" t="str">
        <f t="shared" si="1"/>
        <v>Mon</v>
      </c>
      <c r="B211" s="69">
        <v>43640.0</v>
      </c>
      <c r="S211" s="15"/>
    </row>
    <row r="212">
      <c r="A212" s="67" t="str">
        <f t="shared" si="1"/>
        <v>Tue</v>
      </c>
      <c r="B212" s="69">
        <v>43641.0</v>
      </c>
      <c r="S212" s="15"/>
    </row>
    <row r="213">
      <c r="A213" s="67" t="str">
        <f t="shared" si="1"/>
        <v>Wed</v>
      </c>
      <c r="B213" s="69">
        <v>43642.0</v>
      </c>
      <c r="S213" s="15"/>
    </row>
    <row r="214">
      <c r="A214" s="67" t="str">
        <f t="shared" si="1"/>
        <v>Thu</v>
      </c>
      <c r="B214" s="69">
        <v>43643.0</v>
      </c>
      <c r="S214" s="15"/>
    </row>
    <row r="215">
      <c r="A215" s="67" t="str">
        <f t="shared" si="1"/>
        <v>Fri</v>
      </c>
      <c r="B215" s="69">
        <v>43644.0</v>
      </c>
      <c r="S215" s="15"/>
    </row>
    <row r="216">
      <c r="A216" s="67" t="str">
        <f t="shared" si="1"/>
        <v>Sat</v>
      </c>
      <c r="B216" s="69">
        <v>43645.0</v>
      </c>
      <c r="S216" s="15"/>
    </row>
    <row r="217">
      <c r="A217" s="67" t="str">
        <f t="shared" si="1"/>
        <v>Sun</v>
      </c>
      <c r="B217" s="69">
        <v>43646.0</v>
      </c>
      <c r="S217" s="15"/>
    </row>
    <row r="218">
      <c r="A218" s="67" t="str">
        <f t="shared" si="1"/>
        <v>Mon</v>
      </c>
      <c r="B218" s="69">
        <v>43647.0</v>
      </c>
      <c r="S218" s="15"/>
    </row>
    <row r="219">
      <c r="A219" s="67" t="str">
        <f t="shared" si="1"/>
        <v>Tue</v>
      </c>
      <c r="B219" s="69">
        <v>43648.0</v>
      </c>
      <c r="S219" s="15"/>
    </row>
    <row r="220">
      <c r="A220" s="67" t="str">
        <f t="shared" si="1"/>
        <v>Wed</v>
      </c>
      <c r="B220" s="69">
        <v>43649.0</v>
      </c>
      <c r="S220" s="15"/>
    </row>
    <row r="221">
      <c r="A221" s="67" t="str">
        <f t="shared" si="1"/>
        <v>Thu</v>
      </c>
      <c r="B221" s="69">
        <v>43650.0</v>
      </c>
      <c r="S221" s="15"/>
    </row>
    <row r="222">
      <c r="A222" s="67" t="str">
        <f t="shared" si="1"/>
        <v>Fri</v>
      </c>
      <c r="B222" s="69">
        <v>43651.0</v>
      </c>
      <c r="S222" s="15"/>
    </row>
    <row r="223">
      <c r="A223" s="67" t="str">
        <f t="shared" si="1"/>
        <v>Sat</v>
      </c>
      <c r="B223" s="69">
        <v>43652.0</v>
      </c>
      <c r="S223" s="15"/>
    </row>
    <row r="224">
      <c r="A224" s="67" t="str">
        <f t="shared" si="1"/>
        <v>Sun</v>
      </c>
      <c r="B224" s="69">
        <v>43653.0</v>
      </c>
      <c r="S224" s="15"/>
    </row>
    <row r="225">
      <c r="A225" s="67" t="str">
        <f t="shared" si="1"/>
        <v>Mon</v>
      </c>
      <c r="B225" s="69">
        <v>43654.0</v>
      </c>
      <c r="S225" s="15"/>
    </row>
    <row r="226">
      <c r="A226" s="67" t="str">
        <f t="shared" si="1"/>
        <v>Tue</v>
      </c>
      <c r="B226" s="69">
        <v>43655.0</v>
      </c>
      <c r="S226" s="15"/>
    </row>
    <row r="227">
      <c r="A227" s="67" t="str">
        <f t="shared" si="1"/>
        <v>Wed</v>
      </c>
      <c r="B227" s="69">
        <v>43656.0</v>
      </c>
      <c r="S227" s="15"/>
    </row>
    <row r="228">
      <c r="A228" s="67" t="str">
        <f t="shared" si="1"/>
        <v>Thu</v>
      </c>
      <c r="B228" s="69">
        <v>43657.0</v>
      </c>
      <c r="S228" s="15"/>
    </row>
    <row r="229">
      <c r="A229" s="67" t="str">
        <f t="shared" si="1"/>
        <v>Fri</v>
      </c>
      <c r="B229" s="69">
        <v>43658.0</v>
      </c>
      <c r="S229" s="15"/>
    </row>
    <row r="230">
      <c r="A230" s="67" t="str">
        <f t="shared" si="1"/>
        <v>Sat</v>
      </c>
      <c r="B230" s="69">
        <v>43659.0</v>
      </c>
      <c r="S230" s="15"/>
    </row>
    <row r="231">
      <c r="A231" s="67" t="str">
        <f t="shared" si="1"/>
        <v>Sun</v>
      </c>
      <c r="B231" s="69">
        <v>43660.0</v>
      </c>
      <c r="S231" s="15"/>
    </row>
    <row r="232">
      <c r="A232" s="67" t="str">
        <f t="shared" si="1"/>
        <v>Mon</v>
      </c>
      <c r="B232" s="69">
        <v>43661.0</v>
      </c>
      <c r="S232" s="15"/>
    </row>
    <row r="233">
      <c r="A233" s="67" t="str">
        <f t="shared" si="1"/>
        <v>Tue</v>
      </c>
      <c r="B233" s="69">
        <v>43662.0</v>
      </c>
      <c r="S233" s="15"/>
    </row>
    <row r="234">
      <c r="A234" s="67" t="str">
        <f t="shared" si="1"/>
        <v>Wed</v>
      </c>
      <c r="B234" s="69">
        <v>43663.0</v>
      </c>
      <c r="S234" s="15"/>
    </row>
    <row r="235">
      <c r="A235" s="67" t="str">
        <f t="shared" si="1"/>
        <v>Thu</v>
      </c>
      <c r="B235" s="69">
        <v>43664.0</v>
      </c>
      <c r="S235" s="15"/>
    </row>
    <row r="236">
      <c r="A236" s="67" t="str">
        <f t="shared" si="1"/>
        <v>Fri</v>
      </c>
      <c r="B236" s="69">
        <v>43665.0</v>
      </c>
      <c r="S236" s="15"/>
    </row>
    <row r="237">
      <c r="A237" s="67" t="str">
        <f t="shared" si="1"/>
        <v>Sat</v>
      </c>
      <c r="B237" s="69">
        <v>43666.0</v>
      </c>
      <c r="S237" s="15"/>
    </row>
    <row r="238">
      <c r="A238" s="67" t="str">
        <f t="shared" si="1"/>
        <v>Sun</v>
      </c>
      <c r="B238" s="69">
        <v>43667.0</v>
      </c>
      <c r="S238" s="15"/>
    </row>
    <row r="239">
      <c r="A239" s="67" t="str">
        <f t="shared" si="1"/>
        <v>Mon</v>
      </c>
      <c r="B239" s="69">
        <v>43668.0</v>
      </c>
      <c r="S239" s="15"/>
    </row>
    <row r="240">
      <c r="A240" s="67" t="str">
        <f t="shared" si="1"/>
        <v>Tue</v>
      </c>
      <c r="B240" s="69">
        <v>43669.0</v>
      </c>
      <c r="S240" s="15"/>
    </row>
    <row r="241">
      <c r="A241" s="67" t="str">
        <f t="shared" si="1"/>
        <v>Wed</v>
      </c>
      <c r="B241" s="69">
        <v>43670.0</v>
      </c>
      <c r="S241" s="15"/>
    </row>
    <row r="242">
      <c r="A242" s="67" t="str">
        <f t="shared" si="1"/>
        <v>Thu</v>
      </c>
      <c r="B242" s="69">
        <v>43671.0</v>
      </c>
      <c r="S242" s="15"/>
    </row>
    <row r="243">
      <c r="A243" s="67" t="str">
        <f t="shared" si="1"/>
        <v>Fri</v>
      </c>
      <c r="B243" s="69">
        <v>43672.0</v>
      </c>
      <c r="S243" s="15"/>
    </row>
    <row r="244">
      <c r="A244" s="67" t="str">
        <f t="shared" si="1"/>
        <v>Sat</v>
      </c>
      <c r="B244" s="69">
        <v>43673.0</v>
      </c>
      <c r="S244" s="15"/>
    </row>
    <row r="245">
      <c r="A245" s="67" t="str">
        <f t="shared" si="1"/>
        <v>Sun</v>
      </c>
      <c r="B245" s="69">
        <v>43674.0</v>
      </c>
      <c r="S245" s="15"/>
    </row>
    <row r="246">
      <c r="A246" s="67" t="str">
        <f t="shared" si="1"/>
        <v>Mon</v>
      </c>
      <c r="B246" s="69">
        <v>43675.0</v>
      </c>
      <c r="S246" s="15"/>
    </row>
    <row r="247">
      <c r="A247" s="67" t="str">
        <f t="shared" si="1"/>
        <v>Tue</v>
      </c>
      <c r="B247" s="69">
        <v>43676.0</v>
      </c>
      <c r="S247" s="15"/>
    </row>
    <row r="248">
      <c r="A248" s="67" t="str">
        <f t="shared" si="1"/>
        <v>Wed</v>
      </c>
      <c r="B248" s="69">
        <v>43677.0</v>
      </c>
      <c r="S248" s="15"/>
    </row>
    <row r="249">
      <c r="A249" s="67" t="str">
        <f t="shared" si="1"/>
        <v>Thu</v>
      </c>
      <c r="B249" s="69">
        <v>43678.0</v>
      </c>
      <c r="S249" s="15"/>
    </row>
    <row r="250">
      <c r="A250" s="67" t="str">
        <f t="shared" si="1"/>
        <v>Fri</v>
      </c>
      <c r="B250" s="69">
        <v>43679.0</v>
      </c>
      <c r="S250" s="15"/>
    </row>
    <row r="251">
      <c r="A251" s="67" t="str">
        <f t="shared" si="1"/>
        <v>Sat</v>
      </c>
      <c r="B251" s="69">
        <v>43680.0</v>
      </c>
      <c r="S251" s="15"/>
    </row>
    <row r="252">
      <c r="A252" s="67" t="str">
        <f t="shared" si="1"/>
        <v>Sun</v>
      </c>
      <c r="B252" s="69">
        <v>43681.0</v>
      </c>
      <c r="S252" s="15"/>
    </row>
    <row r="253">
      <c r="A253" s="67" t="str">
        <f t="shared" si="1"/>
        <v>Mon</v>
      </c>
      <c r="B253" s="69">
        <v>43682.0</v>
      </c>
      <c r="S253" s="15"/>
    </row>
    <row r="254">
      <c r="A254" s="67" t="str">
        <f t="shared" si="1"/>
        <v>Tue</v>
      </c>
      <c r="B254" s="69">
        <v>43683.0</v>
      </c>
      <c r="S254" s="15"/>
    </row>
    <row r="255">
      <c r="A255" s="67" t="str">
        <f t="shared" si="1"/>
        <v>Wed</v>
      </c>
      <c r="B255" s="69">
        <v>43684.0</v>
      </c>
      <c r="S255" s="15"/>
    </row>
    <row r="256">
      <c r="A256" s="67" t="str">
        <f t="shared" si="1"/>
        <v>Thu</v>
      </c>
      <c r="B256" s="69">
        <v>43685.0</v>
      </c>
      <c r="S256" s="15"/>
    </row>
    <row r="257">
      <c r="A257" s="67" t="str">
        <f t="shared" si="1"/>
        <v>Fri</v>
      </c>
      <c r="B257" s="69">
        <v>43686.0</v>
      </c>
      <c r="S257" s="15"/>
    </row>
    <row r="258">
      <c r="A258" s="67" t="str">
        <f t="shared" si="1"/>
        <v>Sat</v>
      </c>
      <c r="B258" s="69">
        <v>43687.0</v>
      </c>
      <c r="S258" s="15"/>
    </row>
    <row r="259">
      <c r="A259" s="67" t="str">
        <f t="shared" si="1"/>
        <v>Sun</v>
      </c>
      <c r="B259" s="69">
        <v>43688.0</v>
      </c>
      <c r="S259" s="15"/>
    </row>
    <row r="260">
      <c r="A260" s="67" t="str">
        <f t="shared" si="1"/>
        <v>Mon</v>
      </c>
      <c r="B260" s="69">
        <v>43689.0</v>
      </c>
      <c r="S260" s="15"/>
    </row>
    <row r="261">
      <c r="A261" s="67" t="str">
        <f t="shared" si="1"/>
        <v>Tue</v>
      </c>
      <c r="B261" s="69">
        <v>43690.0</v>
      </c>
      <c r="S261" s="15"/>
    </row>
    <row r="262">
      <c r="A262" s="67" t="str">
        <f t="shared" si="1"/>
        <v>Wed</v>
      </c>
      <c r="B262" s="69">
        <v>43691.0</v>
      </c>
      <c r="S262" s="15"/>
    </row>
    <row r="263">
      <c r="A263" s="67" t="str">
        <f t="shared" si="1"/>
        <v>Thu</v>
      </c>
      <c r="B263" s="69">
        <v>43692.0</v>
      </c>
      <c r="S263" s="15"/>
    </row>
    <row r="264">
      <c r="A264" s="67" t="str">
        <f t="shared" si="1"/>
        <v>Fri</v>
      </c>
      <c r="B264" s="69">
        <v>43693.0</v>
      </c>
      <c r="S264" s="15"/>
    </row>
    <row r="265">
      <c r="A265" s="67" t="str">
        <f t="shared" si="1"/>
        <v>Sat</v>
      </c>
      <c r="B265" s="69">
        <v>43694.0</v>
      </c>
      <c r="S265" s="15"/>
    </row>
    <row r="266">
      <c r="A266" s="67" t="str">
        <f t="shared" si="1"/>
        <v>Sun</v>
      </c>
      <c r="B266" s="69">
        <v>43695.0</v>
      </c>
      <c r="S266" s="15"/>
    </row>
    <row r="267">
      <c r="A267" s="67" t="str">
        <f t="shared" si="1"/>
        <v>Mon</v>
      </c>
      <c r="B267" s="69">
        <v>43696.0</v>
      </c>
      <c r="S267" s="15"/>
    </row>
    <row r="268">
      <c r="A268" s="67" t="str">
        <f t="shared" si="1"/>
        <v>Tue</v>
      </c>
      <c r="B268" s="69">
        <v>43697.0</v>
      </c>
      <c r="S268" s="15"/>
    </row>
    <row r="269">
      <c r="A269" s="67" t="str">
        <f t="shared" si="1"/>
        <v>Wed</v>
      </c>
      <c r="B269" s="69">
        <v>43698.0</v>
      </c>
      <c r="S269" s="15"/>
    </row>
    <row r="270">
      <c r="A270" s="67" t="str">
        <f t="shared" si="1"/>
        <v>Thu</v>
      </c>
      <c r="B270" s="69">
        <v>43699.0</v>
      </c>
      <c r="S270" s="15"/>
    </row>
    <row r="271">
      <c r="A271" s="67" t="str">
        <f t="shared" si="1"/>
        <v>Fri</v>
      </c>
      <c r="B271" s="69">
        <v>43700.0</v>
      </c>
      <c r="S271" s="15"/>
    </row>
    <row r="272">
      <c r="A272" s="67" t="str">
        <f t="shared" si="1"/>
        <v>Sat</v>
      </c>
      <c r="B272" s="69">
        <v>43701.0</v>
      </c>
      <c r="S272" s="15"/>
    </row>
    <row r="273">
      <c r="A273" s="67" t="str">
        <f t="shared" si="1"/>
        <v>Sun</v>
      </c>
      <c r="B273" s="69">
        <v>43702.0</v>
      </c>
      <c r="S273" s="15"/>
    </row>
    <row r="274">
      <c r="A274" s="67" t="str">
        <f t="shared" si="1"/>
        <v>Mon</v>
      </c>
      <c r="B274" s="69">
        <v>43703.0</v>
      </c>
      <c r="S274" s="15"/>
    </row>
    <row r="275">
      <c r="A275" s="67" t="str">
        <f t="shared" si="1"/>
        <v>Tue</v>
      </c>
      <c r="B275" s="69">
        <v>43704.0</v>
      </c>
      <c r="S275" s="15"/>
    </row>
    <row r="276">
      <c r="A276" s="67" t="str">
        <f t="shared" si="1"/>
        <v>Wed</v>
      </c>
      <c r="B276" s="69">
        <v>43705.0</v>
      </c>
      <c r="S276" s="15"/>
    </row>
    <row r="277">
      <c r="A277" s="67" t="str">
        <f t="shared" si="1"/>
        <v>Thu</v>
      </c>
      <c r="B277" s="69">
        <v>43706.0</v>
      </c>
      <c r="S277" s="15"/>
    </row>
    <row r="278">
      <c r="A278" s="67" t="str">
        <f t="shared" si="1"/>
        <v>Fri</v>
      </c>
      <c r="B278" s="69">
        <v>43707.0</v>
      </c>
      <c r="S278" s="15"/>
    </row>
    <row r="279">
      <c r="A279" s="67" t="str">
        <f t="shared" si="1"/>
        <v>Sat</v>
      </c>
      <c r="B279" s="69">
        <v>43708.0</v>
      </c>
      <c r="S279" s="15"/>
    </row>
    <row r="280">
      <c r="A280" s="67" t="str">
        <f t="shared" si="1"/>
        <v>Sun</v>
      </c>
      <c r="B280" s="69">
        <v>43709.0</v>
      </c>
      <c r="S280" s="15"/>
    </row>
    <row r="281">
      <c r="A281" s="67" t="str">
        <f t="shared" si="1"/>
        <v>Mon</v>
      </c>
      <c r="B281" s="69">
        <v>43710.0</v>
      </c>
      <c r="S281" s="15"/>
    </row>
    <row r="282">
      <c r="A282" s="67" t="str">
        <f t="shared" si="1"/>
        <v>Tue</v>
      </c>
      <c r="B282" s="69">
        <v>43711.0</v>
      </c>
      <c r="S282" s="15"/>
    </row>
    <row r="283">
      <c r="A283" s="67" t="str">
        <f t="shared" si="1"/>
        <v>Wed</v>
      </c>
      <c r="B283" s="69">
        <v>43712.0</v>
      </c>
      <c r="S283" s="15"/>
    </row>
    <row r="284">
      <c r="A284" s="67" t="str">
        <f t="shared" si="1"/>
        <v>Thu</v>
      </c>
      <c r="B284" s="69">
        <v>43713.0</v>
      </c>
      <c r="S284" s="15"/>
    </row>
    <row r="285">
      <c r="A285" s="67" t="str">
        <f t="shared" si="1"/>
        <v>Fri</v>
      </c>
      <c r="B285" s="69">
        <v>43714.0</v>
      </c>
      <c r="D285" s="161">
        <v>300.15</v>
      </c>
      <c r="E285" s="4" t="s">
        <v>169</v>
      </c>
      <c r="F285" s="4" t="s">
        <v>2307</v>
      </c>
      <c r="G285" s="4" t="s">
        <v>2307</v>
      </c>
      <c r="I285" s="4" t="s">
        <v>224</v>
      </c>
      <c r="K285" s="4" t="s">
        <v>231</v>
      </c>
      <c r="L285" s="4" t="s">
        <v>225</v>
      </c>
      <c r="M285" s="4" t="s">
        <v>2308</v>
      </c>
      <c r="N285" s="4" t="s">
        <v>2309</v>
      </c>
      <c r="O285" s="4" t="s">
        <v>2310</v>
      </c>
      <c r="Q285" s="4" t="s">
        <v>2311</v>
      </c>
      <c r="R285" s="4" t="s">
        <v>2312</v>
      </c>
      <c r="S285" s="4" t="s">
        <v>2313</v>
      </c>
    </row>
    <row r="286">
      <c r="A286" s="67" t="str">
        <f t="shared" si="1"/>
        <v>Sat</v>
      </c>
      <c r="B286" s="69">
        <v>43715.0</v>
      </c>
      <c r="D286" s="161">
        <v>300.15</v>
      </c>
      <c r="E286" s="4" t="s">
        <v>169</v>
      </c>
      <c r="F286" s="4" t="s">
        <v>2307</v>
      </c>
      <c r="I286" s="4" t="s">
        <v>224</v>
      </c>
      <c r="S286" s="15"/>
    </row>
    <row r="287">
      <c r="A287" s="67" t="str">
        <f t="shared" si="1"/>
        <v>Sun</v>
      </c>
      <c r="B287" s="69">
        <v>43716.0</v>
      </c>
      <c r="H287" s="4" t="s">
        <v>2307</v>
      </c>
      <c r="S287" s="15"/>
    </row>
    <row r="288">
      <c r="A288" s="67" t="str">
        <f t="shared" si="1"/>
        <v>Mon</v>
      </c>
      <c r="B288" s="69">
        <v>43717.0</v>
      </c>
      <c r="S288" s="15"/>
    </row>
    <row r="289">
      <c r="A289" s="67" t="str">
        <f t="shared" si="1"/>
        <v>Tue</v>
      </c>
      <c r="B289" s="69">
        <v>43718.0</v>
      </c>
      <c r="S289" s="15"/>
    </row>
    <row r="290">
      <c r="A290" s="67" t="str">
        <f t="shared" si="1"/>
        <v>Wed</v>
      </c>
      <c r="B290" s="69">
        <v>43719.0</v>
      </c>
      <c r="S290" s="15"/>
    </row>
    <row r="291">
      <c r="A291" s="67" t="str">
        <f t="shared" si="1"/>
        <v>Thu</v>
      </c>
      <c r="B291" s="69">
        <v>43720.0</v>
      </c>
      <c r="S291" s="15"/>
    </row>
    <row r="292">
      <c r="A292" s="67" t="str">
        <f t="shared" si="1"/>
        <v>Fri</v>
      </c>
      <c r="B292" s="69">
        <v>43721.0</v>
      </c>
      <c r="S292" s="15"/>
    </row>
    <row r="293">
      <c r="A293" s="67" t="str">
        <f t="shared" si="1"/>
        <v>Sat</v>
      </c>
      <c r="B293" s="69">
        <v>43722.0</v>
      </c>
      <c r="S293" s="15"/>
    </row>
    <row r="294">
      <c r="A294" s="67" t="str">
        <f t="shared" si="1"/>
        <v>Sun</v>
      </c>
      <c r="B294" s="69">
        <v>43723.0</v>
      </c>
      <c r="S294" s="15"/>
    </row>
    <row r="295">
      <c r="A295" s="67" t="str">
        <f t="shared" si="1"/>
        <v>Mon</v>
      </c>
      <c r="B295" s="69">
        <v>43724.0</v>
      </c>
      <c r="S295" s="15"/>
    </row>
    <row r="296">
      <c r="A296" s="67" t="str">
        <f t="shared" si="1"/>
        <v>Tue</v>
      </c>
      <c r="B296" s="69">
        <v>43725.0</v>
      </c>
      <c r="S296" s="15"/>
    </row>
    <row r="297">
      <c r="A297" s="67" t="str">
        <f t="shared" si="1"/>
        <v>Wed</v>
      </c>
      <c r="B297" s="69">
        <v>43726.0</v>
      </c>
      <c r="S297" s="15"/>
    </row>
    <row r="298">
      <c r="A298" s="67" t="str">
        <f t="shared" si="1"/>
        <v>Thu</v>
      </c>
      <c r="B298" s="69">
        <v>43727.0</v>
      </c>
      <c r="S298" s="15"/>
    </row>
    <row r="299">
      <c r="A299" s="67" t="str">
        <f t="shared" si="1"/>
        <v>Fri</v>
      </c>
      <c r="B299" s="69">
        <v>43728.0</v>
      </c>
      <c r="S299" s="15"/>
    </row>
    <row r="300">
      <c r="A300" s="67" t="str">
        <f t="shared" si="1"/>
        <v>Sat</v>
      </c>
      <c r="B300" s="69">
        <v>43729.0</v>
      </c>
      <c r="S300" s="15"/>
    </row>
    <row r="301">
      <c r="A301" s="67" t="str">
        <f t="shared" si="1"/>
        <v>Sun</v>
      </c>
      <c r="B301" s="69">
        <v>43730.0</v>
      </c>
      <c r="S301" s="15"/>
    </row>
    <row r="302">
      <c r="A302" s="67" t="str">
        <f t="shared" si="1"/>
        <v>Mon</v>
      </c>
      <c r="B302" s="69">
        <v>43731.0</v>
      </c>
      <c r="S302" s="15"/>
    </row>
    <row r="303">
      <c r="A303" s="67" t="str">
        <f t="shared" si="1"/>
        <v>Tue</v>
      </c>
      <c r="B303" s="69">
        <v>43732.0</v>
      </c>
      <c r="S303" s="15"/>
    </row>
    <row r="304">
      <c r="A304" s="67" t="str">
        <f t="shared" si="1"/>
        <v>Wed</v>
      </c>
      <c r="B304" s="69">
        <v>43733.0</v>
      </c>
      <c r="S304" s="15"/>
    </row>
    <row r="305">
      <c r="A305" s="67" t="str">
        <f t="shared" si="1"/>
        <v>Thu</v>
      </c>
      <c r="B305" s="69">
        <v>43734.0</v>
      </c>
      <c r="S305" s="15"/>
    </row>
    <row r="306">
      <c r="A306" s="67" t="str">
        <f t="shared" si="1"/>
        <v>Fri</v>
      </c>
      <c r="B306" s="69">
        <v>43735.0</v>
      </c>
      <c r="S306" s="15"/>
    </row>
    <row r="307">
      <c r="A307" s="67" t="str">
        <f t="shared" si="1"/>
        <v>Sat</v>
      </c>
      <c r="B307" s="69">
        <v>43736.0</v>
      </c>
      <c r="S307" s="15"/>
    </row>
    <row r="308">
      <c r="A308" s="67" t="str">
        <f t="shared" si="1"/>
        <v>Sun</v>
      </c>
      <c r="B308" s="69">
        <v>43737.0</v>
      </c>
      <c r="S308" s="15"/>
    </row>
    <row r="309">
      <c r="A309" s="67" t="str">
        <f t="shared" si="1"/>
        <v>Mon</v>
      </c>
      <c r="B309" s="69">
        <v>43738.0</v>
      </c>
      <c r="S309" s="15"/>
    </row>
    <row r="310">
      <c r="A310" s="67" t="str">
        <f t="shared" si="1"/>
        <v>Tue</v>
      </c>
      <c r="B310" s="69">
        <v>43739.0</v>
      </c>
      <c r="S310" s="15"/>
    </row>
    <row r="311">
      <c r="A311" s="67" t="str">
        <f t="shared" si="1"/>
        <v>Wed</v>
      </c>
      <c r="B311" s="69">
        <v>43740.0</v>
      </c>
      <c r="S311" s="15"/>
    </row>
    <row r="312">
      <c r="A312" s="67" t="str">
        <f t="shared" si="1"/>
        <v>Thu</v>
      </c>
      <c r="B312" s="69">
        <v>43741.0</v>
      </c>
      <c r="S312" s="15"/>
    </row>
    <row r="313">
      <c r="A313" s="67" t="str">
        <f t="shared" si="1"/>
        <v>Fri</v>
      </c>
      <c r="B313" s="69">
        <v>43742.0</v>
      </c>
      <c r="S313" s="15"/>
    </row>
    <row r="314">
      <c r="A314" s="67" t="str">
        <f t="shared" si="1"/>
        <v>Sat</v>
      </c>
      <c r="B314" s="69">
        <v>43743.0</v>
      </c>
      <c r="S314" s="15"/>
    </row>
    <row r="315">
      <c r="A315" s="67" t="str">
        <f t="shared" si="1"/>
        <v>Sun</v>
      </c>
      <c r="B315" s="69">
        <v>43744.0</v>
      </c>
      <c r="S315" s="15"/>
    </row>
    <row r="316">
      <c r="A316" s="67" t="str">
        <f t="shared" si="1"/>
        <v>Mon</v>
      </c>
      <c r="B316" s="69">
        <v>43745.0</v>
      </c>
      <c r="S316" s="15"/>
    </row>
    <row r="317">
      <c r="A317" s="67" t="str">
        <f t="shared" si="1"/>
        <v>Tue</v>
      </c>
      <c r="B317" s="69">
        <v>43746.0</v>
      </c>
      <c r="S317" s="15"/>
    </row>
    <row r="318">
      <c r="A318" s="67" t="str">
        <f t="shared" si="1"/>
        <v>Wed</v>
      </c>
      <c r="B318" s="69">
        <v>43747.0</v>
      </c>
      <c r="S318" s="15"/>
    </row>
    <row r="319">
      <c r="A319" s="67" t="str">
        <f t="shared" si="1"/>
        <v>Thu</v>
      </c>
      <c r="B319" s="69">
        <v>43748.0</v>
      </c>
      <c r="S319" s="15"/>
    </row>
    <row r="320">
      <c r="A320" s="67" t="str">
        <f t="shared" si="1"/>
        <v>Fri</v>
      </c>
      <c r="B320" s="69">
        <v>43749.0</v>
      </c>
      <c r="S320" s="15"/>
    </row>
    <row r="321">
      <c r="A321" s="67" t="str">
        <f t="shared" si="1"/>
        <v>Sat</v>
      </c>
      <c r="B321" s="69">
        <v>43750.0</v>
      </c>
      <c r="S321" s="15"/>
    </row>
    <row r="322">
      <c r="A322" s="67" t="str">
        <f t="shared" si="1"/>
        <v>Sun</v>
      </c>
      <c r="B322" s="69">
        <v>43751.0</v>
      </c>
      <c r="S322" s="15"/>
    </row>
    <row r="323">
      <c r="A323" s="67" t="str">
        <f t="shared" si="1"/>
        <v>Mon</v>
      </c>
      <c r="B323" s="69">
        <v>43752.0</v>
      </c>
      <c r="S323" s="15"/>
    </row>
    <row r="324">
      <c r="A324" s="67" t="str">
        <f t="shared" si="1"/>
        <v>Tue</v>
      </c>
      <c r="B324" s="69">
        <v>43753.0</v>
      </c>
      <c r="S324" s="15"/>
    </row>
    <row r="325">
      <c r="A325" s="67" t="str">
        <f t="shared" si="1"/>
        <v>Wed</v>
      </c>
      <c r="B325" s="69">
        <v>43754.0</v>
      </c>
      <c r="S325" s="15"/>
    </row>
    <row r="326">
      <c r="A326" s="67" t="str">
        <f t="shared" si="1"/>
        <v>Thu</v>
      </c>
      <c r="B326" s="69">
        <v>43755.0</v>
      </c>
      <c r="S326" s="15"/>
    </row>
    <row r="327">
      <c r="A327" s="67" t="str">
        <f t="shared" si="1"/>
        <v>Fri</v>
      </c>
      <c r="B327" s="69">
        <v>43756.0</v>
      </c>
      <c r="S327" s="15"/>
    </row>
    <row r="328">
      <c r="A328" s="67" t="str">
        <f t="shared" si="1"/>
        <v>Sat</v>
      </c>
      <c r="B328" s="69">
        <v>43757.0</v>
      </c>
      <c r="S328" s="15"/>
    </row>
    <row r="329">
      <c r="A329" s="67" t="str">
        <f t="shared" si="1"/>
        <v>Sun</v>
      </c>
      <c r="B329" s="69">
        <v>43758.0</v>
      </c>
      <c r="S329" s="15"/>
    </row>
    <row r="330">
      <c r="A330" s="67" t="str">
        <f t="shared" si="1"/>
        <v>Mon</v>
      </c>
      <c r="B330" s="69">
        <v>43759.0</v>
      </c>
      <c r="S330" s="15"/>
    </row>
    <row r="331">
      <c r="A331" s="67" t="str">
        <f t="shared" si="1"/>
        <v>Tue</v>
      </c>
      <c r="B331" s="69">
        <v>43760.0</v>
      </c>
      <c r="S331" s="15"/>
    </row>
    <row r="332">
      <c r="A332" s="67" t="str">
        <f t="shared" si="1"/>
        <v>Wed</v>
      </c>
      <c r="B332" s="69">
        <v>43761.0</v>
      </c>
      <c r="S332" s="15"/>
    </row>
    <row r="333">
      <c r="A333" s="67" t="str">
        <f t="shared" si="1"/>
        <v>Thu</v>
      </c>
      <c r="B333" s="69">
        <v>43762.0</v>
      </c>
      <c r="S333" s="15"/>
    </row>
    <row r="334">
      <c r="A334" s="67" t="str">
        <f t="shared" si="1"/>
        <v>Fri</v>
      </c>
      <c r="B334" s="69">
        <v>43763.0</v>
      </c>
      <c r="S334" s="15"/>
    </row>
    <row r="335">
      <c r="A335" s="67" t="str">
        <f t="shared" si="1"/>
        <v>Sat</v>
      </c>
      <c r="B335" s="69">
        <v>43764.0</v>
      </c>
      <c r="S335" s="15"/>
    </row>
    <row r="336">
      <c r="A336" s="67" t="str">
        <f t="shared" si="1"/>
        <v>Sun</v>
      </c>
      <c r="B336" s="69">
        <v>43765.0</v>
      </c>
      <c r="S336" s="15"/>
    </row>
    <row r="337">
      <c r="A337" s="67" t="str">
        <f t="shared" si="1"/>
        <v>Mon</v>
      </c>
      <c r="B337" s="69">
        <v>43766.0</v>
      </c>
      <c r="S337" s="15"/>
    </row>
    <row r="338">
      <c r="A338" s="67" t="str">
        <f t="shared" si="1"/>
        <v>Tue</v>
      </c>
      <c r="B338" s="69">
        <v>43767.0</v>
      </c>
      <c r="S338" s="15"/>
    </row>
    <row r="339">
      <c r="A339" s="67" t="str">
        <f t="shared" si="1"/>
        <v>Wed</v>
      </c>
      <c r="B339" s="69">
        <v>43768.0</v>
      </c>
      <c r="S339" s="15"/>
    </row>
    <row r="340">
      <c r="A340" s="67" t="str">
        <f t="shared" si="1"/>
        <v>Thu</v>
      </c>
      <c r="B340" s="69">
        <v>43769.0</v>
      </c>
      <c r="S340" s="15"/>
    </row>
    <row r="341">
      <c r="A341" s="67" t="str">
        <f t="shared" si="1"/>
        <v>Fri</v>
      </c>
      <c r="B341" s="69">
        <v>43770.0</v>
      </c>
      <c r="S341" s="15"/>
    </row>
    <row r="342">
      <c r="A342" s="67" t="str">
        <f t="shared" si="1"/>
        <v>Sat</v>
      </c>
      <c r="B342" s="69">
        <v>43771.0</v>
      </c>
      <c r="S342" s="15"/>
    </row>
    <row r="343">
      <c r="A343" s="67" t="str">
        <f t="shared" si="1"/>
        <v>Sun</v>
      </c>
      <c r="B343" s="69">
        <v>43772.0</v>
      </c>
      <c r="S343" s="15"/>
    </row>
    <row r="344">
      <c r="A344" s="67" t="str">
        <f t="shared" si="1"/>
        <v>Mon</v>
      </c>
      <c r="B344" s="69">
        <v>43773.0</v>
      </c>
      <c r="S344" s="15"/>
    </row>
    <row r="345">
      <c r="A345" s="67" t="str">
        <f t="shared" si="1"/>
        <v>Tue</v>
      </c>
      <c r="B345" s="69">
        <v>43774.0</v>
      </c>
      <c r="S345" s="15"/>
    </row>
    <row r="346">
      <c r="A346" s="67" t="str">
        <f t="shared" si="1"/>
        <v>Wed</v>
      </c>
      <c r="B346" s="69">
        <v>43775.0</v>
      </c>
      <c r="S346" s="15"/>
    </row>
    <row r="347">
      <c r="A347" s="67" t="str">
        <f t="shared" si="1"/>
        <v>Thu</v>
      </c>
      <c r="B347" s="69">
        <v>43776.0</v>
      </c>
      <c r="S347" s="15"/>
    </row>
    <row r="348">
      <c r="A348" s="67" t="str">
        <f t="shared" si="1"/>
        <v>Fri</v>
      </c>
      <c r="B348" s="69">
        <v>43777.0</v>
      </c>
      <c r="S348" s="15"/>
    </row>
    <row r="349">
      <c r="A349" s="67" t="str">
        <f t="shared" si="1"/>
        <v>Sat</v>
      </c>
      <c r="B349" s="69">
        <v>43778.0</v>
      </c>
      <c r="S349" s="15"/>
    </row>
    <row r="350">
      <c r="A350" s="67" t="str">
        <f t="shared" si="1"/>
        <v>Sun</v>
      </c>
      <c r="B350" s="69">
        <v>43779.0</v>
      </c>
      <c r="S350" s="15"/>
    </row>
    <row r="351">
      <c r="A351" s="67" t="str">
        <f t="shared" si="1"/>
        <v>Mon</v>
      </c>
      <c r="B351" s="69">
        <v>43780.0</v>
      </c>
      <c r="S351" s="15"/>
    </row>
    <row r="352">
      <c r="A352" s="67" t="str">
        <f t="shared" si="1"/>
        <v>Tue</v>
      </c>
      <c r="B352" s="69">
        <v>43781.0</v>
      </c>
      <c r="S352" s="15"/>
    </row>
    <row r="353">
      <c r="A353" s="67" t="str">
        <f t="shared" si="1"/>
        <v>Wed</v>
      </c>
      <c r="B353" s="69">
        <v>43782.0</v>
      </c>
      <c r="S353" s="15"/>
    </row>
    <row r="354">
      <c r="A354" s="67" t="str">
        <f t="shared" si="1"/>
        <v>Thu</v>
      </c>
      <c r="B354" s="69">
        <v>43783.0</v>
      </c>
      <c r="S354" s="15"/>
    </row>
    <row r="355">
      <c r="A355" s="67" t="str">
        <f t="shared" si="1"/>
        <v>Fri</v>
      </c>
      <c r="B355" s="69">
        <v>43784.0</v>
      </c>
      <c r="S355" s="15"/>
    </row>
    <row r="356">
      <c r="A356" s="67" t="str">
        <f t="shared" si="1"/>
        <v>Sat</v>
      </c>
      <c r="B356" s="69">
        <v>43785.0</v>
      </c>
      <c r="S356" s="15"/>
    </row>
    <row r="357">
      <c r="A357" s="67" t="str">
        <f t="shared" si="1"/>
        <v>Sun</v>
      </c>
      <c r="B357" s="69">
        <v>43786.0</v>
      </c>
      <c r="S357" s="15"/>
    </row>
    <row r="358">
      <c r="A358" s="67" t="str">
        <f t="shared" si="1"/>
        <v>Mon</v>
      </c>
      <c r="B358" s="69">
        <v>43787.0</v>
      </c>
      <c r="S358" s="15"/>
    </row>
    <row r="359">
      <c r="A359" s="67" t="str">
        <f t="shared" si="1"/>
        <v>Tue</v>
      </c>
      <c r="B359" s="69">
        <v>43788.0</v>
      </c>
      <c r="S359" s="15"/>
    </row>
    <row r="360">
      <c r="A360" s="67" t="str">
        <f t="shared" si="1"/>
        <v>Wed</v>
      </c>
      <c r="B360" s="69">
        <v>43789.0</v>
      </c>
      <c r="S360" s="15"/>
    </row>
    <row r="361">
      <c r="A361" s="67" t="str">
        <f t="shared" si="1"/>
        <v>Thu</v>
      </c>
      <c r="B361" s="69">
        <v>43790.0</v>
      </c>
      <c r="S361" s="15"/>
    </row>
    <row r="362">
      <c r="A362" s="67" t="str">
        <f t="shared" si="1"/>
        <v>Fri</v>
      </c>
      <c r="B362" s="69">
        <v>43791.0</v>
      </c>
      <c r="S362" s="15"/>
    </row>
    <row r="363">
      <c r="A363" s="67" t="str">
        <f t="shared" si="1"/>
        <v>Sat</v>
      </c>
      <c r="B363" s="69">
        <v>43792.0</v>
      </c>
      <c r="S363" s="15"/>
    </row>
    <row r="364">
      <c r="A364" s="67" t="str">
        <f t="shared" si="1"/>
        <v>Sun</v>
      </c>
      <c r="B364" s="69">
        <v>43793.0</v>
      </c>
      <c r="S364" s="15"/>
    </row>
    <row r="365">
      <c r="A365" s="67" t="str">
        <f t="shared" si="1"/>
        <v>Mon</v>
      </c>
      <c r="B365" s="69">
        <v>43794.0</v>
      </c>
      <c r="S365" s="15"/>
    </row>
    <row r="366">
      <c r="A366" s="67" t="str">
        <f t="shared" si="1"/>
        <v>Tue</v>
      </c>
      <c r="B366" s="69">
        <v>43795.0</v>
      </c>
      <c r="S366" s="15"/>
    </row>
    <row r="367">
      <c r="A367" s="67" t="str">
        <f t="shared" si="1"/>
        <v>Wed</v>
      </c>
      <c r="B367" s="69">
        <v>43796.0</v>
      </c>
      <c r="S367" s="15"/>
    </row>
    <row r="368">
      <c r="A368" s="67" t="str">
        <f t="shared" si="1"/>
        <v>Thu</v>
      </c>
      <c r="B368" s="69">
        <v>43797.0</v>
      </c>
      <c r="S368" s="15"/>
    </row>
    <row r="369">
      <c r="A369" s="67" t="str">
        <f t="shared" si="1"/>
        <v>Fri</v>
      </c>
      <c r="B369" s="69">
        <v>43798.0</v>
      </c>
      <c r="S369" s="15"/>
    </row>
    <row r="370">
      <c r="A370" s="67" t="str">
        <f t="shared" si="1"/>
        <v>Sat</v>
      </c>
      <c r="B370" s="69">
        <v>43799.0</v>
      </c>
      <c r="S370" s="15"/>
    </row>
    <row r="371">
      <c r="A371" s="67" t="str">
        <f t="shared" si="1"/>
        <v>Sun</v>
      </c>
      <c r="B371" s="69">
        <v>43800.0</v>
      </c>
      <c r="S371" s="15"/>
    </row>
    <row r="372">
      <c r="A372" s="67" t="str">
        <f t="shared" si="1"/>
        <v>Mon</v>
      </c>
      <c r="B372" s="69">
        <v>43801.0</v>
      </c>
      <c r="S372" s="15"/>
    </row>
    <row r="373">
      <c r="A373" s="67" t="str">
        <f t="shared" si="1"/>
        <v>Tue</v>
      </c>
      <c r="B373" s="69">
        <v>43802.0</v>
      </c>
      <c r="S373" s="15"/>
    </row>
    <row r="374">
      <c r="A374" s="67" t="str">
        <f t="shared" si="1"/>
        <v>Wed</v>
      </c>
      <c r="B374" s="69">
        <v>43803.0</v>
      </c>
      <c r="S374" s="15"/>
    </row>
    <row r="375">
      <c r="A375" s="67" t="str">
        <f t="shared" si="1"/>
        <v>Thu</v>
      </c>
      <c r="B375" s="69">
        <v>43804.0</v>
      </c>
      <c r="S375" s="15"/>
    </row>
    <row r="376">
      <c r="A376" s="67" t="str">
        <f t="shared" si="1"/>
        <v>Fri</v>
      </c>
      <c r="B376" s="69">
        <v>43805.0</v>
      </c>
      <c r="S376" s="15"/>
    </row>
    <row r="377">
      <c r="A377" s="67" t="str">
        <f t="shared" si="1"/>
        <v>Sat</v>
      </c>
      <c r="B377" s="69">
        <v>43806.0</v>
      </c>
      <c r="S377" s="15"/>
    </row>
    <row r="378">
      <c r="A378" s="67" t="str">
        <f t="shared" si="1"/>
        <v>Sun</v>
      </c>
      <c r="B378" s="69">
        <v>43807.0</v>
      </c>
      <c r="S378" s="15"/>
    </row>
    <row r="379">
      <c r="A379" s="67" t="str">
        <f t="shared" si="1"/>
        <v>Mon</v>
      </c>
      <c r="B379" s="69">
        <v>43808.0</v>
      </c>
      <c r="S379" s="15"/>
    </row>
    <row r="380">
      <c r="A380" s="67" t="str">
        <f t="shared" si="1"/>
        <v>Tue</v>
      </c>
      <c r="B380" s="69">
        <v>43809.0</v>
      </c>
      <c r="S380" s="15"/>
    </row>
    <row r="381">
      <c r="A381" s="67" t="str">
        <f t="shared" si="1"/>
        <v>Wed</v>
      </c>
      <c r="B381" s="69">
        <v>43810.0</v>
      </c>
      <c r="S381" s="15"/>
    </row>
    <row r="382">
      <c r="A382" s="67" t="str">
        <f t="shared" si="1"/>
        <v>Thu</v>
      </c>
      <c r="B382" s="69">
        <v>43811.0</v>
      </c>
      <c r="S382" s="15"/>
    </row>
    <row r="383">
      <c r="A383" s="67" t="str">
        <f t="shared" si="1"/>
        <v>Fri</v>
      </c>
      <c r="B383" s="69">
        <v>43812.0</v>
      </c>
      <c r="S383" s="15"/>
    </row>
    <row r="384">
      <c r="A384" s="67" t="str">
        <f t="shared" si="1"/>
        <v>Sat</v>
      </c>
      <c r="B384" s="69">
        <v>43813.0</v>
      </c>
      <c r="S384" s="15"/>
    </row>
    <row r="385">
      <c r="A385" s="67" t="str">
        <f t="shared" si="1"/>
        <v>Sun</v>
      </c>
      <c r="B385" s="69">
        <v>43814.0</v>
      </c>
      <c r="S385" s="15"/>
    </row>
    <row r="386">
      <c r="A386" s="67" t="str">
        <f t="shared" si="1"/>
        <v>Mon</v>
      </c>
      <c r="B386" s="69">
        <v>43815.0</v>
      </c>
      <c r="S386" s="15"/>
    </row>
    <row r="387">
      <c r="A387" s="67" t="str">
        <f t="shared" si="1"/>
        <v>Tue</v>
      </c>
      <c r="B387" s="69">
        <v>43816.0</v>
      </c>
      <c r="S387" s="15"/>
    </row>
    <row r="388">
      <c r="A388" s="67" t="str">
        <f t="shared" si="1"/>
        <v>Wed</v>
      </c>
      <c r="B388" s="69">
        <v>43817.0</v>
      </c>
      <c r="S388" s="15"/>
    </row>
    <row r="389">
      <c r="A389" s="67" t="str">
        <f t="shared" si="1"/>
        <v>Thu</v>
      </c>
      <c r="B389" s="69">
        <v>43818.0</v>
      </c>
      <c r="S389" s="15"/>
    </row>
    <row r="390">
      <c r="A390" s="67" t="str">
        <f t="shared" si="1"/>
        <v>Fri</v>
      </c>
      <c r="B390" s="69">
        <v>43819.0</v>
      </c>
      <c r="S390" s="15"/>
    </row>
    <row r="391">
      <c r="A391" s="67" t="str">
        <f t="shared" si="1"/>
        <v>Sat</v>
      </c>
      <c r="B391" s="69">
        <v>43820.0</v>
      </c>
      <c r="S391" s="15"/>
    </row>
    <row r="392">
      <c r="A392" s="67" t="str">
        <f t="shared" si="1"/>
        <v>Sun</v>
      </c>
      <c r="B392" s="69">
        <v>43821.0</v>
      </c>
      <c r="S392" s="15"/>
    </row>
    <row r="393">
      <c r="A393" s="67" t="str">
        <f t="shared" si="1"/>
        <v>Mon</v>
      </c>
      <c r="B393" s="69">
        <v>43822.0</v>
      </c>
      <c r="S393" s="15"/>
    </row>
    <row r="394">
      <c r="A394" s="67" t="str">
        <f t="shared" si="1"/>
        <v>Tue</v>
      </c>
      <c r="B394" s="69">
        <v>43823.0</v>
      </c>
      <c r="S394" s="15"/>
    </row>
    <row r="395">
      <c r="A395" s="67" t="str">
        <f t="shared" si="1"/>
        <v>Wed</v>
      </c>
      <c r="B395" s="69">
        <v>43824.0</v>
      </c>
      <c r="S395" s="15"/>
    </row>
    <row r="396">
      <c r="A396" s="67" t="str">
        <f t="shared" si="1"/>
        <v>Thu</v>
      </c>
      <c r="B396" s="69">
        <v>43825.0</v>
      </c>
      <c r="S396" s="15"/>
    </row>
    <row r="397">
      <c r="A397" s="67" t="str">
        <f t="shared" si="1"/>
        <v>Fri</v>
      </c>
      <c r="B397" s="69">
        <v>43826.0</v>
      </c>
      <c r="S397" s="15"/>
    </row>
    <row r="398">
      <c r="A398" s="67" t="str">
        <f t="shared" si="1"/>
        <v>Sat</v>
      </c>
      <c r="B398" s="69">
        <v>43827.0</v>
      </c>
      <c r="S398" s="15"/>
    </row>
    <row r="399">
      <c r="A399" s="67" t="str">
        <f t="shared" si="1"/>
        <v>Sun</v>
      </c>
      <c r="B399" s="69">
        <v>43828.0</v>
      </c>
      <c r="S399" s="15"/>
    </row>
    <row r="400">
      <c r="A400" s="67" t="str">
        <f t="shared" si="1"/>
        <v>Mon</v>
      </c>
      <c r="B400" s="69">
        <v>43829.0</v>
      </c>
      <c r="S400" s="15"/>
    </row>
    <row r="401">
      <c r="A401" s="67" t="str">
        <f t="shared" si="1"/>
        <v>Tue</v>
      </c>
      <c r="B401" s="69">
        <v>43830.0</v>
      </c>
      <c r="S401" s="15"/>
    </row>
  </sheetData>
  <mergeCells count="5">
    <mergeCell ref="A1:C3"/>
    <mergeCell ref="E1:F1"/>
    <mergeCell ref="E2:F2"/>
    <mergeCell ref="E3:F3"/>
    <mergeCell ref="G1:S3"/>
  </mergeCells>
  <conditionalFormatting sqref="K4:L401">
    <cfRule type="cellIs" dxfId="0" priority="1" operator="equal">
      <formula>"Enviar email para hotel"</formula>
    </cfRule>
  </conditionalFormatting>
  <dataValidations>
    <dataValidation type="list" allowBlank="1" sqref="L37:L401">
      <formula1>"Enviar email para hotel,Enviado para o hotel,Código de reserva enviado para hóspede,Verificar dados com o hóspede,URGENTE,Fechado"</formula1>
    </dataValidation>
    <dataValidation type="list" allowBlank="1" sqref="K6:L36">
      <formula1>"Enviar email para hotel,Enviado para o hotel,Código de reserva enviado para hóspede,Fechado"</formula1>
    </dataValidation>
    <dataValidation type="list" allowBlank="1" sqref="K37:K401">
      <formula1>"A PAGAR,PARCIALMENTE PAGO,PAGO"</formula1>
    </dataValidation>
  </dataValidations>
  <hyperlinks>
    <hyperlink display="Sumario" location="Sumario!A1" ref="A4"/>
  </hyperlinks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13.57"/>
    <col customWidth="1" min="4" max="4" width="17.0"/>
  </cols>
  <sheetData>
    <row r="1">
      <c r="A1" s="1"/>
      <c r="B1" s="2"/>
      <c r="C1" s="3"/>
      <c r="D1" s="11" t="s">
        <v>198</v>
      </c>
      <c r="E1" s="153" t="s">
        <v>1921</v>
      </c>
      <c r="F1" s="3"/>
      <c r="G1" s="154" t="s">
        <v>2314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</row>
    <row r="2">
      <c r="A2" s="13"/>
      <c r="C2" s="15"/>
      <c r="D2" s="9" t="s">
        <v>201</v>
      </c>
      <c r="E2" s="156">
        <v>464.0</v>
      </c>
      <c r="F2" s="15"/>
      <c r="S2" s="15"/>
    </row>
    <row r="3" ht="26.25" customHeight="1">
      <c r="A3" s="17"/>
      <c r="B3" s="19"/>
      <c r="C3" s="21"/>
      <c r="D3" s="26" t="s">
        <v>202</v>
      </c>
      <c r="E3" s="157" t="s">
        <v>395</v>
      </c>
      <c r="F3" s="21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21"/>
    </row>
    <row r="4">
      <c r="A4" s="158" t="s">
        <v>203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N4" s="30"/>
      <c r="O4" s="30"/>
      <c r="P4" s="30"/>
      <c r="Q4" s="30"/>
      <c r="R4" s="30"/>
      <c r="S4" s="30"/>
      <c r="T4" s="30"/>
      <c r="U4" s="30"/>
    </row>
    <row r="5">
      <c r="A5" s="42" t="s">
        <v>204</v>
      </c>
      <c r="B5" s="45" t="s">
        <v>33</v>
      </c>
      <c r="C5" s="45" t="s">
        <v>205</v>
      </c>
      <c r="D5" s="45" t="s">
        <v>206</v>
      </c>
      <c r="E5" s="45" t="s">
        <v>207</v>
      </c>
      <c r="F5" s="45" t="s">
        <v>208</v>
      </c>
      <c r="G5" s="45" t="s">
        <v>209</v>
      </c>
      <c r="H5" s="45" t="s">
        <v>210</v>
      </c>
      <c r="I5" s="45" t="s">
        <v>211</v>
      </c>
      <c r="J5" s="45" t="s">
        <v>212</v>
      </c>
      <c r="K5" s="45" t="s">
        <v>213</v>
      </c>
      <c r="L5" s="45" t="s">
        <v>214</v>
      </c>
      <c r="M5" s="45" t="s">
        <v>215</v>
      </c>
      <c r="N5" s="45" t="s">
        <v>216</v>
      </c>
      <c r="O5" s="45" t="s">
        <v>217</v>
      </c>
      <c r="P5" s="45" t="s">
        <v>218</v>
      </c>
      <c r="Q5" s="45" t="s">
        <v>219</v>
      </c>
      <c r="R5" s="45" t="s">
        <v>220</v>
      </c>
      <c r="S5" s="159" t="s">
        <v>221</v>
      </c>
    </row>
    <row r="6">
      <c r="A6" s="67" t="str">
        <f t="shared" ref="A6:A401" si="1">CHOOSE(weekday(B6),"Sun","Mon","Tue","Wed","Thu","Fri","Sat")</f>
        <v>Sat</v>
      </c>
      <c r="B6" s="69">
        <v>43435.0</v>
      </c>
      <c r="M6" s="166"/>
      <c r="N6" s="166"/>
      <c r="O6" s="166"/>
      <c r="P6" s="166"/>
      <c r="Q6" s="166"/>
      <c r="R6" s="166"/>
      <c r="S6" s="241"/>
    </row>
    <row r="7">
      <c r="A7" s="67" t="str">
        <f t="shared" si="1"/>
        <v>Sun</v>
      </c>
      <c r="B7" s="69">
        <v>43436.0</v>
      </c>
      <c r="S7" s="15"/>
    </row>
    <row r="8">
      <c r="A8" s="67" t="str">
        <f t="shared" si="1"/>
        <v>Mon</v>
      </c>
      <c r="B8" s="69">
        <v>43437.0</v>
      </c>
      <c r="M8" s="166"/>
      <c r="N8" s="166"/>
      <c r="O8" s="166"/>
      <c r="P8" s="166"/>
      <c r="Q8" s="166"/>
      <c r="R8" s="166"/>
      <c r="S8" s="241"/>
    </row>
    <row r="9">
      <c r="A9" s="67" t="str">
        <f t="shared" si="1"/>
        <v>Tue</v>
      </c>
      <c r="B9" s="69">
        <v>43438.0</v>
      </c>
      <c r="S9" s="15"/>
    </row>
    <row r="10">
      <c r="A10" s="67" t="str">
        <f t="shared" si="1"/>
        <v>Wed</v>
      </c>
      <c r="B10" s="69">
        <v>43439.0</v>
      </c>
      <c r="S10" s="15"/>
    </row>
    <row r="11">
      <c r="A11" s="67" t="str">
        <f t="shared" si="1"/>
        <v>Thu</v>
      </c>
      <c r="B11" s="69">
        <v>43440.0</v>
      </c>
      <c r="S11" s="15"/>
    </row>
    <row r="12">
      <c r="A12" s="67" t="str">
        <f t="shared" si="1"/>
        <v>Fri</v>
      </c>
      <c r="B12" s="69">
        <v>43441.0</v>
      </c>
      <c r="S12" s="15"/>
    </row>
    <row r="13">
      <c r="A13" s="67" t="str">
        <f t="shared" si="1"/>
        <v>Sat</v>
      </c>
      <c r="B13" s="69">
        <v>43442.0</v>
      </c>
      <c r="S13" s="15"/>
    </row>
    <row r="14">
      <c r="A14" s="67" t="str">
        <f t="shared" si="1"/>
        <v>Sun</v>
      </c>
      <c r="B14" s="69">
        <v>43443.0</v>
      </c>
      <c r="S14" s="15"/>
    </row>
    <row r="15">
      <c r="A15" s="67" t="str">
        <f t="shared" si="1"/>
        <v>Mon</v>
      </c>
      <c r="B15" s="69">
        <v>43444.0</v>
      </c>
      <c r="S15" s="15"/>
    </row>
    <row r="16">
      <c r="A16" s="67" t="str">
        <f t="shared" si="1"/>
        <v>Tue</v>
      </c>
      <c r="B16" s="69">
        <v>43445.0</v>
      </c>
      <c r="S16" s="15"/>
    </row>
    <row r="17">
      <c r="A17" s="67" t="str">
        <f t="shared" si="1"/>
        <v>Wed</v>
      </c>
      <c r="B17" s="69">
        <v>43446.0</v>
      </c>
      <c r="S17" s="15"/>
    </row>
    <row r="18">
      <c r="A18" s="67" t="str">
        <f t="shared" si="1"/>
        <v>Thu</v>
      </c>
      <c r="B18" s="69">
        <v>43447.0</v>
      </c>
      <c r="S18" s="15"/>
    </row>
    <row r="19">
      <c r="A19" s="67" t="str">
        <f t="shared" si="1"/>
        <v>Fri</v>
      </c>
      <c r="B19" s="69">
        <v>43448.0</v>
      </c>
      <c r="S19" s="15"/>
    </row>
    <row r="20">
      <c r="A20" s="67" t="str">
        <f t="shared" si="1"/>
        <v>Sat</v>
      </c>
      <c r="B20" s="69">
        <v>43449.0</v>
      </c>
      <c r="S20" s="15"/>
    </row>
    <row r="21">
      <c r="A21" s="67" t="str">
        <f t="shared" si="1"/>
        <v>Sun</v>
      </c>
      <c r="B21" s="69">
        <v>43450.0</v>
      </c>
      <c r="M21" s="166"/>
      <c r="N21" s="166"/>
      <c r="O21" s="166"/>
      <c r="P21" s="166"/>
      <c r="Q21" s="166"/>
      <c r="R21" s="166"/>
      <c r="S21" s="241"/>
    </row>
    <row r="22">
      <c r="A22" s="67" t="str">
        <f t="shared" si="1"/>
        <v>Mon</v>
      </c>
      <c r="B22" s="69">
        <v>43451.0</v>
      </c>
      <c r="S22" s="15"/>
    </row>
    <row r="23">
      <c r="A23" s="67" t="str">
        <f t="shared" si="1"/>
        <v>Tue</v>
      </c>
      <c r="B23" s="69">
        <v>43452.0</v>
      </c>
      <c r="S23" s="15"/>
    </row>
    <row r="24">
      <c r="A24" s="67" t="str">
        <f t="shared" si="1"/>
        <v>Wed</v>
      </c>
      <c r="B24" s="69">
        <v>43453.0</v>
      </c>
      <c r="D24" s="161">
        <v>339.5</v>
      </c>
      <c r="E24" s="4" t="s">
        <v>222</v>
      </c>
      <c r="F24" s="4" t="s">
        <v>2315</v>
      </c>
      <c r="G24" s="4" t="s">
        <v>2315</v>
      </c>
      <c r="I24" s="4" t="s">
        <v>395</v>
      </c>
      <c r="K24" s="4"/>
      <c r="L24" s="4" t="s">
        <v>225</v>
      </c>
      <c r="M24" s="4" t="s">
        <v>2048</v>
      </c>
      <c r="N24" s="4" t="s">
        <v>2051</v>
      </c>
      <c r="O24" s="4" t="s">
        <v>2052</v>
      </c>
      <c r="P24" s="4"/>
      <c r="Q24" s="4" t="s">
        <v>2316</v>
      </c>
      <c r="R24" s="4" t="s">
        <v>2317</v>
      </c>
      <c r="S24" s="162" t="s">
        <v>2317</v>
      </c>
    </row>
    <row r="25">
      <c r="A25" s="67" t="str">
        <f t="shared" si="1"/>
        <v>Thu</v>
      </c>
      <c r="B25" s="69">
        <v>43454.0</v>
      </c>
      <c r="D25" s="161">
        <v>339.5</v>
      </c>
      <c r="E25" s="4" t="s">
        <v>222</v>
      </c>
      <c r="F25" s="4" t="s">
        <v>2315</v>
      </c>
      <c r="I25" s="4" t="s">
        <v>395</v>
      </c>
      <c r="S25" s="15"/>
    </row>
    <row r="26">
      <c r="A26" s="67" t="str">
        <f t="shared" si="1"/>
        <v>Fri</v>
      </c>
      <c r="B26" s="69">
        <v>43455.0</v>
      </c>
      <c r="D26" s="161">
        <v>339.5</v>
      </c>
      <c r="E26" s="4" t="s">
        <v>222</v>
      </c>
      <c r="F26" s="4" t="s">
        <v>2315</v>
      </c>
      <c r="I26" s="4" t="s">
        <v>395</v>
      </c>
      <c r="S26" s="15"/>
    </row>
    <row r="27">
      <c r="A27" s="67" t="str">
        <f t="shared" si="1"/>
        <v>Sat</v>
      </c>
      <c r="B27" s="69">
        <v>43456.0</v>
      </c>
      <c r="D27" s="161">
        <v>339.5</v>
      </c>
      <c r="E27" s="4" t="s">
        <v>222</v>
      </c>
      <c r="F27" s="4" t="s">
        <v>2315</v>
      </c>
      <c r="I27" s="4" t="s">
        <v>395</v>
      </c>
      <c r="S27" s="15"/>
    </row>
    <row r="28">
      <c r="A28" s="67" t="str">
        <f t="shared" si="1"/>
        <v>Sun</v>
      </c>
      <c r="B28" s="69">
        <v>43457.0</v>
      </c>
      <c r="D28" s="161">
        <v>339.5</v>
      </c>
      <c r="E28" s="4" t="s">
        <v>222</v>
      </c>
      <c r="F28" s="4" t="s">
        <v>2315</v>
      </c>
      <c r="I28" s="4" t="s">
        <v>395</v>
      </c>
      <c r="S28" s="15"/>
    </row>
    <row r="29">
      <c r="A29" s="67" t="str">
        <f t="shared" si="1"/>
        <v>Mon</v>
      </c>
      <c r="B29" s="69">
        <v>43458.0</v>
      </c>
      <c r="D29" s="161">
        <v>300.0</v>
      </c>
      <c r="E29" s="4" t="s">
        <v>337</v>
      </c>
      <c r="F29" s="4" t="s">
        <v>2318</v>
      </c>
      <c r="G29" s="4" t="s">
        <v>2318</v>
      </c>
      <c r="I29" s="4" t="s">
        <v>395</v>
      </c>
      <c r="K29" s="4"/>
      <c r="L29" s="4" t="s">
        <v>293</v>
      </c>
      <c r="M29" s="4" t="s">
        <v>226</v>
      </c>
      <c r="N29" s="4" t="s">
        <v>232</v>
      </c>
      <c r="Q29" s="4" t="s">
        <v>2319</v>
      </c>
      <c r="R29" s="4" t="s">
        <v>2320</v>
      </c>
      <c r="S29" s="162" t="s">
        <v>2320</v>
      </c>
    </row>
    <row r="30">
      <c r="A30" s="67" t="str">
        <f t="shared" si="1"/>
        <v>Tue</v>
      </c>
      <c r="B30" s="69">
        <v>43459.0</v>
      </c>
      <c r="D30" s="161">
        <v>300.0</v>
      </c>
      <c r="E30" s="4" t="s">
        <v>337</v>
      </c>
      <c r="F30" s="4" t="s">
        <v>2318</v>
      </c>
      <c r="I30" s="4" t="s">
        <v>395</v>
      </c>
      <c r="S30" s="15"/>
    </row>
    <row r="31">
      <c r="A31" s="67" t="str">
        <f t="shared" si="1"/>
        <v>Wed</v>
      </c>
      <c r="B31" s="69">
        <v>43460.0</v>
      </c>
      <c r="D31" s="161">
        <v>300.0</v>
      </c>
      <c r="E31" s="4" t="s">
        <v>337</v>
      </c>
      <c r="F31" s="4" t="s">
        <v>2318</v>
      </c>
      <c r="I31" s="4" t="s">
        <v>395</v>
      </c>
      <c r="S31" s="15"/>
    </row>
    <row r="32">
      <c r="A32" s="67" t="str">
        <f t="shared" si="1"/>
        <v>Thu</v>
      </c>
      <c r="B32" s="69">
        <v>43461.0</v>
      </c>
      <c r="D32">
        <f t="shared" ref="D32:D39" si="2">6547.5/8</f>
        <v>818.4375</v>
      </c>
      <c r="E32" s="4" t="s">
        <v>222</v>
      </c>
      <c r="F32" s="4" t="s">
        <v>2321</v>
      </c>
      <c r="G32" s="4" t="s">
        <v>2321</v>
      </c>
      <c r="H32" s="4" t="s">
        <v>2318</v>
      </c>
      <c r="I32" s="4" t="s">
        <v>395</v>
      </c>
      <c r="K32" s="4"/>
      <c r="L32" s="4" t="s">
        <v>293</v>
      </c>
      <c r="M32" s="4" t="s">
        <v>2322</v>
      </c>
      <c r="Q32" t="s">
        <v>2323</v>
      </c>
      <c r="R32" t="s">
        <v>2324</v>
      </c>
      <c r="S32" t="s">
        <v>2324</v>
      </c>
    </row>
    <row r="33">
      <c r="A33" s="67" t="str">
        <f t="shared" si="1"/>
        <v>Fri</v>
      </c>
      <c r="B33" s="69">
        <v>43462.0</v>
      </c>
      <c r="D33">
        <f t="shared" si="2"/>
        <v>818.4375</v>
      </c>
      <c r="E33" s="4" t="s">
        <v>222</v>
      </c>
      <c r="F33" s="4" t="s">
        <v>2321</v>
      </c>
      <c r="I33" s="4" t="s">
        <v>395</v>
      </c>
      <c r="S33" s="15"/>
    </row>
    <row r="34">
      <c r="A34" s="67" t="str">
        <f t="shared" si="1"/>
        <v>Sat</v>
      </c>
      <c r="B34" s="69">
        <v>43463.0</v>
      </c>
      <c r="D34">
        <f t="shared" si="2"/>
        <v>818.4375</v>
      </c>
      <c r="E34" s="4" t="s">
        <v>222</v>
      </c>
      <c r="F34" s="4" t="s">
        <v>2321</v>
      </c>
      <c r="I34" s="4" t="s">
        <v>395</v>
      </c>
      <c r="S34" s="15"/>
    </row>
    <row r="35">
      <c r="A35" s="67" t="str">
        <f t="shared" si="1"/>
        <v>Sun</v>
      </c>
      <c r="B35" s="69">
        <v>43464.0</v>
      </c>
      <c r="D35">
        <f t="shared" si="2"/>
        <v>818.4375</v>
      </c>
      <c r="E35" s="4" t="s">
        <v>222</v>
      </c>
      <c r="F35" s="4" t="s">
        <v>2321</v>
      </c>
      <c r="I35" s="4" t="s">
        <v>395</v>
      </c>
      <c r="S35" s="15"/>
    </row>
    <row r="36">
      <c r="A36" s="67" t="str">
        <f t="shared" si="1"/>
        <v>Mon</v>
      </c>
      <c r="B36" s="69">
        <v>43465.0</v>
      </c>
      <c r="D36">
        <f t="shared" si="2"/>
        <v>818.4375</v>
      </c>
      <c r="E36" s="4" t="s">
        <v>222</v>
      </c>
      <c r="F36" s="4" t="s">
        <v>2321</v>
      </c>
      <c r="I36" s="4" t="s">
        <v>395</v>
      </c>
      <c r="S36" s="15"/>
    </row>
    <row r="37">
      <c r="A37" s="67" t="str">
        <f t="shared" si="1"/>
        <v>Tue</v>
      </c>
      <c r="B37" s="69">
        <v>43466.0</v>
      </c>
      <c r="D37">
        <f t="shared" si="2"/>
        <v>818.4375</v>
      </c>
      <c r="E37" s="4" t="s">
        <v>222</v>
      </c>
      <c r="F37" s="4" t="s">
        <v>2321</v>
      </c>
      <c r="I37" s="4" t="s">
        <v>395</v>
      </c>
      <c r="S37" s="15"/>
    </row>
    <row r="38">
      <c r="A38" s="67" t="str">
        <f t="shared" si="1"/>
        <v>Wed</v>
      </c>
      <c r="B38" s="69">
        <v>43467.0</v>
      </c>
      <c r="D38">
        <f t="shared" si="2"/>
        <v>818.4375</v>
      </c>
      <c r="E38" s="4" t="s">
        <v>222</v>
      </c>
      <c r="F38" s="4" t="s">
        <v>2321</v>
      </c>
      <c r="I38" s="4" t="s">
        <v>395</v>
      </c>
      <c r="S38" s="15"/>
    </row>
    <row r="39">
      <c r="A39" s="67" t="str">
        <f t="shared" si="1"/>
        <v>Thu</v>
      </c>
      <c r="B39" s="69">
        <v>43468.0</v>
      </c>
      <c r="D39">
        <f t="shared" si="2"/>
        <v>818.4375</v>
      </c>
      <c r="E39" s="4" t="s">
        <v>222</v>
      </c>
      <c r="F39" s="4" t="s">
        <v>2321</v>
      </c>
      <c r="I39" s="4" t="s">
        <v>395</v>
      </c>
      <c r="S39" s="15"/>
    </row>
    <row r="40">
      <c r="A40" s="67" t="str">
        <f t="shared" si="1"/>
        <v>Fri</v>
      </c>
      <c r="B40" s="69">
        <v>43469.0</v>
      </c>
      <c r="D40">
        <f t="shared" ref="D40:D41" si="3">1067/2</f>
        <v>533.5</v>
      </c>
      <c r="E40" s="4" t="s">
        <v>222</v>
      </c>
      <c r="F40" s="4" t="s">
        <v>2325</v>
      </c>
      <c r="H40" s="4" t="s">
        <v>2321</v>
      </c>
      <c r="I40" s="4" t="s">
        <v>395</v>
      </c>
      <c r="K40" s="4"/>
      <c r="L40" s="4" t="s">
        <v>293</v>
      </c>
      <c r="M40" s="4" t="s">
        <v>2326</v>
      </c>
      <c r="N40" s="4" t="s">
        <v>2327</v>
      </c>
      <c r="Q40" s="4" t="s">
        <v>2328</v>
      </c>
      <c r="R40" s="167" t="s">
        <v>2329</v>
      </c>
      <c r="S40" s="242" t="s">
        <v>2329</v>
      </c>
    </row>
    <row r="41">
      <c r="A41" s="67" t="str">
        <f t="shared" si="1"/>
        <v>Sat</v>
      </c>
      <c r="B41" s="69">
        <v>43470.0</v>
      </c>
      <c r="D41">
        <f t="shared" si="3"/>
        <v>533.5</v>
      </c>
      <c r="E41" s="4" t="s">
        <v>222</v>
      </c>
      <c r="F41" s="4" t="s">
        <v>2325</v>
      </c>
      <c r="I41" s="4" t="s">
        <v>395</v>
      </c>
      <c r="S41" s="15"/>
    </row>
    <row r="42">
      <c r="A42" s="67" t="str">
        <f t="shared" si="1"/>
        <v>Sun</v>
      </c>
      <c r="B42" s="69">
        <v>43471.0</v>
      </c>
      <c r="D42">
        <f t="shared" ref="D42:D43" si="4">776/2</f>
        <v>388</v>
      </c>
      <c r="E42" s="4" t="s">
        <v>222</v>
      </c>
      <c r="F42" s="4" t="s">
        <v>2330</v>
      </c>
      <c r="H42" s="4" t="s">
        <v>2325</v>
      </c>
      <c r="I42" s="4" t="s">
        <v>395</v>
      </c>
      <c r="K42" s="4"/>
      <c r="L42" s="4" t="s">
        <v>293</v>
      </c>
      <c r="M42" s="4" t="s">
        <v>226</v>
      </c>
      <c r="N42" s="4" t="s">
        <v>232</v>
      </c>
      <c r="Q42" s="4" t="s">
        <v>2331</v>
      </c>
      <c r="R42" s="167" t="s">
        <v>2332</v>
      </c>
      <c r="S42" s="242" t="s">
        <v>2332</v>
      </c>
    </row>
    <row r="43">
      <c r="A43" s="67" t="str">
        <f t="shared" si="1"/>
        <v>Mon</v>
      </c>
      <c r="B43" s="69">
        <v>43472.0</v>
      </c>
      <c r="D43">
        <f t="shared" si="4"/>
        <v>388</v>
      </c>
      <c r="E43" s="4" t="s">
        <v>222</v>
      </c>
      <c r="F43" s="4" t="s">
        <v>2330</v>
      </c>
      <c r="I43" s="4" t="s">
        <v>395</v>
      </c>
      <c r="S43" s="15"/>
    </row>
    <row r="44">
      <c r="A44" s="67" t="str">
        <f t="shared" si="1"/>
        <v>Tue</v>
      </c>
      <c r="B44" s="69">
        <v>43473.0</v>
      </c>
      <c r="D44" s="161">
        <v>436.5</v>
      </c>
      <c r="E44" s="4" t="s">
        <v>222</v>
      </c>
      <c r="F44" s="4" t="s">
        <v>2333</v>
      </c>
      <c r="G44" s="4" t="s">
        <v>2333</v>
      </c>
      <c r="H44" s="4" t="s">
        <v>2330</v>
      </c>
      <c r="I44" s="4" t="s">
        <v>359</v>
      </c>
      <c r="K44" s="4"/>
      <c r="L44" s="4" t="s">
        <v>225</v>
      </c>
      <c r="M44" s="4" t="s">
        <v>2334</v>
      </c>
      <c r="Q44" s="4" t="s">
        <v>2335</v>
      </c>
      <c r="R44" s="4" t="s">
        <v>2336</v>
      </c>
      <c r="S44" s="162" t="s">
        <v>2336</v>
      </c>
    </row>
    <row r="45">
      <c r="A45" s="67" t="str">
        <f t="shared" si="1"/>
        <v>Wed</v>
      </c>
      <c r="B45" s="69">
        <v>43474.0</v>
      </c>
      <c r="D45" s="161">
        <v>436.5</v>
      </c>
      <c r="E45" s="4" t="s">
        <v>222</v>
      </c>
      <c r="F45" s="4" t="s">
        <v>2333</v>
      </c>
      <c r="I45" s="4" t="s">
        <v>359</v>
      </c>
      <c r="S45" s="15"/>
    </row>
    <row r="46">
      <c r="A46" s="67" t="str">
        <f t="shared" si="1"/>
        <v>Thu</v>
      </c>
      <c r="B46" s="69">
        <v>43475.0</v>
      </c>
      <c r="D46" s="161">
        <v>436.5</v>
      </c>
      <c r="E46" s="4" t="s">
        <v>222</v>
      </c>
      <c r="F46" s="4" t="s">
        <v>2333</v>
      </c>
      <c r="I46" s="4" t="s">
        <v>359</v>
      </c>
      <c r="S46" s="15"/>
    </row>
    <row r="47">
      <c r="A47" s="67" t="str">
        <f t="shared" si="1"/>
        <v>Fri</v>
      </c>
      <c r="B47" s="69">
        <v>43476.0</v>
      </c>
      <c r="D47" s="161">
        <v>436.5</v>
      </c>
      <c r="E47" s="4" t="s">
        <v>222</v>
      </c>
      <c r="F47" s="4" t="s">
        <v>2333</v>
      </c>
      <c r="I47" s="4" t="s">
        <v>359</v>
      </c>
      <c r="S47" s="15"/>
    </row>
    <row r="48">
      <c r="A48" s="67" t="str">
        <f t="shared" si="1"/>
        <v>Sat</v>
      </c>
      <c r="B48" s="69">
        <v>43477.0</v>
      </c>
      <c r="D48" s="161">
        <v>436.5</v>
      </c>
      <c r="E48" s="4" t="s">
        <v>222</v>
      </c>
      <c r="F48" s="4" t="s">
        <v>2333</v>
      </c>
      <c r="I48" s="4" t="s">
        <v>359</v>
      </c>
      <c r="S48" s="15"/>
    </row>
    <row r="49">
      <c r="A49" s="67" t="str">
        <f t="shared" si="1"/>
        <v>Sun</v>
      </c>
      <c r="B49" s="69">
        <v>43478.0</v>
      </c>
      <c r="D49" s="161">
        <v>291.0</v>
      </c>
      <c r="E49" s="4" t="s">
        <v>222</v>
      </c>
      <c r="F49" s="4" t="s">
        <v>2337</v>
      </c>
      <c r="G49" s="4" t="s">
        <v>2337</v>
      </c>
      <c r="H49" s="4" t="s">
        <v>2333</v>
      </c>
      <c r="I49" s="4" t="s">
        <v>359</v>
      </c>
      <c r="K49" s="4"/>
      <c r="L49" s="4" t="s">
        <v>225</v>
      </c>
      <c r="M49" s="4" t="s">
        <v>2338</v>
      </c>
      <c r="Q49" s="4" t="s">
        <v>2339</v>
      </c>
      <c r="R49" s="4" t="s">
        <v>2340</v>
      </c>
      <c r="S49" s="162" t="s">
        <v>2340</v>
      </c>
    </row>
    <row r="50">
      <c r="A50" s="67" t="str">
        <f t="shared" si="1"/>
        <v>Mon</v>
      </c>
      <c r="B50" s="69">
        <v>43479.0</v>
      </c>
      <c r="D50" s="161">
        <v>401.58</v>
      </c>
      <c r="E50" s="4" t="s">
        <v>222</v>
      </c>
      <c r="F50" s="4" t="s">
        <v>2341</v>
      </c>
      <c r="G50" s="4" t="s">
        <v>2341</v>
      </c>
      <c r="H50" s="4" t="s">
        <v>2337</v>
      </c>
      <c r="I50" s="4" t="s">
        <v>359</v>
      </c>
      <c r="K50" s="4"/>
      <c r="L50" s="4" t="s">
        <v>225</v>
      </c>
      <c r="M50" s="4" t="s">
        <v>2342</v>
      </c>
      <c r="N50" s="4" t="s">
        <v>2343</v>
      </c>
      <c r="Q50" s="4" t="s">
        <v>2344</v>
      </c>
      <c r="R50" s="4" t="s">
        <v>2345</v>
      </c>
      <c r="S50" s="162" t="s">
        <v>2345</v>
      </c>
    </row>
    <row r="51">
      <c r="A51" s="67" t="str">
        <f t="shared" si="1"/>
        <v>Tue</v>
      </c>
      <c r="B51" s="69">
        <v>43480.0</v>
      </c>
      <c r="D51" s="161">
        <v>401.58</v>
      </c>
      <c r="E51" s="4" t="s">
        <v>222</v>
      </c>
      <c r="F51" s="4" t="s">
        <v>2341</v>
      </c>
      <c r="I51" s="4" t="s">
        <v>359</v>
      </c>
      <c r="S51" s="15"/>
    </row>
    <row r="52">
      <c r="A52" s="67" t="str">
        <f t="shared" si="1"/>
        <v>Wed</v>
      </c>
      <c r="B52" s="69">
        <v>43481.0</v>
      </c>
      <c r="D52" s="161">
        <v>401.58</v>
      </c>
      <c r="E52" s="4" t="s">
        <v>222</v>
      </c>
      <c r="F52" s="4" t="s">
        <v>2341</v>
      </c>
      <c r="I52" s="4" t="s">
        <v>359</v>
      </c>
      <c r="S52" s="15"/>
    </row>
    <row r="53">
      <c r="A53" s="67" t="str">
        <f t="shared" si="1"/>
        <v>Thu</v>
      </c>
      <c r="B53" s="69">
        <v>43482.0</v>
      </c>
      <c r="D53" s="161">
        <v>401.58</v>
      </c>
      <c r="E53" s="4" t="s">
        <v>222</v>
      </c>
      <c r="F53" s="4" t="s">
        <v>2341</v>
      </c>
      <c r="I53" s="4" t="s">
        <v>359</v>
      </c>
      <c r="S53" s="15"/>
    </row>
    <row r="54">
      <c r="A54" s="67" t="str">
        <f t="shared" si="1"/>
        <v>Fri</v>
      </c>
      <c r="B54" s="69">
        <v>43483.0</v>
      </c>
      <c r="D54" s="161">
        <v>401.58</v>
      </c>
      <c r="E54" s="4" t="s">
        <v>222</v>
      </c>
      <c r="F54" s="4" t="s">
        <v>2341</v>
      </c>
      <c r="I54" s="4" t="s">
        <v>359</v>
      </c>
      <c r="S54" s="15"/>
    </row>
    <row r="55">
      <c r="A55" s="67" t="str">
        <f t="shared" si="1"/>
        <v>Sat</v>
      </c>
      <c r="B55" s="69">
        <v>43484.0</v>
      </c>
      <c r="D55" s="161">
        <v>401.58</v>
      </c>
      <c r="E55" s="4" t="s">
        <v>222</v>
      </c>
      <c r="F55" s="4" t="s">
        <v>2341</v>
      </c>
      <c r="I55" s="4" t="s">
        <v>359</v>
      </c>
      <c r="S55" s="15"/>
    </row>
    <row r="56">
      <c r="A56" s="67" t="str">
        <f t="shared" si="1"/>
        <v>Sun</v>
      </c>
      <c r="B56" s="69">
        <v>43485.0</v>
      </c>
      <c r="D56" s="161">
        <v>401.58</v>
      </c>
      <c r="E56" s="4" t="s">
        <v>222</v>
      </c>
      <c r="F56" s="4" t="s">
        <v>2341</v>
      </c>
      <c r="I56" s="4" t="s">
        <v>359</v>
      </c>
      <c r="S56" s="15"/>
    </row>
    <row r="57">
      <c r="A57" s="67" t="str">
        <f t="shared" si="1"/>
        <v>Mon</v>
      </c>
      <c r="B57" s="69">
        <v>43486.0</v>
      </c>
      <c r="D57" s="161">
        <v>401.58</v>
      </c>
      <c r="E57" s="4" t="s">
        <v>222</v>
      </c>
      <c r="F57" s="4" t="s">
        <v>2341</v>
      </c>
      <c r="I57" s="4" t="s">
        <v>359</v>
      </c>
      <c r="S57" s="15"/>
    </row>
    <row r="58">
      <c r="A58" s="67" t="str">
        <f t="shared" si="1"/>
        <v>Tue</v>
      </c>
      <c r="B58" s="69">
        <v>43487.0</v>
      </c>
      <c r="D58" s="161">
        <v>401.58</v>
      </c>
      <c r="E58" s="4" t="s">
        <v>222</v>
      </c>
      <c r="F58" s="4" t="s">
        <v>2341</v>
      </c>
      <c r="I58" s="4" t="s">
        <v>359</v>
      </c>
      <c r="S58" s="15"/>
    </row>
    <row r="59">
      <c r="A59" s="67" t="str">
        <f t="shared" si="1"/>
        <v>Wed</v>
      </c>
      <c r="B59" s="69">
        <v>43488.0</v>
      </c>
      <c r="D59" s="161">
        <v>401.58</v>
      </c>
      <c r="E59" s="4" t="s">
        <v>222</v>
      </c>
      <c r="F59" s="4" t="s">
        <v>2341</v>
      </c>
      <c r="I59" s="4" t="s">
        <v>359</v>
      </c>
      <c r="S59" s="15"/>
    </row>
    <row r="60">
      <c r="A60" s="67" t="str">
        <f t="shared" si="1"/>
        <v>Thu</v>
      </c>
      <c r="B60" s="69">
        <v>43489.0</v>
      </c>
      <c r="D60" s="161">
        <v>401.58</v>
      </c>
      <c r="E60" s="4" t="s">
        <v>222</v>
      </c>
      <c r="F60" s="4" t="s">
        <v>2341</v>
      </c>
      <c r="I60" s="4" t="s">
        <v>359</v>
      </c>
      <c r="S60" s="15"/>
    </row>
    <row r="61">
      <c r="A61" s="67" t="str">
        <f t="shared" si="1"/>
        <v>Fri</v>
      </c>
      <c r="B61" s="69">
        <v>43490.0</v>
      </c>
      <c r="D61" s="4">
        <v>550.0</v>
      </c>
      <c r="E61" s="4" t="s">
        <v>337</v>
      </c>
      <c r="F61" s="4" t="s">
        <v>786</v>
      </c>
      <c r="G61" s="4" t="s">
        <v>786</v>
      </c>
      <c r="H61" s="4" t="s">
        <v>2341</v>
      </c>
      <c r="I61" s="4" t="s">
        <v>395</v>
      </c>
      <c r="J61" s="4" t="s">
        <v>2346</v>
      </c>
      <c r="K61" s="4" t="s">
        <v>231</v>
      </c>
      <c r="L61" s="4" t="s">
        <v>225</v>
      </c>
      <c r="M61" s="4" t="s">
        <v>226</v>
      </c>
      <c r="N61" s="4" t="s">
        <v>232</v>
      </c>
      <c r="Q61" s="4" t="s">
        <v>2347</v>
      </c>
      <c r="R61" s="167" t="s">
        <v>2348</v>
      </c>
      <c r="S61" s="242" t="s">
        <v>2348</v>
      </c>
    </row>
    <row r="62">
      <c r="A62" s="67" t="str">
        <f t="shared" si="1"/>
        <v>Sat</v>
      </c>
      <c r="B62" s="69">
        <v>43491.0</v>
      </c>
      <c r="D62" s="4">
        <v>550.0</v>
      </c>
      <c r="E62" s="4" t="s">
        <v>337</v>
      </c>
      <c r="F62" s="4" t="s">
        <v>786</v>
      </c>
      <c r="I62" s="4" t="s">
        <v>395</v>
      </c>
      <c r="S62" s="15"/>
    </row>
    <row r="63">
      <c r="A63" s="67" t="str">
        <f t="shared" si="1"/>
        <v>Sun</v>
      </c>
      <c r="B63" s="69">
        <v>43492.0</v>
      </c>
      <c r="D63" s="4">
        <v>339.5</v>
      </c>
      <c r="E63" s="4" t="s">
        <v>222</v>
      </c>
      <c r="F63" s="4" t="s">
        <v>2349</v>
      </c>
      <c r="G63" s="4" t="s">
        <v>2349</v>
      </c>
      <c r="H63" s="4" t="s">
        <v>786</v>
      </c>
      <c r="I63" s="4" t="s">
        <v>359</v>
      </c>
      <c r="L63" s="4" t="s">
        <v>225</v>
      </c>
      <c r="S63" s="15"/>
    </row>
    <row r="64">
      <c r="A64" s="67" t="str">
        <f t="shared" si="1"/>
        <v>Mon</v>
      </c>
      <c r="B64" s="69">
        <v>43493.0</v>
      </c>
      <c r="D64" s="4">
        <v>339.5</v>
      </c>
      <c r="E64" s="4" t="s">
        <v>222</v>
      </c>
      <c r="F64" s="4" t="s">
        <v>2349</v>
      </c>
      <c r="I64" s="4" t="s">
        <v>359</v>
      </c>
      <c r="S64" s="15"/>
    </row>
    <row r="65">
      <c r="A65" s="67" t="str">
        <f t="shared" si="1"/>
        <v>Tue</v>
      </c>
      <c r="B65" s="69">
        <v>43494.0</v>
      </c>
      <c r="D65" s="4">
        <v>339.5</v>
      </c>
      <c r="E65" s="4" t="s">
        <v>222</v>
      </c>
      <c r="F65" s="4" t="s">
        <v>2349</v>
      </c>
      <c r="I65" s="4" t="s">
        <v>359</v>
      </c>
      <c r="S65" s="15"/>
    </row>
    <row r="66">
      <c r="A66" s="67" t="str">
        <f t="shared" si="1"/>
        <v>Wed</v>
      </c>
      <c r="B66" s="69">
        <v>43495.0</v>
      </c>
      <c r="D66" s="4">
        <v>339.5</v>
      </c>
      <c r="E66" s="4" t="s">
        <v>222</v>
      </c>
      <c r="F66" s="4" t="s">
        <v>2349</v>
      </c>
      <c r="I66" s="4" t="s">
        <v>359</v>
      </c>
      <c r="S66" s="15"/>
    </row>
    <row r="67">
      <c r="A67" s="67" t="str">
        <f t="shared" si="1"/>
        <v>Thu</v>
      </c>
      <c r="B67" s="69">
        <v>43496.0</v>
      </c>
      <c r="D67" s="161">
        <v>349.2</v>
      </c>
      <c r="E67" s="4" t="s">
        <v>222</v>
      </c>
      <c r="F67" s="4" t="s">
        <v>2350</v>
      </c>
      <c r="G67" s="4" t="s">
        <v>2350</v>
      </c>
      <c r="H67" s="4" t="s">
        <v>2349</v>
      </c>
      <c r="I67" s="4" t="s">
        <v>359</v>
      </c>
      <c r="K67" s="4"/>
      <c r="L67" s="4" t="s">
        <v>225</v>
      </c>
      <c r="M67" s="4" t="s">
        <v>2351</v>
      </c>
      <c r="N67" s="4" t="s">
        <v>2352</v>
      </c>
      <c r="S67" s="15"/>
    </row>
    <row r="68">
      <c r="A68" s="67" t="str">
        <f t="shared" si="1"/>
        <v>Fri</v>
      </c>
      <c r="B68" s="69">
        <v>43497.0</v>
      </c>
      <c r="D68" s="161">
        <v>349.2</v>
      </c>
      <c r="E68" s="4" t="s">
        <v>222</v>
      </c>
      <c r="F68" s="4" t="s">
        <v>2350</v>
      </c>
      <c r="I68" s="4" t="s">
        <v>359</v>
      </c>
      <c r="S68" s="15"/>
    </row>
    <row r="69">
      <c r="A69" s="67" t="str">
        <f t="shared" si="1"/>
        <v>Sat</v>
      </c>
      <c r="B69" s="69">
        <v>43498.0</v>
      </c>
      <c r="D69" s="161">
        <v>349.2</v>
      </c>
      <c r="E69" s="4" t="s">
        <v>222</v>
      </c>
      <c r="F69" s="4" t="s">
        <v>2350</v>
      </c>
      <c r="I69" s="4" t="s">
        <v>359</v>
      </c>
      <c r="S69" s="15"/>
    </row>
    <row r="70">
      <c r="A70" s="67" t="str">
        <f t="shared" si="1"/>
        <v>Sun</v>
      </c>
      <c r="B70" s="69">
        <v>43499.0</v>
      </c>
      <c r="D70" s="161">
        <v>349.2</v>
      </c>
      <c r="E70" s="4" t="s">
        <v>222</v>
      </c>
      <c r="F70" s="4" t="s">
        <v>2350</v>
      </c>
      <c r="I70" s="4" t="s">
        <v>359</v>
      </c>
      <c r="S70" s="15"/>
    </row>
    <row r="71">
      <c r="A71" s="67" t="str">
        <f t="shared" si="1"/>
        <v>Mon</v>
      </c>
      <c r="B71" s="69">
        <v>43500.0</v>
      </c>
      <c r="D71" s="161">
        <v>349.2</v>
      </c>
      <c r="E71" s="4" t="s">
        <v>222</v>
      </c>
      <c r="F71" s="4" t="s">
        <v>2350</v>
      </c>
      <c r="I71" s="4" t="s">
        <v>359</v>
      </c>
      <c r="S71" s="15"/>
    </row>
    <row r="72">
      <c r="A72" s="67" t="str">
        <f t="shared" si="1"/>
        <v>Tue</v>
      </c>
      <c r="B72" s="69">
        <v>43501.0</v>
      </c>
      <c r="D72" s="161">
        <v>349.2</v>
      </c>
      <c r="E72" s="4" t="s">
        <v>222</v>
      </c>
      <c r="F72" s="4" t="s">
        <v>2350</v>
      </c>
      <c r="I72" s="4" t="s">
        <v>359</v>
      </c>
      <c r="S72" s="15"/>
    </row>
    <row r="73">
      <c r="A73" s="67" t="str">
        <f t="shared" si="1"/>
        <v>Wed</v>
      </c>
      <c r="B73" s="69">
        <v>43502.0</v>
      </c>
      <c r="D73" s="161">
        <v>349.2</v>
      </c>
      <c r="E73" s="4" t="s">
        <v>222</v>
      </c>
      <c r="F73" s="4" t="s">
        <v>2350</v>
      </c>
      <c r="I73" s="4" t="s">
        <v>359</v>
      </c>
      <c r="S73" s="15"/>
    </row>
    <row r="74">
      <c r="A74" s="67" t="str">
        <f t="shared" si="1"/>
        <v>Thu</v>
      </c>
      <c r="B74" s="69">
        <v>43503.0</v>
      </c>
      <c r="D74" s="193">
        <v>237.65</v>
      </c>
      <c r="E74" s="4" t="s">
        <v>222</v>
      </c>
      <c r="F74" s="4" t="s">
        <v>2350</v>
      </c>
      <c r="I74" s="4" t="s">
        <v>359</v>
      </c>
      <c r="R74" s="4"/>
      <c r="S74" s="162"/>
    </row>
    <row r="75">
      <c r="A75" s="67" t="str">
        <f t="shared" si="1"/>
        <v>Fri</v>
      </c>
      <c r="B75" s="69">
        <v>43504.0</v>
      </c>
      <c r="D75" s="161">
        <v>323.3333333333333</v>
      </c>
      <c r="E75" s="4" t="s">
        <v>222</v>
      </c>
      <c r="F75" s="4" t="s">
        <v>2353</v>
      </c>
      <c r="G75" s="4" t="s">
        <v>2353</v>
      </c>
      <c r="H75" s="4" t="s">
        <v>2350</v>
      </c>
      <c r="I75" s="4" t="s">
        <v>359</v>
      </c>
      <c r="K75" s="4" t="s">
        <v>231</v>
      </c>
      <c r="L75" s="4" t="s">
        <v>225</v>
      </c>
      <c r="M75" s="4" t="s">
        <v>226</v>
      </c>
      <c r="S75" s="15"/>
    </row>
    <row r="76">
      <c r="A76" s="67" t="str">
        <f t="shared" si="1"/>
        <v>Sat</v>
      </c>
      <c r="B76" s="69">
        <v>43505.0</v>
      </c>
      <c r="D76" s="161">
        <v>323.3333333333333</v>
      </c>
      <c r="E76" s="4" t="s">
        <v>222</v>
      </c>
      <c r="F76" s="4" t="s">
        <v>2353</v>
      </c>
      <c r="I76" s="4" t="s">
        <v>359</v>
      </c>
      <c r="S76" s="15"/>
    </row>
    <row r="77">
      <c r="A77" s="67" t="str">
        <f t="shared" si="1"/>
        <v>Sun</v>
      </c>
      <c r="B77" s="69">
        <v>43506.0</v>
      </c>
      <c r="D77" s="161">
        <v>323.3333333333333</v>
      </c>
      <c r="E77" s="4" t="s">
        <v>222</v>
      </c>
      <c r="F77" s="4" t="s">
        <v>2353</v>
      </c>
      <c r="I77" s="4" t="s">
        <v>359</v>
      </c>
      <c r="S77" s="15"/>
    </row>
    <row r="78">
      <c r="A78" s="67" t="str">
        <f t="shared" si="1"/>
        <v>Mon</v>
      </c>
      <c r="B78" s="69">
        <v>43507.0</v>
      </c>
      <c r="D78" s="161">
        <v>392.85</v>
      </c>
      <c r="E78" s="4" t="s">
        <v>222</v>
      </c>
      <c r="F78" s="4" t="s">
        <v>2354</v>
      </c>
      <c r="G78" s="4" t="s">
        <v>2354</v>
      </c>
      <c r="H78" s="4" t="s">
        <v>2353</v>
      </c>
      <c r="I78" s="4" t="s">
        <v>359</v>
      </c>
      <c r="K78" s="4"/>
      <c r="L78" s="4" t="s">
        <v>225</v>
      </c>
      <c r="M78" s="4" t="s">
        <v>2355</v>
      </c>
      <c r="N78" s="4" t="s">
        <v>2356</v>
      </c>
      <c r="Q78" s="4" t="s">
        <v>2357</v>
      </c>
      <c r="S78" s="15"/>
    </row>
    <row r="79">
      <c r="A79" s="67" t="str">
        <f t="shared" si="1"/>
        <v>Tue</v>
      </c>
      <c r="B79" s="69">
        <v>43508.0</v>
      </c>
      <c r="D79" s="161">
        <v>392.85</v>
      </c>
      <c r="E79" s="4" t="s">
        <v>222</v>
      </c>
      <c r="F79" s="4" t="s">
        <v>2354</v>
      </c>
      <c r="I79" s="4" t="s">
        <v>359</v>
      </c>
      <c r="S79" s="15"/>
    </row>
    <row r="80">
      <c r="A80" s="67" t="str">
        <f t="shared" si="1"/>
        <v>Wed</v>
      </c>
      <c r="B80" s="69">
        <v>43509.0</v>
      </c>
      <c r="D80" s="161">
        <v>392.85</v>
      </c>
      <c r="E80" s="4" t="s">
        <v>222</v>
      </c>
      <c r="F80" s="4" t="s">
        <v>2354</v>
      </c>
      <c r="I80" s="4" t="s">
        <v>359</v>
      </c>
      <c r="S80" s="15"/>
    </row>
    <row r="81">
      <c r="A81" s="67" t="str">
        <f t="shared" si="1"/>
        <v>Thu</v>
      </c>
      <c r="B81" s="69">
        <v>43510.0</v>
      </c>
      <c r="D81" s="161">
        <v>392.85</v>
      </c>
      <c r="E81" s="4" t="s">
        <v>222</v>
      </c>
      <c r="F81" s="4" t="s">
        <v>2354</v>
      </c>
      <c r="I81" s="4" t="s">
        <v>359</v>
      </c>
      <c r="S81" s="15"/>
    </row>
    <row r="82">
      <c r="A82" s="67" t="str">
        <f t="shared" si="1"/>
        <v>Fri</v>
      </c>
      <c r="B82" s="69">
        <v>43511.0</v>
      </c>
      <c r="D82" s="161">
        <v>392.85</v>
      </c>
      <c r="E82" s="4" t="s">
        <v>222</v>
      </c>
      <c r="F82" s="4" t="s">
        <v>2354</v>
      </c>
      <c r="I82" s="4" t="s">
        <v>359</v>
      </c>
      <c r="S82" s="15"/>
    </row>
    <row r="83">
      <c r="A83" s="67" t="str">
        <f t="shared" si="1"/>
        <v>Sat</v>
      </c>
      <c r="B83" s="69">
        <v>43512.0</v>
      </c>
      <c r="D83" s="161">
        <v>392.85</v>
      </c>
      <c r="E83" s="4" t="s">
        <v>222</v>
      </c>
      <c r="F83" s="4" t="s">
        <v>2354</v>
      </c>
      <c r="I83" s="4" t="s">
        <v>359</v>
      </c>
      <c r="S83" s="15"/>
    </row>
    <row r="84">
      <c r="A84" s="67" t="str">
        <f t="shared" si="1"/>
        <v>Sun</v>
      </c>
      <c r="B84" s="69">
        <v>43513.0</v>
      </c>
      <c r="D84" s="161">
        <v>392.85</v>
      </c>
      <c r="E84" s="4" t="s">
        <v>222</v>
      </c>
      <c r="F84" s="4" t="s">
        <v>2354</v>
      </c>
      <c r="I84" s="4" t="s">
        <v>359</v>
      </c>
      <c r="S84" s="15"/>
    </row>
    <row r="85">
      <c r="A85" s="67" t="str">
        <f t="shared" si="1"/>
        <v>Mon</v>
      </c>
      <c r="B85" s="69">
        <v>43514.0</v>
      </c>
      <c r="D85" s="161">
        <v>392.85</v>
      </c>
      <c r="E85" s="4" t="s">
        <v>222</v>
      </c>
      <c r="F85" s="4" t="s">
        <v>2354</v>
      </c>
      <c r="I85" s="4" t="s">
        <v>359</v>
      </c>
      <c r="S85" s="15"/>
    </row>
    <row r="86">
      <c r="A86" s="67" t="str">
        <f t="shared" si="1"/>
        <v>Tue</v>
      </c>
      <c r="B86" s="69">
        <v>43515.0</v>
      </c>
      <c r="D86" s="161">
        <v>392.85</v>
      </c>
      <c r="E86" s="4" t="s">
        <v>222</v>
      </c>
      <c r="F86" s="4" t="s">
        <v>2354</v>
      </c>
      <c r="I86" s="4" t="s">
        <v>359</v>
      </c>
      <c r="S86" s="15"/>
    </row>
    <row r="87">
      <c r="A87" s="67" t="str">
        <f t="shared" si="1"/>
        <v>Wed</v>
      </c>
      <c r="B87" s="69">
        <v>43516.0</v>
      </c>
      <c r="D87" s="161">
        <v>194.0</v>
      </c>
      <c r="E87" s="4" t="s">
        <v>222</v>
      </c>
      <c r="F87" s="4" t="s">
        <v>2358</v>
      </c>
      <c r="G87" s="4" t="s">
        <v>2358</v>
      </c>
      <c r="H87" s="4" t="s">
        <v>2354</v>
      </c>
      <c r="I87" s="4" t="s">
        <v>359</v>
      </c>
      <c r="K87" s="4" t="s">
        <v>231</v>
      </c>
      <c r="L87" s="4" t="s">
        <v>293</v>
      </c>
      <c r="Q87" s="4" t="s">
        <v>2359</v>
      </c>
      <c r="R87" s="4" t="s">
        <v>2360</v>
      </c>
      <c r="S87" s="162" t="s">
        <v>2360</v>
      </c>
    </row>
    <row r="88">
      <c r="A88" s="67" t="str">
        <f t="shared" si="1"/>
        <v>Thu</v>
      </c>
      <c r="B88" s="69">
        <v>43517.0</v>
      </c>
      <c r="D88" s="161">
        <v>194.0</v>
      </c>
      <c r="E88" s="4" t="s">
        <v>222</v>
      </c>
      <c r="F88" s="4" t="s">
        <v>2358</v>
      </c>
      <c r="I88" s="4" t="s">
        <v>359</v>
      </c>
      <c r="S88" s="15"/>
    </row>
    <row r="89">
      <c r="A89" s="67" t="str">
        <f t="shared" si="1"/>
        <v>Fri</v>
      </c>
      <c r="B89" s="69">
        <v>43518.0</v>
      </c>
      <c r="D89" s="161">
        <v>388.0</v>
      </c>
      <c r="E89" s="4" t="s">
        <v>222</v>
      </c>
      <c r="F89" s="4" t="s">
        <v>2361</v>
      </c>
      <c r="G89" s="4" t="s">
        <v>2361</v>
      </c>
      <c r="H89" s="4" t="s">
        <v>2358</v>
      </c>
      <c r="I89" s="4" t="s">
        <v>359</v>
      </c>
      <c r="K89" s="4"/>
      <c r="L89" s="4" t="s">
        <v>225</v>
      </c>
      <c r="M89" s="4" t="s">
        <v>2362</v>
      </c>
      <c r="N89" s="4" t="s">
        <v>2363</v>
      </c>
      <c r="S89" s="15"/>
    </row>
    <row r="90">
      <c r="A90" s="67" t="str">
        <f t="shared" si="1"/>
        <v>Sat</v>
      </c>
      <c r="B90" s="69">
        <v>43519.0</v>
      </c>
      <c r="D90" s="161">
        <v>388.0</v>
      </c>
      <c r="E90" s="4" t="s">
        <v>222</v>
      </c>
      <c r="F90" s="4" t="s">
        <v>2361</v>
      </c>
      <c r="I90" s="4" t="s">
        <v>359</v>
      </c>
      <c r="S90" s="15"/>
    </row>
    <row r="91">
      <c r="A91" s="67" t="str">
        <f t="shared" si="1"/>
        <v>Sun</v>
      </c>
      <c r="B91" s="69">
        <v>43520.0</v>
      </c>
      <c r="D91" s="161">
        <v>388.0</v>
      </c>
      <c r="E91" s="4" t="s">
        <v>222</v>
      </c>
      <c r="F91" s="4" t="s">
        <v>2361</v>
      </c>
      <c r="I91" s="4" t="s">
        <v>359</v>
      </c>
      <c r="S91" s="15"/>
    </row>
    <row r="92">
      <c r="A92" s="67" t="str">
        <f t="shared" si="1"/>
        <v>Mon</v>
      </c>
      <c r="B92" s="69">
        <v>43521.0</v>
      </c>
      <c r="D92" s="161">
        <v>388.0</v>
      </c>
      <c r="E92" s="4" t="s">
        <v>222</v>
      </c>
      <c r="F92" s="4" t="s">
        <v>2361</v>
      </c>
      <c r="I92" s="4" t="s">
        <v>359</v>
      </c>
      <c r="S92" s="15"/>
    </row>
    <row r="93">
      <c r="A93" s="67" t="str">
        <f t="shared" si="1"/>
        <v>Tue</v>
      </c>
      <c r="B93" s="69">
        <v>43522.0</v>
      </c>
      <c r="D93" s="161">
        <v>388.0</v>
      </c>
      <c r="E93" s="4" t="s">
        <v>222</v>
      </c>
      <c r="F93" s="4" t="s">
        <v>2361</v>
      </c>
      <c r="I93" s="4" t="s">
        <v>359</v>
      </c>
      <c r="S93" s="15"/>
    </row>
    <row r="94">
      <c r="A94" s="67" t="str">
        <f t="shared" si="1"/>
        <v>Wed</v>
      </c>
      <c r="B94" s="69">
        <v>43523.0</v>
      </c>
      <c r="D94" s="161">
        <v>388.0</v>
      </c>
      <c r="E94" s="4" t="s">
        <v>222</v>
      </c>
      <c r="F94" s="4" t="s">
        <v>2361</v>
      </c>
      <c r="I94" s="4" t="s">
        <v>359</v>
      </c>
      <c r="S94" s="15"/>
    </row>
    <row r="95">
      <c r="A95" s="67" t="str">
        <f t="shared" si="1"/>
        <v>Thu</v>
      </c>
      <c r="B95" s="69">
        <v>43524.0</v>
      </c>
      <c r="D95" s="161">
        <v>388.0</v>
      </c>
      <c r="E95" s="4" t="s">
        <v>222</v>
      </c>
      <c r="F95" s="4" t="s">
        <v>2361</v>
      </c>
      <c r="I95" s="4" t="s">
        <v>359</v>
      </c>
      <c r="S95" s="15"/>
    </row>
    <row r="96">
      <c r="A96" s="67" t="str">
        <f t="shared" si="1"/>
        <v>Fri</v>
      </c>
      <c r="B96" s="69">
        <v>43525.0</v>
      </c>
      <c r="D96" s="193">
        <v>600.0</v>
      </c>
      <c r="E96" s="4" t="s">
        <v>337</v>
      </c>
      <c r="F96" s="4" t="s">
        <v>2073</v>
      </c>
      <c r="G96" s="4" t="s">
        <v>2073</v>
      </c>
      <c r="H96" s="4" t="s">
        <v>2361</v>
      </c>
      <c r="I96" s="4" t="s">
        <v>395</v>
      </c>
      <c r="J96" s="4" t="s">
        <v>2364</v>
      </c>
      <c r="K96" s="4" t="s">
        <v>231</v>
      </c>
      <c r="L96" s="4" t="s">
        <v>225</v>
      </c>
      <c r="M96" s="4" t="s">
        <v>226</v>
      </c>
      <c r="N96" s="4" t="s">
        <v>232</v>
      </c>
      <c r="Q96" s="4" t="s">
        <v>2075</v>
      </c>
      <c r="R96" s="167" t="s">
        <v>2076</v>
      </c>
      <c r="S96" s="162"/>
    </row>
    <row r="97">
      <c r="A97" s="67" t="str">
        <f t="shared" si="1"/>
        <v>Sat</v>
      </c>
      <c r="B97" s="69">
        <v>43526.0</v>
      </c>
      <c r="D97" s="193">
        <v>600.0</v>
      </c>
      <c r="E97" s="4" t="s">
        <v>337</v>
      </c>
      <c r="F97" s="4" t="s">
        <v>2073</v>
      </c>
      <c r="I97" s="4" t="s">
        <v>395</v>
      </c>
      <c r="S97" s="15"/>
    </row>
    <row r="98">
      <c r="A98" s="67" t="str">
        <f t="shared" si="1"/>
        <v>Sun</v>
      </c>
      <c r="B98" s="69">
        <v>43527.0</v>
      </c>
      <c r="D98" s="193">
        <v>600.0</v>
      </c>
      <c r="E98" s="4" t="s">
        <v>337</v>
      </c>
      <c r="F98" s="4" t="s">
        <v>2073</v>
      </c>
      <c r="I98" s="4" t="s">
        <v>395</v>
      </c>
      <c r="S98" s="15"/>
    </row>
    <row r="99">
      <c r="A99" s="67" t="str">
        <f t="shared" si="1"/>
        <v>Mon</v>
      </c>
      <c r="B99" s="69">
        <v>43528.0</v>
      </c>
      <c r="D99" s="193">
        <v>600.0</v>
      </c>
      <c r="E99" s="4" t="s">
        <v>337</v>
      </c>
      <c r="F99" s="4" t="s">
        <v>2073</v>
      </c>
      <c r="I99" s="4" t="s">
        <v>395</v>
      </c>
      <c r="S99" s="15"/>
    </row>
    <row r="100">
      <c r="A100" s="67" t="str">
        <f t="shared" si="1"/>
        <v>Tue</v>
      </c>
      <c r="B100" s="69">
        <v>43529.0</v>
      </c>
      <c r="D100" s="193">
        <v>600.0</v>
      </c>
      <c r="E100" s="4" t="s">
        <v>337</v>
      </c>
      <c r="F100" s="4" t="s">
        <v>2073</v>
      </c>
      <c r="I100" s="4" t="s">
        <v>395</v>
      </c>
      <c r="S100" s="15"/>
    </row>
    <row r="101">
      <c r="A101" s="67" t="str">
        <f t="shared" si="1"/>
        <v>Wed</v>
      </c>
      <c r="B101" s="69">
        <v>43530.0</v>
      </c>
      <c r="D101" s="161">
        <v>291.0</v>
      </c>
      <c r="E101" s="4" t="s">
        <v>222</v>
      </c>
      <c r="F101" s="4" t="s">
        <v>2365</v>
      </c>
      <c r="G101" s="4" t="s">
        <v>2365</v>
      </c>
      <c r="H101" s="4" t="s">
        <v>2073</v>
      </c>
      <c r="I101" s="4" t="s">
        <v>359</v>
      </c>
      <c r="K101" s="4" t="s">
        <v>231</v>
      </c>
      <c r="L101" s="4" t="s">
        <v>225</v>
      </c>
      <c r="M101" s="4" t="s">
        <v>2366</v>
      </c>
      <c r="N101" s="4" t="s">
        <v>2367</v>
      </c>
      <c r="S101" s="15"/>
    </row>
    <row r="102">
      <c r="A102" s="67" t="str">
        <f t="shared" si="1"/>
        <v>Thu</v>
      </c>
      <c r="B102" s="69">
        <v>43531.0</v>
      </c>
      <c r="D102" s="161">
        <v>291.0</v>
      </c>
      <c r="E102" s="4" t="s">
        <v>222</v>
      </c>
      <c r="F102" s="4" t="s">
        <v>2365</v>
      </c>
      <c r="I102" s="4" t="s">
        <v>359</v>
      </c>
      <c r="S102" s="15"/>
    </row>
    <row r="103">
      <c r="A103" s="67" t="str">
        <f t="shared" si="1"/>
        <v>Fri</v>
      </c>
      <c r="B103" s="69">
        <v>43532.0</v>
      </c>
      <c r="D103" s="161">
        <v>291.0</v>
      </c>
      <c r="E103" s="4" t="s">
        <v>222</v>
      </c>
      <c r="F103" s="4" t="s">
        <v>2365</v>
      </c>
      <c r="I103" s="4" t="s">
        <v>359</v>
      </c>
      <c r="S103" s="15"/>
    </row>
    <row r="104">
      <c r="A104" s="67" t="str">
        <f t="shared" si="1"/>
        <v>Sat</v>
      </c>
      <c r="B104" s="69">
        <v>43533.0</v>
      </c>
      <c r="D104" s="161">
        <v>291.0</v>
      </c>
      <c r="E104" s="4" t="s">
        <v>222</v>
      </c>
      <c r="F104" s="4" t="s">
        <v>2365</v>
      </c>
      <c r="I104" s="4" t="s">
        <v>359</v>
      </c>
      <c r="S104" s="15"/>
    </row>
    <row r="105">
      <c r="A105" s="67" t="str">
        <f t="shared" si="1"/>
        <v>Sun</v>
      </c>
      <c r="B105" s="69">
        <v>43534.0</v>
      </c>
      <c r="D105" s="161">
        <v>291.0</v>
      </c>
      <c r="E105" s="4" t="s">
        <v>222</v>
      </c>
      <c r="F105" s="4" t="s">
        <v>2365</v>
      </c>
      <c r="I105" s="4" t="s">
        <v>359</v>
      </c>
      <c r="S105" s="15"/>
    </row>
    <row r="106">
      <c r="A106" s="67" t="str">
        <f t="shared" si="1"/>
        <v>Mon</v>
      </c>
      <c r="B106" s="69">
        <v>43535.0</v>
      </c>
      <c r="D106" s="161">
        <v>291.0</v>
      </c>
      <c r="E106" s="4" t="s">
        <v>222</v>
      </c>
      <c r="F106" s="4" t="s">
        <v>2365</v>
      </c>
      <c r="I106" s="4" t="s">
        <v>359</v>
      </c>
      <c r="S106" s="15"/>
    </row>
    <row r="107">
      <c r="A107" s="67" t="str">
        <f t="shared" si="1"/>
        <v>Tue</v>
      </c>
      <c r="B107" s="69">
        <v>43536.0</v>
      </c>
      <c r="D107" s="161">
        <v>194.0</v>
      </c>
      <c r="E107" s="4" t="s">
        <v>222</v>
      </c>
      <c r="F107" s="4" t="s">
        <v>2368</v>
      </c>
      <c r="G107" s="4" t="s">
        <v>2368</v>
      </c>
      <c r="H107" s="4" t="s">
        <v>2365</v>
      </c>
      <c r="I107" s="4" t="s">
        <v>359</v>
      </c>
      <c r="K107" s="4" t="s">
        <v>231</v>
      </c>
      <c r="L107" s="4" t="s">
        <v>225</v>
      </c>
      <c r="M107" s="4" t="s">
        <v>2369</v>
      </c>
      <c r="Q107" s="4" t="s">
        <v>2370</v>
      </c>
      <c r="R107" s="4" t="s">
        <v>2371</v>
      </c>
      <c r="S107" s="162"/>
    </row>
    <row r="108">
      <c r="A108" s="67" t="str">
        <f t="shared" si="1"/>
        <v>Wed</v>
      </c>
      <c r="B108" s="69">
        <v>43537.0</v>
      </c>
      <c r="D108" s="161">
        <v>194.0</v>
      </c>
      <c r="E108" s="4" t="s">
        <v>222</v>
      </c>
      <c r="F108" s="4" t="s">
        <v>2368</v>
      </c>
      <c r="I108" s="4" t="s">
        <v>359</v>
      </c>
      <c r="S108" s="15"/>
    </row>
    <row r="109">
      <c r="A109" s="67" t="str">
        <f t="shared" si="1"/>
        <v>Thu</v>
      </c>
      <c r="B109" s="69">
        <v>43538.0</v>
      </c>
      <c r="D109" s="161">
        <v>242.5</v>
      </c>
      <c r="E109" s="4" t="s">
        <v>222</v>
      </c>
      <c r="F109" s="4" t="s">
        <v>2372</v>
      </c>
      <c r="G109" s="4" t="s">
        <v>2372</v>
      </c>
      <c r="H109" s="4" t="s">
        <v>2368</v>
      </c>
      <c r="I109" s="4" t="s">
        <v>359</v>
      </c>
      <c r="K109" s="4"/>
      <c r="L109" s="4" t="s">
        <v>225</v>
      </c>
      <c r="M109" s="4" t="s">
        <v>310</v>
      </c>
      <c r="N109" s="4" t="s">
        <v>310</v>
      </c>
      <c r="Q109" s="4" t="s">
        <v>2373</v>
      </c>
      <c r="R109" s="4" t="s">
        <v>2374</v>
      </c>
      <c r="S109" s="162"/>
    </row>
    <row r="110">
      <c r="A110" s="67" t="str">
        <f t="shared" si="1"/>
        <v>Fri</v>
      </c>
      <c r="B110" s="69">
        <v>43539.0</v>
      </c>
      <c r="D110" s="161">
        <v>242.5</v>
      </c>
      <c r="E110" s="4" t="s">
        <v>222</v>
      </c>
      <c r="F110" s="4" t="s">
        <v>2372</v>
      </c>
      <c r="I110" s="4" t="s">
        <v>359</v>
      </c>
      <c r="S110" s="15"/>
    </row>
    <row r="111">
      <c r="A111" s="67" t="str">
        <f t="shared" si="1"/>
        <v>Sat</v>
      </c>
      <c r="B111" s="69">
        <v>43540.0</v>
      </c>
      <c r="D111" s="161">
        <v>242.5</v>
      </c>
      <c r="E111" s="4" t="s">
        <v>222</v>
      </c>
      <c r="F111" s="4" t="s">
        <v>2372</v>
      </c>
      <c r="I111" s="4" t="s">
        <v>359</v>
      </c>
      <c r="S111" s="15"/>
    </row>
    <row r="112">
      <c r="A112" s="67" t="str">
        <f t="shared" si="1"/>
        <v>Sun</v>
      </c>
      <c r="B112" s="69">
        <v>43541.0</v>
      </c>
      <c r="D112" s="161">
        <v>242.5</v>
      </c>
      <c r="E112" s="4" t="s">
        <v>222</v>
      </c>
      <c r="F112" s="4" t="s">
        <v>2372</v>
      </c>
      <c r="I112" s="4" t="s">
        <v>359</v>
      </c>
      <c r="S112" s="15"/>
    </row>
    <row r="113">
      <c r="A113" s="67" t="str">
        <f t="shared" si="1"/>
        <v>Mon</v>
      </c>
      <c r="B113" s="69">
        <v>43542.0</v>
      </c>
      <c r="D113" s="161">
        <v>242.5</v>
      </c>
      <c r="E113" s="4" t="s">
        <v>222</v>
      </c>
      <c r="F113" s="4" t="s">
        <v>2372</v>
      </c>
      <c r="I113" s="4" t="s">
        <v>359</v>
      </c>
      <c r="S113" s="15"/>
    </row>
    <row r="114">
      <c r="A114" s="67" t="str">
        <f t="shared" si="1"/>
        <v>Tue</v>
      </c>
      <c r="B114" s="69">
        <v>43543.0</v>
      </c>
      <c r="D114" s="4">
        <v>150.0</v>
      </c>
      <c r="E114" s="4" t="s">
        <v>337</v>
      </c>
      <c r="F114" s="4" t="s">
        <v>2375</v>
      </c>
      <c r="G114" s="4" t="s">
        <v>2375</v>
      </c>
      <c r="H114" s="4" t="s">
        <v>2372</v>
      </c>
      <c r="I114" s="4" t="s">
        <v>224</v>
      </c>
      <c r="L114" s="4" t="s">
        <v>225</v>
      </c>
      <c r="M114" s="4" t="s">
        <v>2376</v>
      </c>
      <c r="Q114" s="4" t="s">
        <v>2377</v>
      </c>
      <c r="R114" s="167" t="s">
        <v>2378</v>
      </c>
      <c r="S114" s="162" t="s">
        <v>2379</v>
      </c>
    </row>
    <row r="115">
      <c r="A115" s="67" t="str">
        <f t="shared" si="1"/>
        <v>Wed</v>
      </c>
      <c r="B115" s="69">
        <v>43544.0</v>
      </c>
      <c r="D115" s="161">
        <v>145.5</v>
      </c>
      <c r="E115" s="4" t="s">
        <v>222</v>
      </c>
      <c r="F115" s="4" t="s">
        <v>2375</v>
      </c>
      <c r="I115" s="4" t="s">
        <v>224</v>
      </c>
      <c r="K115" s="4" t="s">
        <v>231</v>
      </c>
    </row>
    <row r="116">
      <c r="A116" s="67" t="str">
        <f t="shared" si="1"/>
        <v>Thu</v>
      </c>
      <c r="B116" s="69">
        <v>43545.0</v>
      </c>
      <c r="D116" s="161">
        <v>145.5</v>
      </c>
      <c r="E116" s="4" t="s">
        <v>222</v>
      </c>
      <c r="F116" s="4" t="s">
        <v>2375</v>
      </c>
      <c r="I116" s="4" t="s">
        <v>224</v>
      </c>
      <c r="S116" s="15"/>
    </row>
    <row r="117">
      <c r="A117" s="67" t="str">
        <f t="shared" si="1"/>
        <v>Fri</v>
      </c>
      <c r="B117" s="69">
        <v>43546.0</v>
      </c>
      <c r="F117" s="4"/>
      <c r="G117" s="4"/>
      <c r="H117" s="4" t="s">
        <v>2375</v>
      </c>
      <c r="J117" s="4"/>
      <c r="L117" s="4" t="s">
        <v>229</v>
      </c>
      <c r="M117" s="4"/>
      <c r="N117" s="4"/>
      <c r="O117" s="4"/>
    </row>
    <row r="118">
      <c r="A118" s="67" t="str">
        <f t="shared" si="1"/>
        <v>Sat</v>
      </c>
      <c r="B118" s="69">
        <v>43547.0</v>
      </c>
      <c r="D118" s="161">
        <v>145.5</v>
      </c>
      <c r="E118" s="4" t="s">
        <v>222</v>
      </c>
      <c r="F118" s="4" t="s">
        <v>2380</v>
      </c>
      <c r="G118" s="4" t="s">
        <v>2380</v>
      </c>
      <c r="I118" s="4" t="s">
        <v>224</v>
      </c>
      <c r="K118" s="4" t="s">
        <v>231</v>
      </c>
      <c r="L118" s="4" t="s">
        <v>225</v>
      </c>
      <c r="M118" s="4" t="s">
        <v>2381</v>
      </c>
      <c r="N118" s="4" t="s">
        <v>2382</v>
      </c>
      <c r="R118" s="167" t="s">
        <v>2383</v>
      </c>
      <c r="S118" s="162" t="s">
        <v>2384</v>
      </c>
    </row>
    <row r="119">
      <c r="A119" s="67" t="str">
        <f t="shared" si="1"/>
        <v>Sun</v>
      </c>
      <c r="B119" s="69">
        <v>43548.0</v>
      </c>
      <c r="D119" s="161">
        <v>145.5</v>
      </c>
      <c r="E119" s="4" t="s">
        <v>222</v>
      </c>
      <c r="F119" s="4" t="s">
        <v>2380</v>
      </c>
      <c r="H119" s="4"/>
      <c r="I119" s="4" t="s">
        <v>224</v>
      </c>
      <c r="S119" s="15"/>
    </row>
    <row r="120">
      <c r="A120" s="67" t="str">
        <f t="shared" si="1"/>
        <v>Mon</v>
      </c>
      <c r="B120" s="69">
        <v>43549.0</v>
      </c>
      <c r="D120" s="161">
        <v>145.5</v>
      </c>
      <c r="E120" s="4" t="s">
        <v>222</v>
      </c>
      <c r="F120" s="4" t="s">
        <v>2380</v>
      </c>
      <c r="I120" s="4" t="s">
        <v>224</v>
      </c>
      <c r="S120" s="15"/>
    </row>
    <row r="121">
      <c r="A121" s="67" t="str">
        <f t="shared" si="1"/>
        <v>Tue</v>
      </c>
      <c r="B121" s="69">
        <v>43550.0</v>
      </c>
      <c r="D121" s="161">
        <v>145.5</v>
      </c>
      <c r="E121" s="4" t="s">
        <v>222</v>
      </c>
      <c r="F121" s="4" t="s">
        <v>2380</v>
      </c>
      <c r="I121" s="4" t="s">
        <v>224</v>
      </c>
      <c r="S121" s="15"/>
    </row>
    <row r="122">
      <c r="A122" s="67" t="str">
        <f t="shared" si="1"/>
        <v>Wed</v>
      </c>
      <c r="B122" s="69">
        <v>43551.0</v>
      </c>
      <c r="D122" s="161">
        <v>145.5</v>
      </c>
      <c r="E122" s="4" t="s">
        <v>222</v>
      </c>
      <c r="F122" s="4" t="s">
        <v>2380</v>
      </c>
      <c r="I122" s="4" t="s">
        <v>224</v>
      </c>
      <c r="S122" s="15"/>
    </row>
    <row r="123">
      <c r="A123" s="67" t="str">
        <f t="shared" si="1"/>
        <v>Thu</v>
      </c>
      <c r="B123" s="69">
        <v>43552.0</v>
      </c>
      <c r="D123" s="161">
        <v>145.5</v>
      </c>
      <c r="E123" s="4" t="s">
        <v>222</v>
      </c>
      <c r="F123" s="4" t="s">
        <v>2385</v>
      </c>
      <c r="G123" s="4" t="s">
        <v>2385</v>
      </c>
      <c r="H123" s="4" t="s">
        <v>2380</v>
      </c>
      <c r="I123" s="4" t="s">
        <v>224</v>
      </c>
      <c r="J123" s="4"/>
      <c r="K123" s="4" t="s">
        <v>231</v>
      </c>
      <c r="L123" s="4" t="s">
        <v>225</v>
      </c>
      <c r="M123" s="4" t="s">
        <v>226</v>
      </c>
      <c r="N123" s="4" t="s">
        <v>232</v>
      </c>
      <c r="O123" s="4" t="s">
        <v>264</v>
      </c>
      <c r="R123" s="4" t="s">
        <v>2386</v>
      </c>
      <c r="S123" s="15"/>
    </row>
    <row r="124">
      <c r="A124" s="67" t="str">
        <f t="shared" si="1"/>
        <v>Fri</v>
      </c>
      <c r="B124" s="69">
        <v>43553.0</v>
      </c>
      <c r="D124" s="161">
        <v>145.5</v>
      </c>
      <c r="E124" s="4" t="s">
        <v>222</v>
      </c>
      <c r="F124" s="4" t="s">
        <v>2387</v>
      </c>
      <c r="G124" s="4" t="s">
        <v>2387</v>
      </c>
      <c r="H124" s="4" t="s">
        <v>2385</v>
      </c>
      <c r="I124" s="4" t="s">
        <v>224</v>
      </c>
      <c r="J124" s="4"/>
      <c r="K124" s="4" t="s">
        <v>231</v>
      </c>
      <c r="L124" s="4" t="s">
        <v>225</v>
      </c>
      <c r="M124" s="4" t="s">
        <v>2388</v>
      </c>
      <c r="N124" s="4" t="s">
        <v>2389</v>
      </c>
      <c r="Q124" s="4" t="s">
        <v>2390</v>
      </c>
      <c r="R124" s="4" t="s">
        <v>2391</v>
      </c>
      <c r="S124" s="162">
        <v>5.11046197E9</v>
      </c>
    </row>
    <row r="125">
      <c r="A125" s="67" t="str">
        <f t="shared" si="1"/>
        <v>Sat</v>
      </c>
      <c r="B125" s="69">
        <v>43554.0</v>
      </c>
      <c r="D125" s="161">
        <v>145.5</v>
      </c>
      <c r="E125" s="4" t="s">
        <v>222</v>
      </c>
      <c r="F125" s="4" t="s">
        <v>2392</v>
      </c>
      <c r="G125" s="4" t="s">
        <v>2392</v>
      </c>
      <c r="H125" s="4" t="s">
        <v>2387</v>
      </c>
      <c r="I125" s="4" t="s">
        <v>224</v>
      </c>
      <c r="K125" s="4" t="s">
        <v>231</v>
      </c>
      <c r="L125" s="4" t="s">
        <v>225</v>
      </c>
      <c r="M125" s="4" t="s">
        <v>2393</v>
      </c>
      <c r="N125" s="4" t="s">
        <v>232</v>
      </c>
      <c r="Q125" s="4" t="s">
        <v>2394</v>
      </c>
      <c r="R125" s="4" t="s">
        <v>2395</v>
      </c>
      <c r="S125" s="162" t="s">
        <v>2396</v>
      </c>
    </row>
    <row r="126">
      <c r="A126" s="67" t="str">
        <f t="shared" si="1"/>
        <v>Sun</v>
      </c>
      <c r="B126" s="69">
        <v>43555.0</v>
      </c>
      <c r="F126" s="4"/>
      <c r="G126" s="4"/>
      <c r="H126" s="4" t="s">
        <v>2392</v>
      </c>
      <c r="J126" s="4"/>
      <c r="S126" s="15"/>
    </row>
    <row r="127">
      <c r="A127" s="67" t="str">
        <f t="shared" si="1"/>
        <v>Mon</v>
      </c>
      <c r="B127" s="69">
        <v>43556.0</v>
      </c>
      <c r="D127" s="161">
        <v>145.5</v>
      </c>
      <c r="E127" s="4" t="s">
        <v>222</v>
      </c>
      <c r="F127" s="4" t="s">
        <v>2397</v>
      </c>
      <c r="G127" s="4" t="s">
        <v>2397</v>
      </c>
      <c r="I127" s="4" t="s">
        <v>224</v>
      </c>
      <c r="J127" s="4"/>
      <c r="K127" s="4" t="s">
        <v>231</v>
      </c>
      <c r="L127" s="4" t="s">
        <v>229</v>
      </c>
      <c r="M127" s="4" t="s">
        <v>2398</v>
      </c>
      <c r="N127" s="4" t="s">
        <v>232</v>
      </c>
      <c r="Q127" s="4" t="s">
        <v>2399</v>
      </c>
      <c r="R127" s="4" t="s">
        <v>2400</v>
      </c>
      <c r="S127" s="162" t="s">
        <v>2401</v>
      </c>
    </row>
    <row r="128">
      <c r="A128" s="67" t="str">
        <f t="shared" si="1"/>
        <v>Tue</v>
      </c>
      <c r="B128" s="69">
        <v>43557.0</v>
      </c>
      <c r="D128" s="161">
        <v>145.5</v>
      </c>
      <c r="E128" s="4" t="s">
        <v>222</v>
      </c>
      <c r="F128" s="4" t="s">
        <v>2397</v>
      </c>
      <c r="I128" s="4" t="s">
        <v>224</v>
      </c>
      <c r="J128" s="4"/>
      <c r="S128" s="15"/>
    </row>
    <row r="129">
      <c r="A129" s="67" t="str">
        <f t="shared" si="1"/>
        <v>Wed</v>
      </c>
      <c r="B129" s="69">
        <v>43558.0</v>
      </c>
      <c r="D129" s="161">
        <v>145.5</v>
      </c>
      <c r="E129" s="4" t="s">
        <v>222</v>
      </c>
      <c r="F129" s="4" t="s">
        <v>2397</v>
      </c>
      <c r="I129" s="4" t="s">
        <v>224</v>
      </c>
      <c r="J129" s="4"/>
      <c r="S129" s="15"/>
    </row>
    <row r="130">
      <c r="A130" s="67" t="str">
        <f t="shared" si="1"/>
        <v>Thu</v>
      </c>
      <c r="B130" s="69">
        <v>43559.0</v>
      </c>
      <c r="D130" s="4">
        <v>150.0</v>
      </c>
      <c r="E130" s="4" t="s">
        <v>337</v>
      </c>
      <c r="F130" s="4" t="s">
        <v>2404</v>
      </c>
      <c r="H130" s="4" t="s">
        <v>2397</v>
      </c>
      <c r="J130" s="4" t="s">
        <v>2405</v>
      </c>
      <c r="K130" s="4" t="s">
        <v>231</v>
      </c>
      <c r="L130" s="4" t="s">
        <v>225</v>
      </c>
      <c r="M130" s="244" t="s">
        <v>2406</v>
      </c>
      <c r="N130" s="244" t="s">
        <v>2408</v>
      </c>
      <c r="Q130" s="4" t="s">
        <v>2409</v>
      </c>
      <c r="R130" s="4" t="s">
        <v>2410</v>
      </c>
      <c r="S130" s="162" t="s">
        <v>2411</v>
      </c>
    </row>
    <row r="131">
      <c r="A131" s="67" t="str">
        <f t="shared" si="1"/>
        <v>Fri</v>
      </c>
      <c r="B131" s="69">
        <v>43560.0</v>
      </c>
      <c r="D131" s="161">
        <v>174.6</v>
      </c>
      <c r="E131" s="4" t="s">
        <v>222</v>
      </c>
      <c r="F131" s="4" t="s">
        <v>2412</v>
      </c>
      <c r="G131" s="4" t="s">
        <v>2412</v>
      </c>
      <c r="H131" s="4" t="s">
        <v>2404</v>
      </c>
      <c r="I131" s="4" t="s">
        <v>224</v>
      </c>
      <c r="K131" s="4" t="s">
        <v>231</v>
      </c>
      <c r="L131" s="4" t="s">
        <v>225</v>
      </c>
      <c r="M131" s="4" t="s">
        <v>2413</v>
      </c>
      <c r="Q131" s="4" t="s">
        <v>2414</v>
      </c>
      <c r="R131" s="4" t="s">
        <v>2415</v>
      </c>
      <c r="S131" s="162" t="s">
        <v>2416</v>
      </c>
    </row>
    <row r="132">
      <c r="A132" s="67" t="str">
        <f t="shared" si="1"/>
        <v>Sat</v>
      </c>
      <c r="B132" s="69">
        <v>43561.0</v>
      </c>
      <c r="D132" s="161">
        <v>174.6</v>
      </c>
      <c r="E132" s="4" t="s">
        <v>222</v>
      </c>
      <c r="F132" s="4" t="s">
        <v>2412</v>
      </c>
      <c r="I132" s="4" t="s">
        <v>224</v>
      </c>
      <c r="S132" s="15"/>
    </row>
    <row r="133">
      <c r="A133" s="67" t="str">
        <f t="shared" si="1"/>
        <v>Sun</v>
      </c>
      <c r="B133" s="69">
        <v>43562.0</v>
      </c>
      <c r="D133" s="161">
        <v>174.6</v>
      </c>
      <c r="E133" s="4" t="s">
        <v>222</v>
      </c>
      <c r="F133" s="4" t="s">
        <v>2412</v>
      </c>
      <c r="I133" s="4" t="s">
        <v>224</v>
      </c>
      <c r="S133" s="15"/>
    </row>
    <row r="134">
      <c r="A134" s="67" t="str">
        <f t="shared" si="1"/>
        <v>Mon</v>
      </c>
      <c r="B134" s="69">
        <v>43563.0</v>
      </c>
      <c r="D134" s="161">
        <v>174.6</v>
      </c>
      <c r="E134" s="4" t="s">
        <v>222</v>
      </c>
      <c r="F134" s="4" t="s">
        <v>2412</v>
      </c>
      <c r="I134" s="4" t="s">
        <v>224</v>
      </c>
      <c r="S134" s="15"/>
    </row>
    <row r="135">
      <c r="A135" s="67" t="str">
        <f t="shared" si="1"/>
        <v>Tue</v>
      </c>
      <c r="B135" s="69">
        <v>43564.0</v>
      </c>
      <c r="D135" s="161">
        <v>174.6</v>
      </c>
      <c r="E135" s="4" t="s">
        <v>222</v>
      </c>
      <c r="F135" s="4" t="s">
        <v>2412</v>
      </c>
      <c r="I135" s="4" t="s">
        <v>224</v>
      </c>
      <c r="S135" s="15"/>
    </row>
    <row r="136">
      <c r="A136" s="67" t="str">
        <f t="shared" si="1"/>
        <v>Wed</v>
      </c>
      <c r="B136" s="69">
        <v>43565.0</v>
      </c>
      <c r="D136" s="161">
        <v>174.6</v>
      </c>
      <c r="E136" s="4" t="s">
        <v>222</v>
      </c>
      <c r="F136" s="4" t="s">
        <v>2417</v>
      </c>
      <c r="G136" s="4" t="s">
        <v>2417</v>
      </c>
      <c r="H136" s="4" t="s">
        <v>2412</v>
      </c>
      <c r="I136" s="4" t="s">
        <v>224</v>
      </c>
      <c r="K136" s="4" t="s">
        <v>231</v>
      </c>
      <c r="L136" s="4" t="s">
        <v>225</v>
      </c>
      <c r="M136" s="4" t="s">
        <v>2418</v>
      </c>
      <c r="N136" s="4" t="s">
        <v>2419</v>
      </c>
      <c r="Q136" s="4" t="s">
        <v>2420</v>
      </c>
      <c r="R136" s="4" t="s">
        <v>2421</v>
      </c>
      <c r="S136" s="164">
        <v>2.138685381E10</v>
      </c>
    </row>
    <row r="137">
      <c r="A137" s="67" t="str">
        <f t="shared" si="1"/>
        <v>Thu</v>
      </c>
      <c r="B137" s="69">
        <v>43566.0</v>
      </c>
      <c r="D137" s="161">
        <v>174.6</v>
      </c>
      <c r="E137" s="4" t="s">
        <v>222</v>
      </c>
      <c r="F137" s="4" t="s">
        <v>2417</v>
      </c>
      <c r="I137" s="4" t="s">
        <v>224</v>
      </c>
      <c r="S137" s="15"/>
    </row>
    <row r="138">
      <c r="A138" s="67" t="str">
        <f t="shared" si="1"/>
        <v>Fri</v>
      </c>
      <c r="B138" s="69">
        <v>43567.0</v>
      </c>
      <c r="D138" s="161">
        <v>174.6</v>
      </c>
      <c r="E138" s="4" t="s">
        <v>222</v>
      </c>
      <c r="F138" s="4" t="s">
        <v>2417</v>
      </c>
      <c r="I138" s="4" t="s">
        <v>224</v>
      </c>
      <c r="S138" s="15"/>
    </row>
    <row r="139">
      <c r="A139" s="67" t="str">
        <f t="shared" si="1"/>
        <v>Sat</v>
      </c>
      <c r="B139" s="69">
        <v>43568.0</v>
      </c>
      <c r="D139" s="161">
        <v>174.6</v>
      </c>
      <c r="E139" s="4" t="s">
        <v>222</v>
      </c>
      <c r="F139" s="4" t="s">
        <v>2417</v>
      </c>
      <c r="I139" s="4" t="s">
        <v>224</v>
      </c>
      <c r="S139" s="15"/>
    </row>
    <row r="140">
      <c r="A140" s="67" t="str">
        <f t="shared" si="1"/>
        <v>Sun</v>
      </c>
      <c r="B140" s="69">
        <v>43569.0</v>
      </c>
      <c r="D140" s="161">
        <v>174.6</v>
      </c>
      <c r="E140" s="4" t="s">
        <v>222</v>
      </c>
      <c r="F140" s="4" t="s">
        <v>2417</v>
      </c>
      <c r="I140" s="4" t="s">
        <v>224</v>
      </c>
      <c r="S140" s="15"/>
    </row>
    <row r="141">
      <c r="A141" s="67" t="str">
        <f t="shared" si="1"/>
        <v>Mon</v>
      </c>
      <c r="B141" s="69">
        <v>43570.0</v>
      </c>
      <c r="H141" s="4" t="s">
        <v>2417</v>
      </c>
      <c r="J141" s="4"/>
      <c r="S141" s="15"/>
    </row>
    <row r="142">
      <c r="A142" s="67" t="str">
        <f t="shared" si="1"/>
        <v>Tue</v>
      </c>
      <c r="B142" s="69">
        <v>43571.0</v>
      </c>
      <c r="J142" s="4"/>
      <c r="S142" s="15"/>
    </row>
    <row r="143">
      <c r="A143" s="67" t="str">
        <f t="shared" si="1"/>
        <v>Wed</v>
      </c>
      <c r="B143" s="69">
        <v>43572.0</v>
      </c>
      <c r="J143" s="4"/>
      <c r="S143" s="15"/>
    </row>
    <row r="144">
      <c r="A144" s="67" t="str">
        <f t="shared" si="1"/>
        <v>Thu</v>
      </c>
      <c r="B144" s="69">
        <v>43573.0</v>
      </c>
      <c r="J144" s="4"/>
      <c r="S144" s="15"/>
    </row>
    <row r="145">
      <c r="A145" s="67" t="str">
        <f t="shared" si="1"/>
        <v>Fri</v>
      </c>
      <c r="B145" s="69">
        <v>43574.0</v>
      </c>
      <c r="D145" s="161">
        <v>145.5</v>
      </c>
      <c r="E145" s="4" t="s">
        <v>222</v>
      </c>
      <c r="F145" s="4" t="s">
        <v>2422</v>
      </c>
      <c r="G145" s="4" t="s">
        <v>2422</v>
      </c>
      <c r="I145" s="4" t="s">
        <v>224</v>
      </c>
      <c r="K145" s="4" t="s">
        <v>231</v>
      </c>
      <c r="L145" s="4" t="s">
        <v>225</v>
      </c>
      <c r="M145" s="4" t="s">
        <v>226</v>
      </c>
      <c r="N145" s="4" t="s">
        <v>232</v>
      </c>
      <c r="O145" s="4" t="s">
        <v>264</v>
      </c>
      <c r="Q145" s="234" t="s">
        <v>2423</v>
      </c>
      <c r="R145" s="4" t="s">
        <v>2424</v>
      </c>
      <c r="S145" s="6" t="s">
        <v>2425</v>
      </c>
    </row>
    <row r="146">
      <c r="A146" s="67" t="str">
        <f t="shared" si="1"/>
        <v>Sat</v>
      </c>
      <c r="B146" s="69">
        <v>43575.0</v>
      </c>
      <c r="D146" s="161">
        <v>145.5</v>
      </c>
      <c r="E146" s="4" t="s">
        <v>222</v>
      </c>
      <c r="F146" s="4" t="s">
        <v>2422</v>
      </c>
      <c r="I146" s="4" t="s">
        <v>224</v>
      </c>
      <c r="S146" s="15"/>
    </row>
    <row r="147">
      <c r="A147" s="67" t="str">
        <f t="shared" si="1"/>
        <v>Sun</v>
      </c>
      <c r="B147" s="69">
        <v>43576.0</v>
      </c>
      <c r="D147" s="161">
        <v>145.5</v>
      </c>
      <c r="E147" s="4" t="s">
        <v>222</v>
      </c>
      <c r="F147" s="4" t="s">
        <v>2426</v>
      </c>
      <c r="G147" s="4" t="s">
        <v>2426</v>
      </c>
      <c r="H147" s="4" t="s">
        <v>2422</v>
      </c>
      <c r="I147" s="4" t="s">
        <v>224</v>
      </c>
      <c r="K147" s="4" t="s">
        <v>231</v>
      </c>
      <c r="L147" s="4" t="s">
        <v>225</v>
      </c>
      <c r="M147" s="4" t="s">
        <v>226</v>
      </c>
      <c r="N147" s="4" t="s">
        <v>232</v>
      </c>
      <c r="O147" s="4" t="s">
        <v>264</v>
      </c>
      <c r="R147" s="4" t="s">
        <v>2427</v>
      </c>
      <c r="S147" s="15"/>
    </row>
    <row r="148">
      <c r="A148" s="67" t="str">
        <f t="shared" si="1"/>
        <v>Mon</v>
      </c>
      <c r="B148" s="69">
        <v>43577.0</v>
      </c>
      <c r="D148" s="161">
        <v>145.5</v>
      </c>
      <c r="E148" s="4" t="s">
        <v>222</v>
      </c>
      <c r="F148" s="4" t="s">
        <v>2426</v>
      </c>
      <c r="I148" s="4" t="s">
        <v>224</v>
      </c>
      <c r="S148" s="15"/>
    </row>
    <row r="149">
      <c r="A149" s="67" t="str">
        <f t="shared" si="1"/>
        <v>Tue</v>
      </c>
      <c r="B149" s="69">
        <v>43578.0</v>
      </c>
      <c r="D149" s="161">
        <v>145.5</v>
      </c>
      <c r="E149" s="4" t="s">
        <v>222</v>
      </c>
      <c r="F149" s="4" t="s">
        <v>2426</v>
      </c>
      <c r="I149" s="4" t="s">
        <v>224</v>
      </c>
      <c r="S149" s="15"/>
    </row>
    <row r="150">
      <c r="A150" s="67" t="str">
        <f t="shared" si="1"/>
        <v>Wed</v>
      </c>
      <c r="B150" s="69">
        <v>43579.0</v>
      </c>
      <c r="D150" s="161">
        <v>145.5</v>
      </c>
      <c r="E150" s="4" t="s">
        <v>222</v>
      </c>
      <c r="F150" s="4" t="s">
        <v>2426</v>
      </c>
      <c r="I150" s="4" t="s">
        <v>224</v>
      </c>
      <c r="S150" s="15"/>
    </row>
    <row r="151">
      <c r="A151" s="67" t="str">
        <f t="shared" si="1"/>
        <v>Thu</v>
      </c>
      <c r="B151" s="69">
        <v>43580.0</v>
      </c>
      <c r="D151" s="161">
        <v>145.5</v>
      </c>
      <c r="E151" s="4" t="s">
        <v>222</v>
      </c>
      <c r="F151" s="4" t="s">
        <v>2428</v>
      </c>
      <c r="G151" s="4" t="s">
        <v>2428</v>
      </c>
      <c r="H151" s="4" t="s">
        <v>2426</v>
      </c>
      <c r="I151" s="4" t="s">
        <v>224</v>
      </c>
      <c r="J151" s="4"/>
      <c r="K151" s="4" t="s">
        <v>231</v>
      </c>
      <c r="L151" s="4" t="s">
        <v>229</v>
      </c>
      <c r="M151" s="4" t="s">
        <v>226</v>
      </c>
      <c r="N151" s="4" t="s">
        <v>232</v>
      </c>
      <c r="O151" s="4" t="s">
        <v>264</v>
      </c>
      <c r="R151" s="4" t="s">
        <v>2429</v>
      </c>
      <c r="S151" s="15"/>
    </row>
    <row r="152">
      <c r="A152" s="67" t="str">
        <f t="shared" si="1"/>
        <v>Fri</v>
      </c>
      <c r="B152" s="69">
        <v>43581.0</v>
      </c>
      <c r="D152" s="161">
        <v>145.5</v>
      </c>
      <c r="E152" s="4" t="s">
        <v>222</v>
      </c>
      <c r="F152" s="4" t="s">
        <v>2430</v>
      </c>
      <c r="G152" s="4" t="s">
        <v>2430</v>
      </c>
      <c r="H152" s="4" t="s">
        <v>2428</v>
      </c>
      <c r="I152" s="4" t="s">
        <v>224</v>
      </c>
      <c r="K152" s="4" t="s">
        <v>231</v>
      </c>
      <c r="L152" s="4" t="s">
        <v>225</v>
      </c>
      <c r="M152" s="4" t="s">
        <v>226</v>
      </c>
      <c r="N152" s="4" t="s">
        <v>232</v>
      </c>
      <c r="O152" s="4" t="s">
        <v>264</v>
      </c>
      <c r="Q152" s="4" t="s">
        <v>2431</v>
      </c>
      <c r="R152" s="4" t="s">
        <v>2432</v>
      </c>
      <c r="S152" s="162" t="s">
        <v>2433</v>
      </c>
    </row>
    <row r="153">
      <c r="A153" s="67" t="str">
        <f t="shared" si="1"/>
        <v>Sat</v>
      </c>
      <c r="B153" s="69">
        <v>43582.0</v>
      </c>
      <c r="D153" s="161">
        <v>145.5</v>
      </c>
      <c r="E153" s="4" t="s">
        <v>222</v>
      </c>
      <c r="F153" s="4" t="s">
        <v>2430</v>
      </c>
      <c r="I153" s="4" t="s">
        <v>224</v>
      </c>
      <c r="S153" s="15"/>
    </row>
    <row r="154">
      <c r="A154" s="67" t="str">
        <f t="shared" si="1"/>
        <v>Sun</v>
      </c>
      <c r="B154" s="69">
        <v>43583.0</v>
      </c>
      <c r="D154" s="161">
        <v>97.0</v>
      </c>
      <c r="E154" s="4" t="s">
        <v>222</v>
      </c>
      <c r="F154" s="4" t="s">
        <v>2434</v>
      </c>
      <c r="G154" s="4" t="s">
        <v>2434</v>
      </c>
      <c r="H154" s="4" t="s">
        <v>2430</v>
      </c>
      <c r="I154" s="4" t="s">
        <v>224</v>
      </c>
      <c r="K154" s="4" t="s">
        <v>231</v>
      </c>
      <c r="L154" s="4" t="s">
        <v>225</v>
      </c>
      <c r="M154" s="4" t="s">
        <v>2435</v>
      </c>
      <c r="N154" s="4" t="s">
        <v>2436</v>
      </c>
      <c r="O154" s="4" t="s">
        <v>264</v>
      </c>
      <c r="Q154" s="4" t="s">
        <v>2437</v>
      </c>
      <c r="R154" s="4" t="s">
        <v>2438</v>
      </c>
      <c r="S154" s="162" t="s">
        <v>2439</v>
      </c>
    </row>
    <row r="155">
      <c r="A155" s="67" t="str">
        <f t="shared" si="1"/>
        <v>Mon</v>
      </c>
      <c r="B155" s="69">
        <v>43584.0</v>
      </c>
      <c r="D155" s="161">
        <v>97.0</v>
      </c>
      <c r="E155" s="4" t="s">
        <v>222</v>
      </c>
      <c r="F155" s="4" t="s">
        <v>1806</v>
      </c>
      <c r="G155" s="4" t="s">
        <v>1806</v>
      </c>
      <c r="H155" s="4" t="s">
        <v>2434</v>
      </c>
      <c r="I155" s="4" t="s">
        <v>224</v>
      </c>
      <c r="J155" s="4"/>
      <c r="K155" s="4" t="s">
        <v>231</v>
      </c>
      <c r="L155" s="4" t="s">
        <v>225</v>
      </c>
      <c r="M155" s="4" t="s">
        <v>2440</v>
      </c>
      <c r="N155" s="4" t="s">
        <v>232</v>
      </c>
      <c r="O155" s="4" t="s">
        <v>264</v>
      </c>
      <c r="Q155" s="4" t="s">
        <v>1808</v>
      </c>
      <c r="R155" s="4" t="s">
        <v>2441</v>
      </c>
      <c r="S155" s="162" t="s">
        <v>1810</v>
      </c>
    </row>
    <row r="156">
      <c r="A156" s="67" t="str">
        <f t="shared" si="1"/>
        <v>Tue</v>
      </c>
      <c r="B156" s="69">
        <v>43585.0</v>
      </c>
      <c r="D156" s="161">
        <v>97.0</v>
      </c>
      <c r="E156" s="4" t="s">
        <v>222</v>
      </c>
      <c r="F156" s="4" t="s">
        <v>2442</v>
      </c>
      <c r="G156" s="4" t="s">
        <v>2442</v>
      </c>
      <c r="H156" s="4" t="s">
        <v>1806</v>
      </c>
      <c r="I156" s="4" t="s">
        <v>224</v>
      </c>
      <c r="K156" s="4" t="s">
        <v>231</v>
      </c>
      <c r="L156" s="4" t="s">
        <v>225</v>
      </c>
      <c r="M156" s="4" t="s">
        <v>2443</v>
      </c>
      <c r="N156" s="4" t="s">
        <v>232</v>
      </c>
      <c r="O156" s="4" t="s">
        <v>264</v>
      </c>
      <c r="Q156" s="4" t="s">
        <v>2444</v>
      </c>
      <c r="R156" s="4" t="s">
        <v>2445</v>
      </c>
      <c r="S156" s="162">
        <v>1.1548191914E10</v>
      </c>
    </row>
    <row r="157">
      <c r="A157" s="67" t="str">
        <f t="shared" si="1"/>
        <v>Wed</v>
      </c>
      <c r="B157" s="69">
        <v>43586.0</v>
      </c>
      <c r="D157" s="161">
        <v>121.25</v>
      </c>
      <c r="E157" s="4" t="s">
        <v>222</v>
      </c>
      <c r="F157" s="4" t="s">
        <v>2446</v>
      </c>
      <c r="G157" s="4" t="s">
        <v>2446</v>
      </c>
      <c r="H157" s="4" t="s">
        <v>2442</v>
      </c>
      <c r="I157" s="4" t="s">
        <v>224</v>
      </c>
      <c r="K157" s="4" t="s">
        <v>231</v>
      </c>
      <c r="L157" s="4" t="s">
        <v>225</v>
      </c>
      <c r="M157" s="4" t="s">
        <v>2447</v>
      </c>
      <c r="N157" s="4" t="s">
        <v>232</v>
      </c>
      <c r="O157" s="4" t="s">
        <v>264</v>
      </c>
      <c r="Q157" s="4" t="s">
        <v>2448</v>
      </c>
      <c r="R157" s="4" t="s">
        <v>2449</v>
      </c>
      <c r="S157" s="162">
        <v>7.130389931E9</v>
      </c>
    </row>
    <row r="158">
      <c r="A158" s="67" t="str">
        <f t="shared" si="1"/>
        <v>Thu</v>
      </c>
      <c r="B158" s="69">
        <v>43587.0</v>
      </c>
      <c r="D158" s="161">
        <v>121.25</v>
      </c>
      <c r="E158" s="4" t="s">
        <v>222</v>
      </c>
      <c r="F158" s="4" t="s">
        <v>2446</v>
      </c>
      <c r="I158" s="4" t="s">
        <v>224</v>
      </c>
      <c r="S158" s="15"/>
    </row>
    <row r="159">
      <c r="A159" s="67" t="str">
        <f t="shared" si="1"/>
        <v>Fri</v>
      </c>
      <c r="B159" s="69">
        <v>43588.0</v>
      </c>
      <c r="D159" s="161">
        <v>121.25</v>
      </c>
      <c r="E159" s="4" t="s">
        <v>222</v>
      </c>
      <c r="F159" s="4" t="s">
        <v>2446</v>
      </c>
      <c r="I159" s="4" t="s">
        <v>224</v>
      </c>
      <c r="S159" s="15"/>
    </row>
    <row r="160">
      <c r="A160" s="67" t="str">
        <f t="shared" si="1"/>
        <v>Sat</v>
      </c>
      <c r="B160" s="69">
        <v>43589.0</v>
      </c>
      <c r="D160" s="161">
        <v>121.25</v>
      </c>
      <c r="E160" s="4" t="s">
        <v>222</v>
      </c>
      <c r="F160" s="4" t="s">
        <v>2446</v>
      </c>
      <c r="I160" s="4" t="s">
        <v>224</v>
      </c>
      <c r="S160" s="15"/>
    </row>
    <row r="161">
      <c r="A161" s="67" t="str">
        <f t="shared" si="1"/>
        <v>Sun</v>
      </c>
      <c r="B161" s="69">
        <v>43590.0</v>
      </c>
      <c r="D161" s="4">
        <v>97.0</v>
      </c>
      <c r="E161" s="4" t="s">
        <v>222</v>
      </c>
      <c r="F161" s="4" t="s">
        <v>2450</v>
      </c>
      <c r="G161" s="4" t="s">
        <v>2450</v>
      </c>
      <c r="H161" s="4" t="s">
        <v>2446</v>
      </c>
      <c r="L161" s="4" t="s">
        <v>225</v>
      </c>
      <c r="M161" s="4" t="s">
        <v>2451</v>
      </c>
      <c r="N161" s="4"/>
      <c r="O161" s="4"/>
      <c r="R161" s="4" t="s">
        <v>2452</v>
      </c>
      <c r="S161" s="15"/>
    </row>
    <row r="162">
      <c r="A162" s="67" t="str">
        <f t="shared" si="1"/>
        <v>Mon</v>
      </c>
      <c r="B162" s="69">
        <v>43591.0</v>
      </c>
      <c r="D162" s="161">
        <v>97.0</v>
      </c>
      <c r="E162" s="4" t="s">
        <v>222</v>
      </c>
      <c r="F162" s="4" t="s">
        <v>2453</v>
      </c>
      <c r="G162" s="4" t="s">
        <v>2453</v>
      </c>
      <c r="H162" s="4" t="s">
        <v>2450</v>
      </c>
      <c r="I162" s="4" t="s">
        <v>224</v>
      </c>
      <c r="K162" s="4" t="s">
        <v>231</v>
      </c>
      <c r="L162" s="4" t="s">
        <v>225</v>
      </c>
      <c r="M162" s="4" t="s">
        <v>2454</v>
      </c>
      <c r="N162" s="4" t="s">
        <v>232</v>
      </c>
      <c r="O162" s="4" t="s">
        <v>264</v>
      </c>
      <c r="Q162" s="4" t="s">
        <v>2455</v>
      </c>
      <c r="R162" s="4" t="s">
        <v>2456</v>
      </c>
      <c r="S162" s="162">
        <v>4.596592942E9</v>
      </c>
    </row>
    <row r="163">
      <c r="A163" s="67" t="str">
        <f t="shared" si="1"/>
        <v>Tue</v>
      </c>
      <c r="B163" s="69">
        <v>43592.0</v>
      </c>
      <c r="D163" s="161">
        <v>97.0</v>
      </c>
      <c r="E163" s="4" t="s">
        <v>222</v>
      </c>
      <c r="F163" s="4" t="s">
        <v>2453</v>
      </c>
      <c r="I163" s="4" t="s">
        <v>224</v>
      </c>
      <c r="S163" s="15"/>
    </row>
    <row r="164">
      <c r="A164" s="67" t="str">
        <f t="shared" si="1"/>
        <v>Wed</v>
      </c>
      <c r="B164" s="69">
        <v>43593.0</v>
      </c>
      <c r="D164" s="161">
        <v>97.0</v>
      </c>
      <c r="E164" s="4" t="s">
        <v>222</v>
      </c>
      <c r="F164" s="4" t="s">
        <v>2453</v>
      </c>
      <c r="I164" s="4" t="s">
        <v>224</v>
      </c>
      <c r="S164" s="15"/>
    </row>
    <row r="165">
      <c r="A165" s="67" t="str">
        <f t="shared" si="1"/>
        <v>Thu</v>
      </c>
      <c r="B165" s="69">
        <v>43594.0</v>
      </c>
      <c r="D165" s="161">
        <v>175.57000000000002</v>
      </c>
      <c r="E165" s="4" t="s">
        <v>222</v>
      </c>
      <c r="F165" s="4" t="s">
        <v>2457</v>
      </c>
      <c r="G165" s="4" t="s">
        <v>2457</v>
      </c>
      <c r="H165" s="4" t="s">
        <v>2453</v>
      </c>
      <c r="I165" s="4" t="s">
        <v>224</v>
      </c>
      <c r="K165" s="4" t="s">
        <v>231</v>
      </c>
      <c r="L165" s="4" t="s">
        <v>225</v>
      </c>
      <c r="M165" s="4" t="s">
        <v>2458</v>
      </c>
      <c r="N165" s="4" t="s">
        <v>232</v>
      </c>
      <c r="Q165" s="4" t="s">
        <v>2459</v>
      </c>
      <c r="R165" s="4" t="s">
        <v>2460</v>
      </c>
      <c r="S165" s="162" t="s">
        <v>2461</v>
      </c>
    </row>
    <row r="166">
      <c r="A166" s="67" t="str">
        <f t="shared" si="1"/>
        <v>Fri</v>
      </c>
      <c r="B166" s="69">
        <v>43595.0</v>
      </c>
      <c r="D166" s="161">
        <v>175.57000000000002</v>
      </c>
      <c r="E166" s="4" t="s">
        <v>222</v>
      </c>
      <c r="F166" s="4" t="s">
        <v>2457</v>
      </c>
      <c r="I166" s="4" t="s">
        <v>224</v>
      </c>
      <c r="S166" s="15"/>
    </row>
    <row r="167">
      <c r="A167" s="67" t="str">
        <f t="shared" si="1"/>
        <v>Sat</v>
      </c>
      <c r="B167" s="69">
        <v>43596.0</v>
      </c>
      <c r="D167" s="161">
        <v>175.57000000000002</v>
      </c>
      <c r="E167" s="4" t="s">
        <v>222</v>
      </c>
      <c r="F167" s="4" t="s">
        <v>2457</v>
      </c>
      <c r="I167" s="4" t="s">
        <v>224</v>
      </c>
      <c r="S167" s="15"/>
    </row>
    <row r="168">
      <c r="A168" s="67" t="str">
        <f t="shared" si="1"/>
        <v>Sun</v>
      </c>
      <c r="B168" s="69">
        <v>43597.0</v>
      </c>
      <c r="F168" s="4"/>
      <c r="G168" s="4"/>
      <c r="H168" s="4" t="s">
        <v>2457</v>
      </c>
      <c r="N168" s="4"/>
      <c r="O168" s="4"/>
      <c r="S168" s="15"/>
    </row>
    <row r="169">
      <c r="A169" s="67" t="str">
        <f t="shared" si="1"/>
        <v>Mon</v>
      </c>
      <c r="B169" s="69">
        <v>43598.0</v>
      </c>
      <c r="D169" s="161">
        <v>97.0</v>
      </c>
      <c r="E169" s="4" t="s">
        <v>222</v>
      </c>
      <c r="F169" s="4" t="s">
        <v>2462</v>
      </c>
      <c r="G169" s="4" t="s">
        <v>2462</v>
      </c>
      <c r="H169" s="4"/>
      <c r="I169" s="4" t="s">
        <v>224</v>
      </c>
      <c r="K169" s="4" t="s">
        <v>231</v>
      </c>
      <c r="L169" s="4" t="s">
        <v>225</v>
      </c>
      <c r="M169" s="4" t="s">
        <v>2463</v>
      </c>
      <c r="N169" s="4" t="s">
        <v>232</v>
      </c>
      <c r="Q169" s="4" t="s">
        <v>2464</v>
      </c>
      <c r="R169" s="4" t="s">
        <v>2465</v>
      </c>
      <c r="S169" s="162" t="s">
        <v>2466</v>
      </c>
    </row>
    <row r="170">
      <c r="A170" s="67" t="str">
        <f t="shared" si="1"/>
        <v>Tue</v>
      </c>
      <c r="B170" s="69">
        <v>43599.0</v>
      </c>
      <c r="D170" s="161">
        <v>97.0</v>
      </c>
      <c r="E170" s="4" t="s">
        <v>222</v>
      </c>
      <c r="F170" s="4" t="s">
        <v>2462</v>
      </c>
      <c r="I170" s="4" t="s">
        <v>224</v>
      </c>
      <c r="S170" s="15"/>
    </row>
    <row r="171">
      <c r="A171" s="67" t="str">
        <f t="shared" si="1"/>
        <v>Wed</v>
      </c>
      <c r="B171" s="69">
        <v>43600.0</v>
      </c>
      <c r="F171" s="4"/>
      <c r="G171" s="4"/>
      <c r="H171" s="4" t="s">
        <v>2462</v>
      </c>
      <c r="N171" s="4"/>
      <c r="O171" s="4"/>
      <c r="S171" s="15"/>
    </row>
    <row r="172">
      <c r="A172" s="67" t="str">
        <f t="shared" si="1"/>
        <v>Thu</v>
      </c>
      <c r="B172" s="69">
        <v>43601.0</v>
      </c>
      <c r="F172" s="4"/>
      <c r="S172" s="15"/>
    </row>
    <row r="173">
      <c r="A173" s="67" t="str">
        <f t="shared" si="1"/>
        <v>Fri</v>
      </c>
      <c r="B173" s="69">
        <v>43602.0</v>
      </c>
      <c r="D173" s="161">
        <v>145.5</v>
      </c>
      <c r="E173" s="4" t="s">
        <v>222</v>
      </c>
      <c r="F173" s="6" t="s">
        <v>2467</v>
      </c>
      <c r="G173" s="6" t="s">
        <v>2467</v>
      </c>
      <c r="H173" s="4"/>
      <c r="I173" s="4" t="s">
        <v>224</v>
      </c>
      <c r="K173" s="4" t="s">
        <v>231</v>
      </c>
      <c r="L173" s="4" t="s">
        <v>225</v>
      </c>
      <c r="M173" s="4" t="s">
        <v>226</v>
      </c>
      <c r="Q173" s="4" t="s">
        <v>2468</v>
      </c>
      <c r="R173" s="4" t="s">
        <v>2469</v>
      </c>
      <c r="S173" s="6" t="s">
        <v>2470</v>
      </c>
    </row>
    <row r="174">
      <c r="A174" s="67" t="str">
        <f t="shared" si="1"/>
        <v>Sat</v>
      </c>
      <c r="B174" s="69">
        <v>43603.0</v>
      </c>
      <c r="D174" s="161">
        <v>145.5</v>
      </c>
      <c r="E174" s="4" t="s">
        <v>222</v>
      </c>
      <c r="F174" s="6" t="s">
        <v>2467</v>
      </c>
      <c r="I174" s="4" t="s">
        <v>224</v>
      </c>
      <c r="S174" s="15"/>
    </row>
    <row r="175">
      <c r="A175" s="67" t="str">
        <f t="shared" si="1"/>
        <v>Sun</v>
      </c>
      <c r="B175" s="69">
        <v>43604.0</v>
      </c>
      <c r="D175" s="161">
        <v>97.0</v>
      </c>
      <c r="E175" s="4" t="s">
        <v>222</v>
      </c>
      <c r="F175" s="6" t="s">
        <v>2471</v>
      </c>
      <c r="G175" s="6" t="s">
        <v>2471</v>
      </c>
      <c r="H175" s="6" t="s">
        <v>2467</v>
      </c>
      <c r="I175" s="4" t="s">
        <v>224</v>
      </c>
      <c r="K175" s="4" t="s">
        <v>231</v>
      </c>
      <c r="L175" s="4" t="s">
        <v>225</v>
      </c>
      <c r="M175" s="4"/>
      <c r="Q175" s="234" t="s">
        <v>2472</v>
      </c>
      <c r="R175" s="4" t="s">
        <v>2473</v>
      </c>
      <c r="S175" s="6" t="s">
        <v>2474</v>
      </c>
    </row>
    <row r="176">
      <c r="A176" s="67" t="str">
        <f t="shared" si="1"/>
        <v>Mon</v>
      </c>
      <c r="B176" s="69">
        <v>43605.0</v>
      </c>
      <c r="D176" s="161">
        <v>97.0</v>
      </c>
      <c r="E176" s="4" t="s">
        <v>222</v>
      </c>
      <c r="F176" s="6" t="s">
        <v>2471</v>
      </c>
      <c r="I176" s="4" t="s">
        <v>224</v>
      </c>
      <c r="S176" s="15"/>
    </row>
    <row r="177">
      <c r="A177" s="67" t="str">
        <f t="shared" si="1"/>
        <v>Tue</v>
      </c>
      <c r="B177" s="69">
        <v>43606.0</v>
      </c>
      <c r="D177" s="161">
        <v>97.0</v>
      </c>
      <c r="E177" s="4" t="s">
        <v>222</v>
      </c>
      <c r="F177" s="6" t="s">
        <v>2471</v>
      </c>
      <c r="I177" s="4" t="s">
        <v>224</v>
      </c>
      <c r="S177" s="15"/>
    </row>
    <row r="178">
      <c r="A178" s="67" t="str">
        <f t="shared" si="1"/>
        <v>Wed</v>
      </c>
      <c r="B178" s="69">
        <v>43607.0</v>
      </c>
      <c r="D178" s="161">
        <v>97.0</v>
      </c>
      <c r="E178" s="4" t="s">
        <v>222</v>
      </c>
      <c r="F178" s="6" t="s">
        <v>2471</v>
      </c>
      <c r="I178" s="4" t="s">
        <v>224</v>
      </c>
      <c r="S178" s="15"/>
    </row>
    <row r="179">
      <c r="A179" s="67" t="str">
        <f t="shared" si="1"/>
        <v>Thu</v>
      </c>
      <c r="B179" s="69">
        <v>43608.0</v>
      </c>
      <c r="D179" s="4">
        <v>257.05</v>
      </c>
      <c r="E179" s="4" t="s">
        <v>222</v>
      </c>
      <c r="F179" s="4" t="s">
        <v>2285</v>
      </c>
      <c r="G179" s="4" t="s">
        <v>2285</v>
      </c>
      <c r="H179" s="6" t="s">
        <v>2471</v>
      </c>
      <c r="I179" s="4" t="s">
        <v>224</v>
      </c>
      <c r="K179" s="4" t="s">
        <v>231</v>
      </c>
      <c r="L179" s="4" t="s">
        <v>225</v>
      </c>
      <c r="M179" s="4" t="s">
        <v>226</v>
      </c>
      <c r="N179" s="4" t="s">
        <v>232</v>
      </c>
      <c r="O179" s="4" t="s">
        <v>264</v>
      </c>
      <c r="Q179" s="201" t="s">
        <v>2289</v>
      </c>
      <c r="R179" s="6" t="s">
        <v>2290</v>
      </c>
      <c r="S179" s="15"/>
    </row>
    <row r="180">
      <c r="A180" s="67" t="str">
        <f t="shared" si="1"/>
        <v>Fri</v>
      </c>
      <c r="B180" s="69">
        <v>43609.0</v>
      </c>
      <c r="D180" s="4">
        <v>257.05</v>
      </c>
      <c r="E180" s="4" t="s">
        <v>222</v>
      </c>
      <c r="F180" s="4" t="s">
        <v>2285</v>
      </c>
      <c r="I180" s="4" t="s">
        <v>224</v>
      </c>
      <c r="S180" s="15"/>
    </row>
    <row r="181">
      <c r="A181" s="67" t="str">
        <f t="shared" si="1"/>
        <v>Sat</v>
      </c>
      <c r="B181" s="69">
        <v>43610.0</v>
      </c>
      <c r="D181" s="4">
        <v>257.05</v>
      </c>
      <c r="E181" s="4" t="s">
        <v>222</v>
      </c>
      <c r="F181" s="4" t="s">
        <v>2285</v>
      </c>
      <c r="I181" s="4" t="s">
        <v>224</v>
      </c>
      <c r="S181" s="15"/>
    </row>
    <row r="182">
      <c r="A182" s="67" t="str">
        <f t="shared" si="1"/>
        <v>Sun</v>
      </c>
      <c r="B182" s="69">
        <v>43611.0</v>
      </c>
      <c r="D182" s="4">
        <v>257.05</v>
      </c>
      <c r="E182" s="4" t="s">
        <v>222</v>
      </c>
      <c r="F182" s="4" t="s">
        <v>2285</v>
      </c>
      <c r="I182" s="4" t="s">
        <v>224</v>
      </c>
      <c r="S182" s="15"/>
    </row>
    <row r="183">
      <c r="A183" s="67" t="str">
        <f t="shared" si="1"/>
        <v>Mon</v>
      </c>
      <c r="B183" s="69">
        <v>43612.0</v>
      </c>
      <c r="D183" s="4">
        <v>257.05</v>
      </c>
      <c r="E183" s="4" t="s">
        <v>222</v>
      </c>
      <c r="F183" s="4" t="s">
        <v>2285</v>
      </c>
      <c r="I183" s="4" t="s">
        <v>224</v>
      </c>
      <c r="S183" s="15"/>
    </row>
    <row r="184">
      <c r="A184" s="67" t="str">
        <f t="shared" si="1"/>
        <v>Tue</v>
      </c>
      <c r="B184" s="69">
        <v>43613.0</v>
      </c>
      <c r="D184" s="161">
        <v>97.0</v>
      </c>
      <c r="E184" s="4" t="s">
        <v>222</v>
      </c>
      <c r="F184" s="4" t="s">
        <v>2475</v>
      </c>
      <c r="G184" s="4" t="s">
        <v>2475</v>
      </c>
      <c r="H184" s="4" t="s">
        <v>2285</v>
      </c>
      <c r="I184" s="4" t="s">
        <v>224</v>
      </c>
      <c r="K184" s="4" t="s">
        <v>231</v>
      </c>
      <c r="L184" s="4" t="s">
        <v>225</v>
      </c>
      <c r="M184" s="4" t="s">
        <v>2476</v>
      </c>
      <c r="Q184" s="4" t="s">
        <v>2477</v>
      </c>
      <c r="R184" s="4" t="s">
        <v>2478</v>
      </c>
      <c r="S184" s="164">
        <v>1.1898360766E10</v>
      </c>
    </row>
    <row r="185">
      <c r="A185" s="67" t="str">
        <f t="shared" si="1"/>
        <v>Wed</v>
      </c>
      <c r="B185" s="69">
        <v>43614.0</v>
      </c>
      <c r="D185" s="161">
        <v>97.0</v>
      </c>
      <c r="E185" s="4" t="s">
        <v>222</v>
      </c>
      <c r="F185" s="4" t="s">
        <v>2475</v>
      </c>
      <c r="I185" s="4" t="s">
        <v>224</v>
      </c>
      <c r="S185" s="15"/>
    </row>
    <row r="186">
      <c r="A186" s="67" t="str">
        <f t="shared" si="1"/>
        <v>Thu</v>
      </c>
      <c r="B186" s="69">
        <v>43615.0</v>
      </c>
      <c r="D186" s="161">
        <v>129.33333333333334</v>
      </c>
      <c r="E186" s="4" t="s">
        <v>222</v>
      </c>
      <c r="F186" s="4" t="s">
        <v>2479</v>
      </c>
      <c r="G186" s="4" t="s">
        <v>2479</v>
      </c>
      <c r="H186" s="4" t="s">
        <v>2475</v>
      </c>
      <c r="I186" s="4" t="s">
        <v>224</v>
      </c>
      <c r="K186" s="4" t="s">
        <v>231</v>
      </c>
      <c r="L186" s="4" t="s">
        <v>229</v>
      </c>
      <c r="M186" s="4" t="s">
        <v>2480</v>
      </c>
      <c r="Q186" s="4" t="s">
        <v>2481</v>
      </c>
      <c r="R186" s="4" t="s">
        <v>2482</v>
      </c>
      <c r="S186" s="162" t="s">
        <v>2483</v>
      </c>
    </row>
    <row r="187">
      <c r="A187" s="67" t="str">
        <f t="shared" si="1"/>
        <v>Fri</v>
      </c>
      <c r="B187" s="69">
        <v>43616.0</v>
      </c>
      <c r="D187" s="161">
        <v>129.33333333333334</v>
      </c>
      <c r="E187" s="4" t="s">
        <v>222</v>
      </c>
      <c r="F187" s="4" t="s">
        <v>2479</v>
      </c>
      <c r="I187" s="4" t="s">
        <v>224</v>
      </c>
      <c r="S187" s="15"/>
    </row>
    <row r="188">
      <c r="A188" s="67" t="str">
        <f t="shared" si="1"/>
        <v>Sat</v>
      </c>
      <c r="B188" s="69">
        <v>43617.0</v>
      </c>
      <c r="D188" s="161">
        <v>129.33333333333334</v>
      </c>
      <c r="E188" s="4" t="s">
        <v>222</v>
      </c>
      <c r="F188" s="4" t="s">
        <v>2479</v>
      </c>
      <c r="I188" s="4" t="s">
        <v>224</v>
      </c>
      <c r="S188" s="15"/>
    </row>
    <row r="189">
      <c r="A189" s="67" t="str">
        <f t="shared" si="1"/>
        <v>Sun</v>
      </c>
      <c r="B189" s="69">
        <v>43618.0</v>
      </c>
      <c r="D189" s="161">
        <v>97.0</v>
      </c>
      <c r="E189" s="4" t="s">
        <v>222</v>
      </c>
      <c r="F189" s="4" t="s">
        <v>2484</v>
      </c>
      <c r="G189" s="4" t="s">
        <v>2484</v>
      </c>
      <c r="H189" s="4" t="s">
        <v>2479</v>
      </c>
      <c r="I189" s="4" t="s">
        <v>224</v>
      </c>
      <c r="K189" s="4" t="s">
        <v>231</v>
      </c>
      <c r="L189" s="4" t="s">
        <v>225</v>
      </c>
      <c r="M189" s="4" t="s">
        <v>226</v>
      </c>
      <c r="Q189" s="4" t="s">
        <v>2485</v>
      </c>
      <c r="R189" s="4" t="s">
        <v>2486</v>
      </c>
      <c r="S189" s="162" t="s">
        <v>2487</v>
      </c>
    </row>
    <row r="190">
      <c r="A190" s="67" t="str">
        <f t="shared" si="1"/>
        <v>Mon</v>
      </c>
      <c r="B190" s="69">
        <v>43619.0</v>
      </c>
      <c r="H190" s="4" t="s">
        <v>2484</v>
      </c>
      <c r="S190" s="15"/>
    </row>
    <row r="191">
      <c r="A191" s="67" t="str">
        <f t="shared" si="1"/>
        <v>Tue</v>
      </c>
      <c r="B191" s="69">
        <v>43620.0</v>
      </c>
      <c r="S191" s="15"/>
    </row>
    <row r="192">
      <c r="A192" s="67" t="str">
        <f t="shared" si="1"/>
        <v>Wed</v>
      </c>
      <c r="B192" s="69">
        <v>43621.0</v>
      </c>
      <c r="D192" s="161">
        <v>121.25</v>
      </c>
      <c r="E192" s="4" t="s">
        <v>222</v>
      </c>
      <c r="F192" s="4" t="s">
        <v>2488</v>
      </c>
      <c r="G192" s="4" t="s">
        <v>2488</v>
      </c>
      <c r="I192" s="4" t="s">
        <v>224</v>
      </c>
      <c r="K192" s="4" t="s">
        <v>231</v>
      </c>
      <c r="L192" s="4" t="s">
        <v>225</v>
      </c>
      <c r="M192" s="4" t="s">
        <v>226</v>
      </c>
      <c r="N192" s="4" t="s">
        <v>232</v>
      </c>
      <c r="O192" s="4" t="s">
        <v>264</v>
      </c>
      <c r="Q192" s="4" t="s">
        <v>2489</v>
      </c>
      <c r="R192" s="4" t="s">
        <v>2490</v>
      </c>
      <c r="S192" s="162" t="s">
        <v>2491</v>
      </c>
    </row>
    <row r="193">
      <c r="A193" s="67" t="str">
        <f t="shared" si="1"/>
        <v>Thu</v>
      </c>
      <c r="B193" s="69">
        <v>43622.0</v>
      </c>
      <c r="D193" s="161">
        <v>121.25</v>
      </c>
      <c r="E193" s="4" t="s">
        <v>222</v>
      </c>
      <c r="F193" s="4" t="s">
        <v>2488</v>
      </c>
      <c r="I193" s="4" t="s">
        <v>224</v>
      </c>
      <c r="S193" s="15"/>
    </row>
    <row r="194">
      <c r="A194" s="67" t="str">
        <f t="shared" si="1"/>
        <v>Fri</v>
      </c>
      <c r="B194" s="69">
        <v>43623.0</v>
      </c>
      <c r="D194" s="161">
        <v>121.25</v>
      </c>
      <c r="E194" s="4" t="s">
        <v>222</v>
      </c>
      <c r="F194" s="4" t="s">
        <v>2488</v>
      </c>
      <c r="I194" s="4" t="s">
        <v>224</v>
      </c>
      <c r="S194" s="15"/>
    </row>
    <row r="195">
      <c r="A195" s="67" t="str">
        <f t="shared" si="1"/>
        <v>Sat</v>
      </c>
      <c r="B195" s="69">
        <v>43624.0</v>
      </c>
      <c r="D195" s="161">
        <v>121.25</v>
      </c>
      <c r="E195" s="4" t="s">
        <v>222</v>
      </c>
      <c r="F195" s="4" t="s">
        <v>2488</v>
      </c>
      <c r="I195" s="4" t="s">
        <v>224</v>
      </c>
      <c r="S195" s="15"/>
    </row>
    <row r="196">
      <c r="A196" s="67" t="str">
        <f t="shared" si="1"/>
        <v>Sun</v>
      </c>
      <c r="B196" s="69">
        <v>43625.0</v>
      </c>
      <c r="D196" s="161">
        <v>97.0</v>
      </c>
      <c r="E196" s="4" t="s">
        <v>222</v>
      </c>
      <c r="F196" s="4" t="s">
        <v>2492</v>
      </c>
      <c r="G196" s="4" t="s">
        <v>2492</v>
      </c>
      <c r="H196" s="4" t="s">
        <v>2488</v>
      </c>
      <c r="I196" s="4" t="s">
        <v>224</v>
      </c>
      <c r="K196" s="4" t="s">
        <v>231</v>
      </c>
      <c r="L196" s="4" t="s">
        <v>225</v>
      </c>
      <c r="M196" s="4" t="s">
        <v>2493</v>
      </c>
      <c r="Q196" s="4" t="s">
        <v>2494</v>
      </c>
      <c r="R196" s="4" t="s">
        <v>2495</v>
      </c>
      <c r="S196" s="162" t="s">
        <v>2496</v>
      </c>
    </row>
    <row r="197">
      <c r="A197" s="67" t="str">
        <f t="shared" si="1"/>
        <v>Mon</v>
      </c>
      <c r="B197" s="69">
        <v>43626.0</v>
      </c>
      <c r="D197" s="161">
        <v>97.0</v>
      </c>
      <c r="E197" s="4" t="s">
        <v>222</v>
      </c>
      <c r="F197" s="4" t="s">
        <v>2492</v>
      </c>
      <c r="I197" s="4" t="s">
        <v>224</v>
      </c>
      <c r="S197" s="15"/>
    </row>
    <row r="198">
      <c r="A198" s="67" t="str">
        <f t="shared" si="1"/>
        <v>Tue</v>
      </c>
      <c r="B198" s="69">
        <v>43627.0</v>
      </c>
      <c r="D198" s="161">
        <v>97.0</v>
      </c>
      <c r="E198" s="4" t="s">
        <v>222</v>
      </c>
      <c r="F198" s="4" t="s">
        <v>2492</v>
      </c>
      <c r="I198" s="4" t="s">
        <v>224</v>
      </c>
      <c r="S198" s="15"/>
    </row>
    <row r="199">
      <c r="A199" s="67" t="str">
        <f t="shared" si="1"/>
        <v>Wed</v>
      </c>
      <c r="B199" s="69">
        <v>43628.0</v>
      </c>
      <c r="D199" s="161">
        <v>97.0</v>
      </c>
      <c r="E199" s="4" t="s">
        <v>222</v>
      </c>
      <c r="F199" s="4" t="s">
        <v>2492</v>
      </c>
      <c r="I199" s="4" t="s">
        <v>224</v>
      </c>
      <c r="S199" s="15"/>
    </row>
    <row r="200">
      <c r="A200" s="67" t="str">
        <f t="shared" si="1"/>
        <v>Thu</v>
      </c>
      <c r="B200" s="69">
        <v>43629.0</v>
      </c>
      <c r="D200" s="161">
        <v>97.0</v>
      </c>
      <c r="E200" s="4" t="s">
        <v>222</v>
      </c>
      <c r="F200" s="4" t="s">
        <v>2492</v>
      </c>
      <c r="I200" s="4" t="s">
        <v>224</v>
      </c>
      <c r="S200" s="15"/>
    </row>
    <row r="201">
      <c r="A201" s="67" t="str">
        <f t="shared" si="1"/>
        <v>Fri</v>
      </c>
      <c r="B201" s="69">
        <v>43630.0</v>
      </c>
      <c r="H201" s="4" t="s">
        <v>2492</v>
      </c>
      <c r="S201" s="15"/>
    </row>
    <row r="202">
      <c r="A202" s="67" t="str">
        <f t="shared" si="1"/>
        <v>Sat</v>
      </c>
      <c r="B202" s="69">
        <v>43631.0</v>
      </c>
      <c r="S202" s="15"/>
    </row>
    <row r="203">
      <c r="A203" s="67" t="str">
        <f t="shared" si="1"/>
        <v>Sun</v>
      </c>
      <c r="B203" s="69">
        <v>43632.0</v>
      </c>
      <c r="S203" s="15"/>
    </row>
    <row r="204">
      <c r="A204" s="67" t="str">
        <f t="shared" si="1"/>
        <v>Mon</v>
      </c>
      <c r="B204" s="69">
        <v>43633.0</v>
      </c>
      <c r="S204" s="15"/>
    </row>
    <row r="205">
      <c r="A205" s="67" t="str">
        <f t="shared" si="1"/>
        <v>Tue</v>
      </c>
      <c r="B205" s="69">
        <v>43634.0</v>
      </c>
      <c r="S205" s="15"/>
    </row>
    <row r="206">
      <c r="A206" s="67" t="str">
        <f t="shared" si="1"/>
        <v>Wed</v>
      </c>
      <c r="B206" s="69">
        <v>43635.0</v>
      </c>
      <c r="S206" s="15"/>
    </row>
    <row r="207">
      <c r="A207" s="67" t="str">
        <f t="shared" si="1"/>
        <v>Thu</v>
      </c>
      <c r="B207" s="69">
        <v>43636.0</v>
      </c>
      <c r="S207" s="15"/>
    </row>
    <row r="208">
      <c r="A208" s="67" t="str">
        <f t="shared" si="1"/>
        <v>Fri</v>
      </c>
      <c r="B208" s="69">
        <v>43637.0</v>
      </c>
      <c r="D208" s="161">
        <v>291.0</v>
      </c>
      <c r="E208" s="4" t="s">
        <v>222</v>
      </c>
      <c r="F208" s="4" t="s">
        <v>2497</v>
      </c>
      <c r="G208" s="4" t="s">
        <v>2497</v>
      </c>
      <c r="I208" s="4" t="s">
        <v>224</v>
      </c>
      <c r="K208" s="4" t="s">
        <v>231</v>
      </c>
      <c r="L208" s="4" t="s">
        <v>240</v>
      </c>
      <c r="M208" s="4" t="s">
        <v>226</v>
      </c>
      <c r="R208" s="4" t="s">
        <v>2498</v>
      </c>
      <c r="S208" s="15"/>
    </row>
    <row r="209">
      <c r="A209" s="67" t="str">
        <f t="shared" si="1"/>
        <v>Sat</v>
      </c>
      <c r="B209" s="69">
        <v>43638.0</v>
      </c>
      <c r="D209" s="161">
        <v>291.0</v>
      </c>
      <c r="E209" s="4" t="s">
        <v>222</v>
      </c>
      <c r="F209" s="4" t="s">
        <v>2497</v>
      </c>
      <c r="I209" s="4" t="s">
        <v>224</v>
      </c>
      <c r="S209" s="15"/>
    </row>
    <row r="210">
      <c r="A210" s="67" t="str">
        <f t="shared" si="1"/>
        <v>Sun</v>
      </c>
      <c r="B210" s="69">
        <v>43639.0</v>
      </c>
      <c r="D210" s="161">
        <v>97.0</v>
      </c>
      <c r="E210" s="4" t="s">
        <v>222</v>
      </c>
      <c r="F210" s="4" t="s">
        <v>2499</v>
      </c>
      <c r="G210" s="4" t="s">
        <v>2499</v>
      </c>
      <c r="H210" s="4" t="s">
        <v>2497</v>
      </c>
      <c r="I210" s="4" t="s">
        <v>224</v>
      </c>
      <c r="K210" s="4" t="s">
        <v>231</v>
      </c>
      <c r="L210" s="4" t="s">
        <v>229</v>
      </c>
      <c r="M210" s="4" t="s">
        <v>2500</v>
      </c>
      <c r="N210" s="4" t="s">
        <v>2501</v>
      </c>
      <c r="O210" s="4" t="s">
        <v>2502</v>
      </c>
      <c r="Q210" s="4" t="s">
        <v>2503</v>
      </c>
      <c r="R210" s="4" t="s">
        <v>2504</v>
      </c>
      <c r="S210" s="164">
        <v>9.9975599672E10</v>
      </c>
    </row>
    <row r="211">
      <c r="A211" s="67" t="str">
        <f t="shared" si="1"/>
        <v>Mon</v>
      </c>
      <c r="B211" s="69">
        <v>43640.0</v>
      </c>
      <c r="D211" s="161">
        <v>97.0</v>
      </c>
      <c r="E211" s="4" t="s">
        <v>222</v>
      </c>
      <c r="F211" s="4" t="s">
        <v>2499</v>
      </c>
      <c r="I211" s="4" t="s">
        <v>224</v>
      </c>
      <c r="S211" s="15"/>
    </row>
    <row r="212">
      <c r="A212" s="67" t="str">
        <f t="shared" si="1"/>
        <v>Tue</v>
      </c>
      <c r="B212" s="69">
        <v>43641.0</v>
      </c>
      <c r="D212" s="161">
        <v>97.0</v>
      </c>
      <c r="E212" s="4" t="s">
        <v>222</v>
      </c>
      <c r="F212" s="4" t="s">
        <v>2499</v>
      </c>
      <c r="I212" s="4" t="s">
        <v>224</v>
      </c>
      <c r="S212" s="15"/>
    </row>
    <row r="213">
      <c r="A213" s="67" t="str">
        <f t="shared" si="1"/>
        <v>Wed</v>
      </c>
      <c r="B213" s="69">
        <v>43642.0</v>
      </c>
      <c r="H213" s="4" t="s">
        <v>2499</v>
      </c>
      <c r="S213" s="15"/>
    </row>
    <row r="214">
      <c r="A214" s="67" t="str">
        <f t="shared" si="1"/>
        <v>Thu</v>
      </c>
      <c r="B214" s="69">
        <v>43643.0</v>
      </c>
      <c r="D214" s="161">
        <v>153.58333333333334</v>
      </c>
      <c r="E214" s="4" t="s">
        <v>222</v>
      </c>
      <c r="F214" s="4" t="s">
        <v>2505</v>
      </c>
      <c r="G214" s="4" t="s">
        <v>2505</v>
      </c>
      <c r="I214" s="4" t="s">
        <v>224</v>
      </c>
      <c r="K214" s="4" t="s">
        <v>231</v>
      </c>
      <c r="L214" s="4" t="s">
        <v>240</v>
      </c>
      <c r="M214" s="4" t="s">
        <v>226</v>
      </c>
      <c r="N214" s="4" t="s">
        <v>232</v>
      </c>
      <c r="O214" s="4" t="s">
        <v>264</v>
      </c>
      <c r="R214" s="4" t="s">
        <v>2506</v>
      </c>
      <c r="S214" s="15"/>
    </row>
    <row r="215">
      <c r="A215" s="67" t="str">
        <f t="shared" si="1"/>
        <v>Fri</v>
      </c>
      <c r="B215" s="69">
        <v>43644.0</v>
      </c>
      <c r="D215" s="161">
        <v>153.58333333333334</v>
      </c>
      <c r="E215" s="4" t="s">
        <v>222</v>
      </c>
      <c r="F215" s="4" t="s">
        <v>2505</v>
      </c>
      <c r="I215" s="4" t="s">
        <v>224</v>
      </c>
      <c r="S215" s="15"/>
    </row>
    <row r="216">
      <c r="A216" s="67" t="str">
        <f t="shared" si="1"/>
        <v>Sat</v>
      </c>
      <c r="B216" s="69">
        <v>43645.0</v>
      </c>
      <c r="D216" s="161">
        <v>153.58333333333334</v>
      </c>
      <c r="E216" s="4" t="s">
        <v>222</v>
      </c>
      <c r="F216" s="4" t="s">
        <v>2505</v>
      </c>
      <c r="I216" s="4" t="s">
        <v>224</v>
      </c>
      <c r="S216" s="15"/>
    </row>
    <row r="217">
      <c r="A217" s="67" t="str">
        <f t="shared" si="1"/>
        <v>Sun</v>
      </c>
      <c r="B217" s="69">
        <v>43646.0</v>
      </c>
      <c r="H217" s="4" t="s">
        <v>2505</v>
      </c>
      <c r="S217" s="15"/>
    </row>
    <row r="218">
      <c r="A218" s="67" t="str">
        <f t="shared" si="1"/>
        <v>Mon</v>
      </c>
      <c r="B218" s="69">
        <v>43647.0</v>
      </c>
      <c r="S218" s="15"/>
    </row>
    <row r="219">
      <c r="A219" s="67" t="str">
        <f t="shared" si="1"/>
        <v>Tue</v>
      </c>
      <c r="B219" s="69">
        <v>43648.0</v>
      </c>
      <c r="S219" s="15"/>
    </row>
    <row r="220">
      <c r="A220" s="67" t="str">
        <f t="shared" si="1"/>
        <v>Wed</v>
      </c>
      <c r="B220" s="69">
        <v>43649.0</v>
      </c>
      <c r="S220" s="15"/>
    </row>
    <row r="221">
      <c r="A221" s="67" t="str">
        <f t="shared" si="1"/>
        <v>Thu</v>
      </c>
      <c r="B221" s="69">
        <v>43650.0</v>
      </c>
      <c r="S221" s="15"/>
    </row>
    <row r="222">
      <c r="A222" s="67" t="str">
        <f t="shared" si="1"/>
        <v>Fri</v>
      </c>
      <c r="B222" s="69">
        <v>43651.0</v>
      </c>
      <c r="S222" s="15"/>
    </row>
    <row r="223">
      <c r="A223" s="67" t="str">
        <f t="shared" si="1"/>
        <v>Sat</v>
      </c>
      <c r="B223" s="69">
        <v>43652.0</v>
      </c>
      <c r="S223" s="15"/>
    </row>
    <row r="224">
      <c r="A224" s="67" t="str">
        <f t="shared" si="1"/>
        <v>Sun</v>
      </c>
      <c r="B224" s="69">
        <v>43653.0</v>
      </c>
      <c r="S224" s="15"/>
    </row>
    <row r="225">
      <c r="A225" s="67" t="str">
        <f t="shared" si="1"/>
        <v>Mon</v>
      </c>
      <c r="B225" s="69">
        <v>43654.0</v>
      </c>
      <c r="S225" s="15"/>
    </row>
    <row r="226">
      <c r="A226" s="67" t="str">
        <f t="shared" si="1"/>
        <v>Tue</v>
      </c>
      <c r="B226" s="69">
        <v>43655.0</v>
      </c>
      <c r="S226" s="15"/>
    </row>
    <row r="227">
      <c r="A227" s="67" t="str">
        <f t="shared" si="1"/>
        <v>Wed</v>
      </c>
      <c r="B227" s="69">
        <v>43656.0</v>
      </c>
      <c r="S227" s="15"/>
    </row>
    <row r="228">
      <c r="A228" s="67" t="str">
        <f t="shared" si="1"/>
        <v>Thu</v>
      </c>
      <c r="B228" s="69">
        <v>43657.0</v>
      </c>
      <c r="S228" s="15"/>
    </row>
    <row r="229">
      <c r="A229" s="67" t="str">
        <f t="shared" si="1"/>
        <v>Fri</v>
      </c>
      <c r="B229" s="69">
        <v>43658.0</v>
      </c>
      <c r="S229" s="15"/>
    </row>
    <row r="230">
      <c r="A230" s="67" t="str">
        <f t="shared" si="1"/>
        <v>Sat</v>
      </c>
      <c r="B230" s="69">
        <v>43659.0</v>
      </c>
      <c r="S230" s="15"/>
    </row>
    <row r="231">
      <c r="A231" s="67" t="str">
        <f t="shared" si="1"/>
        <v>Sun</v>
      </c>
      <c r="B231" s="69">
        <v>43660.0</v>
      </c>
      <c r="S231" s="15"/>
    </row>
    <row r="232">
      <c r="A232" s="67" t="str">
        <f t="shared" si="1"/>
        <v>Mon</v>
      </c>
      <c r="B232" s="69">
        <v>43661.0</v>
      </c>
      <c r="S232" s="15"/>
    </row>
    <row r="233">
      <c r="A233" s="67" t="str">
        <f t="shared" si="1"/>
        <v>Tue</v>
      </c>
      <c r="B233" s="69">
        <v>43662.0</v>
      </c>
      <c r="S233" s="15"/>
    </row>
    <row r="234">
      <c r="A234" s="67" t="str">
        <f t="shared" si="1"/>
        <v>Wed</v>
      </c>
      <c r="B234" s="69">
        <v>43663.0</v>
      </c>
      <c r="S234" s="15"/>
    </row>
    <row r="235">
      <c r="A235" s="67" t="str">
        <f t="shared" si="1"/>
        <v>Thu</v>
      </c>
      <c r="B235" s="69">
        <v>43664.0</v>
      </c>
      <c r="S235" s="15"/>
    </row>
    <row r="236">
      <c r="A236" s="67" t="str">
        <f t="shared" si="1"/>
        <v>Fri</v>
      </c>
      <c r="B236" s="69">
        <v>43665.0</v>
      </c>
      <c r="S236" s="15"/>
    </row>
    <row r="237">
      <c r="A237" s="67" t="str">
        <f t="shared" si="1"/>
        <v>Sat</v>
      </c>
      <c r="B237" s="69">
        <v>43666.0</v>
      </c>
      <c r="S237" s="15"/>
    </row>
    <row r="238">
      <c r="A238" s="67" t="str">
        <f t="shared" si="1"/>
        <v>Sun</v>
      </c>
      <c r="B238" s="69">
        <v>43667.0</v>
      </c>
      <c r="S238" s="15"/>
    </row>
    <row r="239">
      <c r="A239" s="67" t="str">
        <f t="shared" si="1"/>
        <v>Mon</v>
      </c>
      <c r="B239" s="69">
        <v>43668.0</v>
      </c>
      <c r="S239" s="15"/>
    </row>
    <row r="240">
      <c r="A240" s="67" t="str">
        <f t="shared" si="1"/>
        <v>Tue</v>
      </c>
      <c r="B240" s="69">
        <v>43669.0</v>
      </c>
      <c r="S240" s="15"/>
    </row>
    <row r="241">
      <c r="A241" s="67" t="str">
        <f t="shared" si="1"/>
        <v>Wed</v>
      </c>
      <c r="B241" s="69">
        <v>43670.0</v>
      </c>
      <c r="S241" s="15"/>
    </row>
    <row r="242">
      <c r="A242" s="67" t="str">
        <f t="shared" si="1"/>
        <v>Thu</v>
      </c>
      <c r="B242" s="69">
        <v>43671.0</v>
      </c>
      <c r="S242" s="15"/>
    </row>
    <row r="243">
      <c r="A243" s="67" t="str">
        <f t="shared" si="1"/>
        <v>Fri</v>
      </c>
      <c r="B243" s="69">
        <v>43672.0</v>
      </c>
      <c r="S243" s="15"/>
    </row>
    <row r="244">
      <c r="A244" s="67" t="str">
        <f t="shared" si="1"/>
        <v>Sat</v>
      </c>
      <c r="B244" s="69">
        <v>43673.0</v>
      </c>
      <c r="S244" s="15"/>
    </row>
    <row r="245">
      <c r="A245" s="67" t="str">
        <f t="shared" si="1"/>
        <v>Sun</v>
      </c>
      <c r="B245" s="69">
        <v>43674.0</v>
      </c>
      <c r="S245" s="15"/>
    </row>
    <row r="246">
      <c r="A246" s="67" t="str">
        <f t="shared" si="1"/>
        <v>Mon</v>
      </c>
      <c r="B246" s="69">
        <v>43675.0</v>
      </c>
      <c r="S246" s="15"/>
    </row>
    <row r="247">
      <c r="A247" s="67" t="str">
        <f t="shared" si="1"/>
        <v>Tue</v>
      </c>
      <c r="B247" s="69">
        <v>43676.0</v>
      </c>
      <c r="S247" s="15"/>
    </row>
    <row r="248">
      <c r="A248" s="67" t="str">
        <f t="shared" si="1"/>
        <v>Wed</v>
      </c>
      <c r="B248" s="69">
        <v>43677.0</v>
      </c>
      <c r="S248" s="15"/>
    </row>
    <row r="249">
      <c r="A249" s="67" t="str">
        <f t="shared" si="1"/>
        <v>Thu</v>
      </c>
      <c r="B249" s="69">
        <v>43678.0</v>
      </c>
      <c r="D249" s="161">
        <v>164.9</v>
      </c>
      <c r="E249" s="4" t="s">
        <v>222</v>
      </c>
      <c r="F249" s="4" t="s">
        <v>2507</v>
      </c>
      <c r="G249" s="4" t="s">
        <v>2507</v>
      </c>
      <c r="I249" s="4" t="s">
        <v>395</v>
      </c>
      <c r="K249" s="4"/>
      <c r="L249" s="4" t="s">
        <v>240</v>
      </c>
      <c r="S249" s="15"/>
    </row>
    <row r="250">
      <c r="A250" s="67" t="str">
        <f t="shared" si="1"/>
        <v>Fri</v>
      </c>
      <c r="B250" s="69">
        <v>43679.0</v>
      </c>
      <c r="D250" s="161">
        <v>164.9</v>
      </c>
      <c r="E250" s="4" t="s">
        <v>222</v>
      </c>
      <c r="F250" s="4" t="s">
        <v>2507</v>
      </c>
      <c r="I250" s="4" t="s">
        <v>395</v>
      </c>
      <c r="S250" s="15"/>
    </row>
    <row r="251">
      <c r="A251" s="67" t="str">
        <f t="shared" si="1"/>
        <v>Sat</v>
      </c>
      <c r="B251" s="69">
        <v>43680.0</v>
      </c>
      <c r="D251" s="161">
        <v>164.9</v>
      </c>
      <c r="E251" s="4" t="s">
        <v>222</v>
      </c>
      <c r="F251" s="4" t="s">
        <v>2507</v>
      </c>
      <c r="I251" s="4" t="s">
        <v>395</v>
      </c>
      <c r="S251" s="15"/>
    </row>
    <row r="252">
      <c r="A252" s="67" t="str">
        <f t="shared" si="1"/>
        <v>Sun</v>
      </c>
      <c r="B252" s="69">
        <v>43681.0</v>
      </c>
      <c r="D252" s="161">
        <v>164.9</v>
      </c>
      <c r="E252" s="4" t="s">
        <v>222</v>
      </c>
      <c r="F252" s="4" t="s">
        <v>2507</v>
      </c>
      <c r="I252" s="4" t="s">
        <v>395</v>
      </c>
      <c r="S252" s="15"/>
    </row>
    <row r="253">
      <c r="A253" s="67" t="str">
        <f t="shared" si="1"/>
        <v>Mon</v>
      </c>
      <c r="B253" s="69">
        <v>43682.0</v>
      </c>
      <c r="D253" s="4">
        <v>164.9</v>
      </c>
      <c r="E253" s="4" t="s">
        <v>222</v>
      </c>
      <c r="F253" s="4" t="s">
        <v>2507</v>
      </c>
      <c r="I253" s="4" t="s">
        <v>395</v>
      </c>
      <c r="S253" s="15"/>
    </row>
    <row r="254">
      <c r="A254" s="67" t="str">
        <f t="shared" si="1"/>
        <v>Tue</v>
      </c>
      <c r="B254" s="69">
        <v>43683.0</v>
      </c>
      <c r="H254" s="4" t="s">
        <v>2507</v>
      </c>
      <c r="S254" s="15"/>
    </row>
    <row r="255">
      <c r="A255" s="67" t="str">
        <f t="shared" si="1"/>
        <v>Wed</v>
      </c>
      <c r="B255" s="69">
        <v>43684.0</v>
      </c>
      <c r="S255" s="15"/>
    </row>
    <row r="256">
      <c r="A256" s="67" t="str">
        <f t="shared" si="1"/>
        <v>Thu</v>
      </c>
      <c r="B256" s="69">
        <v>43685.0</v>
      </c>
      <c r="S256" s="15"/>
    </row>
    <row r="257">
      <c r="A257" s="67" t="str">
        <f t="shared" si="1"/>
        <v>Fri</v>
      </c>
      <c r="B257" s="69">
        <v>43686.0</v>
      </c>
      <c r="S257" s="15"/>
    </row>
    <row r="258">
      <c r="A258" s="67" t="str">
        <f t="shared" si="1"/>
        <v>Sat</v>
      </c>
      <c r="B258" s="69">
        <v>43687.0</v>
      </c>
      <c r="S258" s="15"/>
    </row>
    <row r="259">
      <c r="A259" s="67" t="str">
        <f t="shared" si="1"/>
        <v>Sun</v>
      </c>
      <c r="B259" s="69">
        <v>43688.0</v>
      </c>
      <c r="S259" s="15"/>
    </row>
    <row r="260">
      <c r="A260" s="67" t="str">
        <f t="shared" si="1"/>
        <v>Mon</v>
      </c>
      <c r="B260" s="69">
        <v>43689.0</v>
      </c>
      <c r="S260" s="15"/>
    </row>
    <row r="261">
      <c r="A261" s="67" t="str">
        <f t="shared" si="1"/>
        <v>Tue</v>
      </c>
      <c r="B261" s="69">
        <v>43690.0</v>
      </c>
      <c r="S261" s="15"/>
    </row>
    <row r="262">
      <c r="A262" s="67" t="str">
        <f t="shared" si="1"/>
        <v>Wed</v>
      </c>
      <c r="B262" s="69">
        <v>43691.0</v>
      </c>
      <c r="S262" s="15"/>
    </row>
    <row r="263">
      <c r="A263" s="67" t="str">
        <f t="shared" si="1"/>
        <v>Thu</v>
      </c>
      <c r="B263" s="69">
        <v>43692.0</v>
      </c>
      <c r="S263" s="15"/>
    </row>
    <row r="264">
      <c r="A264" s="67" t="str">
        <f t="shared" si="1"/>
        <v>Fri</v>
      </c>
      <c r="B264" s="69">
        <v>43693.0</v>
      </c>
      <c r="S264" s="15"/>
    </row>
    <row r="265">
      <c r="A265" s="67" t="str">
        <f t="shared" si="1"/>
        <v>Sat</v>
      </c>
      <c r="B265" s="69">
        <v>43694.0</v>
      </c>
      <c r="S265" s="15"/>
    </row>
    <row r="266">
      <c r="A266" s="67" t="str">
        <f t="shared" si="1"/>
        <v>Sun</v>
      </c>
      <c r="B266" s="69">
        <v>43695.0</v>
      </c>
      <c r="S266" s="15"/>
    </row>
    <row r="267">
      <c r="A267" s="67" t="str">
        <f t="shared" si="1"/>
        <v>Mon</v>
      </c>
      <c r="B267" s="69">
        <v>43696.0</v>
      </c>
      <c r="S267" s="15"/>
    </row>
    <row r="268">
      <c r="A268" s="67" t="str">
        <f t="shared" si="1"/>
        <v>Tue</v>
      </c>
      <c r="B268" s="69">
        <v>43697.0</v>
      </c>
      <c r="S268" s="15"/>
    </row>
    <row r="269">
      <c r="A269" s="67" t="str">
        <f t="shared" si="1"/>
        <v>Wed</v>
      </c>
      <c r="B269" s="69">
        <v>43698.0</v>
      </c>
      <c r="S269" s="15"/>
    </row>
    <row r="270">
      <c r="A270" s="67" t="str">
        <f t="shared" si="1"/>
        <v>Thu</v>
      </c>
      <c r="B270" s="69">
        <v>43699.0</v>
      </c>
      <c r="S270" s="15"/>
    </row>
    <row r="271">
      <c r="A271" s="67" t="str">
        <f t="shared" si="1"/>
        <v>Fri</v>
      </c>
      <c r="B271" s="69">
        <v>43700.0</v>
      </c>
      <c r="S271" s="15"/>
    </row>
    <row r="272">
      <c r="A272" s="67" t="str">
        <f t="shared" si="1"/>
        <v>Sat</v>
      </c>
      <c r="B272" s="69">
        <v>43701.0</v>
      </c>
      <c r="S272" s="15"/>
    </row>
    <row r="273">
      <c r="A273" s="67" t="str">
        <f t="shared" si="1"/>
        <v>Sun</v>
      </c>
      <c r="B273" s="69">
        <v>43702.0</v>
      </c>
      <c r="S273" s="15"/>
    </row>
    <row r="274">
      <c r="A274" s="67" t="str">
        <f t="shared" si="1"/>
        <v>Mon</v>
      </c>
      <c r="B274" s="69">
        <v>43703.0</v>
      </c>
      <c r="S274" s="15"/>
    </row>
    <row r="275">
      <c r="A275" s="67" t="str">
        <f t="shared" si="1"/>
        <v>Tue</v>
      </c>
      <c r="B275" s="69">
        <v>43704.0</v>
      </c>
      <c r="S275" s="15"/>
    </row>
    <row r="276">
      <c r="A276" s="67" t="str">
        <f t="shared" si="1"/>
        <v>Wed</v>
      </c>
      <c r="B276" s="69">
        <v>43705.0</v>
      </c>
      <c r="S276" s="15"/>
    </row>
    <row r="277">
      <c r="A277" s="67" t="str">
        <f t="shared" si="1"/>
        <v>Thu</v>
      </c>
      <c r="B277" s="69">
        <v>43706.0</v>
      </c>
      <c r="S277" s="15"/>
    </row>
    <row r="278">
      <c r="A278" s="67" t="str">
        <f t="shared" si="1"/>
        <v>Fri</v>
      </c>
      <c r="B278" s="69">
        <v>43707.0</v>
      </c>
      <c r="S278" s="15"/>
    </row>
    <row r="279">
      <c r="A279" s="67" t="str">
        <f t="shared" si="1"/>
        <v>Sat</v>
      </c>
      <c r="B279" s="69">
        <v>43708.0</v>
      </c>
      <c r="S279" s="15"/>
    </row>
    <row r="280">
      <c r="A280" s="67" t="str">
        <f t="shared" si="1"/>
        <v>Sun</v>
      </c>
      <c r="B280" s="69">
        <v>43709.0</v>
      </c>
      <c r="S280" s="15"/>
    </row>
    <row r="281">
      <c r="A281" s="67" t="str">
        <f t="shared" si="1"/>
        <v>Mon</v>
      </c>
      <c r="B281" s="69">
        <v>43710.0</v>
      </c>
      <c r="S281" s="15"/>
    </row>
    <row r="282">
      <c r="A282" s="67" t="str">
        <f t="shared" si="1"/>
        <v>Tue</v>
      </c>
      <c r="B282" s="69">
        <v>43711.0</v>
      </c>
      <c r="S282" s="15"/>
    </row>
    <row r="283">
      <c r="A283" s="67" t="str">
        <f t="shared" si="1"/>
        <v>Wed</v>
      </c>
      <c r="B283" s="69">
        <v>43712.0</v>
      </c>
      <c r="S283" s="15"/>
    </row>
    <row r="284">
      <c r="A284" s="67" t="str">
        <f t="shared" si="1"/>
        <v>Thu</v>
      </c>
      <c r="B284" s="69">
        <v>43713.0</v>
      </c>
      <c r="S284" s="15"/>
    </row>
    <row r="285">
      <c r="A285" s="67" t="str">
        <f t="shared" si="1"/>
        <v>Fri</v>
      </c>
      <c r="B285" s="69">
        <v>43714.0</v>
      </c>
      <c r="S285" s="15"/>
    </row>
    <row r="286">
      <c r="A286" s="67" t="str">
        <f t="shared" si="1"/>
        <v>Sat</v>
      </c>
      <c r="B286" s="69">
        <v>43715.0</v>
      </c>
      <c r="S286" s="15"/>
    </row>
    <row r="287">
      <c r="A287" s="67" t="str">
        <f t="shared" si="1"/>
        <v>Sun</v>
      </c>
      <c r="B287" s="69">
        <v>43716.0</v>
      </c>
      <c r="S287" s="15"/>
    </row>
    <row r="288">
      <c r="A288" s="67" t="str">
        <f t="shared" si="1"/>
        <v>Mon</v>
      </c>
      <c r="B288" s="69">
        <v>43717.0</v>
      </c>
      <c r="S288" s="15"/>
    </row>
    <row r="289">
      <c r="A289" s="67" t="str">
        <f t="shared" si="1"/>
        <v>Tue</v>
      </c>
      <c r="B289" s="69">
        <v>43718.0</v>
      </c>
      <c r="S289" s="15"/>
    </row>
    <row r="290">
      <c r="A290" s="67" t="str">
        <f t="shared" si="1"/>
        <v>Wed</v>
      </c>
      <c r="B290" s="69">
        <v>43719.0</v>
      </c>
      <c r="S290" s="15"/>
    </row>
    <row r="291">
      <c r="A291" s="67" t="str">
        <f t="shared" si="1"/>
        <v>Thu</v>
      </c>
      <c r="B291" s="69">
        <v>43720.0</v>
      </c>
      <c r="S291" s="15"/>
    </row>
    <row r="292">
      <c r="A292" s="67" t="str">
        <f t="shared" si="1"/>
        <v>Fri</v>
      </c>
      <c r="B292" s="69">
        <v>43721.0</v>
      </c>
      <c r="S292" s="15"/>
    </row>
    <row r="293">
      <c r="A293" s="67" t="str">
        <f t="shared" si="1"/>
        <v>Sat</v>
      </c>
      <c r="B293" s="69">
        <v>43722.0</v>
      </c>
      <c r="S293" s="15"/>
    </row>
    <row r="294">
      <c r="A294" s="67" t="str">
        <f t="shared" si="1"/>
        <v>Sun</v>
      </c>
      <c r="B294" s="69">
        <v>43723.0</v>
      </c>
      <c r="S294" s="15"/>
    </row>
    <row r="295">
      <c r="A295" s="67" t="str">
        <f t="shared" si="1"/>
        <v>Mon</v>
      </c>
      <c r="B295" s="69">
        <v>43724.0</v>
      </c>
      <c r="S295" s="15"/>
    </row>
    <row r="296">
      <c r="A296" s="67" t="str">
        <f t="shared" si="1"/>
        <v>Tue</v>
      </c>
      <c r="B296" s="69">
        <v>43725.0</v>
      </c>
      <c r="S296" s="15"/>
    </row>
    <row r="297">
      <c r="A297" s="67" t="str">
        <f t="shared" si="1"/>
        <v>Wed</v>
      </c>
      <c r="B297" s="69">
        <v>43726.0</v>
      </c>
      <c r="S297" s="15"/>
    </row>
    <row r="298">
      <c r="A298" s="67" t="str">
        <f t="shared" si="1"/>
        <v>Thu</v>
      </c>
      <c r="B298" s="69">
        <v>43727.0</v>
      </c>
      <c r="S298" s="15"/>
    </row>
    <row r="299">
      <c r="A299" s="67" t="str">
        <f t="shared" si="1"/>
        <v>Fri</v>
      </c>
      <c r="B299" s="69">
        <v>43728.0</v>
      </c>
      <c r="S299" s="15"/>
    </row>
    <row r="300">
      <c r="A300" s="67" t="str">
        <f t="shared" si="1"/>
        <v>Sat</v>
      </c>
      <c r="B300" s="69">
        <v>43729.0</v>
      </c>
      <c r="S300" s="15"/>
    </row>
    <row r="301">
      <c r="A301" s="67" t="str">
        <f t="shared" si="1"/>
        <v>Sun</v>
      </c>
      <c r="B301" s="69">
        <v>43730.0</v>
      </c>
      <c r="S301" s="15"/>
    </row>
    <row r="302">
      <c r="A302" s="67" t="str">
        <f t="shared" si="1"/>
        <v>Mon</v>
      </c>
      <c r="B302" s="69">
        <v>43731.0</v>
      </c>
      <c r="S302" s="15"/>
    </row>
    <row r="303">
      <c r="A303" s="67" t="str">
        <f t="shared" si="1"/>
        <v>Tue</v>
      </c>
      <c r="B303" s="69">
        <v>43732.0</v>
      </c>
      <c r="S303" s="15"/>
    </row>
    <row r="304">
      <c r="A304" s="67" t="str">
        <f t="shared" si="1"/>
        <v>Wed</v>
      </c>
      <c r="B304" s="69">
        <v>43733.0</v>
      </c>
      <c r="S304" s="15"/>
    </row>
    <row r="305">
      <c r="A305" s="67" t="str">
        <f t="shared" si="1"/>
        <v>Thu</v>
      </c>
      <c r="B305" s="69">
        <v>43734.0</v>
      </c>
      <c r="S305" s="15"/>
    </row>
    <row r="306">
      <c r="A306" s="67" t="str">
        <f t="shared" si="1"/>
        <v>Fri</v>
      </c>
      <c r="B306" s="69">
        <v>43735.0</v>
      </c>
      <c r="S306" s="15"/>
    </row>
    <row r="307">
      <c r="A307" s="67" t="str">
        <f t="shared" si="1"/>
        <v>Sat</v>
      </c>
      <c r="B307" s="69">
        <v>43736.0</v>
      </c>
      <c r="S307" s="15"/>
    </row>
    <row r="308">
      <c r="A308" s="67" t="str">
        <f t="shared" si="1"/>
        <v>Sun</v>
      </c>
      <c r="B308" s="69">
        <v>43737.0</v>
      </c>
      <c r="S308" s="15"/>
    </row>
    <row r="309">
      <c r="A309" s="67" t="str">
        <f t="shared" si="1"/>
        <v>Mon</v>
      </c>
      <c r="B309" s="69">
        <v>43738.0</v>
      </c>
      <c r="S309" s="15"/>
    </row>
    <row r="310">
      <c r="A310" s="67" t="str">
        <f t="shared" si="1"/>
        <v>Tue</v>
      </c>
      <c r="B310" s="69">
        <v>43739.0</v>
      </c>
      <c r="S310" s="15"/>
    </row>
    <row r="311">
      <c r="A311" s="67" t="str">
        <f t="shared" si="1"/>
        <v>Wed</v>
      </c>
      <c r="B311" s="69">
        <v>43740.0</v>
      </c>
      <c r="S311" s="15"/>
    </row>
    <row r="312">
      <c r="A312" s="67" t="str">
        <f t="shared" si="1"/>
        <v>Thu</v>
      </c>
      <c r="B312" s="69">
        <v>43741.0</v>
      </c>
      <c r="S312" s="15"/>
    </row>
    <row r="313">
      <c r="A313" s="67" t="str">
        <f t="shared" si="1"/>
        <v>Fri</v>
      </c>
      <c r="B313" s="69">
        <v>43742.0</v>
      </c>
      <c r="S313" s="15"/>
    </row>
    <row r="314">
      <c r="A314" s="67" t="str">
        <f t="shared" si="1"/>
        <v>Sat</v>
      </c>
      <c r="B314" s="69">
        <v>43743.0</v>
      </c>
      <c r="S314" s="15"/>
    </row>
    <row r="315">
      <c r="A315" s="67" t="str">
        <f t="shared" si="1"/>
        <v>Sun</v>
      </c>
      <c r="B315" s="69">
        <v>43744.0</v>
      </c>
      <c r="S315" s="15"/>
    </row>
    <row r="316">
      <c r="A316" s="67" t="str">
        <f t="shared" si="1"/>
        <v>Mon</v>
      </c>
      <c r="B316" s="69">
        <v>43745.0</v>
      </c>
      <c r="S316" s="15"/>
    </row>
    <row r="317">
      <c r="A317" s="67" t="str">
        <f t="shared" si="1"/>
        <v>Tue</v>
      </c>
      <c r="B317" s="69">
        <v>43746.0</v>
      </c>
      <c r="S317" s="15"/>
    </row>
    <row r="318">
      <c r="A318" s="67" t="str">
        <f t="shared" si="1"/>
        <v>Wed</v>
      </c>
      <c r="B318" s="69">
        <v>43747.0</v>
      </c>
      <c r="S318" s="15"/>
    </row>
    <row r="319">
      <c r="A319" s="67" t="str">
        <f t="shared" si="1"/>
        <v>Thu</v>
      </c>
      <c r="B319" s="69">
        <v>43748.0</v>
      </c>
      <c r="S319" s="15"/>
    </row>
    <row r="320">
      <c r="A320" s="67" t="str">
        <f t="shared" si="1"/>
        <v>Fri</v>
      </c>
      <c r="B320" s="69">
        <v>43749.0</v>
      </c>
      <c r="S320" s="15"/>
    </row>
    <row r="321">
      <c r="A321" s="67" t="str">
        <f t="shared" si="1"/>
        <v>Sat</v>
      </c>
      <c r="B321" s="69">
        <v>43750.0</v>
      </c>
      <c r="S321" s="15"/>
    </row>
    <row r="322">
      <c r="A322" s="67" t="str">
        <f t="shared" si="1"/>
        <v>Sun</v>
      </c>
      <c r="B322" s="69">
        <v>43751.0</v>
      </c>
      <c r="S322" s="15"/>
    </row>
    <row r="323">
      <c r="A323" s="67" t="str">
        <f t="shared" si="1"/>
        <v>Mon</v>
      </c>
      <c r="B323" s="69">
        <v>43752.0</v>
      </c>
      <c r="S323" s="15"/>
    </row>
    <row r="324">
      <c r="A324" s="67" t="str">
        <f t="shared" si="1"/>
        <v>Tue</v>
      </c>
      <c r="B324" s="69">
        <v>43753.0</v>
      </c>
      <c r="S324" s="15"/>
    </row>
    <row r="325">
      <c r="A325" s="67" t="str">
        <f t="shared" si="1"/>
        <v>Wed</v>
      </c>
      <c r="B325" s="69">
        <v>43754.0</v>
      </c>
      <c r="S325" s="15"/>
    </row>
    <row r="326">
      <c r="A326" s="67" t="str">
        <f t="shared" si="1"/>
        <v>Thu</v>
      </c>
      <c r="B326" s="69">
        <v>43755.0</v>
      </c>
      <c r="S326" s="15"/>
    </row>
    <row r="327">
      <c r="A327" s="67" t="str">
        <f t="shared" si="1"/>
        <v>Fri</v>
      </c>
      <c r="B327" s="69">
        <v>43756.0</v>
      </c>
      <c r="S327" s="15"/>
    </row>
    <row r="328">
      <c r="A328" s="67" t="str">
        <f t="shared" si="1"/>
        <v>Sat</v>
      </c>
      <c r="B328" s="69">
        <v>43757.0</v>
      </c>
      <c r="S328" s="15"/>
    </row>
    <row r="329">
      <c r="A329" s="67" t="str">
        <f t="shared" si="1"/>
        <v>Sun</v>
      </c>
      <c r="B329" s="69">
        <v>43758.0</v>
      </c>
      <c r="S329" s="15"/>
    </row>
    <row r="330">
      <c r="A330" s="67" t="str">
        <f t="shared" si="1"/>
        <v>Mon</v>
      </c>
      <c r="B330" s="69">
        <v>43759.0</v>
      </c>
      <c r="S330" s="15"/>
    </row>
    <row r="331">
      <c r="A331" s="67" t="str">
        <f t="shared" si="1"/>
        <v>Tue</v>
      </c>
      <c r="B331" s="69">
        <v>43760.0</v>
      </c>
      <c r="S331" s="15"/>
    </row>
    <row r="332">
      <c r="A332" s="67" t="str">
        <f t="shared" si="1"/>
        <v>Wed</v>
      </c>
      <c r="B332" s="69">
        <v>43761.0</v>
      </c>
      <c r="S332" s="15"/>
    </row>
    <row r="333">
      <c r="A333" s="67" t="str">
        <f t="shared" si="1"/>
        <v>Thu</v>
      </c>
      <c r="B333" s="69">
        <v>43762.0</v>
      </c>
      <c r="S333" s="15"/>
    </row>
    <row r="334">
      <c r="A334" s="67" t="str">
        <f t="shared" si="1"/>
        <v>Fri</v>
      </c>
      <c r="B334" s="69">
        <v>43763.0</v>
      </c>
      <c r="S334" s="15"/>
    </row>
    <row r="335">
      <c r="A335" s="67" t="str">
        <f t="shared" si="1"/>
        <v>Sat</v>
      </c>
      <c r="B335" s="69">
        <v>43764.0</v>
      </c>
      <c r="S335" s="15"/>
    </row>
    <row r="336">
      <c r="A336" s="67" t="str">
        <f t="shared" si="1"/>
        <v>Sun</v>
      </c>
      <c r="B336" s="69">
        <v>43765.0</v>
      </c>
      <c r="S336" s="15"/>
    </row>
    <row r="337">
      <c r="A337" s="67" t="str">
        <f t="shared" si="1"/>
        <v>Mon</v>
      </c>
      <c r="B337" s="69">
        <v>43766.0</v>
      </c>
      <c r="S337" s="15"/>
    </row>
    <row r="338">
      <c r="A338" s="67" t="str">
        <f t="shared" si="1"/>
        <v>Tue</v>
      </c>
      <c r="B338" s="69">
        <v>43767.0</v>
      </c>
      <c r="S338" s="15"/>
    </row>
    <row r="339">
      <c r="A339" s="67" t="str">
        <f t="shared" si="1"/>
        <v>Wed</v>
      </c>
      <c r="B339" s="69">
        <v>43768.0</v>
      </c>
      <c r="S339" s="15"/>
    </row>
    <row r="340">
      <c r="A340" s="67" t="str">
        <f t="shared" si="1"/>
        <v>Thu</v>
      </c>
      <c r="B340" s="69">
        <v>43769.0</v>
      </c>
      <c r="S340" s="15"/>
    </row>
    <row r="341">
      <c r="A341" s="67" t="str">
        <f t="shared" si="1"/>
        <v>Fri</v>
      </c>
      <c r="B341" s="69">
        <v>43770.0</v>
      </c>
      <c r="S341" s="15"/>
    </row>
    <row r="342">
      <c r="A342" s="67" t="str">
        <f t="shared" si="1"/>
        <v>Sat</v>
      </c>
      <c r="B342" s="69">
        <v>43771.0</v>
      </c>
      <c r="S342" s="15"/>
    </row>
    <row r="343">
      <c r="A343" s="67" t="str">
        <f t="shared" si="1"/>
        <v>Sun</v>
      </c>
      <c r="B343" s="69">
        <v>43772.0</v>
      </c>
      <c r="S343" s="15"/>
    </row>
    <row r="344">
      <c r="A344" s="67" t="str">
        <f t="shared" si="1"/>
        <v>Mon</v>
      </c>
      <c r="B344" s="69">
        <v>43773.0</v>
      </c>
      <c r="S344" s="15"/>
    </row>
    <row r="345">
      <c r="A345" s="67" t="str">
        <f t="shared" si="1"/>
        <v>Tue</v>
      </c>
      <c r="B345" s="69">
        <v>43774.0</v>
      </c>
      <c r="S345" s="15"/>
    </row>
    <row r="346">
      <c r="A346" s="67" t="str">
        <f t="shared" si="1"/>
        <v>Wed</v>
      </c>
      <c r="B346" s="69">
        <v>43775.0</v>
      </c>
      <c r="S346" s="15"/>
    </row>
    <row r="347">
      <c r="A347" s="67" t="str">
        <f t="shared" si="1"/>
        <v>Thu</v>
      </c>
      <c r="B347" s="69">
        <v>43776.0</v>
      </c>
      <c r="S347" s="15"/>
    </row>
    <row r="348">
      <c r="A348" s="67" t="str">
        <f t="shared" si="1"/>
        <v>Fri</v>
      </c>
      <c r="B348" s="69">
        <v>43777.0</v>
      </c>
      <c r="S348" s="15"/>
    </row>
    <row r="349">
      <c r="A349" s="67" t="str">
        <f t="shared" si="1"/>
        <v>Sat</v>
      </c>
      <c r="B349" s="69">
        <v>43778.0</v>
      </c>
      <c r="S349" s="15"/>
    </row>
    <row r="350">
      <c r="A350" s="67" t="str">
        <f t="shared" si="1"/>
        <v>Sun</v>
      </c>
      <c r="B350" s="69">
        <v>43779.0</v>
      </c>
      <c r="S350" s="15"/>
    </row>
    <row r="351">
      <c r="A351" s="67" t="str">
        <f t="shared" si="1"/>
        <v>Mon</v>
      </c>
      <c r="B351" s="69">
        <v>43780.0</v>
      </c>
      <c r="S351" s="15"/>
    </row>
    <row r="352">
      <c r="A352" s="67" t="str">
        <f t="shared" si="1"/>
        <v>Tue</v>
      </c>
      <c r="B352" s="69">
        <v>43781.0</v>
      </c>
      <c r="S352" s="15"/>
    </row>
    <row r="353">
      <c r="A353" s="67" t="str">
        <f t="shared" si="1"/>
        <v>Wed</v>
      </c>
      <c r="B353" s="69">
        <v>43782.0</v>
      </c>
      <c r="S353" s="15"/>
    </row>
    <row r="354">
      <c r="A354" s="67" t="str">
        <f t="shared" si="1"/>
        <v>Thu</v>
      </c>
      <c r="B354" s="69">
        <v>43783.0</v>
      </c>
      <c r="S354" s="15"/>
    </row>
    <row r="355">
      <c r="A355" s="67" t="str">
        <f t="shared" si="1"/>
        <v>Fri</v>
      </c>
      <c r="B355" s="69">
        <v>43784.0</v>
      </c>
      <c r="S355" s="15"/>
    </row>
    <row r="356">
      <c r="A356" s="67" t="str">
        <f t="shared" si="1"/>
        <v>Sat</v>
      </c>
      <c r="B356" s="69">
        <v>43785.0</v>
      </c>
      <c r="S356" s="15"/>
    </row>
    <row r="357">
      <c r="A357" s="67" t="str">
        <f t="shared" si="1"/>
        <v>Sun</v>
      </c>
      <c r="B357" s="69">
        <v>43786.0</v>
      </c>
      <c r="S357" s="15"/>
    </row>
    <row r="358">
      <c r="A358" s="67" t="str">
        <f t="shared" si="1"/>
        <v>Mon</v>
      </c>
      <c r="B358" s="69">
        <v>43787.0</v>
      </c>
      <c r="S358" s="15"/>
    </row>
    <row r="359">
      <c r="A359" s="67" t="str">
        <f t="shared" si="1"/>
        <v>Tue</v>
      </c>
      <c r="B359" s="69">
        <v>43788.0</v>
      </c>
      <c r="S359" s="15"/>
    </row>
    <row r="360">
      <c r="A360" s="67" t="str">
        <f t="shared" si="1"/>
        <v>Wed</v>
      </c>
      <c r="B360" s="69">
        <v>43789.0</v>
      </c>
      <c r="S360" s="15"/>
    </row>
    <row r="361">
      <c r="A361" s="67" t="str">
        <f t="shared" si="1"/>
        <v>Thu</v>
      </c>
      <c r="B361" s="69">
        <v>43790.0</v>
      </c>
      <c r="S361" s="15"/>
    </row>
    <row r="362">
      <c r="A362" s="67" t="str">
        <f t="shared" si="1"/>
        <v>Fri</v>
      </c>
      <c r="B362" s="69">
        <v>43791.0</v>
      </c>
      <c r="S362" s="15"/>
    </row>
    <row r="363">
      <c r="A363" s="67" t="str">
        <f t="shared" si="1"/>
        <v>Sat</v>
      </c>
      <c r="B363" s="69">
        <v>43792.0</v>
      </c>
      <c r="S363" s="15"/>
    </row>
    <row r="364">
      <c r="A364" s="67" t="str">
        <f t="shared" si="1"/>
        <v>Sun</v>
      </c>
      <c r="B364" s="69">
        <v>43793.0</v>
      </c>
      <c r="S364" s="15"/>
    </row>
    <row r="365">
      <c r="A365" s="67" t="str">
        <f t="shared" si="1"/>
        <v>Mon</v>
      </c>
      <c r="B365" s="69">
        <v>43794.0</v>
      </c>
      <c r="S365" s="15"/>
    </row>
    <row r="366">
      <c r="A366" s="67" t="str">
        <f t="shared" si="1"/>
        <v>Tue</v>
      </c>
      <c r="B366" s="69">
        <v>43795.0</v>
      </c>
      <c r="S366" s="15"/>
    </row>
    <row r="367">
      <c r="A367" s="67" t="str">
        <f t="shared" si="1"/>
        <v>Wed</v>
      </c>
      <c r="B367" s="69">
        <v>43796.0</v>
      </c>
      <c r="S367" s="15"/>
    </row>
    <row r="368">
      <c r="A368" s="67" t="str">
        <f t="shared" si="1"/>
        <v>Thu</v>
      </c>
      <c r="B368" s="69">
        <v>43797.0</v>
      </c>
      <c r="S368" s="15"/>
    </row>
    <row r="369">
      <c r="A369" s="67" t="str">
        <f t="shared" si="1"/>
        <v>Fri</v>
      </c>
      <c r="B369" s="69">
        <v>43798.0</v>
      </c>
      <c r="S369" s="15"/>
    </row>
    <row r="370">
      <c r="A370" s="67" t="str">
        <f t="shared" si="1"/>
        <v>Sat</v>
      </c>
      <c r="B370" s="69">
        <v>43799.0</v>
      </c>
      <c r="S370" s="15"/>
    </row>
    <row r="371">
      <c r="A371" s="67" t="str">
        <f t="shared" si="1"/>
        <v>Sun</v>
      </c>
      <c r="B371" s="69">
        <v>43800.0</v>
      </c>
      <c r="S371" s="15"/>
    </row>
    <row r="372">
      <c r="A372" s="67" t="str">
        <f t="shared" si="1"/>
        <v>Mon</v>
      </c>
      <c r="B372" s="69">
        <v>43801.0</v>
      </c>
      <c r="S372" s="15"/>
    </row>
    <row r="373">
      <c r="A373" s="67" t="str">
        <f t="shared" si="1"/>
        <v>Tue</v>
      </c>
      <c r="B373" s="69">
        <v>43802.0</v>
      </c>
      <c r="S373" s="15"/>
    </row>
    <row r="374">
      <c r="A374" s="67" t="str">
        <f t="shared" si="1"/>
        <v>Wed</v>
      </c>
      <c r="B374" s="69">
        <v>43803.0</v>
      </c>
      <c r="S374" s="15"/>
    </row>
    <row r="375">
      <c r="A375" s="67" t="str">
        <f t="shared" si="1"/>
        <v>Thu</v>
      </c>
      <c r="B375" s="69">
        <v>43804.0</v>
      </c>
      <c r="S375" s="15"/>
    </row>
    <row r="376">
      <c r="A376" s="67" t="str">
        <f t="shared" si="1"/>
        <v>Fri</v>
      </c>
      <c r="B376" s="69">
        <v>43805.0</v>
      </c>
      <c r="S376" s="15"/>
    </row>
    <row r="377">
      <c r="A377" s="67" t="str">
        <f t="shared" si="1"/>
        <v>Sat</v>
      </c>
      <c r="B377" s="69">
        <v>43806.0</v>
      </c>
      <c r="S377" s="15"/>
    </row>
    <row r="378">
      <c r="A378" s="67" t="str">
        <f t="shared" si="1"/>
        <v>Sun</v>
      </c>
      <c r="B378" s="69">
        <v>43807.0</v>
      </c>
      <c r="S378" s="15"/>
    </row>
    <row r="379">
      <c r="A379" s="67" t="str">
        <f t="shared" si="1"/>
        <v>Mon</v>
      </c>
      <c r="B379" s="69">
        <v>43808.0</v>
      </c>
      <c r="S379" s="15"/>
    </row>
    <row r="380">
      <c r="A380" s="67" t="str">
        <f t="shared" si="1"/>
        <v>Tue</v>
      </c>
      <c r="B380" s="69">
        <v>43809.0</v>
      </c>
      <c r="S380" s="15"/>
    </row>
    <row r="381">
      <c r="A381" s="67" t="str">
        <f t="shared" si="1"/>
        <v>Wed</v>
      </c>
      <c r="B381" s="69">
        <v>43810.0</v>
      </c>
      <c r="S381" s="15"/>
    </row>
    <row r="382">
      <c r="A382" s="67" t="str">
        <f t="shared" si="1"/>
        <v>Thu</v>
      </c>
      <c r="B382" s="69">
        <v>43811.0</v>
      </c>
      <c r="S382" s="15"/>
    </row>
    <row r="383">
      <c r="A383" s="67" t="str">
        <f t="shared" si="1"/>
        <v>Fri</v>
      </c>
      <c r="B383" s="69">
        <v>43812.0</v>
      </c>
      <c r="S383" s="15"/>
    </row>
    <row r="384">
      <c r="A384" s="67" t="str">
        <f t="shared" si="1"/>
        <v>Sat</v>
      </c>
      <c r="B384" s="69">
        <v>43813.0</v>
      </c>
      <c r="S384" s="15"/>
    </row>
    <row r="385">
      <c r="A385" s="67" t="str">
        <f t="shared" si="1"/>
        <v>Sun</v>
      </c>
      <c r="B385" s="69">
        <v>43814.0</v>
      </c>
      <c r="S385" s="15"/>
    </row>
    <row r="386">
      <c r="A386" s="67" t="str">
        <f t="shared" si="1"/>
        <v>Mon</v>
      </c>
      <c r="B386" s="69">
        <v>43815.0</v>
      </c>
      <c r="S386" s="15"/>
    </row>
    <row r="387">
      <c r="A387" s="67" t="str">
        <f t="shared" si="1"/>
        <v>Tue</v>
      </c>
      <c r="B387" s="69">
        <v>43816.0</v>
      </c>
      <c r="S387" s="15"/>
    </row>
    <row r="388">
      <c r="A388" s="67" t="str">
        <f t="shared" si="1"/>
        <v>Wed</v>
      </c>
      <c r="B388" s="69">
        <v>43817.0</v>
      </c>
      <c r="S388" s="15"/>
    </row>
    <row r="389">
      <c r="A389" s="67" t="str">
        <f t="shared" si="1"/>
        <v>Thu</v>
      </c>
      <c r="B389" s="69">
        <v>43818.0</v>
      </c>
      <c r="S389" s="15"/>
    </row>
    <row r="390">
      <c r="A390" s="67" t="str">
        <f t="shared" si="1"/>
        <v>Fri</v>
      </c>
      <c r="B390" s="69">
        <v>43819.0</v>
      </c>
      <c r="S390" s="15"/>
    </row>
    <row r="391">
      <c r="A391" s="67" t="str">
        <f t="shared" si="1"/>
        <v>Sat</v>
      </c>
      <c r="B391" s="69">
        <v>43820.0</v>
      </c>
      <c r="S391" s="15"/>
    </row>
    <row r="392">
      <c r="A392" s="67" t="str">
        <f t="shared" si="1"/>
        <v>Sun</v>
      </c>
      <c r="B392" s="69">
        <v>43821.0</v>
      </c>
      <c r="S392" s="15"/>
    </row>
    <row r="393">
      <c r="A393" s="67" t="str">
        <f t="shared" si="1"/>
        <v>Mon</v>
      </c>
      <c r="B393" s="69">
        <v>43822.0</v>
      </c>
      <c r="S393" s="15"/>
    </row>
    <row r="394">
      <c r="A394" s="67" t="str">
        <f t="shared" si="1"/>
        <v>Tue</v>
      </c>
      <c r="B394" s="69">
        <v>43823.0</v>
      </c>
      <c r="S394" s="15"/>
    </row>
    <row r="395">
      <c r="A395" s="67" t="str">
        <f t="shared" si="1"/>
        <v>Wed</v>
      </c>
      <c r="B395" s="69">
        <v>43824.0</v>
      </c>
      <c r="S395" s="15"/>
    </row>
    <row r="396">
      <c r="A396" s="67" t="str">
        <f t="shared" si="1"/>
        <v>Thu</v>
      </c>
      <c r="B396" s="69">
        <v>43825.0</v>
      </c>
      <c r="S396" s="15"/>
    </row>
    <row r="397">
      <c r="A397" s="67" t="str">
        <f t="shared" si="1"/>
        <v>Fri</v>
      </c>
      <c r="B397" s="69">
        <v>43826.0</v>
      </c>
      <c r="S397" s="15"/>
    </row>
    <row r="398">
      <c r="A398" s="67" t="str">
        <f t="shared" si="1"/>
        <v>Sat</v>
      </c>
      <c r="B398" s="69">
        <v>43827.0</v>
      </c>
      <c r="S398" s="15"/>
    </row>
    <row r="399">
      <c r="A399" s="67" t="str">
        <f t="shared" si="1"/>
        <v>Sun</v>
      </c>
      <c r="B399" s="69">
        <v>43828.0</v>
      </c>
      <c r="S399" s="15"/>
    </row>
    <row r="400">
      <c r="A400" s="67" t="str">
        <f t="shared" si="1"/>
        <v>Mon</v>
      </c>
      <c r="B400" s="69">
        <v>43829.0</v>
      </c>
      <c r="S400" s="15"/>
    </row>
    <row r="401">
      <c r="A401" s="67" t="str">
        <f t="shared" si="1"/>
        <v>Tue</v>
      </c>
      <c r="B401" s="69">
        <v>43830.0</v>
      </c>
      <c r="S401" s="15"/>
    </row>
  </sheetData>
  <mergeCells count="5">
    <mergeCell ref="A1:C3"/>
    <mergeCell ref="E1:F1"/>
    <mergeCell ref="E2:F2"/>
    <mergeCell ref="E3:F3"/>
    <mergeCell ref="G1:S3"/>
  </mergeCells>
  <conditionalFormatting sqref="K4:L116 K118:L401">
    <cfRule type="cellIs" dxfId="0" priority="1" operator="equal">
      <formula>"Enviar email para hotel"</formula>
    </cfRule>
  </conditionalFormatting>
  <dataValidations>
    <dataValidation type="list" allowBlank="1" sqref="L37:L116 L118:L401">
      <formula1>"Enviar email para hotel,Enviado para o hotel,Código de reserva enviado para hóspede,Verificar dados com o hóspede,URGENTE,Fechado"</formula1>
    </dataValidation>
    <dataValidation type="list" allowBlank="1" sqref="K6:L36">
      <formula1>"Enviar email para hotel,Enviado para o hotel,Código de reserva enviado para hóspede,Fechado"</formula1>
    </dataValidation>
    <dataValidation type="list" allowBlank="1" sqref="K37:K116 K118:K401">
      <formula1>"A PAGAR,PARCIALMENTE PAGO,PAGO"</formula1>
    </dataValidation>
  </dataValidations>
  <hyperlinks>
    <hyperlink display="Sumario" location="Sumario!A1" ref="A4"/>
  </hyperlinks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57"/>
    <col customWidth="1" min="4" max="4" width="17.0"/>
  </cols>
  <sheetData>
    <row r="1">
      <c r="A1" s="1"/>
      <c r="B1" s="2"/>
      <c r="C1" s="3"/>
      <c r="D1" s="11" t="s">
        <v>198</v>
      </c>
      <c r="E1" s="153" t="s">
        <v>2402</v>
      </c>
      <c r="F1" s="3"/>
      <c r="G1" s="154" t="s">
        <v>2403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155"/>
    </row>
    <row r="2">
      <c r="A2" s="13"/>
      <c r="C2" s="15"/>
      <c r="D2" s="9" t="s">
        <v>201</v>
      </c>
      <c r="E2" s="156">
        <v>2206.0</v>
      </c>
      <c r="F2" s="15"/>
      <c r="S2" s="15"/>
      <c r="T2" s="155"/>
    </row>
    <row r="3">
      <c r="A3" s="17"/>
      <c r="B3" s="19"/>
      <c r="C3" s="21"/>
      <c r="D3" s="26" t="s">
        <v>202</v>
      </c>
      <c r="E3" s="157" t="s">
        <v>2407</v>
      </c>
      <c r="F3" s="21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21"/>
      <c r="T3" s="155"/>
    </row>
    <row r="4">
      <c r="A4" s="158" t="s">
        <v>203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N4" s="30"/>
      <c r="O4" s="30"/>
      <c r="P4" s="30"/>
      <c r="Q4" s="30"/>
      <c r="R4" s="30"/>
      <c r="S4" s="30"/>
      <c r="T4" s="30"/>
      <c r="U4" s="30"/>
      <c r="V4" s="30"/>
    </row>
    <row r="5">
      <c r="A5" s="42" t="s">
        <v>204</v>
      </c>
      <c r="B5" s="45" t="s">
        <v>33</v>
      </c>
      <c r="C5" s="45" t="s">
        <v>205</v>
      </c>
      <c r="D5" s="45" t="s">
        <v>206</v>
      </c>
      <c r="E5" s="45" t="s">
        <v>207</v>
      </c>
      <c r="F5" s="45" t="s">
        <v>208</v>
      </c>
      <c r="G5" s="45" t="s">
        <v>209</v>
      </c>
      <c r="H5" s="45" t="s">
        <v>210</v>
      </c>
      <c r="I5" s="45" t="s">
        <v>211</v>
      </c>
      <c r="J5" s="45" t="s">
        <v>212</v>
      </c>
      <c r="K5" s="45" t="s">
        <v>213</v>
      </c>
      <c r="L5" s="45" t="s">
        <v>214</v>
      </c>
      <c r="M5" s="45" t="s">
        <v>215</v>
      </c>
      <c r="N5" s="45" t="s">
        <v>216</v>
      </c>
      <c r="O5" s="45" t="s">
        <v>217</v>
      </c>
      <c r="P5" s="45" t="s">
        <v>218</v>
      </c>
      <c r="Q5" s="45" t="s">
        <v>219</v>
      </c>
      <c r="R5" s="45" t="s">
        <v>220</v>
      </c>
      <c r="S5" s="159" t="s">
        <v>221</v>
      </c>
      <c r="T5" s="160"/>
    </row>
    <row r="6" hidden="1">
      <c r="A6" s="67" t="str">
        <f t="shared" ref="A6:A370" si="1">CHOOSE(weekday(B6),"Sun","Mon","Tue","Wed","Thu","Fri","Sat")</f>
        <v>Tue</v>
      </c>
      <c r="B6" s="69">
        <v>43466.0</v>
      </c>
      <c r="S6" s="15"/>
    </row>
    <row r="7" hidden="1">
      <c r="A7" s="67" t="str">
        <f t="shared" si="1"/>
        <v>Wed</v>
      </c>
      <c r="B7" s="69">
        <v>43467.0</v>
      </c>
      <c r="S7" s="15"/>
    </row>
    <row r="8" hidden="1">
      <c r="A8" s="67" t="str">
        <f t="shared" si="1"/>
        <v>Thu</v>
      </c>
      <c r="B8" s="69">
        <v>43468.0</v>
      </c>
      <c r="S8" s="15"/>
    </row>
    <row r="9" hidden="1">
      <c r="A9" s="67" t="str">
        <f t="shared" si="1"/>
        <v>Fri</v>
      </c>
      <c r="B9" s="69">
        <v>43469.0</v>
      </c>
      <c r="S9" s="15"/>
    </row>
    <row r="10" hidden="1">
      <c r="A10" s="67" t="str">
        <f t="shared" si="1"/>
        <v>Sat</v>
      </c>
      <c r="B10" s="69">
        <v>43470.0</v>
      </c>
      <c r="S10" s="15"/>
    </row>
    <row r="11" hidden="1">
      <c r="A11" s="67" t="str">
        <f t="shared" si="1"/>
        <v>Sun</v>
      </c>
      <c r="B11" s="69">
        <v>43471.0</v>
      </c>
      <c r="S11" s="15"/>
    </row>
    <row r="12" hidden="1">
      <c r="A12" s="67" t="str">
        <f t="shared" si="1"/>
        <v>Mon</v>
      </c>
      <c r="B12" s="69">
        <v>43472.0</v>
      </c>
      <c r="S12" s="15"/>
    </row>
    <row r="13" hidden="1">
      <c r="A13" s="67" t="str">
        <f t="shared" si="1"/>
        <v>Tue</v>
      </c>
      <c r="B13" s="69">
        <v>43473.0</v>
      </c>
      <c r="S13" s="15"/>
    </row>
    <row r="14" hidden="1">
      <c r="A14" s="67" t="str">
        <f t="shared" si="1"/>
        <v>Wed</v>
      </c>
      <c r="B14" s="69">
        <v>43474.0</v>
      </c>
      <c r="S14" s="15"/>
    </row>
    <row r="15" hidden="1">
      <c r="A15" s="67" t="str">
        <f t="shared" si="1"/>
        <v>Thu</v>
      </c>
      <c r="B15" s="69">
        <v>43475.0</v>
      </c>
      <c r="S15" s="15"/>
    </row>
    <row r="16" hidden="1">
      <c r="A16" s="67" t="str">
        <f t="shared" si="1"/>
        <v>Fri</v>
      </c>
      <c r="B16" s="69">
        <v>43476.0</v>
      </c>
      <c r="S16" s="15"/>
    </row>
    <row r="17" hidden="1">
      <c r="A17" s="67" t="str">
        <f t="shared" si="1"/>
        <v>Sat</v>
      </c>
      <c r="B17" s="69">
        <v>43477.0</v>
      </c>
      <c r="S17" s="15"/>
    </row>
    <row r="18" hidden="1">
      <c r="A18" s="67" t="str">
        <f t="shared" si="1"/>
        <v>Sun</v>
      </c>
      <c r="B18" s="69">
        <v>43478.0</v>
      </c>
      <c r="S18" s="15"/>
    </row>
    <row r="19" hidden="1">
      <c r="A19" s="67" t="str">
        <f t="shared" si="1"/>
        <v>Mon</v>
      </c>
      <c r="B19" s="69">
        <v>43479.0</v>
      </c>
      <c r="S19" s="15"/>
    </row>
    <row r="20" hidden="1">
      <c r="A20" s="67" t="str">
        <f t="shared" si="1"/>
        <v>Tue</v>
      </c>
      <c r="B20" s="69">
        <v>43480.0</v>
      </c>
      <c r="S20" s="15"/>
    </row>
    <row r="21" hidden="1">
      <c r="A21" s="67" t="str">
        <f t="shared" si="1"/>
        <v>Wed</v>
      </c>
      <c r="B21" s="69">
        <v>43481.0</v>
      </c>
      <c r="S21" s="15"/>
    </row>
    <row r="22" hidden="1">
      <c r="A22" s="67" t="str">
        <f t="shared" si="1"/>
        <v>Thu</v>
      </c>
      <c r="B22" s="69">
        <v>43482.0</v>
      </c>
      <c r="S22" s="15"/>
    </row>
    <row r="23" hidden="1">
      <c r="A23" s="67" t="str">
        <f t="shared" si="1"/>
        <v>Fri</v>
      </c>
      <c r="B23" s="69">
        <v>43483.0</v>
      </c>
      <c r="S23" s="15"/>
    </row>
    <row r="24" hidden="1">
      <c r="A24" s="67" t="str">
        <f t="shared" si="1"/>
        <v>Sat</v>
      </c>
      <c r="B24" s="69">
        <v>43484.0</v>
      </c>
      <c r="S24" s="15"/>
    </row>
    <row r="25" hidden="1">
      <c r="A25" s="67" t="str">
        <f t="shared" si="1"/>
        <v>Sun</v>
      </c>
      <c r="B25" s="69">
        <v>43485.0</v>
      </c>
      <c r="S25" s="15"/>
    </row>
    <row r="26" hidden="1">
      <c r="A26" s="67" t="str">
        <f t="shared" si="1"/>
        <v>Mon</v>
      </c>
      <c r="B26" s="69">
        <v>43486.0</v>
      </c>
      <c r="S26" s="15"/>
    </row>
    <row r="27" hidden="1">
      <c r="A27" s="67" t="str">
        <f t="shared" si="1"/>
        <v>Tue</v>
      </c>
      <c r="B27" s="69">
        <v>43487.0</v>
      </c>
      <c r="S27" s="15"/>
    </row>
    <row r="28" hidden="1">
      <c r="A28" s="67" t="str">
        <f t="shared" si="1"/>
        <v>Wed</v>
      </c>
      <c r="B28" s="69">
        <v>43488.0</v>
      </c>
      <c r="S28" s="15"/>
    </row>
    <row r="29" hidden="1">
      <c r="A29" s="67" t="str">
        <f t="shared" si="1"/>
        <v>Thu</v>
      </c>
      <c r="B29" s="69">
        <v>43489.0</v>
      </c>
      <c r="S29" s="15"/>
    </row>
    <row r="30" hidden="1">
      <c r="A30" s="67" t="str">
        <f t="shared" si="1"/>
        <v>Fri</v>
      </c>
      <c r="B30" s="69">
        <v>43490.0</v>
      </c>
      <c r="S30" s="15"/>
    </row>
    <row r="31" hidden="1">
      <c r="A31" s="67" t="str">
        <f t="shared" si="1"/>
        <v>Sat</v>
      </c>
      <c r="B31" s="69">
        <v>43491.0</v>
      </c>
      <c r="S31" s="15"/>
    </row>
    <row r="32" hidden="1">
      <c r="A32" s="67" t="str">
        <f t="shared" si="1"/>
        <v>Sun</v>
      </c>
      <c r="B32" s="69">
        <v>43492.0</v>
      </c>
      <c r="S32" s="15"/>
    </row>
    <row r="33" hidden="1">
      <c r="A33" s="67" t="str">
        <f t="shared" si="1"/>
        <v>Mon</v>
      </c>
      <c r="B33" s="69">
        <v>43493.0</v>
      </c>
      <c r="S33" s="15"/>
    </row>
    <row r="34" hidden="1">
      <c r="A34" s="67" t="str">
        <f t="shared" si="1"/>
        <v>Tue</v>
      </c>
      <c r="B34" s="69">
        <v>43494.0</v>
      </c>
      <c r="S34" s="15"/>
    </row>
    <row r="35" hidden="1">
      <c r="A35" s="67" t="str">
        <f t="shared" si="1"/>
        <v>Wed</v>
      </c>
      <c r="B35" s="69">
        <v>43495.0</v>
      </c>
      <c r="S35" s="15"/>
    </row>
    <row r="36" hidden="1">
      <c r="A36" s="67" t="str">
        <f t="shared" si="1"/>
        <v>Thu</v>
      </c>
      <c r="B36" s="69">
        <v>43496.0</v>
      </c>
      <c r="S36" s="15"/>
    </row>
    <row r="37" hidden="1">
      <c r="A37" s="67" t="str">
        <f t="shared" si="1"/>
        <v>Fri</v>
      </c>
      <c r="B37" s="69">
        <v>43497.0</v>
      </c>
      <c r="S37" s="15"/>
    </row>
    <row r="38" hidden="1">
      <c r="A38" s="67" t="str">
        <f t="shared" si="1"/>
        <v>Sat</v>
      </c>
      <c r="B38" s="69">
        <v>43498.0</v>
      </c>
      <c r="S38" s="15"/>
    </row>
    <row r="39" hidden="1">
      <c r="A39" s="67" t="str">
        <f t="shared" si="1"/>
        <v>Sun</v>
      </c>
      <c r="B39" s="69">
        <v>43499.0</v>
      </c>
      <c r="S39" s="15"/>
    </row>
    <row r="40" hidden="1">
      <c r="A40" s="67" t="str">
        <f t="shared" si="1"/>
        <v>Mon</v>
      </c>
      <c r="B40" s="69">
        <v>43500.0</v>
      </c>
      <c r="S40" s="15"/>
    </row>
    <row r="41" hidden="1">
      <c r="A41" s="67" t="str">
        <f t="shared" si="1"/>
        <v>Tue</v>
      </c>
      <c r="B41" s="69">
        <v>43501.0</v>
      </c>
      <c r="S41" s="15"/>
    </row>
    <row r="42" hidden="1">
      <c r="A42" s="67" t="str">
        <f t="shared" si="1"/>
        <v>Wed</v>
      </c>
      <c r="B42" s="69">
        <v>43502.0</v>
      </c>
      <c r="S42" s="15"/>
    </row>
    <row r="43" hidden="1">
      <c r="A43" s="67" t="str">
        <f t="shared" si="1"/>
        <v>Thu</v>
      </c>
      <c r="B43" s="69">
        <v>43503.0</v>
      </c>
      <c r="S43" s="15"/>
    </row>
    <row r="44" hidden="1">
      <c r="A44" s="67" t="str">
        <f t="shared" si="1"/>
        <v>Fri</v>
      </c>
      <c r="B44" s="69">
        <v>43504.0</v>
      </c>
      <c r="S44" s="15"/>
    </row>
    <row r="45" hidden="1">
      <c r="A45" s="67" t="str">
        <f t="shared" si="1"/>
        <v>Sat</v>
      </c>
      <c r="B45" s="69">
        <v>43505.0</v>
      </c>
      <c r="S45" s="15"/>
    </row>
    <row r="46" hidden="1">
      <c r="A46" s="67" t="str">
        <f t="shared" si="1"/>
        <v>Sun</v>
      </c>
      <c r="B46" s="69">
        <v>43506.0</v>
      </c>
      <c r="S46" s="15"/>
    </row>
    <row r="47" hidden="1">
      <c r="A47" s="67" t="str">
        <f t="shared" si="1"/>
        <v>Mon</v>
      </c>
      <c r="B47" s="69">
        <v>43507.0</v>
      </c>
      <c r="S47" s="15"/>
    </row>
    <row r="48" hidden="1">
      <c r="A48" s="67" t="str">
        <f t="shared" si="1"/>
        <v>Tue</v>
      </c>
      <c r="B48" s="69">
        <v>43508.0</v>
      </c>
      <c r="S48" s="15"/>
    </row>
    <row r="49" hidden="1">
      <c r="A49" s="67" t="str">
        <f t="shared" si="1"/>
        <v>Wed</v>
      </c>
      <c r="B49" s="69">
        <v>43509.0</v>
      </c>
      <c r="S49" s="15"/>
    </row>
    <row r="50" hidden="1">
      <c r="A50" s="67" t="str">
        <f t="shared" si="1"/>
        <v>Thu</v>
      </c>
      <c r="B50" s="69">
        <v>43510.0</v>
      </c>
      <c r="S50" s="15"/>
    </row>
    <row r="51" hidden="1">
      <c r="A51" s="67" t="str">
        <f t="shared" si="1"/>
        <v>Fri</v>
      </c>
      <c r="B51" s="69">
        <v>43511.0</v>
      </c>
      <c r="S51" s="15"/>
    </row>
    <row r="52" hidden="1">
      <c r="A52" s="67" t="str">
        <f t="shared" si="1"/>
        <v>Sat</v>
      </c>
      <c r="B52" s="69">
        <v>43512.0</v>
      </c>
      <c r="S52" s="15"/>
    </row>
    <row r="53" hidden="1">
      <c r="A53" s="67" t="str">
        <f t="shared" si="1"/>
        <v>Sun</v>
      </c>
      <c r="B53" s="69">
        <v>43513.0</v>
      </c>
      <c r="S53" s="15"/>
    </row>
    <row r="54" hidden="1">
      <c r="A54" s="67" t="str">
        <f t="shared" si="1"/>
        <v>Mon</v>
      </c>
      <c r="B54" s="69">
        <v>43514.0</v>
      </c>
      <c r="S54" s="15"/>
    </row>
    <row r="55" hidden="1">
      <c r="A55" s="67" t="str">
        <f t="shared" si="1"/>
        <v>Tue</v>
      </c>
      <c r="B55" s="69">
        <v>43515.0</v>
      </c>
      <c r="S55" s="15"/>
    </row>
    <row r="56" hidden="1">
      <c r="A56" s="67" t="str">
        <f t="shared" si="1"/>
        <v>Wed</v>
      </c>
      <c r="B56" s="69">
        <v>43516.0</v>
      </c>
      <c r="S56" s="15"/>
    </row>
    <row r="57" hidden="1">
      <c r="A57" s="67" t="str">
        <f t="shared" si="1"/>
        <v>Thu</v>
      </c>
      <c r="B57" s="69">
        <v>43517.0</v>
      </c>
      <c r="S57" s="15"/>
    </row>
    <row r="58" hidden="1">
      <c r="A58" s="67" t="str">
        <f t="shared" si="1"/>
        <v>Fri</v>
      </c>
      <c r="B58" s="69">
        <v>43518.0</v>
      </c>
      <c r="S58" s="15"/>
    </row>
    <row r="59" hidden="1">
      <c r="A59" s="67" t="str">
        <f t="shared" si="1"/>
        <v>Sat</v>
      </c>
      <c r="B59" s="69">
        <v>43519.0</v>
      </c>
      <c r="S59" s="15"/>
    </row>
    <row r="60" hidden="1">
      <c r="A60" s="67" t="str">
        <f t="shared" si="1"/>
        <v>Sun</v>
      </c>
      <c r="B60" s="69">
        <v>43520.0</v>
      </c>
      <c r="S60" s="15"/>
    </row>
    <row r="61" hidden="1">
      <c r="A61" s="67" t="str">
        <f t="shared" si="1"/>
        <v>Mon</v>
      </c>
      <c r="B61" s="69">
        <v>43521.0</v>
      </c>
      <c r="S61" s="15"/>
    </row>
    <row r="62" hidden="1">
      <c r="A62" s="67" t="str">
        <f t="shared" si="1"/>
        <v>Tue</v>
      </c>
      <c r="B62" s="69">
        <v>43522.0</v>
      </c>
      <c r="S62" s="15"/>
    </row>
    <row r="63" hidden="1">
      <c r="A63" s="67" t="str">
        <f t="shared" si="1"/>
        <v>Wed</v>
      </c>
      <c r="B63" s="69">
        <v>43523.0</v>
      </c>
      <c r="S63" s="15"/>
    </row>
    <row r="64" hidden="1">
      <c r="A64" s="67" t="str">
        <f t="shared" si="1"/>
        <v>Thu</v>
      </c>
      <c r="B64" s="69">
        <v>43524.0</v>
      </c>
      <c r="S64" s="15"/>
    </row>
    <row r="65" hidden="1">
      <c r="A65" s="67" t="str">
        <f t="shared" si="1"/>
        <v>Fri</v>
      </c>
      <c r="B65" s="69">
        <v>43525.0</v>
      </c>
      <c r="S65" s="15"/>
    </row>
    <row r="66" hidden="1">
      <c r="A66" s="67" t="str">
        <f t="shared" si="1"/>
        <v>Sat</v>
      </c>
      <c r="B66" s="69">
        <v>43526.0</v>
      </c>
      <c r="S66" s="15"/>
    </row>
    <row r="67" hidden="1">
      <c r="A67" s="67" t="str">
        <f t="shared" si="1"/>
        <v>Sun</v>
      </c>
      <c r="B67" s="69">
        <v>43527.0</v>
      </c>
      <c r="S67" s="15"/>
    </row>
    <row r="68" hidden="1">
      <c r="A68" s="67" t="str">
        <f t="shared" si="1"/>
        <v>Mon</v>
      </c>
      <c r="B68" s="69">
        <v>43528.0</v>
      </c>
      <c r="S68" s="15"/>
    </row>
    <row r="69" hidden="1">
      <c r="A69" s="67" t="str">
        <f t="shared" si="1"/>
        <v>Tue</v>
      </c>
      <c r="B69" s="69">
        <v>43529.0</v>
      </c>
      <c r="S69" s="15"/>
    </row>
    <row r="70" hidden="1">
      <c r="A70" s="67" t="str">
        <f t="shared" si="1"/>
        <v>Wed</v>
      </c>
      <c r="B70" s="69">
        <v>43530.0</v>
      </c>
      <c r="S70" s="15"/>
    </row>
    <row r="71" hidden="1">
      <c r="A71" s="67" t="str">
        <f t="shared" si="1"/>
        <v>Thu</v>
      </c>
      <c r="B71" s="69">
        <v>43531.0</v>
      </c>
      <c r="S71" s="15"/>
    </row>
    <row r="72" hidden="1">
      <c r="A72" s="67" t="str">
        <f t="shared" si="1"/>
        <v>Fri</v>
      </c>
      <c r="B72" s="69">
        <v>43532.0</v>
      </c>
      <c r="S72" s="15"/>
    </row>
    <row r="73" hidden="1">
      <c r="A73" s="67" t="str">
        <f t="shared" si="1"/>
        <v>Sat</v>
      </c>
      <c r="B73" s="69">
        <v>43533.0</v>
      </c>
      <c r="S73" s="15"/>
    </row>
    <row r="74" hidden="1">
      <c r="A74" s="67" t="str">
        <f t="shared" si="1"/>
        <v>Sun</v>
      </c>
      <c r="B74" s="69">
        <v>43534.0</v>
      </c>
      <c r="S74" s="15"/>
    </row>
    <row r="75" hidden="1">
      <c r="A75" s="67" t="str">
        <f t="shared" si="1"/>
        <v>Mon</v>
      </c>
      <c r="B75" s="69">
        <v>43535.0</v>
      </c>
      <c r="S75" s="15"/>
    </row>
    <row r="76" hidden="1">
      <c r="A76" s="67" t="str">
        <f t="shared" si="1"/>
        <v>Tue</v>
      </c>
      <c r="B76" s="69">
        <v>43536.0</v>
      </c>
      <c r="S76" s="15"/>
    </row>
    <row r="77" hidden="1">
      <c r="A77" s="67" t="str">
        <f t="shared" si="1"/>
        <v>Wed</v>
      </c>
      <c r="B77" s="69">
        <v>43537.0</v>
      </c>
      <c r="S77" s="15"/>
    </row>
    <row r="78" hidden="1">
      <c r="A78" s="67" t="str">
        <f t="shared" si="1"/>
        <v>Thu</v>
      </c>
      <c r="B78" s="69">
        <v>43538.0</v>
      </c>
      <c r="S78" s="15"/>
    </row>
    <row r="79" hidden="1">
      <c r="A79" s="67" t="str">
        <f t="shared" si="1"/>
        <v>Fri</v>
      </c>
      <c r="B79" s="69">
        <v>43539.0</v>
      </c>
      <c r="S79" s="15"/>
    </row>
    <row r="80" hidden="1">
      <c r="A80" s="67" t="str">
        <f t="shared" si="1"/>
        <v>Sat</v>
      </c>
      <c r="B80" s="69">
        <v>43540.0</v>
      </c>
      <c r="S80" s="15"/>
    </row>
    <row r="81" hidden="1">
      <c r="A81" s="67" t="str">
        <f t="shared" si="1"/>
        <v>Sun</v>
      </c>
      <c r="B81" s="69">
        <v>43541.0</v>
      </c>
      <c r="S81" s="15"/>
    </row>
    <row r="82" hidden="1">
      <c r="A82" s="67" t="str">
        <f t="shared" si="1"/>
        <v>Mon</v>
      </c>
      <c r="B82" s="69">
        <v>43542.0</v>
      </c>
      <c r="S82" s="15"/>
    </row>
    <row r="83" hidden="1">
      <c r="A83" s="67" t="str">
        <f t="shared" si="1"/>
        <v>Tue</v>
      </c>
      <c r="B83" s="69">
        <v>43543.0</v>
      </c>
      <c r="S83" s="15"/>
    </row>
    <row r="84" hidden="1">
      <c r="A84" s="67" t="str">
        <f t="shared" si="1"/>
        <v>Wed</v>
      </c>
      <c r="B84" s="69">
        <v>43544.0</v>
      </c>
      <c r="S84" s="15"/>
    </row>
    <row r="85" hidden="1">
      <c r="A85" s="67" t="str">
        <f t="shared" si="1"/>
        <v>Thu</v>
      </c>
      <c r="B85" s="69">
        <v>43545.0</v>
      </c>
      <c r="S85" s="15"/>
    </row>
    <row r="86" hidden="1">
      <c r="A86" s="67" t="str">
        <f t="shared" si="1"/>
        <v>Fri</v>
      </c>
      <c r="B86" s="69">
        <v>43546.0</v>
      </c>
      <c r="S86" s="15"/>
    </row>
    <row r="87" hidden="1">
      <c r="A87" s="67" t="str">
        <f t="shared" si="1"/>
        <v>Sat</v>
      </c>
      <c r="B87" s="69">
        <v>43547.0</v>
      </c>
      <c r="S87" s="15"/>
    </row>
    <row r="88" hidden="1">
      <c r="A88" s="67" t="str">
        <f t="shared" si="1"/>
        <v>Sun</v>
      </c>
      <c r="B88" s="69">
        <v>43548.0</v>
      </c>
      <c r="S88" s="15"/>
    </row>
    <row r="89" hidden="1">
      <c r="A89" s="67" t="str">
        <f t="shared" si="1"/>
        <v>Mon</v>
      </c>
      <c r="B89" s="69">
        <v>43549.0</v>
      </c>
      <c r="S89" s="15"/>
    </row>
    <row r="90" hidden="1">
      <c r="A90" s="67" t="str">
        <f t="shared" si="1"/>
        <v>Tue</v>
      </c>
      <c r="B90" s="69">
        <v>43550.0</v>
      </c>
      <c r="S90" s="15"/>
    </row>
    <row r="91" hidden="1">
      <c r="A91" s="67" t="str">
        <f t="shared" si="1"/>
        <v>Wed</v>
      </c>
      <c r="B91" s="69">
        <v>43551.0</v>
      </c>
      <c r="S91" s="15"/>
    </row>
    <row r="92" hidden="1">
      <c r="A92" s="67" t="str">
        <f t="shared" si="1"/>
        <v>Thu</v>
      </c>
      <c r="B92" s="69">
        <v>43552.0</v>
      </c>
      <c r="S92" s="15"/>
    </row>
    <row r="93" hidden="1">
      <c r="A93" s="67" t="str">
        <f t="shared" si="1"/>
        <v>Fri</v>
      </c>
      <c r="B93" s="69">
        <v>43553.0</v>
      </c>
      <c r="S93" s="15"/>
    </row>
    <row r="94" hidden="1">
      <c r="A94" s="67" t="str">
        <f t="shared" si="1"/>
        <v>Sat</v>
      </c>
      <c r="B94" s="69">
        <v>43554.0</v>
      </c>
      <c r="S94" s="15"/>
    </row>
    <row r="95" hidden="1">
      <c r="A95" s="67" t="str">
        <f t="shared" si="1"/>
        <v>Sun</v>
      </c>
      <c r="B95" s="69">
        <v>43555.0</v>
      </c>
      <c r="S95" s="15"/>
    </row>
    <row r="96">
      <c r="A96" s="67" t="str">
        <f t="shared" si="1"/>
        <v>Mon</v>
      </c>
      <c r="B96" s="69">
        <v>43556.0</v>
      </c>
      <c r="S96" s="15"/>
    </row>
    <row r="97">
      <c r="A97" s="67" t="str">
        <f t="shared" si="1"/>
        <v>Tue</v>
      </c>
      <c r="B97" s="69">
        <v>43557.0</v>
      </c>
      <c r="S97" s="15"/>
    </row>
    <row r="98">
      <c r="A98" s="67" t="str">
        <f t="shared" si="1"/>
        <v>Wed</v>
      </c>
      <c r="B98" s="69">
        <v>43558.0</v>
      </c>
      <c r="S98" s="15"/>
    </row>
    <row r="99">
      <c r="A99" s="67" t="str">
        <f t="shared" si="1"/>
        <v>Thu</v>
      </c>
      <c r="B99" s="69">
        <v>43559.0</v>
      </c>
      <c r="S99" s="15"/>
    </row>
    <row r="100">
      <c r="A100" s="67" t="str">
        <f t="shared" si="1"/>
        <v>Fri</v>
      </c>
      <c r="B100" s="69">
        <v>43560.0</v>
      </c>
      <c r="S100" s="15"/>
    </row>
    <row r="101">
      <c r="A101" s="67" t="str">
        <f t="shared" si="1"/>
        <v>Sat</v>
      </c>
      <c r="B101" s="69">
        <v>43561.0</v>
      </c>
      <c r="S101" s="15"/>
    </row>
    <row r="102">
      <c r="A102" s="67" t="str">
        <f t="shared" si="1"/>
        <v>Sun</v>
      </c>
      <c r="B102" s="69">
        <v>43562.0</v>
      </c>
      <c r="S102" s="15"/>
    </row>
    <row r="103">
      <c r="A103" s="67" t="str">
        <f t="shared" si="1"/>
        <v>Mon</v>
      </c>
      <c r="B103" s="69">
        <v>43563.0</v>
      </c>
      <c r="S103" s="15"/>
    </row>
    <row r="104">
      <c r="A104" s="67" t="str">
        <f t="shared" si="1"/>
        <v>Tue</v>
      </c>
      <c r="B104" s="69">
        <v>43564.0</v>
      </c>
      <c r="S104" s="15"/>
    </row>
    <row r="105">
      <c r="A105" s="67" t="str">
        <f t="shared" si="1"/>
        <v>Wed</v>
      </c>
      <c r="B105" s="69">
        <v>43565.0</v>
      </c>
      <c r="S105" s="15"/>
    </row>
    <row r="106">
      <c r="A106" s="67" t="str">
        <f t="shared" si="1"/>
        <v>Thu</v>
      </c>
      <c r="B106" s="69">
        <v>43566.0</v>
      </c>
      <c r="S106" s="15"/>
    </row>
    <row r="107">
      <c r="A107" s="67" t="str">
        <f t="shared" si="1"/>
        <v>Fri</v>
      </c>
      <c r="B107" s="69">
        <v>43567.0</v>
      </c>
      <c r="S107" s="15"/>
    </row>
    <row r="108">
      <c r="A108" s="67" t="str">
        <f t="shared" si="1"/>
        <v>Sat</v>
      </c>
      <c r="B108" s="69">
        <v>43568.0</v>
      </c>
      <c r="S108" s="15"/>
    </row>
    <row r="109">
      <c r="A109" s="67" t="str">
        <f t="shared" si="1"/>
        <v>Sun</v>
      </c>
      <c r="B109" s="69">
        <v>43569.0</v>
      </c>
      <c r="S109" s="15"/>
    </row>
    <row r="110">
      <c r="A110" s="67" t="str">
        <f t="shared" si="1"/>
        <v>Mon</v>
      </c>
      <c r="B110" s="69">
        <v>43570.0</v>
      </c>
      <c r="S110" s="15"/>
    </row>
    <row r="111">
      <c r="A111" s="67" t="str">
        <f t="shared" si="1"/>
        <v>Tue</v>
      </c>
      <c r="B111" s="69">
        <v>43571.0</v>
      </c>
      <c r="S111" s="15"/>
    </row>
    <row r="112">
      <c r="A112" s="67" t="str">
        <f t="shared" si="1"/>
        <v>Wed</v>
      </c>
      <c r="B112" s="69">
        <v>43572.0</v>
      </c>
      <c r="S112" s="15"/>
    </row>
    <row r="113">
      <c r="A113" s="67" t="str">
        <f t="shared" si="1"/>
        <v>Thu</v>
      </c>
      <c r="B113" s="69">
        <v>43573.0</v>
      </c>
      <c r="S113" s="15"/>
    </row>
    <row r="114">
      <c r="A114" s="67" t="str">
        <f t="shared" si="1"/>
        <v>Fri</v>
      </c>
      <c r="B114" s="69">
        <v>43574.0</v>
      </c>
      <c r="S114" s="15"/>
    </row>
    <row r="115">
      <c r="A115" s="67" t="str">
        <f t="shared" si="1"/>
        <v>Sat</v>
      </c>
      <c r="B115" s="69">
        <v>43575.0</v>
      </c>
      <c r="S115" s="15"/>
    </row>
    <row r="116">
      <c r="A116" s="67" t="str">
        <f t="shared" si="1"/>
        <v>Sun</v>
      </c>
      <c r="B116" s="69">
        <v>43576.0</v>
      </c>
      <c r="S116" s="15"/>
    </row>
    <row r="117">
      <c r="A117" s="67" t="str">
        <f t="shared" si="1"/>
        <v>Mon</v>
      </c>
      <c r="B117" s="69">
        <v>43577.0</v>
      </c>
      <c r="S117" s="15"/>
    </row>
    <row r="118">
      <c r="A118" s="67" t="str">
        <f t="shared" si="1"/>
        <v>Tue</v>
      </c>
      <c r="B118" s="69">
        <v>43578.0</v>
      </c>
      <c r="S118" s="15"/>
    </row>
    <row r="119">
      <c r="A119" s="67" t="str">
        <f t="shared" si="1"/>
        <v>Wed</v>
      </c>
      <c r="B119" s="69">
        <v>43579.0</v>
      </c>
      <c r="S119" s="15"/>
    </row>
    <row r="120">
      <c r="A120" s="67" t="str">
        <f t="shared" si="1"/>
        <v>Thu</v>
      </c>
      <c r="B120" s="69">
        <v>43580.0</v>
      </c>
      <c r="S120" s="15"/>
    </row>
    <row r="121">
      <c r="A121" s="67" t="str">
        <f t="shared" si="1"/>
        <v>Fri</v>
      </c>
      <c r="B121" s="69">
        <v>43581.0</v>
      </c>
      <c r="S121" s="15"/>
    </row>
    <row r="122">
      <c r="A122" s="67" t="str">
        <f t="shared" si="1"/>
        <v>Sat</v>
      </c>
      <c r="B122" s="69">
        <v>43582.0</v>
      </c>
      <c r="S122" s="15"/>
    </row>
    <row r="123">
      <c r="A123" s="67" t="str">
        <f t="shared" si="1"/>
        <v>Sun</v>
      </c>
      <c r="B123" s="69">
        <v>43583.0</v>
      </c>
      <c r="S123" s="15"/>
    </row>
    <row r="124">
      <c r="A124" s="67" t="str">
        <f t="shared" si="1"/>
        <v>Mon</v>
      </c>
      <c r="B124" s="69">
        <v>43584.0</v>
      </c>
      <c r="S124" s="15"/>
    </row>
    <row r="125">
      <c r="A125" s="67" t="str">
        <f t="shared" si="1"/>
        <v>Tue</v>
      </c>
      <c r="B125" s="69">
        <v>43585.0</v>
      </c>
      <c r="S125" s="15"/>
    </row>
    <row r="126">
      <c r="A126" s="67" t="str">
        <f t="shared" si="1"/>
        <v>Wed</v>
      </c>
      <c r="B126" s="69">
        <v>43586.0</v>
      </c>
      <c r="S126" s="15"/>
    </row>
    <row r="127">
      <c r="A127" s="67" t="str">
        <f t="shared" si="1"/>
        <v>Thu</v>
      </c>
      <c r="B127" s="69">
        <v>43587.0</v>
      </c>
      <c r="S127" s="15"/>
    </row>
    <row r="128">
      <c r="A128" s="67" t="str">
        <f t="shared" si="1"/>
        <v>Fri</v>
      </c>
      <c r="B128" s="69">
        <v>43588.0</v>
      </c>
      <c r="S128" s="15"/>
    </row>
    <row r="129">
      <c r="A129" s="67" t="str">
        <f t="shared" si="1"/>
        <v>Sat</v>
      </c>
      <c r="B129" s="69">
        <v>43589.0</v>
      </c>
      <c r="S129" s="15"/>
    </row>
    <row r="130">
      <c r="A130" s="67" t="str">
        <f t="shared" si="1"/>
        <v>Sun</v>
      </c>
      <c r="B130" s="69">
        <v>43590.0</v>
      </c>
      <c r="S130" s="15"/>
    </row>
    <row r="131">
      <c r="A131" s="67" t="str">
        <f t="shared" si="1"/>
        <v>Mon</v>
      </c>
      <c r="B131" s="69">
        <v>43591.0</v>
      </c>
      <c r="S131" s="15"/>
    </row>
    <row r="132">
      <c r="A132" s="67" t="str">
        <f t="shared" si="1"/>
        <v>Tue</v>
      </c>
      <c r="B132" s="69">
        <v>43592.0</v>
      </c>
      <c r="S132" s="15"/>
    </row>
    <row r="133">
      <c r="A133" s="67" t="str">
        <f t="shared" si="1"/>
        <v>Wed</v>
      </c>
      <c r="B133" s="69">
        <v>43593.0</v>
      </c>
      <c r="S133" s="15"/>
    </row>
    <row r="134">
      <c r="A134" s="67" t="str">
        <f t="shared" si="1"/>
        <v>Thu</v>
      </c>
      <c r="B134" s="69">
        <v>43594.0</v>
      </c>
      <c r="S134" s="15"/>
    </row>
    <row r="135">
      <c r="A135" s="67" t="str">
        <f t="shared" si="1"/>
        <v>Fri</v>
      </c>
      <c r="B135" s="69">
        <v>43595.0</v>
      </c>
      <c r="S135" s="15"/>
    </row>
    <row r="136">
      <c r="A136" s="67" t="str">
        <f t="shared" si="1"/>
        <v>Sat</v>
      </c>
      <c r="B136" s="69">
        <v>43596.0</v>
      </c>
      <c r="S136" s="15"/>
    </row>
    <row r="137">
      <c r="A137" s="67" t="str">
        <f t="shared" si="1"/>
        <v>Sun</v>
      </c>
      <c r="B137" s="69">
        <v>43597.0</v>
      </c>
      <c r="S137" s="15"/>
    </row>
    <row r="138">
      <c r="A138" s="67" t="str">
        <f t="shared" si="1"/>
        <v>Mon</v>
      </c>
      <c r="B138" s="69">
        <v>43598.0</v>
      </c>
      <c r="S138" s="15"/>
    </row>
    <row r="139">
      <c r="A139" s="67" t="str">
        <f t="shared" si="1"/>
        <v>Tue</v>
      </c>
      <c r="B139" s="69">
        <v>43599.0</v>
      </c>
      <c r="S139" s="15"/>
    </row>
    <row r="140">
      <c r="A140" s="67" t="str">
        <f t="shared" si="1"/>
        <v>Wed</v>
      </c>
      <c r="B140" s="69">
        <v>43600.0</v>
      </c>
      <c r="S140" s="15"/>
    </row>
    <row r="141">
      <c r="A141" s="67" t="str">
        <f t="shared" si="1"/>
        <v>Thu</v>
      </c>
      <c r="B141" s="69">
        <v>43601.0</v>
      </c>
      <c r="S141" s="15"/>
    </row>
    <row r="142">
      <c r="A142" s="67" t="str">
        <f t="shared" si="1"/>
        <v>Fri</v>
      </c>
      <c r="B142" s="69">
        <v>43602.0</v>
      </c>
      <c r="S142" s="15"/>
    </row>
    <row r="143">
      <c r="A143" s="67" t="str">
        <f t="shared" si="1"/>
        <v>Sat</v>
      </c>
      <c r="B143" s="69">
        <v>43603.0</v>
      </c>
      <c r="S143" s="15"/>
    </row>
    <row r="144">
      <c r="A144" s="67" t="str">
        <f t="shared" si="1"/>
        <v>Sun</v>
      </c>
      <c r="B144" s="69">
        <v>43604.0</v>
      </c>
      <c r="S144" s="15"/>
    </row>
    <row r="145">
      <c r="A145" s="67" t="str">
        <f t="shared" si="1"/>
        <v>Mon</v>
      </c>
      <c r="B145" s="69">
        <v>43605.0</v>
      </c>
      <c r="S145" s="15"/>
    </row>
    <row r="146">
      <c r="A146" s="67" t="str">
        <f t="shared" si="1"/>
        <v>Tue</v>
      </c>
      <c r="B146" s="69">
        <v>43606.0</v>
      </c>
      <c r="S146" s="15"/>
    </row>
    <row r="147">
      <c r="A147" s="67" t="str">
        <f t="shared" si="1"/>
        <v>Wed</v>
      </c>
      <c r="B147" s="69">
        <v>43607.0</v>
      </c>
      <c r="S147" s="15"/>
    </row>
    <row r="148">
      <c r="A148" s="67" t="str">
        <f t="shared" si="1"/>
        <v>Thu</v>
      </c>
      <c r="B148" s="69">
        <v>43608.0</v>
      </c>
      <c r="S148" s="15"/>
    </row>
    <row r="149">
      <c r="A149" s="67" t="str">
        <f t="shared" si="1"/>
        <v>Fri</v>
      </c>
      <c r="B149" s="69">
        <v>43609.0</v>
      </c>
      <c r="S149" s="15"/>
    </row>
    <row r="150">
      <c r="A150" s="67" t="str">
        <f t="shared" si="1"/>
        <v>Sat</v>
      </c>
      <c r="B150" s="69">
        <v>43610.0</v>
      </c>
      <c r="S150" s="15"/>
    </row>
    <row r="151">
      <c r="A151" s="67" t="str">
        <f t="shared" si="1"/>
        <v>Sun</v>
      </c>
      <c r="B151" s="69">
        <v>43611.0</v>
      </c>
      <c r="S151" s="15"/>
    </row>
    <row r="152">
      <c r="A152" s="67" t="str">
        <f t="shared" si="1"/>
        <v>Mon</v>
      </c>
      <c r="B152" s="69">
        <v>43612.0</v>
      </c>
      <c r="S152" s="15"/>
    </row>
    <row r="153">
      <c r="A153" s="67" t="str">
        <f t="shared" si="1"/>
        <v>Tue</v>
      </c>
      <c r="B153" s="69">
        <v>43613.0</v>
      </c>
      <c r="S153" s="15"/>
    </row>
    <row r="154">
      <c r="A154" s="67" t="str">
        <f t="shared" si="1"/>
        <v>Wed</v>
      </c>
      <c r="B154" s="69">
        <v>43614.0</v>
      </c>
      <c r="S154" s="15"/>
    </row>
    <row r="155">
      <c r="A155" s="67" t="str">
        <f t="shared" si="1"/>
        <v>Thu</v>
      </c>
      <c r="B155" s="69">
        <v>43615.0</v>
      </c>
      <c r="S155" s="15"/>
    </row>
    <row r="156">
      <c r="A156" s="67" t="str">
        <f t="shared" si="1"/>
        <v>Fri</v>
      </c>
      <c r="B156" s="69">
        <v>43616.0</v>
      </c>
      <c r="S156" s="15"/>
    </row>
    <row r="157">
      <c r="A157" s="67" t="str">
        <f t="shared" si="1"/>
        <v>Sat</v>
      </c>
      <c r="B157" s="69">
        <v>43617.0</v>
      </c>
      <c r="S157" s="15"/>
    </row>
    <row r="158">
      <c r="A158" s="67" t="str">
        <f t="shared" si="1"/>
        <v>Sun</v>
      </c>
      <c r="B158" s="69">
        <v>43618.0</v>
      </c>
      <c r="S158" s="15"/>
    </row>
    <row r="159">
      <c r="A159" s="67" t="str">
        <f t="shared" si="1"/>
        <v>Mon</v>
      </c>
      <c r="B159" s="69">
        <v>43619.0</v>
      </c>
      <c r="S159" s="15"/>
    </row>
    <row r="160">
      <c r="A160" s="67" t="str">
        <f t="shared" si="1"/>
        <v>Tue</v>
      </c>
      <c r="B160" s="69">
        <v>43620.0</v>
      </c>
      <c r="S160" s="15"/>
    </row>
    <row r="161">
      <c r="A161" s="67" t="str">
        <f t="shared" si="1"/>
        <v>Wed</v>
      </c>
      <c r="B161" s="69">
        <v>43621.0</v>
      </c>
      <c r="S161" s="15"/>
    </row>
    <row r="162">
      <c r="A162" s="67" t="str">
        <f t="shared" si="1"/>
        <v>Thu</v>
      </c>
      <c r="B162" s="69">
        <v>43622.0</v>
      </c>
      <c r="S162" s="15"/>
    </row>
    <row r="163">
      <c r="A163" s="67" t="str">
        <f t="shared" si="1"/>
        <v>Fri</v>
      </c>
      <c r="B163" s="69">
        <v>43623.0</v>
      </c>
      <c r="S163" s="15"/>
    </row>
    <row r="164">
      <c r="A164" s="67" t="str">
        <f t="shared" si="1"/>
        <v>Sat</v>
      </c>
      <c r="B164" s="69">
        <v>43624.0</v>
      </c>
      <c r="S164" s="15"/>
    </row>
    <row r="165">
      <c r="A165" s="67" t="str">
        <f t="shared" si="1"/>
        <v>Sun</v>
      </c>
      <c r="B165" s="69">
        <v>43625.0</v>
      </c>
      <c r="S165" s="15"/>
    </row>
    <row r="166">
      <c r="A166" s="67" t="str">
        <f t="shared" si="1"/>
        <v>Mon</v>
      </c>
      <c r="B166" s="69">
        <v>43626.0</v>
      </c>
      <c r="S166" s="15"/>
    </row>
    <row r="167">
      <c r="A167" s="67" t="str">
        <f t="shared" si="1"/>
        <v>Tue</v>
      </c>
      <c r="B167" s="69">
        <v>43627.0</v>
      </c>
      <c r="S167" s="15"/>
    </row>
    <row r="168">
      <c r="A168" s="67" t="str">
        <f t="shared" si="1"/>
        <v>Wed</v>
      </c>
      <c r="B168" s="69">
        <v>43628.0</v>
      </c>
      <c r="S168" s="15"/>
    </row>
    <row r="169">
      <c r="A169" s="67" t="str">
        <f t="shared" si="1"/>
        <v>Thu</v>
      </c>
      <c r="B169" s="69">
        <v>43629.0</v>
      </c>
      <c r="S169" s="15"/>
    </row>
    <row r="170">
      <c r="A170" s="67" t="str">
        <f t="shared" si="1"/>
        <v>Fri</v>
      </c>
      <c r="B170" s="69">
        <v>43630.0</v>
      </c>
      <c r="S170" s="15"/>
    </row>
    <row r="171">
      <c r="A171" s="67" t="str">
        <f t="shared" si="1"/>
        <v>Sat</v>
      </c>
      <c r="B171" s="69">
        <v>43631.0</v>
      </c>
      <c r="S171" s="15"/>
    </row>
    <row r="172">
      <c r="A172" s="67" t="str">
        <f t="shared" si="1"/>
        <v>Sun</v>
      </c>
      <c r="B172" s="69">
        <v>43632.0</v>
      </c>
      <c r="S172" s="15"/>
    </row>
    <row r="173">
      <c r="A173" s="67" t="str">
        <f t="shared" si="1"/>
        <v>Mon</v>
      </c>
      <c r="B173" s="69">
        <v>43633.0</v>
      </c>
      <c r="S173" s="15"/>
    </row>
    <row r="174">
      <c r="A174" s="67" t="str">
        <f t="shared" si="1"/>
        <v>Tue</v>
      </c>
      <c r="B174" s="69">
        <v>43634.0</v>
      </c>
      <c r="S174" s="15"/>
    </row>
    <row r="175">
      <c r="A175" s="67" t="str">
        <f t="shared" si="1"/>
        <v>Wed</v>
      </c>
      <c r="B175" s="69">
        <v>43635.0</v>
      </c>
      <c r="S175" s="15"/>
    </row>
    <row r="176">
      <c r="A176" s="67" t="str">
        <f t="shared" si="1"/>
        <v>Thu</v>
      </c>
      <c r="B176" s="69">
        <v>43636.0</v>
      </c>
      <c r="S176" s="15"/>
    </row>
    <row r="177">
      <c r="A177" s="67" t="str">
        <f t="shared" si="1"/>
        <v>Fri</v>
      </c>
      <c r="B177" s="69">
        <v>43637.0</v>
      </c>
      <c r="S177" s="15"/>
    </row>
    <row r="178">
      <c r="A178" s="67" t="str">
        <f t="shared" si="1"/>
        <v>Sat</v>
      </c>
      <c r="B178" s="69">
        <v>43638.0</v>
      </c>
      <c r="S178" s="15"/>
    </row>
    <row r="179">
      <c r="A179" s="67" t="str">
        <f t="shared" si="1"/>
        <v>Sun</v>
      </c>
      <c r="B179" s="69">
        <v>43639.0</v>
      </c>
      <c r="S179" s="15"/>
    </row>
    <row r="180">
      <c r="A180" s="67" t="str">
        <f t="shared" si="1"/>
        <v>Mon</v>
      </c>
      <c r="B180" s="69">
        <v>43640.0</v>
      </c>
      <c r="S180" s="15"/>
    </row>
    <row r="181">
      <c r="A181" s="67" t="str">
        <f t="shared" si="1"/>
        <v>Tue</v>
      </c>
      <c r="B181" s="69">
        <v>43641.0</v>
      </c>
      <c r="S181" s="15"/>
    </row>
    <row r="182">
      <c r="A182" s="67" t="str">
        <f t="shared" si="1"/>
        <v>Wed</v>
      </c>
      <c r="B182" s="69">
        <v>43642.0</v>
      </c>
      <c r="S182" s="15"/>
    </row>
    <row r="183">
      <c r="A183" s="67" t="str">
        <f t="shared" si="1"/>
        <v>Thu</v>
      </c>
      <c r="B183" s="69">
        <v>43643.0</v>
      </c>
      <c r="S183" s="15"/>
    </row>
    <row r="184">
      <c r="A184" s="67" t="str">
        <f t="shared" si="1"/>
        <v>Fri</v>
      </c>
      <c r="B184" s="69">
        <v>43644.0</v>
      </c>
      <c r="S184" s="15"/>
    </row>
    <row r="185">
      <c r="A185" s="67" t="str">
        <f t="shared" si="1"/>
        <v>Sat</v>
      </c>
      <c r="B185" s="69">
        <v>43645.0</v>
      </c>
      <c r="S185" s="15"/>
    </row>
    <row r="186">
      <c r="A186" s="67" t="str">
        <f t="shared" si="1"/>
        <v>Sun</v>
      </c>
      <c r="B186" s="69">
        <v>43646.0</v>
      </c>
      <c r="S186" s="15"/>
    </row>
    <row r="187">
      <c r="A187" s="67" t="str">
        <f t="shared" si="1"/>
        <v>Mon</v>
      </c>
      <c r="B187" s="69">
        <v>43647.0</v>
      </c>
      <c r="S187" s="15"/>
    </row>
    <row r="188">
      <c r="A188" s="67" t="str">
        <f t="shared" si="1"/>
        <v>Tue</v>
      </c>
      <c r="B188" s="69">
        <v>43648.0</v>
      </c>
      <c r="S188" s="15"/>
    </row>
    <row r="189">
      <c r="A189" s="67" t="str">
        <f t="shared" si="1"/>
        <v>Wed</v>
      </c>
      <c r="B189" s="69">
        <v>43649.0</v>
      </c>
      <c r="S189" s="15"/>
    </row>
    <row r="190">
      <c r="A190" s="67" t="str">
        <f t="shared" si="1"/>
        <v>Thu</v>
      </c>
      <c r="B190" s="69">
        <v>43650.0</v>
      </c>
      <c r="S190" s="15"/>
    </row>
    <row r="191">
      <c r="A191" s="67" t="str">
        <f t="shared" si="1"/>
        <v>Fri</v>
      </c>
      <c r="B191" s="69">
        <v>43651.0</v>
      </c>
      <c r="S191" s="15"/>
    </row>
    <row r="192">
      <c r="A192" s="67" t="str">
        <f t="shared" si="1"/>
        <v>Sat</v>
      </c>
      <c r="B192" s="69">
        <v>43652.0</v>
      </c>
      <c r="S192" s="15"/>
    </row>
    <row r="193">
      <c r="A193" s="67" t="str">
        <f t="shared" si="1"/>
        <v>Sun</v>
      </c>
      <c r="B193" s="69">
        <v>43653.0</v>
      </c>
      <c r="S193" s="15"/>
    </row>
    <row r="194">
      <c r="A194" s="67" t="str">
        <f t="shared" si="1"/>
        <v>Mon</v>
      </c>
      <c r="B194" s="69">
        <v>43654.0</v>
      </c>
      <c r="S194" s="15"/>
    </row>
    <row r="195">
      <c r="A195" s="67" t="str">
        <f t="shared" si="1"/>
        <v>Tue</v>
      </c>
      <c r="B195" s="69">
        <v>43655.0</v>
      </c>
      <c r="S195" s="15"/>
    </row>
    <row r="196">
      <c r="A196" s="67" t="str">
        <f t="shared" si="1"/>
        <v>Wed</v>
      </c>
      <c r="B196" s="69">
        <v>43656.0</v>
      </c>
      <c r="S196" s="15"/>
    </row>
    <row r="197">
      <c r="A197" s="67" t="str">
        <f t="shared" si="1"/>
        <v>Thu</v>
      </c>
      <c r="B197" s="69">
        <v>43657.0</v>
      </c>
      <c r="S197" s="15"/>
    </row>
    <row r="198">
      <c r="A198" s="67" t="str">
        <f t="shared" si="1"/>
        <v>Fri</v>
      </c>
      <c r="B198" s="69">
        <v>43658.0</v>
      </c>
      <c r="S198" s="15"/>
    </row>
    <row r="199">
      <c r="A199" s="67" t="str">
        <f t="shared" si="1"/>
        <v>Sat</v>
      </c>
      <c r="B199" s="69">
        <v>43659.0</v>
      </c>
      <c r="S199" s="15"/>
    </row>
    <row r="200">
      <c r="A200" s="67" t="str">
        <f t="shared" si="1"/>
        <v>Sun</v>
      </c>
      <c r="B200" s="69">
        <v>43660.0</v>
      </c>
      <c r="S200" s="15"/>
    </row>
    <row r="201">
      <c r="A201" s="67" t="str">
        <f t="shared" si="1"/>
        <v>Mon</v>
      </c>
      <c r="B201" s="69">
        <v>43661.0</v>
      </c>
      <c r="S201" s="15"/>
    </row>
    <row r="202">
      <c r="A202" s="67" t="str">
        <f t="shared" si="1"/>
        <v>Tue</v>
      </c>
      <c r="B202" s="69">
        <v>43662.0</v>
      </c>
      <c r="S202" s="15"/>
    </row>
    <row r="203">
      <c r="A203" s="67" t="str">
        <f t="shared" si="1"/>
        <v>Wed</v>
      </c>
      <c r="B203" s="69">
        <v>43663.0</v>
      </c>
      <c r="S203" s="15"/>
    </row>
    <row r="204">
      <c r="A204" s="67" t="str">
        <f t="shared" si="1"/>
        <v>Thu</v>
      </c>
      <c r="B204" s="69">
        <v>43664.0</v>
      </c>
      <c r="S204" s="15"/>
    </row>
    <row r="205">
      <c r="A205" s="67" t="str">
        <f t="shared" si="1"/>
        <v>Fri</v>
      </c>
      <c r="B205" s="69">
        <v>43665.0</v>
      </c>
      <c r="S205" s="15"/>
    </row>
    <row r="206">
      <c r="A206" s="67" t="str">
        <f t="shared" si="1"/>
        <v>Sat</v>
      </c>
      <c r="B206" s="69">
        <v>43666.0</v>
      </c>
      <c r="S206" s="15"/>
    </row>
    <row r="207">
      <c r="A207" s="67" t="str">
        <f t="shared" si="1"/>
        <v>Sun</v>
      </c>
      <c r="B207" s="69">
        <v>43667.0</v>
      </c>
      <c r="S207" s="15"/>
    </row>
    <row r="208">
      <c r="A208" s="67" t="str">
        <f t="shared" si="1"/>
        <v>Mon</v>
      </c>
      <c r="B208" s="69">
        <v>43668.0</v>
      </c>
      <c r="S208" s="15"/>
    </row>
    <row r="209">
      <c r="A209" s="67" t="str">
        <f t="shared" si="1"/>
        <v>Tue</v>
      </c>
      <c r="B209" s="69">
        <v>43669.0</v>
      </c>
      <c r="S209" s="15"/>
    </row>
    <row r="210">
      <c r="A210" s="67" t="str">
        <f t="shared" si="1"/>
        <v>Wed</v>
      </c>
      <c r="B210" s="69">
        <v>43670.0</v>
      </c>
      <c r="S210" s="15"/>
    </row>
    <row r="211">
      <c r="A211" s="67" t="str">
        <f t="shared" si="1"/>
        <v>Thu</v>
      </c>
      <c r="B211" s="69">
        <v>43671.0</v>
      </c>
      <c r="S211" s="15"/>
    </row>
    <row r="212">
      <c r="A212" s="67" t="str">
        <f t="shared" si="1"/>
        <v>Fri</v>
      </c>
      <c r="B212" s="69">
        <v>43672.0</v>
      </c>
      <c r="S212" s="15"/>
    </row>
    <row r="213">
      <c r="A213" s="67" t="str">
        <f t="shared" si="1"/>
        <v>Sat</v>
      </c>
      <c r="B213" s="69">
        <v>43673.0</v>
      </c>
      <c r="S213" s="15"/>
    </row>
    <row r="214">
      <c r="A214" s="67" t="str">
        <f t="shared" si="1"/>
        <v>Sun</v>
      </c>
      <c r="B214" s="69">
        <v>43674.0</v>
      </c>
      <c r="S214" s="15"/>
    </row>
    <row r="215">
      <c r="A215" s="67" t="str">
        <f t="shared" si="1"/>
        <v>Mon</v>
      </c>
      <c r="B215" s="69">
        <v>43675.0</v>
      </c>
      <c r="S215" s="15"/>
    </row>
    <row r="216">
      <c r="A216" s="67" t="str">
        <f t="shared" si="1"/>
        <v>Tue</v>
      </c>
      <c r="B216" s="69">
        <v>43676.0</v>
      </c>
      <c r="S216" s="15"/>
    </row>
    <row r="217">
      <c r="A217" s="67" t="str">
        <f t="shared" si="1"/>
        <v>Wed</v>
      </c>
      <c r="B217" s="69">
        <v>43677.0</v>
      </c>
      <c r="S217" s="15"/>
    </row>
    <row r="218">
      <c r="A218" s="67" t="str">
        <f t="shared" si="1"/>
        <v>Thu</v>
      </c>
      <c r="B218" s="69">
        <v>43678.0</v>
      </c>
      <c r="S218" s="15"/>
    </row>
    <row r="219">
      <c r="A219" s="67" t="str">
        <f t="shared" si="1"/>
        <v>Fri</v>
      </c>
      <c r="B219" s="69">
        <v>43679.0</v>
      </c>
      <c r="S219" s="15"/>
    </row>
    <row r="220">
      <c r="A220" s="67" t="str">
        <f t="shared" si="1"/>
        <v>Sat</v>
      </c>
      <c r="B220" s="69">
        <v>43680.0</v>
      </c>
      <c r="S220" s="15"/>
    </row>
    <row r="221">
      <c r="A221" s="67" t="str">
        <f t="shared" si="1"/>
        <v>Sun</v>
      </c>
      <c r="B221" s="69">
        <v>43681.0</v>
      </c>
      <c r="S221" s="15"/>
    </row>
    <row r="222">
      <c r="A222" s="67" t="str">
        <f t="shared" si="1"/>
        <v>Mon</v>
      </c>
      <c r="B222" s="69">
        <v>43682.0</v>
      </c>
      <c r="S222" s="15"/>
    </row>
    <row r="223">
      <c r="A223" s="67" t="str">
        <f t="shared" si="1"/>
        <v>Tue</v>
      </c>
      <c r="B223" s="69">
        <v>43683.0</v>
      </c>
      <c r="S223" s="15"/>
    </row>
    <row r="224">
      <c r="A224" s="67" t="str">
        <f t="shared" si="1"/>
        <v>Wed</v>
      </c>
      <c r="B224" s="69">
        <v>43684.0</v>
      </c>
      <c r="S224" s="15"/>
    </row>
    <row r="225">
      <c r="A225" s="67" t="str">
        <f t="shared" si="1"/>
        <v>Thu</v>
      </c>
      <c r="B225" s="69">
        <v>43685.0</v>
      </c>
      <c r="S225" s="15"/>
    </row>
    <row r="226">
      <c r="A226" s="67" t="str">
        <f t="shared" si="1"/>
        <v>Fri</v>
      </c>
      <c r="B226" s="69">
        <v>43686.0</v>
      </c>
      <c r="S226" s="15"/>
    </row>
    <row r="227">
      <c r="A227" s="67" t="str">
        <f t="shared" si="1"/>
        <v>Sat</v>
      </c>
      <c r="B227" s="69">
        <v>43687.0</v>
      </c>
      <c r="S227" s="15"/>
    </row>
    <row r="228">
      <c r="A228" s="67" t="str">
        <f t="shared" si="1"/>
        <v>Sun</v>
      </c>
      <c r="B228" s="69">
        <v>43688.0</v>
      </c>
      <c r="S228" s="15"/>
    </row>
    <row r="229">
      <c r="A229" s="67" t="str">
        <f t="shared" si="1"/>
        <v>Mon</v>
      </c>
      <c r="B229" s="69">
        <v>43689.0</v>
      </c>
      <c r="S229" s="15"/>
    </row>
    <row r="230">
      <c r="A230" s="67" t="str">
        <f t="shared" si="1"/>
        <v>Tue</v>
      </c>
      <c r="B230" s="69">
        <v>43690.0</v>
      </c>
      <c r="S230" s="15"/>
    </row>
    <row r="231">
      <c r="A231" s="67" t="str">
        <f t="shared" si="1"/>
        <v>Wed</v>
      </c>
      <c r="B231" s="69">
        <v>43691.0</v>
      </c>
      <c r="S231" s="15"/>
    </row>
    <row r="232">
      <c r="A232" s="67" t="str">
        <f t="shared" si="1"/>
        <v>Thu</v>
      </c>
      <c r="B232" s="69">
        <v>43692.0</v>
      </c>
      <c r="S232" s="15"/>
    </row>
    <row r="233">
      <c r="A233" s="67" t="str">
        <f t="shared" si="1"/>
        <v>Fri</v>
      </c>
      <c r="B233" s="69">
        <v>43693.0</v>
      </c>
      <c r="S233" s="15"/>
    </row>
    <row r="234">
      <c r="A234" s="67" t="str">
        <f t="shared" si="1"/>
        <v>Sat</v>
      </c>
      <c r="B234" s="69">
        <v>43694.0</v>
      </c>
      <c r="S234" s="15"/>
    </row>
    <row r="235">
      <c r="A235" s="67" t="str">
        <f t="shared" si="1"/>
        <v>Sun</v>
      </c>
      <c r="B235" s="69">
        <v>43695.0</v>
      </c>
      <c r="S235" s="15"/>
    </row>
    <row r="236">
      <c r="A236" s="67" t="str">
        <f t="shared" si="1"/>
        <v>Mon</v>
      </c>
      <c r="B236" s="69">
        <v>43696.0</v>
      </c>
      <c r="S236" s="15"/>
    </row>
    <row r="237">
      <c r="A237" s="67" t="str">
        <f t="shared" si="1"/>
        <v>Tue</v>
      </c>
      <c r="B237" s="69">
        <v>43697.0</v>
      </c>
      <c r="S237" s="15"/>
    </row>
    <row r="238">
      <c r="A238" s="67" t="str">
        <f t="shared" si="1"/>
        <v>Wed</v>
      </c>
      <c r="B238" s="69">
        <v>43698.0</v>
      </c>
      <c r="S238" s="15"/>
    </row>
    <row r="239">
      <c r="A239" s="67" t="str">
        <f t="shared" si="1"/>
        <v>Thu</v>
      </c>
      <c r="B239" s="69">
        <v>43699.0</v>
      </c>
      <c r="S239" s="15"/>
    </row>
    <row r="240">
      <c r="A240" s="67" t="str">
        <f t="shared" si="1"/>
        <v>Fri</v>
      </c>
      <c r="B240" s="69">
        <v>43700.0</v>
      </c>
      <c r="S240" s="15"/>
    </row>
    <row r="241">
      <c r="A241" s="67" t="str">
        <f t="shared" si="1"/>
        <v>Sat</v>
      </c>
      <c r="B241" s="69">
        <v>43701.0</v>
      </c>
      <c r="S241" s="15"/>
    </row>
    <row r="242">
      <c r="A242" s="67" t="str">
        <f t="shared" si="1"/>
        <v>Sun</v>
      </c>
      <c r="B242" s="69">
        <v>43702.0</v>
      </c>
      <c r="S242" s="15"/>
    </row>
    <row r="243">
      <c r="A243" s="67" t="str">
        <f t="shared" si="1"/>
        <v>Mon</v>
      </c>
      <c r="B243" s="69">
        <v>43703.0</v>
      </c>
      <c r="S243" s="15"/>
    </row>
    <row r="244">
      <c r="A244" s="67" t="str">
        <f t="shared" si="1"/>
        <v>Tue</v>
      </c>
      <c r="B244" s="69">
        <v>43704.0</v>
      </c>
      <c r="S244" s="15"/>
    </row>
    <row r="245">
      <c r="A245" s="67" t="str">
        <f t="shared" si="1"/>
        <v>Wed</v>
      </c>
      <c r="B245" s="69">
        <v>43705.0</v>
      </c>
      <c r="S245" s="15"/>
    </row>
    <row r="246">
      <c r="A246" s="67" t="str">
        <f t="shared" si="1"/>
        <v>Thu</v>
      </c>
      <c r="B246" s="69">
        <v>43706.0</v>
      </c>
      <c r="S246" s="15"/>
    </row>
    <row r="247">
      <c r="A247" s="67" t="str">
        <f t="shared" si="1"/>
        <v>Fri</v>
      </c>
      <c r="B247" s="69">
        <v>43707.0</v>
      </c>
      <c r="S247" s="15"/>
    </row>
    <row r="248">
      <c r="A248" s="67" t="str">
        <f t="shared" si="1"/>
        <v>Sat</v>
      </c>
      <c r="B248" s="69">
        <v>43708.0</v>
      </c>
      <c r="S248" s="15"/>
    </row>
    <row r="249">
      <c r="A249" s="67" t="str">
        <f t="shared" si="1"/>
        <v>Sun</v>
      </c>
      <c r="B249" s="69">
        <v>43709.0</v>
      </c>
      <c r="S249" s="15"/>
    </row>
    <row r="250">
      <c r="A250" s="67" t="str">
        <f t="shared" si="1"/>
        <v>Mon</v>
      </c>
      <c r="B250" s="69">
        <v>43710.0</v>
      </c>
      <c r="S250" s="15"/>
    </row>
    <row r="251">
      <c r="A251" s="67" t="str">
        <f t="shared" si="1"/>
        <v>Tue</v>
      </c>
      <c r="B251" s="69">
        <v>43711.0</v>
      </c>
      <c r="S251" s="15"/>
    </row>
    <row r="252">
      <c r="A252" s="67" t="str">
        <f t="shared" si="1"/>
        <v>Wed</v>
      </c>
      <c r="B252" s="69">
        <v>43712.0</v>
      </c>
      <c r="S252" s="15"/>
    </row>
    <row r="253">
      <c r="A253" s="67" t="str">
        <f t="shared" si="1"/>
        <v>Thu</v>
      </c>
      <c r="B253" s="69">
        <v>43713.0</v>
      </c>
      <c r="S253" s="15"/>
    </row>
    <row r="254">
      <c r="A254" s="67" t="str">
        <f t="shared" si="1"/>
        <v>Fri</v>
      </c>
      <c r="B254" s="69">
        <v>43714.0</v>
      </c>
      <c r="S254" s="15"/>
    </row>
    <row r="255">
      <c r="A255" s="67" t="str">
        <f t="shared" si="1"/>
        <v>Sat</v>
      </c>
      <c r="B255" s="69">
        <v>43715.0</v>
      </c>
      <c r="S255" s="15"/>
    </row>
    <row r="256">
      <c r="A256" s="67" t="str">
        <f t="shared" si="1"/>
        <v>Sun</v>
      </c>
      <c r="B256" s="69">
        <v>43716.0</v>
      </c>
      <c r="S256" s="15"/>
    </row>
    <row r="257">
      <c r="A257" s="67" t="str">
        <f t="shared" si="1"/>
        <v>Mon</v>
      </c>
      <c r="B257" s="69">
        <v>43717.0</v>
      </c>
      <c r="S257" s="15"/>
    </row>
    <row r="258">
      <c r="A258" s="67" t="str">
        <f t="shared" si="1"/>
        <v>Tue</v>
      </c>
      <c r="B258" s="69">
        <v>43718.0</v>
      </c>
      <c r="S258" s="15"/>
    </row>
    <row r="259">
      <c r="A259" s="67" t="str">
        <f t="shared" si="1"/>
        <v>Wed</v>
      </c>
      <c r="B259" s="69">
        <v>43719.0</v>
      </c>
      <c r="S259" s="15"/>
    </row>
    <row r="260">
      <c r="A260" s="67" t="str">
        <f t="shared" si="1"/>
        <v>Thu</v>
      </c>
      <c r="B260" s="69">
        <v>43720.0</v>
      </c>
      <c r="S260" s="15"/>
    </row>
    <row r="261">
      <c r="A261" s="67" t="str">
        <f t="shared" si="1"/>
        <v>Fri</v>
      </c>
      <c r="B261" s="69">
        <v>43721.0</v>
      </c>
      <c r="S261" s="15"/>
    </row>
    <row r="262">
      <c r="A262" s="67" t="str">
        <f t="shared" si="1"/>
        <v>Sat</v>
      </c>
      <c r="B262" s="69">
        <v>43722.0</v>
      </c>
      <c r="S262" s="15"/>
    </row>
    <row r="263">
      <c r="A263" s="67" t="str">
        <f t="shared" si="1"/>
        <v>Sun</v>
      </c>
      <c r="B263" s="69">
        <v>43723.0</v>
      </c>
      <c r="S263" s="15"/>
    </row>
    <row r="264">
      <c r="A264" s="67" t="str">
        <f t="shared" si="1"/>
        <v>Mon</v>
      </c>
      <c r="B264" s="69">
        <v>43724.0</v>
      </c>
      <c r="S264" s="15"/>
    </row>
    <row r="265">
      <c r="A265" s="67" t="str">
        <f t="shared" si="1"/>
        <v>Tue</v>
      </c>
      <c r="B265" s="69">
        <v>43725.0</v>
      </c>
      <c r="S265" s="15"/>
    </row>
    <row r="266">
      <c r="A266" s="67" t="str">
        <f t="shared" si="1"/>
        <v>Wed</v>
      </c>
      <c r="B266" s="69">
        <v>43726.0</v>
      </c>
      <c r="S266" s="15"/>
    </row>
    <row r="267">
      <c r="A267" s="67" t="str">
        <f t="shared" si="1"/>
        <v>Thu</v>
      </c>
      <c r="B267" s="69">
        <v>43727.0</v>
      </c>
      <c r="S267" s="15"/>
    </row>
    <row r="268">
      <c r="A268" s="67" t="str">
        <f t="shared" si="1"/>
        <v>Fri</v>
      </c>
      <c r="B268" s="69">
        <v>43728.0</v>
      </c>
      <c r="S268" s="15"/>
    </row>
    <row r="269">
      <c r="A269" s="67" t="str">
        <f t="shared" si="1"/>
        <v>Sat</v>
      </c>
      <c r="B269" s="69">
        <v>43729.0</v>
      </c>
      <c r="S269" s="15"/>
    </row>
    <row r="270">
      <c r="A270" s="67" t="str">
        <f t="shared" si="1"/>
        <v>Sun</v>
      </c>
      <c r="B270" s="69">
        <v>43730.0</v>
      </c>
      <c r="S270" s="15"/>
    </row>
    <row r="271">
      <c r="A271" s="67" t="str">
        <f t="shared" si="1"/>
        <v>Mon</v>
      </c>
      <c r="B271" s="69">
        <v>43731.0</v>
      </c>
      <c r="S271" s="15"/>
    </row>
    <row r="272">
      <c r="A272" s="67" t="str">
        <f t="shared" si="1"/>
        <v>Tue</v>
      </c>
      <c r="B272" s="69">
        <v>43732.0</v>
      </c>
      <c r="S272" s="15"/>
    </row>
    <row r="273">
      <c r="A273" s="67" t="str">
        <f t="shared" si="1"/>
        <v>Wed</v>
      </c>
      <c r="B273" s="69">
        <v>43733.0</v>
      </c>
      <c r="S273" s="15"/>
    </row>
    <row r="274">
      <c r="A274" s="67" t="str">
        <f t="shared" si="1"/>
        <v>Thu</v>
      </c>
      <c r="B274" s="69">
        <v>43734.0</v>
      </c>
      <c r="S274" s="15"/>
    </row>
    <row r="275">
      <c r="A275" s="67" t="str">
        <f t="shared" si="1"/>
        <v>Fri</v>
      </c>
      <c r="B275" s="69">
        <v>43735.0</v>
      </c>
      <c r="S275" s="15"/>
    </row>
    <row r="276">
      <c r="A276" s="67" t="str">
        <f t="shared" si="1"/>
        <v>Sat</v>
      </c>
      <c r="B276" s="69">
        <v>43736.0</v>
      </c>
      <c r="S276" s="15"/>
    </row>
    <row r="277">
      <c r="A277" s="67" t="str">
        <f t="shared" si="1"/>
        <v>Sun</v>
      </c>
      <c r="B277" s="69">
        <v>43737.0</v>
      </c>
      <c r="S277" s="15"/>
    </row>
    <row r="278">
      <c r="A278" s="67" t="str">
        <f t="shared" si="1"/>
        <v>Mon</v>
      </c>
      <c r="B278" s="69">
        <v>43738.0</v>
      </c>
      <c r="S278" s="15"/>
    </row>
    <row r="279">
      <c r="A279" s="67" t="str">
        <f t="shared" si="1"/>
        <v>Tue</v>
      </c>
      <c r="B279" s="69">
        <v>43739.0</v>
      </c>
      <c r="S279" s="15"/>
    </row>
    <row r="280">
      <c r="A280" s="67" t="str">
        <f t="shared" si="1"/>
        <v>Wed</v>
      </c>
      <c r="B280" s="69">
        <v>43740.0</v>
      </c>
      <c r="S280" s="15"/>
    </row>
    <row r="281">
      <c r="A281" s="67" t="str">
        <f t="shared" si="1"/>
        <v>Thu</v>
      </c>
      <c r="B281" s="69">
        <v>43741.0</v>
      </c>
      <c r="S281" s="15"/>
    </row>
    <row r="282">
      <c r="A282" s="67" t="str">
        <f t="shared" si="1"/>
        <v>Fri</v>
      </c>
      <c r="B282" s="69">
        <v>43742.0</v>
      </c>
      <c r="S282" s="15"/>
    </row>
    <row r="283">
      <c r="A283" s="67" t="str">
        <f t="shared" si="1"/>
        <v>Sat</v>
      </c>
      <c r="B283" s="69">
        <v>43743.0</v>
      </c>
      <c r="S283" s="15"/>
    </row>
    <row r="284">
      <c r="A284" s="67" t="str">
        <f t="shared" si="1"/>
        <v>Sun</v>
      </c>
      <c r="B284" s="69">
        <v>43744.0</v>
      </c>
      <c r="S284" s="15"/>
    </row>
    <row r="285">
      <c r="A285" s="67" t="str">
        <f t="shared" si="1"/>
        <v>Mon</v>
      </c>
      <c r="B285" s="69">
        <v>43745.0</v>
      </c>
      <c r="S285" s="15"/>
    </row>
    <row r="286">
      <c r="A286" s="67" t="str">
        <f t="shared" si="1"/>
        <v>Tue</v>
      </c>
      <c r="B286" s="69">
        <v>43746.0</v>
      </c>
      <c r="S286" s="15"/>
    </row>
    <row r="287">
      <c r="A287" s="67" t="str">
        <f t="shared" si="1"/>
        <v>Wed</v>
      </c>
      <c r="B287" s="69">
        <v>43747.0</v>
      </c>
      <c r="S287" s="15"/>
    </row>
    <row r="288">
      <c r="A288" s="67" t="str">
        <f t="shared" si="1"/>
        <v>Thu</v>
      </c>
      <c r="B288" s="69">
        <v>43748.0</v>
      </c>
      <c r="S288" s="15"/>
    </row>
    <row r="289">
      <c r="A289" s="67" t="str">
        <f t="shared" si="1"/>
        <v>Fri</v>
      </c>
      <c r="B289" s="69">
        <v>43749.0</v>
      </c>
      <c r="S289" s="15"/>
    </row>
    <row r="290">
      <c r="A290" s="67" t="str">
        <f t="shared" si="1"/>
        <v>Sat</v>
      </c>
      <c r="B290" s="69">
        <v>43750.0</v>
      </c>
      <c r="S290" s="15"/>
    </row>
    <row r="291">
      <c r="A291" s="67" t="str">
        <f t="shared" si="1"/>
        <v>Sun</v>
      </c>
      <c r="B291" s="69">
        <v>43751.0</v>
      </c>
      <c r="S291" s="15"/>
    </row>
    <row r="292">
      <c r="A292" s="67" t="str">
        <f t="shared" si="1"/>
        <v>Mon</v>
      </c>
      <c r="B292" s="69">
        <v>43752.0</v>
      </c>
      <c r="S292" s="15"/>
    </row>
    <row r="293">
      <c r="A293" s="67" t="str">
        <f t="shared" si="1"/>
        <v>Tue</v>
      </c>
      <c r="B293" s="69">
        <v>43753.0</v>
      </c>
      <c r="S293" s="15"/>
    </row>
    <row r="294">
      <c r="A294" s="67" t="str">
        <f t="shared" si="1"/>
        <v>Wed</v>
      </c>
      <c r="B294" s="69">
        <v>43754.0</v>
      </c>
      <c r="S294" s="15"/>
    </row>
    <row r="295">
      <c r="A295" s="67" t="str">
        <f t="shared" si="1"/>
        <v>Thu</v>
      </c>
      <c r="B295" s="69">
        <v>43755.0</v>
      </c>
      <c r="S295" s="15"/>
    </row>
    <row r="296">
      <c r="A296" s="67" t="str">
        <f t="shared" si="1"/>
        <v>Fri</v>
      </c>
      <c r="B296" s="69">
        <v>43756.0</v>
      </c>
      <c r="S296" s="15"/>
    </row>
    <row r="297">
      <c r="A297" s="67" t="str">
        <f t="shared" si="1"/>
        <v>Sat</v>
      </c>
      <c r="B297" s="69">
        <v>43757.0</v>
      </c>
      <c r="S297" s="15"/>
    </row>
    <row r="298">
      <c r="A298" s="67" t="str">
        <f t="shared" si="1"/>
        <v>Sun</v>
      </c>
      <c r="B298" s="69">
        <v>43758.0</v>
      </c>
      <c r="S298" s="15"/>
    </row>
    <row r="299">
      <c r="A299" s="67" t="str">
        <f t="shared" si="1"/>
        <v>Mon</v>
      </c>
      <c r="B299" s="69">
        <v>43759.0</v>
      </c>
      <c r="S299" s="15"/>
    </row>
    <row r="300">
      <c r="A300" s="67" t="str">
        <f t="shared" si="1"/>
        <v>Tue</v>
      </c>
      <c r="B300" s="69">
        <v>43760.0</v>
      </c>
      <c r="S300" s="15"/>
    </row>
    <row r="301">
      <c r="A301" s="67" t="str">
        <f t="shared" si="1"/>
        <v>Wed</v>
      </c>
      <c r="B301" s="69">
        <v>43761.0</v>
      </c>
      <c r="S301" s="15"/>
    </row>
    <row r="302">
      <c r="A302" s="67" t="str">
        <f t="shared" si="1"/>
        <v>Thu</v>
      </c>
      <c r="B302" s="69">
        <v>43762.0</v>
      </c>
      <c r="S302" s="15"/>
    </row>
    <row r="303">
      <c r="A303" s="67" t="str">
        <f t="shared" si="1"/>
        <v>Fri</v>
      </c>
      <c r="B303" s="69">
        <v>43763.0</v>
      </c>
      <c r="S303" s="15"/>
    </row>
    <row r="304">
      <c r="A304" s="67" t="str">
        <f t="shared" si="1"/>
        <v>Sat</v>
      </c>
      <c r="B304" s="69">
        <v>43764.0</v>
      </c>
      <c r="S304" s="15"/>
    </row>
    <row r="305">
      <c r="A305" s="67" t="str">
        <f t="shared" si="1"/>
        <v>Sun</v>
      </c>
      <c r="B305" s="69">
        <v>43765.0</v>
      </c>
      <c r="S305" s="15"/>
    </row>
    <row r="306">
      <c r="A306" s="67" t="str">
        <f t="shared" si="1"/>
        <v>Mon</v>
      </c>
      <c r="B306" s="69">
        <v>43766.0</v>
      </c>
      <c r="S306" s="15"/>
    </row>
    <row r="307">
      <c r="A307" s="67" t="str">
        <f t="shared" si="1"/>
        <v>Tue</v>
      </c>
      <c r="B307" s="69">
        <v>43767.0</v>
      </c>
      <c r="S307" s="15"/>
    </row>
    <row r="308">
      <c r="A308" s="67" t="str">
        <f t="shared" si="1"/>
        <v>Wed</v>
      </c>
      <c r="B308" s="69">
        <v>43768.0</v>
      </c>
      <c r="S308" s="15"/>
    </row>
    <row r="309">
      <c r="A309" s="67" t="str">
        <f t="shared" si="1"/>
        <v>Thu</v>
      </c>
      <c r="B309" s="69">
        <v>43769.0</v>
      </c>
      <c r="S309" s="15"/>
    </row>
    <row r="310">
      <c r="A310" s="67" t="str">
        <f t="shared" si="1"/>
        <v>Fri</v>
      </c>
      <c r="B310" s="69">
        <v>43770.0</v>
      </c>
      <c r="S310" s="15"/>
    </row>
    <row r="311">
      <c r="A311" s="67" t="str">
        <f t="shared" si="1"/>
        <v>Sat</v>
      </c>
      <c r="B311" s="69">
        <v>43771.0</v>
      </c>
      <c r="S311" s="15"/>
    </row>
    <row r="312">
      <c r="A312" s="67" t="str">
        <f t="shared" si="1"/>
        <v>Sun</v>
      </c>
      <c r="B312" s="69">
        <v>43772.0</v>
      </c>
      <c r="S312" s="15"/>
    </row>
    <row r="313">
      <c r="A313" s="67" t="str">
        <f t="shared" si="1"/>
        <v>Mon</v>
      </c>
      <c r="B313" s="69">
        <v>43773.0</v>
      </c>
      <c r="S313" s="15"/>
    </row>
    <row r="314">
      <c r="A314" s="67" t="str">
        <f t="shared" si="1"/>
        <v>Tue</v>
      </c>
      <c r="B314" s="69">
        <v>43774.0</v>
      </c>
      <c r="S314" s="15"/>
    </row>
    <row r="315">
      <c r="A315" s="67" t="str">
        <f t="shared" si="1"/>
        <v>Wed</v>
      </c>
      <c r="B315" s="69">
        <v>43775.0</v>
      </c>
      <c r="S315" s="15"/>
    </row>
    <row r="316">
      <c r="A316" s="67" t="str">
        <f t="shared" si="1"/>
        <v>Thu</v>
      </c>
      <c r="B316" s="69">
        <v>43776.0</v>
      </c>
      <c r="S316" s="15"/>
    </row>
    <row r="317">
      <c r="A317" s="67" t="str">
        <f t="shared" si="1"/>
        <v>Fri</v>
      </c>
      <c r="B317" s="69">
        <v>43777.0</v>
      </c>
      <c r="S317" s="15"/>
    </row>
    <row r="318">
      <c r="A318" s="67" t="str">
        <f t="shared" si="1"/>
        <v>Sat</v>
      </c>
      <c r="B318" s="69">
        <v>43778.0</v>
      </c>
      <c r="S318" s="15"/>
    </row>
    <row r="319">
      <c r="A319" s="67" t="str">
        <f t="shared" si="1"/>
        <v>Sun</v>
      </c>
      <c r="B319" s="69">
        <v>43779.0</v>
      </c>
      <c r="S319" s="15"/>
    </row>
    <row r="320">
      <c r="A320" s="67" t="str">
        <f t="shared" si="1"/>
        <v>Mon</v>
      </c>
      <c r="B320" s="69">
        <v>43780.0</v>
      </c>
      <c r="S320" s="15"/>
    </row>
    <row r="321">
      <c r="A321" s="67" t="str">
        <f t="shared" si="1"/>
        <v>Tue</v>
      </c>
      <c r="B321" s="69">
        <v>43781.0</v>
      </c>
      <c r="S321" s="15"/>
    </row>
    <row r="322">
      <c r="A322" s="67" t="str">
        <f t="shared" si="1"/>
        <v>Wed</v>
      </c>
      <c r="B322" s="69">
        <v>43782.0</v>
      </c>
      <c r="S322" s="15"/>
    </row>
    <row r="323">
      <c r="A323" s="67" t="str">
        <f t="shared" si="1"/>
        <v>Thu</v>
      </c>
      <c r="B323" s="69">
        <v>43783.0</v>
      </c>
      <c r="S323" s="15"/>
    </row>
    <row r="324">
      <c r="A324" s="67" t="str">
        <f t="shared" si="1"/>
        <v>Fri</v>
      </c>
      <c r="B324" s="69">
        <v>43784.0</v>
      </c>
      <c r="S324" s="15"/>
    </row>
    <row r="325">
      <c r="A325" s="67" t="str">
        <f t="shared" si="1"/>
        <v>Sat</v>
      </c>
      <c r="B325" s="69">
        <v>43785.0</v>
      </c>
      <c r="S325" s="15"/>
    </row>
    <row r="326">
      <c r="A326" s="67" t="str">
        <f t="shared" si="1"/>
        <v>Sun</v>
      </c>
      <c r="B326" s="69">
        <v>43786.0</v>
      </c>
      <c r="S326" s="15"/>
    </row>
    <row r="327">
      <c r="A327" s="67" t="str">
        <f t="shared" si="1"/>
        <v>Mon</v>
      </c>
      <c r="B327" s="69">
        <v>43787.0</v>
      </c>
      <c r="S327" s="15"/>
    </row>
    <row r="328">
      <c r="A328" s="67" t="str">
        <f t="shared" si="1"/>
        <v>Tue</v>
      </c>
      <c r="B328" s="69">
        <v>43788.0</v>
      </c>
      <c r="S328" s="15"/>
    </row>
    <row r="329">
      <c r="A329" s="67" t="str">
        <f t="shared" si="1"/>
        <v>Wed</v>
      </c>
      <c r="B329" s="69">
        <v>43789.0</v>
      </c>
      <c r="S329" s="15"/>
    </row>
    <row r="330">
      <c r="A330" s="67" t="str">
        <f t="shared" si="1"/>
        <v>Thu</v>
      </c>
      <c r="B330" s="69">
        <v>43790.0</v>
      </c>
      <c r="S330" s="15"/>
    </row>
    <row r="331">
      <c r="A331" s="67" t="str">
        <f t="shared" si="1"/>
        <v>Fri</v>
      </c>
      <c r="B331" s="69">
        <v>43791.0</v>
      </c>
      <c r="S331" s="15"/>
    </row>
    <row r="332">
      <c r="A332" s="67" t="str">
        <f t="shared" si="1"/>
        <v>Sat</v>
      </c>
      <c r="B332" s="69">
        <v>43792.0</v>
      </c>
      <c r="S332" s="15"/>
    </row>
    <row r="333">
      <c r="A333" s="67" t="str">
        <f t="shared" si="1"/>
        <v>Sun</v>
      </c>
      <c r="B333" s="69">
        <v>43793.0</v>
      </c>
      <c r="S333" s="15"/>
    </row>
    <row r="334">
      <c r="A334" s="67" t="str">
        <f t="shared" si="1"/>
        <v>Mon</v>
      </c>
      <c r="B334" s="69">
        <v>43794.0</v>
      </c>
      <c r="S334" s="15"/>
    </row>
    <row r="335">
      <c r="A335" s="67" t="str">
        <f t="shared" si="1"/>
        <v>Tue</v>
      </c>
      <c r="B335" s="69">
        <v>43795.0</v>
      </c>
      <c r="S335" s="15"/>
    </row>
    <row r="336">
      <c r="A336" s="67" t="str">
        <f t="shared" si="1"/>
        <v>Wed</v>
      </c>
      <c r="B336" s="69">
        <v>43796.0</v>
      </c>
      <c r="S336" s="15"/>
    </row>
    <row r="337">
      <c r="A337" s="67" t="str">
        <f t="shared" si="1"/>
        <v>Thu</v>
      </c>
      <c r="B337" s="69">
        <v>43797.0</v>
      </c>
      <c r="S337" s="15"/>
    </row>
    <row r="338">
      <c r="A338" s="67" t="str">
        <f t="shared" si="1"/>
        <v>Fri</v>
      </c>
      <c r="B338" s="69">
        <v>43798.0</v>
      </c>
      <c r="S338" s="15"/>
    </row>
    <row r="339">
      <c r="A339" s="67" t="str">
        <f t="shared" si="1"/>
        <v>Sat</v>
      </c>
      <c r="B339" s="69">
        <v>43799.0</v>
      </c>
      <c r="S339" s="15"/>
    </row>
    <row r="340">
      <c r="A340" s="67" t="str">
        <f t="shared" si="1"/>
        <v>Sun</v>
      </c>
      <c r="B340" s="69">
        <v>43800.0</v>
      </c>
      <c r="S340" s="15"/>
    </row>
    <row r="341">
      <c r="A341" s="67" t="str">
        <f t="shared" si="1"/>
        <v>Mon</v>
      </c>
      <c r="B341" s="69">
        <v>43801.0</v>
      </c>
      <c r="S341" s="15"/>
    </row>
    <row r="342">
      <c r="A342" s="67" t="str">
        <f t="shared" si="1"/>
        <v>Tue</v>
      </c>
      <c r="B342" s="69">
        <v>43802.0</v>
      </c>
      <c r="S342" s="15"/>
    </row>
    <row r="343">
      <c r="A343" s="67" t="str">
        <f t="shared" si="1"/>
        <v>Wed</v>
      </c>
      <c r="B343" s="69">
        <v>43803.0</v>
      </c>
      <c r="S343" s="15"/>
    </row>
    <row r="344">
      <c r="A344" s="67" t="str">
        <f t="shared" si="1"/>
        <v>Thu</v>
      </c>
      <c r="B344" s="69">
        <v>43804.0</v>
      </c>
      <c r="S344" s="15"/>
    </row>
    <row r="345">
      <c r="A345" s="67" t="str">
        <f t="shared" si="1"/>
        <v>Fri</v>
      </c>
      <c r="B345" s="69">
        <v>43805.0</v>
      </c>
      <c r="S345" s="15"/>
    </row>
    <row r="346">
      <c r="A346" s="67" t="str">
        <f t="shared" si="1"/>
        <v>Sat</v>
      </c>
      <c r="B346" s="69">
        <v>43806.0</v>
      </c>
      <c r="S346" s="15"/>
    </row>
    <row r="347">
      <c r="A347" s="67" t="str">
        <f t="shared" si="1"/>
        <v>Sun</v>
      </c>
      <c r="B347" s="69">
        <v>43807.0</v>
      </c>
      <c r="S347" s="15"/>
    </row>
    <row r="348">
      <c r="A348" s="67" t="str">
        <f t="shared" si="1"/>
        <v>Mon</v>
      </c>
      <c r="B348" s="69">
        <v>43808.0</v>
      </c>
      <c r="S348" s="15"/>
    </row>
    <row r="349">
      <c r="A349" s="67" t="str">
        <f t="shared" si="1"/>
        <v>Tue</v>
      </c>
      <c r="B349" s="69">
        <v>43809.0</v>
      </c>
      <c r="S349" s="15"/>
    </row>
    <row r="350">
      <c r="A350" s="67" t="str">
        <f t="shared" si="1"/>
        <v>Wed</v>
      </c>
      <c r="B350" s="69">
        <v>43810.0</v>
      </c>
      <c r="S350" s="15"/>
    </row>
    <row r="351">
      <c r="A351" s="67" t="str">
        <f t="shared" si="1"/>
        <v>Thu</v>
      </c>
      <c r="B351" s="69">
        <v>43811.0</v>
      </c>
      <c r="S351" s="15"/>
    </row>
    <row r="352">
      <c r="A352" s="67" t="str">
        <f t="shared" si="1"/>
        <v>Fri</v>
      </c>
      <c r="B352" s="69">
        <v>43812.0</v>
      </c>
      <c r="S352" s="15"/>
    </row>
    <row r="353">
      <c r="A353" s="67" t="str">
        <f t="shared" si="1"/>
        <v>Sat</v>
      </c>
      <c r="B353" s="69">
        <v>43813.0</v>
      </c>
      <c r="S353" s="15"/>
    </row>
    <row r="354">
      <c r="A354" s="67" t="str">
        <f t="shared" si="1"/>
        <v>Sun</v>
      </c>
      <c r="B354" s="69">
        <v>43814.0</v>
      </c>
      <c r="S354" s="15"/>
    </row>
    <row r="355">
      <c r="A355" s="67" t="str">
        <f t="shared" si="1"/>
        <v>Mon</v>
      </c>
      <c r="B355" s="69">
        <v>43815.0</v>
      </c>
      <c r="S355" s="15"/>
    </row>
    <row r="356">
      <c r="A356" s="67" t="str">
        <f t="shared" si="1"/>
        <v>Tue</v>
      </c>
      <c r="B356" s="69">
        <v>43816.0</v>
      </c>
      <c r="S356" s="15"/>
    </row>
    <row r="357">
      <c r="A357" s="67" t="str">
        <f t="shared" si="1"/>
        <v>Wed</v>
      </c>
      <c r="B357" s="69">
        <v>43817.0</v>
      </c>
      <c r="S357" s="15"/>
    </row>
    <row r="358">
      <c r="A358" s="67" t="str">
        <f t="shared" si="1"/>
        <v>Thu</v>
      </c>
      <c r="B358" s="69">
        <v>43818.0</v>
      </c>
      <c r="S358" s="15"/>
    </row>
    <row r="359">
      <c r="A359" s="67" t="str">
        <f t="shared" si="1"/>
        <v>Fri</v>
      </c>
      <c r="B359" s="69">
        <v>43819.0</v>
      </c>
      <c r="S359" s="15"/>
    </row>
    <row r="360">
      <c r="A360" s="67" t="str">
        <f t="shared" si="1"/>
        <v>Sat</v>
      </c>
      <c r="B360" s="69">
        <v>43820.0</v>
      </c>
      <c r="S360" s="15"/>
    </row>
    <row r="361">
      <c r="A361" s="67" t="str">
        <f t="shared" si="1"/>
        <v>Sun</v>
      </c>
      <c r="B361" s="69">
        <v>43821.0</v>
      </c>
      <c r="S361" s="15"/>
    </row>
    <row r="362">
      <c r="A362" s="67" t="str">
        <f t="shared" si="1"/>
        <v>Mon</v>
      </c>
      <c r="B362" s="69">
        <v>43822.0</v>
      </c>
      <c r="S362" s="15"/>
    </row>
    <row r="363">
      <c r="A363" s="67" t="str">
        <f t="shared" si="1"/>
        <v>Tue</v>
      </c>
      <c r="B363" s="69">
        <v>43823.0</v>
      </c>
      <c r="S363" s="15"/>
    </row>
    <row r="364">
      <c r="A364" s="67" t="str">
        <f t="shared" si="1"/>
        <v>Wed</v>
      </c>
      <c r="B364" s="69">
        <v>43824.0</v>
      </c>
      <c r="S364" s="15"/>
    </row>
    <row r="365">
      <c r="A365" s="67" t="str">
        <f t="shared" si="1"/>
        <v>Thu</v>
      </c>
      <c r="B365" s="69">
        <v>43825.0</v>
      </c>
      <c r="S365" s="15"/>
    </row>
    <row r="366">
      <c r="A366" s="67" t="str">
        <f t="shared" si="1"/>
        <v>Fri</v>
      </c>
      <c r="B366" s="69">
        <v>43826.0</v>
      </c>
      <c r="S366" s="15"/>
    </row>
    <row r="367">
      <c r="A367" s="67" t="str">
        <f t="shared" si="1"/>
        <v>Sat</v>
      </c>
      <c r="B367" s="69">
        <v>43827.0</v>
      </c>
      <c r="S367" s="15"/>
    </row>
    <row r="368">
      <c r="A368" s="67" t="str">
        <f t="shared" si="1"/>
        <v>Sun</v>
      </c>
      <c r="B368" s="69">
        <v>43828.0</v>
      </c>
      <c r="S368" s="15"/>
    </row>
    <row r="369">
      <c r="A369" s="67" t="str">
        <f t="shared" si="1"/>
        <v>Mon</v>
      </c>
      <c r="B369" s="69">
        <v>43829.0</v>
      </c>
      <c r="S369" s="15"/>
    </row>
    <row r="370">
      <c r="A370" s="67" t="str">
        <f t="shared" si="1"/>
        <v>Tue</v>
      </c>
      <c r="B370" s="69">
        <v>43830.0</v>
      </c>
      <c r="S370" s="15"/>
    </row>
  </sheetData>
  <mergeCells count="5">
    <mergeCell ref="E1:F1"/>
    <mergeCell ref="E2:F2"/>
    <mergeCell ref="E3:F3"/>
    <mergeCell ref="A1:C3"/>
    <mergeCell ref="G1:S3"/>
  </mergeCells>
  <conditionalFormatting sqref="K4:L370">
    <cfRule type="cellIs" dxfId="0" priority="1" operator="equal">
      <formula>"Enviar email para hotel"</formula>
    </cfRule>
  </conditionalFormatting>
  <dataValidations>
    <dataValidation type="list" allowBlank="1" sqref="L6:L370">
      <formula1>"Enviar email para hotel,Enviado para o hotel,Código de reserva enviado para hóspede,Verificar dados com o hóspede,URGENTE,Fechado"</formula1>
    </dataValidation>
    <dataValidation type="list" allowBlank="1" sqref="K6:K370">
      <formula1>"A PAGAR,PARCIALMENTE PAGO,PAGO"</formula1>
    </dataValidation>
  </dataValidations>
  <hyperlinks>
    <hyperlink display="Sumario" location="Sumario!A1" ref="A4"/>
  </hyperlinks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13.57"/>
    <col customWidth="1" min="4" max="4" width="17.0"/>
    <col customWidth="1" min="12" max="12" width="12.14"/>
    <col customWidth="1" min="13" max="13" width="19.0"/>
  </cols>
  <sheetData>
    <row r="1">
      <c r="A1" s="1"/>
      <c r="B1" s="2"/>
      <c r="C1" s="3"/>
      <c r="D1" s="11" t="s">
        <v>198</v>
      </c>
      <c r="E1" s="153" t="s">
        <v>2508</v>
      </c>
      <c r="F1" s="3"/>
      <c r="G1" s="154" t="s">
        <v>2509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155"/>
    </row>
    <row r="2">
      <c r="A2" s="13"/>
      <c r="C2" s="15"/>
      <c r="D2" s="9" t="s">
        <v>201</v>
      </c>
      <c r="E2" s="156">
        <v>208.0</v>
      </c>
      <c r="F2" s="15"/>
      <c r="S2" s="15"/>
      <c r="T2" s="155"/>
    </row>
    <row r="3">
      <c r="A3" s="17"/>
      <c r="B3" s="19"/>
      <c r="C3" s="21"/>
      <c r="D3" s="26" t="s">
        <v>202</v>
      </c>
      <c r="E3" s="157" t="s">
        <v>98</v>
      </c>
      <c r="F3" s="21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21"/>
      <c r="T3" s="155"/>
    </row>
    <row r="4">
      <c r="A4" s="158" t="s">
        <v>203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N4" s="30"/>
      <c r="O4" s="30"/>
      <c r="P4" s="30"/>
      <c r="Q4" s="30"/>
      <c r="R4" s="30"/>
      <c r="S4" s="30"/>
      <c r="T4" s="30"/>
      <c r="U4" s="30"/>
      <c r="V4" s="30"/>
    </row>
    <row r="5">
      <c r="A5" s="42" t="s">
        <v>204</v>
      </c>
      <c r="B5" s="45" t="s">
        <v>33</v>
      </c>
      <c r="C5" s="45" t="s">
        <v>205</v>
      </c>
      <c r="D5" s="45" t="s">
        <v>206</v>
      </c>
      <c r="E5" s="45" t="s">
        <v>207</v>
      </c>
      <c r="F5" s="45" t="s">
        <v>208</v>
      </c>
      <c r="G5" s="45" t="s">
        <v>209</v>
      </c>
      <c r="H5" s="45" t="s">
        <v>210</v>
      </c>
      <c r="I5" s="45" t="s">
        <v>211</v>
      </c>
      <c r="J5" s="45" t="s">
        <v>212</v>
      </c>
      <c r="K5" s="45" t="s">
        <v>213</v>
      </c>
      <c r="L5" s="45" t="s">
        <v>2513</v>
      </c>
      <c r="M5" s="45" t="s">
        <v>2514</v>
      </c>
      <c r="N5" s="45" t="s">
        <v>2515</v>
      </c>
      <c r="O5" s="45"/>
      <c r="P5" s="45"/>
      <c r="Q5" s="45" t="s">
        <v>219</v>
      </c>
      <c r="R5" s="45" t="s">
        <v>220</v>
      </c>
      <c r="S5" s="159" t="s">
        <v>221</v>
      </c>
      <c r="T5" s="160"/>
    </row>
    <row r="6" hidden="1">
      <c r="A6" s="67" t="str">
        <f t="shared" ref="A6:A370" si="1">CHOOSE(weekday(B6),"Sun","Mon","Tue","Wed","Thu","Fri","Sat")</f>
        <v>Tue</v>
      </c>
      <c r="B6" s="69">
        <v>43466.0</v>
      </c>
      <c r="S6" s="15"/>
    </row>
    <row r="7" hidden="1">
      <c r="A7" s="67" t="str">
        <f t="shared" si="1"/>
        <v>Wed</v>
      </c>
      <c r="B7" s="69">
        <v>43467.0</v>
      </c>
      <c r="S7" s="15"/>
    </row>
    <row r="8" hidden="1">
      <c r="A8" s="67" t="str">
        <f t="shared" si="1"/>
        <v>Thu</v>
      </c>
      <c r="B8" s="69">
        <v>43468.0</v>
      </c>
      <c r="S8" s="15"/>
    </row>
    <row r="9" hidden="1">
      <c r="A9" s="67" t="str">
        <f t="shared" si="1"/>
        <v>Fri</v>
      </c>
      <c r="B9" s="69">
        <v>43469.0</v>
      </c>
      <c r="S9" s="15"/>
    </row>
    <row r="10" hidden="1">
      <c r="A10" s="67" t="str">
        <f t="shared" si="1"/>
        <v>Sat</v>
      </c>
      <c r="B10" s="69">
        <v>43470.0</v>
      </c>
      <c r="S10" s="15"/>
    </row>
    <row r="11" hidden="1">
      <c r="A11" s="67" t="str">
        <f t="shared" si="1"/>
        <v>Sun</v>
      </c>
      <c r="B11" s="69">
        <v>43471.0</v>
      </c>
      <c r="S11" s="15"/>
    </row>
    <row r="12" hidden="1">
      <c r="A12" s="67" t="str">
        <f t="shared" si="1"/>
        <v>Mon</v>
      </c>
      <c r="B12" s="69">
        <v>43472.0</v>
      </c>
      <c r="S12" s="15"/>
    </row>
    <row r="13" hidden="1">
      <c r="A13" s="67" t="str">
        <f t="shared" si="1"/>
        <v>Tue</v>
      </c>
      <c r="B13" s="69">
        <v>43473.0</v>
      </c>
      <c r="S13" s="15"/>
    </row>
    <row r="14" hidden="1">
      <c r="A14" s="67" t="str">
        <f t="shared" si="1"/>
        <v>Wed</v>
      </c>
      <c r="B14" s="69">
        <v>43474.0</v>
      </c>
      <c r="S14" s="15"/>
    </row>
    <row r="15" hidden="1">
      <c r="A15" s="67" t="str">
        <f t="shared" si="1"/>
        <v>Thu</v>
      </c>
      <c r="B15" s="69">
        <v>43475.0</v>
      </c>
      <c r="S15" s="15"/>
    </row>
    <row r="16" hidden="1">
      <c r="A16" s="67" t="str">
        <f t="shared" si="1"/>
        <v>Fri</v>
      </c>
      <c r="B16" s="69">
        <v>43476.0</v>
      </c>
      <c r="S16" s="15"/>
    </row>
    <row r="17" hidden="1">
      <c r="A17" s="67" t="str">
        <f t="shared" si="1"/>
        <v>Sat</v>
      </c>
      <c r="B17" s="69">
        <v>43477.0</v>
      </c>
      <c r="S17" s="15"/>
    </row>
    <row r="18" hidden="1">
      <c r="A18" s="67" t="str">
        <f t="shared" si="1"/>
        <v>Sun</v>
      </c>
      <c r="B18" s="69">
        <v>43478.0</v>
      </c>
      <c r="S18" s="15"/>
    </row>
    <row r="19" hidden="1">
      <c r="A19" s="67" t="str">
        <f t="shared" si="1"/>
        <v>Mon</v>
      </c>
      <c r="B19" s="69">
        <v>43479.0</v>
      </c>
      <c r="S19" s="15"/>
    </row>
    <row r="20" hidden="1">
      <c r="A20" s="67" t="str">
        <f t="shared" si="1"/>
        <v>Tue</v>
      </c>
      <c r="B20" s="69">
        <v>43480.0</v>
      </c>
      <c r="S20" s="15"/>
    </row>
    <row r="21" hidden="1">
      <c r="A21" s="67" t="str">
        <f t="shared" si="1"/>
        <v>Wed</v>
      </c>
      <c r="B21" s="69">
        <v>43481.0</v>
      </c>
      <c r="S21" s="15"/>
    </row>
    <row r="22" hidden="1">
      <c r="A22" s="67" t="str">
        <f t="shared" si="1"/>
        <v>Thu</v>
      </c>
      <c r="B22" s="69">
        <v>43482.0</v>
      </c>
      <c r="S22" s="15"/>
    </row>
    <row r="23" hidden="1">
      <c r="A23" s="67" t="str">
        <f t="shared" si="1"/>
        <v>Fri</v>
      </c>
      <c r="B23" s="69">
        <v>43483.0</v>
      </c>
      <c r="S23" s="15"/>
    </row>
    <row r="24" hidden="1">
      <c r="A24" s="67" t="str">
        <f t="shared" si="1"/>
        <v>Sat</v>
      </c>
      <c r="B24" s="69">
        <v>43484.0</v>
      </c>
      <c r="S24" s="15"/>
    </row>
    <row r="25" hidden="1">
      <c r="A25" s="67" t="str">
        <f t="shared" si="1"/>
        <v>Sun</v>
      </c>
      <c r="B25" s="69">
        <v>43485.0</v>
      </c>
      <c r="S25" s="15"/>
    </row>
    <row r="26" hidden="1">
      <c r="A26" s="67" t="str">
        <f t="shared" si="1"/>
        <v>Mon</v>
      </c>
      <c r="B26" s="69">
        <v>43486.0</v>
      </c>
      <c r="S26" s="15"/>
    </row>
    <row r="27" hidden="1">
      <c r="A27" s="67" t="str">
        <f t="shared" si="1"/>
        <v>Tue</v>
      </c>
      <c r="B27" s="69">
        <v>43487.0</v>
      </c>
      <c r="S27" s="15"/>
    </row>
    <row r="28" hidden="1">
      <c r="A28" s="67" t="str">
        <f t="shared" si="1"/>
        <v>Wed</v>
      </c>
      <c r="B28" s="69">
        <v>43488.0</v>
      </c>
      <c r="S28" s="15"/>
    </row>
    <row r="29" hidden="1">
      <c r="A29" s="67" t="str">
        <f t="shared" si="1"/>
        <v>Thu</v>
      </c>
      <c r="B29" s="69">
        <v>43489.0</v>
      </c>
      <c r="S29" s="15"/>
    </row>
    <row r="30" hidden="1">
      <c r="A30" s="67" t="str">
        <f t="shared" si="1"/>
        <v>Fri</v>
      </c>
      <c r="B30" s="69">
        <v>43490.0</v>
      </c>
      <c r="S30" s="15"/>
    </row>
    <row r="31" hidden="1">
      <c r="A31" s="67" t="str">
        <f t="shared" si="1"/>
        <v>Sat</v>
      </c>
      <c r="B31" s="69">
        <v>43491.0</v>
      </c>
      <c r="S31" s="15"/>
    </row>
    <row r="32" hidden="1">
      <c r="A32" s="67" t="str">
        <f t="shared" si="1"/>
        <v>Sun</v>
      </c>
      <c r="B32" s="69">
        <v>43492.0</v>
      </c>
      <c r="S32" s="15"/>
    </row>
    <row r="33" hidden="1">
      <c r="A33" s="67" t="str">
        <f t="shared" si="1"/>
        <v>Mon</v>
      </c>
      <c r="B33" s="69">
        <v>43493.0</v>
      </c>
      <c r="S33" s="15"/>
    </row>
    <row r="34" hidden="1">
      <c r="A34" s="67" t="str">
        <f t="shared" si="1"/>
        <v>Tue</v>
      </c>
      <c r="B34" s="69">
        <v>43494.0</v>
      </c>
      <c r="S34" s="15"/>
    </row>
    <row r="35" hidden="1">
      <c r="A35" s="67" t="str">
        <f t="shared" si="1"/>
        <v>Wed</v>
      </c>
      <c r="B35" s="69">
        <v>43495.0</v>
      </c>
      <c r="S35" s="15"/>
    </row>
    <row r="36" hidden="1">
      <c r="A36" s="67" t="str">
        <f t="shared" si="1"/>
        <v>Thu</v>
      </c>
      <c r="B36" s="69">
        <v>43496.0</v>
      </c>
      <c r="S36" s="15"/>
    </row>
    <row r="37" hidden="1">
      <c r="A37" s="67" t="str">
        <f t="shared" si="1"/>
        <v>Fri</v>
      </c>
      <c r="B37" s="69">
        <v>43497.0</v>
      </c>
      <c r="S37" s="15"/>
    </row>
    <row r="38" hidden="1">
      <c r="A38" s="67" t="str">
        <f t="shared" si="1"/>
        <v>Sat</v>
      </c>
      <c r="B38" s="69">
        <v>43498.0</v>
      </c>
      <c r="S38" s="15"/>
    </row>
    <row r="39" hidden="1">
      <c r="A39" s="67" t="str">
        <f t="shared" si="1"/>
        <v>Sun</v>
      </c>
      <c r="B39" s="69">
        <v>43499.0</v>
      </c>
      <c r="S39" s="15"/>
    </row>
    <row r="40" hidden="1">
      <c r="A40" s="67" t="str">
        <f t="shared" si="1"/>
        <v>Mon</v>
      </c>
      <c r="B40" s="69">
        <v>43500.0</v>
      </c>
      <c r="S40" s="15"/>
    </row>
    <row r="41" hidden="1">
      <c r="A41" s="67" t="str">
        <f t="shared" si="1"/>
        <v>Tue</v>
      </c>
      <c r="B41" s="69">
        <v>43501.0</v>
      </c>
      <c r="S41" s="15"/>
    </row>
    <row r="42" hidden="1">
      <c r="A42" s="67" t="str">
        <f t="shared" si="1"/>
        <v>Wed</v>
      </c>
      <c r="B42" s="69">
        <v>43502.0</v>
      </c>
      <c r="S42" s="15"/>
    </row>
    <row r="43" hidden="1">
      <c r="A43" s="67" t="str">
        <f t="shared" si="1"/>
        <v>Thu</v>
      </c>
      <c r="B43" s="69">
        <v>43503.0</v>
      </c>
      <c r="S43" s="15"/>
    </row>
    <row r="44" hidden="1">
      <c r="A44" s="67" t="str">
        <f t="shared" si="1"/>
        <v>Fri</v>
      </c>
      <c r="B44" s="69">
        <v>43504.0</v>
      </c>
      <c r="S44" s="15"/>
    </row>
    <row r="45" hidden="1">
      <c r="A45" s="67" t="str">
        <f t="shared" si="1"/>
        <v>Sat</v>
      </c>
      <c r="B45" s="69">
        <v>43505.0</v>
      </c>
      <c r="S45" s="15"/>
    </row>
    <row r="46" hidden="1">
      <c r="A46" s="67" t="str">
        <f t="shared" si="1"/>
        <v>Sun</v>
      </c>
      <c r="B46" s="69">
        <v>43506.0</v>
      </c>
      <c r="S46" s="15"/>
    </row>
    <row r="47" hidden="1">
      <c r="A47" s="67" t="str">
        <f t="shared" si="1"/>
        <v>Mon</v>
      </c>
      <c r="B47" s="69">
        <v>43507.0</v>
      </c>
      <c r="S47" s="15"/>
    </row>
    <row r="48" hidden="1">
      <c r="A48" s="67" t="str">
        <f t="shared" si="1"/>
        <v>Tue</v>
      </c>
      <c r="B48" s="69">
        <v>43508.0</v>
      </c>
      <c r="S48" s="15"/>
    </row>
    <row r="49" hidden="1">
      <c r="A49" s="67" t="str">
        <f t="shared" si="1"/>
        <v>Wed</v>
      </c>
      <c r="B49" s="69">
        <v>43509.0</v>
      </c>
      <c r="S49" s="15"/>
    </row>
    <row r="50" hidden="1">
      <c r="A50" s="67" t="str">
        <f t="shared" si="1"/>
        <v>Thu</v>
      </c>
      <c r="B50" s="69">
        <v>43510.0</v>
      </c>
      <c r="S50" s="15"/>
    </row>
    <row r="51" hidden="1">
      <c r="A51" s="67" t="str">
        <f t="shared" si="1"/>
        <v>Fri</v>
      </c>
      <c r="B51" s="69">
        <v>43511.0</v>
      </c>
      <c r="S51" s="15"/>
    </row>
    <row r="52" hidden="1">
      <c r="A52" s="67" t="str">
        <f t="shared" si="1"/>
        <v>Sat</v>
      </c>
      <c r="B52" s="69">
        <v>43512.0</v>
      </c>
      <c r="S52" s="15"/>
    </row>
    <row r="53" hidden="1">
      <c r="A53" s="67" t="str">
        <f t="shared" si="1"/>
        <v>Sun</v>
      </c>
      <c r="B53" s="69">
        <v>43513.0</v>
      </c>
      <c r="S53" s="15"/>
    </row>
    <row r="54" hidden="1">
      <c r="A54" s="67" t="str">
        <f t="shared" si="1"/>
        <v>Mon</v>
      </c>
      <c r="B54" s="69">
        <v>43514.0</v>
      </c>
      <c r="S54" s="15"/>
    </row>
    <row r="55" hidden="1">
      <c r="A55" s="67" t="str">
        <f t="shared" si="1"/>
        <v>Tue</v>
      </c>
      <c r="B55" s="69">
        <v>43515.0</v>
      </c>
      <c r="S55" s="15"/>
    </row>
    <row r="56" hidden="1">
      <c r="A56" s="67" t="str">
        <f t="shared" si="1"/>
        <v>Wed</v>
      </c>
      <c r="B56" s="69">
        <v>43516.0</v>
      </c>
      <c r="S56" s="15"/>
    </row>
    <row r="57" hidden="1">
      <c r="A57" s="67" t="str">
        <f t="shared" si="1"/>
        <v>Thu</v>
      </c>
      <c r="B57" s="69">
        <v>43517.0</v>
      </c>
      <c r="S57" s="15"/>
    </row>
    <row r="58" hidden="1">
      <c r="A58" s="67" t="str">
        <f t="shared" si="1"/>
        <v>Fri</v>
      </c>
      <c r="B58" s="69">
        <v>43518.0</v>
      </c>
      <c r="S58" s="15"/>
    </row>
    <row r="59" hidden="1">
      <c r="A59" s="67" t="str">
        <f t="shared" si="1"/>
        <v>Sat</v>
      </c>
      <c r="B59" s="69">
        <v>43519.0</v>
      </c>
      <c r="S59" s="15"/>
    </row>
    <row r="60" hidden="1">
      <c r="A60" s="67" t="str">
        <f t="shared" si="1"/>
        <v>Sun</v>
      </c>
      <c r="B60" s="69">
        <v>43520.0</v>
      </c>
      <c r="S60" s="15"/>
    </row>
    <row r="61" hidden="1">
      <c r="A61" s="67" t="str">
        <f t="shared" si="1"/>
        <v>Mon</v>
      </c>
      <c r="B61" s="69">
        <v>43521.0</v>
      </c>
      <c r="S61" s="15"/>
    </row>
    <row r="62">
      <c r="A62" s="67" t="str">
        <f t="shared" si="1"/>
        <v>Tue</v>
      </c>
      <c r="B62" s="69">
        <v>43522.0</v>
      </c>
      <c r="S62" s="15"/>
    </row>
    <row r="63">
      <c r="A63" s="67" t="str">
        <f t="shared" si="1"/>
        <v>Wed</v>
      </c>
      <c r="B63" s="69">
        <v>43523.0</v>
      </c>
      <c r="S63" s="15"/>
    </row>
    <row r="64">
      <c r="A64" s="67" t="str">
        <f t="shared" si="1"/>
        <v>Thu</v>
      </c>
      <c r="B64" s="69">
        <v>43524.0</v>
      </c>
      <c r="D64" s="4">
        <v>0.0</v>
      </c>
      <c r="E64" s="4" t="s">
        <v>222</v>
      </c>
      <c r="F64" s="4" t="s">
        <v>2521</v>
      </c>
      <c r="G64" s="4" t="s">
        <v>2521</v>
      </c>
      <c r="I64" s="4" t="s">
        <v>359</v>
      </c>
      <c r="K64" s="4" t="s">
        <v>231</v>
      </c>
      <c r="S64" s="162" t="s">
        <v>2522</v>
      </c>
    </row>
    <row r="65">
      <c r="A65" s="67" t="str">
        <f t="shared" si="1"/>
        <v>Fri</v>
      </c>
      <c r="B65" s="69">
        <v>43525.0</v>
      </c>
      <c r="D65">
        <f>(2556.3/6)*2</f>
        <v>852.1</v>
      </c>
      <c r="E65" s="4" t="s">
        <v>222</v>
      </c>
      <c r="F65" s="4" t="s">
        <v>2521</v>
      </c>
      <c r="I65" s="4" t="s">
        <v>359</v>
      </c>
      <c r="S65" s="15"/>
    </row>
    <row r="66">
      <c r="A66" s="67" t="str">
        <f t="shared" si="1"/>
        <v>Sat</v>
      </c>
      <c r="B66" s="69">
        <v>43526.0</v>
      </c>
      <c r="D66">
        <f t="shared" ref="D66:D69" si="2">2556.3/6</f>
        <v>426.05</v>
      </c>
      <c r="E66" s="4" t="s">
        <v>222</v>
      </c>
      <c r="F66" s="4" t="s">
        <v>2521</v>
      </c>
      <c r="I66" s="4" t="s">
        <v>359</v>
      </c>
      <c r="S66" s="15"/>
    </row>
    <row r="67">
      <c r="A67" s="67" t="str">
        <f t="shared" si="1"/>
        <v>Sun</v>
      </c>
      <c r="B67" s="69">
        <v>43527.0</v>
      </c>
      <c r="D67">
        <f t="shared" si="2"/>
        <v>426.05</v>
      </c>
      <c r="E67" s="4" t="s">
        <v>222</v>
      </c>
      <c r="F67" s="4" t="s">
        <v>2521</v>
      </c>
      <c r="I67" s="4" t="s">
        <v>359</v>
      </c>
      <c r="S67" s="15"/>
    </row>
    <row r="68">
      <c r="A68" s="67" t="str">
        <f t="shared" si="1"/>
        <v>Mon</v>
      </c>
      <c r="B68" s="69">
        <v>43528.0</v>
      </c>
      <c r="D68">
        <f t="shared" si="2"/>
        <v>426.05</v>
      </c>
      <c r="E68" s="4" t="s">
        <v>222</v>
      </c>
      <c r="F68" s="4" t="s">
        <v>2521</v>
      </c>
      <c r="I68" s="4" t="s">
        <v>359</v>
      </c>
      <c r="S68" s="15"/>
    </row>
    <row r="69">
      <c r="A69" s="67" t="str">
        <f t="shared" si="1"/>
        <v>Tue</v>
      </c>
      <c r="B69" s="69">
        <v>43529.0</v>
      </c>
      <c r="D69">
        <f t="shared" si="2"/>
        <v>426.05</v>
      </c>
      <c r="E69" s="4" t="s">
        <v>222</v>
      </c>
      <c r="F69" s="4" t="s">
        <v>2521</v>
      </c>
      <c r="I69" s="4" t="s">
        <v>359</v>
      </c>
      <c r="S69" s="15"/>
    </row>
    <row r="70">
      <c r="A70" s="67" t="str">
        <f t="shared" si="1"/>
        <v>Wed</v>
      </c>
      <c r="B70" s="69">
        <v>43530.0</v>
      </c>
      <c r="F70" s="4" t="s">
        <v>267</v>
      </c>
      <c r="H70" s="4" t="s">
        <v>2521</v>
      </c>
      <c r="S70" s="15"/>
    </row>
    <row r="71">
      <c r="A71" s="67" t="str">
        <f t="shared" si="1"/>
        <v>Thu</v>
      </c>
      <c r="B71" s="69">
        <v>43531.0</v>
      </c>
      <c r="D71" s="4">
        <f t="shared" ref="D71:D74" si="3">(600-22.5)/4</f>
        <v>144.375</v>
      </c>
      <c r="E71" s="4" t="s">
        <v>222</v>
      </c>
      <c r="F71" s="4" t="s">
        <v>2523</v>
      </c>
      <c r="G71" s="4" t="s">
        <v>2523</v>
      </c>
      <c r="I71" s="4" t="s">
        <v>359</v>
      </c>
      <c r="K71" s="4" t="s">
        <v>231</v>
      </c>
      <c r="Q71" s="4" t="s">
        <v>2524</v>
      </c>
      <c r="R71" s="4" t="s">
        <v>2525</v>
      </c>
      <c r="S71" s="162" t="s">
        <v>2526</v>
      </c>
    </row>
    <row r="72">
      <c r="A72" s="67" t="str">
        <f t="shared" si="1"/>
        <v>Fri</v>
      </c>
      <c r="B72" s="69">
        <v>43532.0</v>
      </c>
      <c r="D72" s="4">
        <f t="shared" si="3"/>
        <v>144.375</v>
      </c>
      <c r="E72" s="4" t="s">
        <v>222</v>
      </c>
      <c r="F72" s="4" t="s">
        <v>2523</v>
      </c>
      <c r="I72" s="4" t="s">
        <v>359</v>
      </c>
      <c r="S72" s="15"/>
    </row>
    <row r="73">
      <c r="A73" s="67" t="str">
        <f t="shared" si="1"/>
        <v>Sat</v>
      </c>
      <c r="B73" s="69">
        <v>43533.0</v>
      </c>
      <c r="D73" s="4">
        <f t="shared" si="3"/>
        <v>144.375</v>
      </c>
      <c r="E73" s="4" t="s">
        <v>222</v>
      </c>
      <c r="F73" s="4" t="s">
        <v>2523</v>
      </c>
      <c r="I73" s="4" t="s">
        <v>359</v>
      </c>
      <c r="S73" s="15"/>
    </row>
    <row r="74">
      <c r="A74" s="67" t="str">
        <f t="shared" si="1"/>
        <v>Sun</v>
      </c>
      <c r="B74" s="69">
        <v>43534.0</v>
      </c>
      <c r="D74" s="4">
        <f t="shared" si="3"/>
        <v>144.375</v>
      </c>
      <c r="E74" s="4" t="s">
        <v>222</v>
      </c>
      <c r="F74" s="4" t="s">
        <v>2523</v>
      </c>
      <c r="I74" s="4" t="s">
        <v>359</v>
      </c>
      <c r="S74" s="15"/>
    </row>
    <row r="75">
      <c r="A75" s="67" t="str">
        <f t="shared" si="1"/>
        <v>Mon</v>
      </c>
      <c r="B75" s="69">
        <v>43535.0</v>
      </c>
      <c r="F75" s="4" t="s">
        <v>267</v>
      </c>
      <c r="H75" s="4" t="s">
        <v>2523</v>
      </c>
      <c r="S75" s="15"/>
    </row>
    <row r="76">
      <c r="A76" s="67" t="str">
        <f t="shared" si="1"/>
        <v>Tue</v>
      </c>
      <c r="B76" s="69">
        <v>43536.0</v>
      </c>
      <c r="S76" s="15"/>
    </row>
    <row r="77">
      <c r="A77" s="67" t="str">
        <f t="shared" si="1"/>
        <v>Wed</v>
      </c>
      <c r="B77" s="69">
        <v>43537.0</v>
      </c>
      <c r="S77" s="15"/>
    </row>
    <row r="78">
      <c r="A78" s="67" t="str">
        <f t="shared" si="1"/>
        <v>Thu</v>
      </c>
      <c r="B78" s="69">
        <v>43538.0</v>
      </c>
      <c r="F78" s="4" t="s">
        <v>267</v>
      </c>
      <c r="S78" s="15"/>
    </row>
    <row r="79">
      <c r="A79" s="67" t="str">
        <f t="shared" si="1"/>
        <v>Fri</v>
      </c>
      <c r="B79" s="69">
        <v>43539.0</v>
      </c>
      <c r="D79">
        <f t="shared" ref="D79:D83" si="4">723/5</f>
        <v>144.6</v>
      </c>
      <c r="E79" s="4" t="s">
        <v>222</v>
      </c>
      <c r="F79" s="4" t="s">
        <v>2527</v>
      </c>
      <c r="G79" s="4" t="s">
        <v>2527</v>
      </c>
      <c r="I79" s="4" t="s">
        <v>359</v>
      </c>
      <c r="K79" s="4" t="s">
        <v>231</v>
      </c>
      <c r="M79" s="250"/>
      <c r="N79" s="250"/>
      <c r="R79" s="4" t="s">
        <v>2528</v>
      </c>
      <c r="S79" s="250" t="s">
        <v>2529</v>
      </c>
    </row>
    <row r="80">
      <c r="A80" s="67" t="str">
        <f t="shared" si="1"/>
        <v>Sat</v>
      </c>
      <c r="B80" s="69">
        <v>43540.0</v>
      </c>
      <c r="D80">
        <f t="shared" si="4"/>
        <v>144.6</v>
      </c>
      <c r="E80" s="4" t="s">
        <v>222</v>
      </c>
      <c r="F80" s="4" t="s">
        <v>2527</v>
      </c>
      <c r="I80" s="4" t="s">
        <v>359</v>
      </c>
      <c r="S80" s="15"/>
    </row>
    <row r="81">
      <c r="A81" s="67" t="str">
        <f t="shared" si="1"/>
        <v>Sun</v>
      </c>
      <c r="B81" s="69">
        <v>43541.0</v>
      </c>
      <c r="D81">
        <f t="shared" si="4"/>
        <v>144.6</v>
      </c>
      <c r="E81" s="4" t="s">
        <v>222</v>
      </c>
      <c r="F81" s="4" t="s">
        <v>2527</v>
      </c>
      <c r="I81" s="4" t="s">
        <v>359</v>
      </c>
      <c r="S81" s="15"/>
    </row>
    <row r="82">
      <c r="A82" s="67" t="str">
        <f t="shared" si="1"/>
        <v>Mon</v>
      </c>
      <c r="B82" s="69">
        <v>43542.0</v>
      </c>
      <c r="D82">
        <f t="shared" si="4"/>
        <v>144.6</v>
      </c>
      <c r="E82" s="4" t="s">
        <v>222</v>
      </c>
      <c r="F82" s="4" t="s">
        <v>2527</v>
      </c>
      <c r="I82" s="4" t="s">
        <v>359</v>
      </c>
      <c r="S82" s="15"/>
    </row>
    <row r="83">
      <c r="A83" s="67" t="str">
        <f t="shared" si="1"/>
        <v>Tue</v>
      </c>
      <c r="B83" s="69">
        <v>43543.0</v>
      </c>
      <c r="D83">
        <f t="shared" si="4"/>
        <v>144.6</v>
      </c>
      <c r="E83" s="4" t="s">
        <v>222</v>
      </c>
      <c r="F83" s="4" t="s">
        <v>2527</v>
      </c>
      <c r="I83" s="4" t="s">
        <v>359</v>
      </c>
      <c r="S83" s="15"/>
    </row>
    <row r="84">
      <c r="A84" s="67" t="str">
        <f t="shared" si="1"/>
        <v>Wed</v>
      </c>
      <c r="B84" s="69">
        <v>43544.0</v>
      </c>
      <c r="F84" s="4" t="s">
        <v>267</v>
      </c>
      <c r="H84" s="4" t="s">
        <v>2527</v>
      </c>
      <c r="S84" s="15"/>
    </row>
    <row r="85">
      <c r="A85" s="67" t="str">
        <f t="shared" si="1"/>
        <v>Thu</v>
      </c>
      <c r="B85" s="69">
        <v>43545.0</v>
      </c>
      <c r="F85" s="4" t="s">
        <v>267</v>
      </c>
      <c r="S85" s="15"/>
    </row>
    <row r="86">
      <c r="A86" s="67" t="str">
        <f t="shared" si="1"/>
        <v>Fri</v>
      </c>
      <c r="B86" s="69">
        <v>43546.0</v>
      </c>
      <c r="D86" s="4">
        <v>150.0</v>
      </c>
      <c r="E86" s="4" t="s">
        <v>337</v>
      </c>
      <c r="F86" s="4" t="s">
        <v>2530</v>
      </c>
      <c r="G86" s="4" t="s">
        <v>2530</v>
      </c>
      <c r="I86" s="4" t="s">
        <v>359</v>
      </c>
      <c r="K86" s="4" t="s">
        <v>339</v>
      </c>
      <c r="Q86" s="4" t="s">
        <v>2531</v>
      </c>
      <c r="S86" s="162">
        <v>9.2715974E10</v>
      </c>
    </row>
    <row r="87">
      <c r="A87" s="67" t="str">
        <f t="shared" si="1"/>
        <v>Sat</v>
      </c>
      <c r="B87" s="69">
        <v>43547.0</v>
      </c>
      <c r="D87" s="4">
        <v>150.0</v>
      </c>
      <c r="E87" s="4" t="s">
        <v>337</v>
      </c>
      <c r="F87" s="4" t="s">
        <v>2530</v>
      </c>
      <c r="I87" s="4" t="s">
        <v>359</v>
      </c>
      <c r="S87" s="15"/>
    </row>
    <row r="88">
      <c r="A88" s="67" t="str">
        <f t="shared" si="1"/>
        <v>Sun</v>
      </c>
      <c r="B88" s="69">
        <v>43548.0</v>
      </c>
      <c r="D88" s="4">
        <v>150.0</v>
      </c>
      <c r="E88" s="4" t="s">
        <v>337</v>
      </c>
      <c r="F88" s="4" t="s">
        <v>2530</v>
      </c>
      <c r="I88" s="4" t="s">
        <v>359</v>
      </c>
      <c r="S88" s="15"/>
    </row>
    <row r="89">
      <c r="A89" s="67" t="str">
        <f t="shared" si="1"/>
        <v>Mon</v>
      </c>
      <c r="B89" s="69">
        <v>43549.0</v>
      </c>
      <c r="D89" s="4">
        <v>150.0</v>
      </c>
      <c r="E89" s="4" t="s">
        <v>337</v>
      </c>
      <c r="F89" s="4" t="s">
        <v>2530</v>
      </c>
      <c r="I89" s="4" t="s">
        <v>359</v>
      </c>
      <c r="S89" s="15"/>
    </row>
    <row r="90">
      <c r="A90" s="67" t="str">
        <f t="shared" si="1"/>
        <v>Tue</v>
      </c>
      <c r="B90" s="69">
        <v>43550.0</v>
      </c>
      <c r="D90" s="4">
        <v>150.0</v>
      </c>
      <c r="E90" s="4" t="s">
        <v>337</v>
      </c>
      <c r="F90" s="4" t="s">
        <v>2530</v>
      </c>
      <c r="I90" s="4" t="s">
        <v>359</v>
      </c>
      <c r="S90" s="15"/>
    </row>
    <row r="91">
      <c r="A91" s="67" t="str">
        <f t="shared" si="1"/>
        <v>Wed</v>
      </c>
      <c r="B91" s="69">
        <v>43551.0</v>
      </c>
      <c r="F91" s="4" t="s">
        <v>267</v>
      </c>
      <c r="H91" s="4" t="s">
        <v>2530</v>
      </c>
      <c r="S91" s="15"/>
    </row>
    <row r="92">
      <c r="A92" s="67" t="str">
        <f t="shared" si="1"/>
        <v>Thu</v>
      </c>
      <c r="B92" s="69">
        <v>43552.0</v>
      </c>
      <c r="F92" s="4" t="s">
        <v>267</v>
      </c>
      <c r="S92" s="15"/>
    </row>
    <row r="93">
      <c r="A93" s="67" t="str">
        <f t="shared" si="1"/>
        <v>Fri</v>
      </c>
      <c r="B93" s="69">
        <v>43553.0</v>
      </c>
      <c r="D93" s="4">
        <f>285/2</f>
        <v>142.5</v>
      </c>
      <c r="E93" s="4" t="s">
        <v>222</v>
      </c>
      <c r="F93" s="4" t="s">
        <v>2532</v>
      </c>
      <c r="G93" s="4" t="s">
        <v>2532</v>
      </c>
      <c r="I93" s="4" t="s">
        <v>224</v>
      </c>
      <c r="J93" s="4" t="s">
        <v>2533</v>
      </c>
      <c r="K93" s="4" t="s">
        <v>231</v>
      </c>
      <c r="R93" s="4" t="s">
        <v>2534</v>
      </c>
      <c r="S93" s="162" t="s">
        <v>2535</v>
      </c>
    </row>
    <row r="94">
      <c r="A94" s="67" t="str">
        <f t="shared" si="1"/>
        <v>Sat</v>
      </c>
      <c r="B94" s="69">
        <v>43554.0</v>
      </c>
      <c r="D94" s="4">
        <f>D93</f>
        <v>142.5</v>
      </c>
      <c r="E94" s="4" t="s">
        <v>222</v>
      </c>
      <c r="F94" s="4" t="s">
        <v>2532</v>
      </c>
      <c r="I94" s="4" t="s">
        <v>224</v>
      </c>
      <c r="S94" s="15"/>
    </row>
    <row r="95">
      <c r="A95" s="67" t="str">
        <f t="shared" si="1"/>
        <v>Sun</v>
      </c>
      <c r="B95" s="69">
        <v>43555.0</v>
      </c>
      <c r="F95" s="4" t="s">
        <v>267</v>
      </c>
      <c r="H95" s="4" t="s">
        <v>2532</v>
      </c>
      <c r="S95" s="15"/>
    </row>
    <row r="96">
      <c r="A96" s="67" t="str">
        <f t="shared" si="1"/>
        <v>Mon</v>
      </c>
      <c r="B96" s="69">
        <v>43556.0</v>
      </c>
      <c r="S96" s="15"/>
    </row>
    <row r="97">
      <c r="A97" s="67" t="str">
        <f t="shared" si="1"/>
        <v>Tue</v>
      </c>
      <c r="B97" s="69">
        <v>43557.0</v>
      </c>
      <c r="F97" s="4" t="s">
        <v>267</v>
      </c>
      <c r="S97" s="15"/>
    </row>
    <row r="98">
      <c r="A98" s="67" t="str">
        <f t="shared" si="1"/>
        <v>Wed</v>
      </c>
      <c r="B98" s="69">
        <v>43558.0</v>
      </c>
      <c r="D98" s="4">
        <v>144.3</v>
      </c>
      <c r="E98" s="4" t="s">
        <v>222</v>
      </c>
      <c r="F98" s="4" t="s">
        <v>2536</v>
      </c>
      <c r="G98" s="4" t="s">
        <v>2536</v>
      </c>
      <c r="I98" s="4" t="s">
        <v>224</v>
      </c>
      <c r="K98" s="4" t="s">
        <v>231</v>
      </c>
      <c r="Q98" s="4" t="s">
        <v>2537</v>
      </c>
      <c r="R98" s="4" t="s">
        <v>2538</v>
      </c>
      <c r="S98" s="162" t="s">
        <v>2539</v>
      </c>
    </row>
    <row r="99">
      <c r="A99" s="67" t="str">
        <f t="shared" si="1"/>
        <v>Thu</v>
      </c>
      <c r="B99" s="69">
        <v>43559.0</v>
      </c>
      <c r="D99" s="4">
        <v>144.3</v>
      </c>
      <c r="E99" s="4" t="s">
        <v>222</v>
      </c>
      <c r="F99" s="4" t="s">
        <v>2536</v>
      </c>
      <c r="I99" s="4" t="s">
        <v>224</v>
      </c>
      <c r="S99" s="15"/>
    </row>
    <row r="100">
      <c r="A100" s="67" t="str">
        <f t="shared" si="1"/>
        <v>Fri</v>
      </c>
      <c r="B100" s="69">
        <v>43560.0</v>
      </c>
      <c r="D100" s="4">
        <v>144.3</v>
      </c>
      <c r="E100" s="4" t="s">
        <v>222</v>
      </c>
      <c r="F100" s="4" t="s">
        <v>2536</v>
      </c>
      <c r="I100" s="4" t="s">
        <v>224</v>
      </c>
      <c r="S100" s="15"/>
    </row>
    <row r="101">
      <c r="A101" s="67" t="str">
        <f t="shared" si="1"/>
        <v>Sat</v>
      </c>
      <c r="B101" s="69">
        <v>43561.0</v>
      </c>
      <c r="D101" s="4">
        <v>144.3</v>
      </c>
      <c r="E101" s="4" t="s">
        <v>222</v>
      </c>
      <c r="F101" s="4" t="s">
        <v>2536</v>
      </c>
      <c r="I101" s="4" t="s">
        <v>224</v>
      </c>
      <c r="S101" s="15"/>
    </row>
    <row r="102">
      <c r="A102" s="67" t="str">
        <f t="shared" si="1"/>
        <v>Sun</v>
      </c>
      <c r="B102" s="69">
        <v>43562.0</v>
      </c>
      <c r="D102" s="4">
        <v>144.3</v>
      </c>
      <c r="E102" s="4" t="s">
        <v>222</v>
      </c>
      <c r="F102" s="4" t="s">
        <v>2536</v>
      </c>
      <c r="I102" s="4" t="s">
        <v>224</v>
      </c>
      <c r="S102" s="15"/>
    </row>
    <row r="103">
      <c r="A103" s="67" t="str">
        <f t="shared" si="1"/>
        <v>Mon</v>
      </c>
      <c r="B103" s="69">
        <v>43563.0</v>
      </c>
      <c r="F103" s="4" t="s">
        <v>267</v>
      </c>
      <c r="H103" s="4" t="s">
        <v>2536</v>
      </c>
      <c r="S103" s="15"/>
    </row>
    <row r="104">
      <c r="A104" s="67" t="str">
        <f t="shared" si="1"/>
        <v>Tue</v>
      </c>
      <c r="B104" s="69">
        <v>43564.0</v>
      </c>
      <c r="S104" s="15"/>
    </row>
    <row r="105">
      <c r="A105" s="67" t="str">
        <f t="shared" si="1"/>
        <v>Wed</v>
      </c>
      <c r="B105" s="69">
        <v>43565.0</v>
      </c>
      <c r="S105" s="15"/>
    </row>
    <row r="106">
      <c r="A106" s="67" t="str">
        <f t="shared" si="1"/>
        <v>Thu</v>
      </c>
      <c r="B106" s="69">
        <v>43566.0</v>
      </c>
      <c r="S106" s="15"/>
    </row>
    <row r="107">
      <c r="A107" s="67" t="str">
        <f t="shared" si="1"/>
        <v>Fri</v>
      </c>
      <c r="B107" s="69">
        <v>43567.0</v>
      </c>
      <c r="S107" s="15"/>
    </row>
    <row r="108">
      <c r="A108" s="67" t="str">
        <f t="shared" si="1"/>
        <v>Sat</v>
      </c>
      <c r="B108" s="69">
        <v>43568.0</v>
      </c>
      <c r="S108" s="15"/>
    </row>
    <row r="109">
      <c r="A109" s="67" t="str">
        <f t="shared" si="1"/>
        <v>Sun</v>
      </c>
      <c r="B109" s="69">
        <v>43569.0</v>
      </c>
      <c r="S109" s="15"/>
    </row>
    <row r="110">
      <c r="A110" s="67" t="str">
        <f t="shared" si="1"/>
        <v>Mon</v>
      </c>
      <c r="B110" s="69">
        <v>43570.0</v>
      </c>
      <c r="F110" s="4" t="s">
        <v>267</v>
      </c>
      <c r="S110" s="15"/>
    </row>
    <row r="111">
      <c r="A111" s="67" t="str">
        <f t="shared" si="1"/>
        <v>Tue</v>
      </c>
      <c r="B111" s="69">
        <v>43571.0</v>
      </c>
      <c r="D111">
        <f t="shared" ref="D111:D114" si="5">673/4</f>
        <v>168.25</v>
      </c>
      <c r="E111" s="4" t="s">
        <v>222</v>
      </c>
      <c r="F111" s="4" t="s">
        <v>2540</v>
      </c>
      <c r="G111" s="4" t="s">
        <v>2540</v>
      </c>
      <c r="I111" s="4" t="s">
        <v>359</v>
      </c>
      <c r="K111" s="4" t="s">
        <v>231</v>
      </c>
      <c r="R111" s="4" t="s">
        <v>2541</v>
      </c>
      <c r="S111" s="15"/>
    </row>
    <row r="112">
      <c r="A112" s="67" t="str">
        <f t="shared" si="1"/>
        <v>Wed</v>
      </c>
      <c r="B112" s="69">
        <v>43572.0</v>
      </c>
      <c r="D112">
        <f t="shared" si="5"/>
        <v>168.25</v>
      </c>
      <c r="E112" s="4" t="s">
        <v>222</v>
      </c>
      <c r="F112" s="4" t="s">
        <v>2540</v>
      </c>
      <c r="I112" s="4" t="s">
        <v>359</v>
      </c>
      <c r="S112" s="15"/>
    </row>
    <row r="113">
      <c r="A113" s="67" t="str">
        <f t="shared" si="1"/>
        <v>Thu</v>
      </c>
      <c r="B113" s="69">
        <v>43573.0</v>
      </c>
      <c r="D113">
        <f t="shared" si="5"/>
        <v>168.25</v>
      </c>
      <c r="E113" s="4" t="s">
        <v>222</v>
      </c>
      <c r="F113" s="4" t="s">
        <v>2540</v>
      </c>
      <c r="I113" s="4" t="s">
        <v>359</v>
      </c>
      <c r="S113" s="15"/>
    </row>
    <row r="114">
      <c r="A114" s="67" t="str">
        <f t="shared" si="1"/>
        <v>Fri</v>
      </c>
      <c r="B114" s="69">
        <v>43574.0</v>
      </c>
      <c r="D114">
        <f t="shared" si="5"/>
        <v>168.25</v>
      </c>
      <c r="E114" s="4" t="s">
        <v>222</v>
      </c>
      <c r="F114" s="4" t="s">
        <v>2540</v>
      </c>
      <c r="I114" s="4" t="s">
        <v>359</v>
      </c>
      <c r="S114" s="15"/>
    </row>
    <row r="115">
      <c r="A115" s="67" t="str">
        <f t="shared" si="1"/>
        <v>Sat</v>
      </c>
      <c r="B115" s="69">
        <v>43575.0</v>
      </c>
      <c r="F115" s="4" t="s">
        <v>267</v>
      </c>
      <c r="H115" s="4" t="s">
        <v>2540</v>
      </c>
      <c r="S115" s="15"/>
    </row>
    <row r="116">
      <c r="A116" s="67" t="str">
        <f t="shared" si="1"/>
        <v>Sun</v>
      </c>
      <c r="B116" s="69">
        <v>43576.0</v>
      </c>
      <c r="S116" s="15"/>
    </row>
    <row r="117">
      <c r="A117" s="67" t="str">
        <f t="shared" si="1"/>
        <v>Mon</v>
      </c>
      <c r="B117" s="69">
        <v>43577.0</v>
      </c>
      <c r="S117" s="15"/>
    </row>
    <row r="118">
      <c r="A118" s="67" t="str">
        <f t="shared" si="1"/>
        <v>Tue</v>
      </c>
      <c r="B118" s="69">
        <v>43578.0</v>
      </c>
      <c r="S118" s="15"/>
    </row>
    <row r="119">
      <c r="A119" s="67" t="str">
        <f t="shared" si="1"/>
        <v>Wed</v>
      </c>
      <c r="B119" s="69">
        <v>43579.0</v>
      </c>
      <c r="S119" s="15"/>
    </row>
    <row r="120">
      <c r="A120" s="67" t="str">
        <f t="shared" si="1"/>
        <v>Thu</v>
      </c>
      <c r="B120" s="69">
        <v>43580.0</v>
      </c>
      <c r="S120" s="15"/>
    </row>
    <row r="121">
      <c r="A121" s="67" t="str">
        <f t="shared" si="1"/>
        <v>Fri</v>
      </c>
      <c r="B121" s="69">
        <v>43581.0</v>
      </c>
      <c r="S121" s="15"/>
    </row>
    <row r="122">
      <c r="A122" s="67" t="str">
        <f t="shared" si="1"/>
        <v>Sat</v>
      </c>
      <c r="B122" s="69">
        <v>43582.0</v>
      </c>
      <c r="S122" s="15"/>
    </row>
    <row r="123">
      <c r="A123" s="67" t="str">
        <f t="shared" si="1"/>
        <v>Sun</v>
      </c>
      <c r="B123" s="69">
        <v>43583.0</v>
      </c>
      <c r="S123" s="15"/>
    </row>
    <row r="124">
      <c r="A124" s="67" t="str">
        <f t="shared" si="1"/>
        <v>Mon</v>
      </c>
      <c r="B124" s="69">
        <v>43584.0</v>
      </c>
      <c r="S124" s="15"/>
    </row>
    <row r="125">
      <c r="A125" s="67" t="str">
        <f t="shared" si="1"/>
        <v>Tue</v>
      </c>
      <c r="B125" s="69">
        <v>43585.0</v>
      </c>
      <c r="S125" s="15"/>
    </row>
    <row r="126">
      <c r="A126" s="67" t="str">
        <f t="shared" si="1"/>
        <v>Wed</v>
      </c>
      <c r="B126" s="69">
        <v>43586.0</v>
      </c>
      <c r="S126" s="15"/>
    </row>
    <row r="127">
      <c r="A127" s="67" t="str">
        <f t="shared" si="1"/>
        <v>Thu</v>
      </c>
      <c r="B127" s="69">
        <v>43587.0</v>
      </c>
      <c r="S127" s="15"/>
    </row>
    <row r="128">
      <c r="A128" s="67" t="str">
        <f t="shared" si="1"/>
        <v>Fri</v>
      </c>
      <c r="B128" s="69">
        <v>43588.0</v>
      </c>
      <c r="S128" s="15"/>
    </row>
    <row r="129">
      <c r="A129" s="67" t="str">
        <f t="shared" si="1"/>
        <v>Sat</v>
      </c>
      <c r="B129" s="69">
        <v>43589.0</v>
      </c>
      <c r="S129" s="15"/>
    </row>
    <row r="130">
      <c r="A130" s="67" t="str">
        <f t="shared" si="1"/>
        <v>Sun</v>
      </c>
      <c r="B130" s="69">
        <v>43590.0</v>
      </c>
      <c r="S130" s="15"/>
    </row>
    <row r="131">
      <c r="A131" s="67" t="str">
        <f t="shared" si="1"/>
        <v>Mon</v>
      </c>
      <c r="B131" s="69">
        <v>43591.0</v>
      </c>
      <c r="S131" s="15"/>
    </row>
    <row r="132">
      <c r="A132" s="67" t="str">
        <f t="shared" si="1"/>
        <v>Tue</v>
      </c>
      <c r="B132" s="69">
        <v>43592.0</v>
      </c>
      <c r="S132" s="15"/>
    </row>
    <row r="133">
      <c r="A133" s="67" t="str">
        <f t="shared" si="1"/>
        <v>Wed</v>
      </c>
      <c r="B133" s="69">
        <v>43593.0</v>
      </c>
      <c r="S133" s="15"/>
    </row>
    <row r="134">
      <c r="A134" s="67" t="str">
        <f t="shared" si="1"/>
        <v>Thu</v>
      </c>
      <c r="B134" s="69">
        <v>43594.0</v>
      </c>
      <c r="F134" s="4" t="s">
        <v>267</v>
      </c>
      <c r="S134" s="15"/>
    </row>
    <row r="135">
      <c r="A135" s="67" t="str">
        <f t="shared" si="1"/>
        <v>Fri</v>
      </c>
      <c r="B135" s="69">
        <v>43595.0</v>
      </c>
      <c r="D135" s="4">
        <v>144.9</v>
      </c>
      <c r="E135" s="4" t="s">
        <v>222</v>
      </c>
      <c r="F135" s="4" t="s">
        <v>2542</v>
      </c>
      <c r="G135" s="4" t="s">
        <v>2542</v>
      </c>
      <c r="I135" s="4" t="s">
        <v>224</v>
      </c>
      <c r="J135" s="4" t="s">
        <v>2543</v>
      </c>
      <c r="K135" s="4" t="s">
        <v>231</v>
      </c>
      <c r="L135" s="4" t="s">
        <v>2544</v>
      </c>
      <c r="Q135" s="4" t="s">
        <v>2545</v>
      </c>
      <c r="R135" s="4" t="s">
        <v>2546</v>
      </c>
      <c r="S135" s="15"/>
    </row>
    <row r="136">
      <c r="A136" s="67" t="str">
        <f t="shared" si="1"/>
        <v>Sat</v>
      </c>
      <c r="B136" s="69">
        <v>43596.0</v>
      </c>
      <c r="D136" s="4">
        <v>144.9</v>
      </c>
      <c r="E136" s="4" t="s">
        <v>222</v>
      </c>
      <c r="F136" s="4" t="s">
        <v>2542</v>
      </c>
      <c r="I136" s="4" t="s">
        <v>224</v>
      </c>
      <c r="S136" s="15"/>
    </row>
    <row r="137">
      <c r="A137" s="67" t="str">
        <f t="shared" si="1"/>
        <v>Sun</v>
      </c>
      <c r="B137" s="69">
        <v>43597.0</v>
      </c>
      <c r="D137" s="4">
        <v>144.9</v>
      </c>
      <c r="E137" s="4" t="s">
        <v>222</v>
      </c>
      <c r="F137" s="4" t="s">
        <v>2542</v>
      </c>
      <c r="I137" s="4" t="s">
        <v>224</v>
      </c>
      <c r="S137" s="15"/>
    </row>
    <row r="138">
      <c r="A138" s="67" t="str">
        <f t="shared" si="1"/>
        <v>Mon</v>
      </c>
      <c r="B138" s="69">
        <v>43598.0</v>
      </c>
      <c r="D138" s="4">
        <v>144.9</v>
      </c>
      <c r="E138" s="4" t="s">
        <v>222</v>
      </c>
      <c r="F138" s="4" t="s">
        <v>2542</v>
      </c>
      <c r="I138" s="4" t="s">
        <v>224</v>
      </c>
      <c r="S138" s="15"/>
    </row>
    <row r="139">
      <c r="A139" s="67" t="str">
        <f t="shared" si="1"/>
        <v>Tue</v>
      </c>
      <c r="B139" s="69">
        <v>43599.0</v>
      </c>
      <c r="D139" s="4">
        <v>144.9</v>
      </c>
      <c r="E139" s="4" t="s">
        <v>222</v>
      </c>
      <c r="F139" s="4" t="s">
        <v>2542</v>
      </c>
      <c r="I139" s="4" t="s">
        <v>224</v>
      </c>
      <c r="S139" s="15"/>
    </row>
    <row r="140">
      <c r="A140" s="67" t="str">
        <f t="shared" si="1"/>
        <v>Wed</v>
      </c>
      <c r="B140" s="69">
        <v>43600.0</v>
      </c>
      <c r="D140" s="4">
        <v>144.9</v>
      </c>
      <c r="E140" s="4" t="s">
        <v>222</v>
      </c>
      <c r="F140" s="4" t="s">
        <v>2542</v>
      </c>
      <c r="I140" s="4" t="s">
        <v>224</v>
      </c>
      <c r="S140" s="15"/>
    </row>
    <row r="141">
      <c r="A141" s="67" t="str">
        <f t="shared" si="1"/>
        <v>Thu</v>
      </c>
      <c r="B141" s="69">
        <v>43601.0</v>
      </c>
      <c r="D141" s="4">
        <v>144.9</v>
      </c>
      <c r="E141" s="4" t="s">
        <v>222</v>
      </c>
      <c r="F141" s="4" t="s">
        <v>2542</v>
      </c>
      <c r="I141" s="4" t="s">
        <v>224</v>
      </c>
      <c r="S141" s="15"/>
    </row>
    <row r="142">
      <c r="A142" s="67" t="str">
        <f t="shared" si="1"/>
        <v>Fri</v>
      </c>
      <c r="B142" s="69">
        <v>43602.0</v>
      </c>
      <c r="D142" s="4">
        <v>144.9</v>
      </c>
      <c r="E142" s="4" t="s">
        <v>222</v>
      </c>
      <c r="F142" s="4" t="s">
        <v>2542</v>
      </c>
      <c r="I142" s="4" t="s">
        <v>224</v>
      </c>
      <c r="S142" s="15"/>
    </row>
    <row r="143">
      <c r="A143" s="67" t="str">
        <f t="shared" si="1"/>
        <v>Sat</v>
      </c>
      <c r="B143" s="69">
        <v>43603.0</v>
      </c>
      <c r="D143" s="4">
        <v>144.9</v>
      </c>
      <c r="E143" s="4" t="s">
        <v>222</v>
      </c>
      <c r="F143" s="4" t="s">
        <v>2542</v>
      </c>
      <c r="I143" s="4" t="s">
        <v>224</v>
      </c>
      <c r="S143" s="15"/>
    </row>
    <row r="144">
      <c r="A144" s="67" t="str">
        <f t="shared" si="1"/>
        <v>Sun</v>
      </c>
      <c r="B144" s="69">
        <v>43604.0</v>
      </c>
      <c r="D144" s="4">
        <v>144.9</v>
      </c>
      <c r="E144" s="4" t="s">
        <v>222</v>
      </c>
      <c r="F144" s="4" t="s">
        <v>2542</v>
      </c>
      <c r="I144" s="4" t="s">
        <v>224</v>
      </c>
      <c r="S144" s="15"/>
    </row>
    <row r="145">
      <c r="A145" s="67" t="str">
        <f t="shared" si="1"/>
        <v>Mon</v>
      </c>
      <c r="B145" s="69">
        <v>43605.0</v>
      </c>
      <c r="F145" s="4" t="s">
        <v>267</v>
      </c>
      <c r="H145" s="4" t="s">
        <v>2542</v>
      </c>
      <c r="S145" s="15"/>
    </row>
    <row r="146">
      <c r="A146" s="67" t="str">
        <f t="shared" si="1"/>
        <v>Tue</v>
      </c>
      <c r="B146" s="69">
        <v>43606.0</v>
      </c>
      <c r="S146" s="15"/>
    </row>
    <row r="147">
      <c r="A147" s="67" t="str">
        <f t="shared" si="1"/>
        <v>Wed</v>
      </c>
      <c r="B147" s="69">
        <v>43607.0</v>
      </c>
      <c r="S147" s="15"/>
    </row>
    <row r="148">
      <c r="A148" s="67" t="str">
        <f t="shared" si="1"/>
        <v>Thu</v>
      </c>
      <c r="B148" s="69">
        <v>43608.0</v>
      </c>
      <c r="F148" s="4" t="s">
        <v>267</v>
      </c>
      <c r="S148" s="15"/>
    </row>
    <row r="149">
      <c r="A149" s="67" t="str">
        <f t="shared" si="1"/>
        <v>Fri</v>
      </c>
      <c r="B149" s="69">
        <v>43609.0</v>
      </c>
      <c r="D149">
        <f>479/2</f>
        <v>239.5</v>
      </c>
      <c r="E149" s="4" t="s">
        <v>222</v>
      </c>
      <c r="F149" s="4" t="s">
        <v>2547</v>
      </c>
      <c r="G149" s="4" t="s">
        <v>2547</v>
      </c>
      <c r="I149" s="4" t="s">
        <v>359</v>
      </c>
      <c r="K149" s="4" t="s">
        <v>231</v>
      </c>
      <c r="S149" s="15"/>
    </row>
    <row r="150">
      <c r="A150" s="67" t="str">
        <f t="shared" si="1"/>
        <v>Sat</v>
      </c>
      <c r="B150" s="69">
        <v>43610.0</v>
      </c>
      <c r="D150">
        <f>D149</f>
        <v>239.5</v>
      </c>
      <c r="E150" s="4" t="s">
        <v>222</v>
      </c>
      <c r="F150" s="4" t="s">
        <v>2547</v>
      </c>
      <c r="I150" s="4" t="s">
        <v>359</v>
      </c>
      <c r="S150" s="15"/>
    </row>
    <row r="151">
      <c r="A151" s="67" t="str">
        <f t="shared" si="1"/>
        <v>Sun</v>
      </c>
      <c r="B151" s="69">
        <v>43611.0</v>
      </c>
      <c r="F151" s="4" t="s">
        <v>267</v>
      </c>
      <c r="H151" s="4" t="s">
        <v>2547</v>
      </c>
      <c r="S151" s="15"/>
    </row>
    <row r="152">
      <c r="A152" s="67" t="str">
        <f t="shared" si="1"/>
        <v>Mon</v>
      </c>
      <c r="B152" s="69">
        <v>43612.0</v>
      </c>
      <c r="S152" s="15"/>
    </row>
    <row r="153">
      <c r="A153" s="67" t="str">
        <f t="shared" si="1"/>
        <v>Tue</v>
      </c>
      <c r="B153" s="69">
        <v>43613.0</v>
      </c>
      <c r="S153" s="15"/>
    </row>
    <row r="154">
      <c r="A154" s="67" t="str">
        <f t="shared" si="1"/>
        <v>Wed</v>
      </c>
      <c r="B154" s="69">
        <v>43614.0</v>
      </c>
      <c r="S154" s="15"/>
    </row>
    <row r="155">
      <c r="A155" s="67" t="str">
        <f t="shared" si="1"/>
        <v>Thu</v>
      </c>
      <c r="B155" s="69">
        <v>43615.0</v>
      </c>
      <c r="F155" s="4" t="s">
        <v>267</v>
      </c>
      <c r="S155" s="15"/>
    </row>
    <row r="156">
      <c r="A156" s="67" t="str">
        <f t="shared" si="1"/>
        <v>Fri</v>
      </c>
      <c r="B156" s="69">
        <v>43616.0</v>
      </c>
      <c r="D156" s="4">
        <v>142.5</v>
      </c>
      <c r="E156" s="4" t="s">
        <v>222</v>
      </c>
      <c r="F156" s="4" t="s">
        <v>2548</v>
      </c>
      <c r="I156" s="4" t="s">
        <v>224</v>
      </c>
      <c r="K156" s="4" t="s">
        <v>231</v>
      </c>
      <c r="R156" s="4" t="s">
        <v>2549</v>
      </c>
      <c r="S156" s="15"/>
    </row>
    <row r="157">
      <c r="A157" s="67" t="str">
        <f t="shared" si="1"/>
        <v>Sat</v>
      </c>
      <c r="B157" s="69">
        <v>43617.0</v>
      </c>
      <c r="D157" s="4">
        <v>142.5</v>
      </c>
      <c r="E157" s="4" t="s">
        <v>222</v>
      </c>
      <c r="F157" s="4" t="s">
        <v>2548</v>
      </c>
      <c r="I157" s="4" t="s">
        <v>224</v>
      </c>
      <c r="S157" s="15"/>
    </row>
    <row r="158">
      <c r="A158" s="67" t="str">
        <f t="shared" si="1"/>
        <v>Sun</v>
      </c>
      <c r="B158" s="69">
        <v>43618.0</v>
      </c>
      <c r="F158" s="4" t="s">
        <v>267</v>
      </c>
      <c r="G158" s="4" t="s">
        <v>2548</v>
      </c>
      <c r="S158" s="15"/>
    </row>
    <row r="159">
      <c r="A159" s="67" t="str">
        <f t="shared" si="1"/>
        <v>Mon</v>
      </c>
      <c r="B159" s="69">
        <v>43619.0</v>
      </c>
      <c r="S159" s="15"/>
    </row>
    <row r="160">
      <c r="A160" s="67" t="str">
        <f t="shared" si="1"/>
        <v>Tue</v>
      </c>
      <c r="B160" s="69">
        <v>43620.0</v>
      </c>
      <c r="S160" s="15"/>
    </row>
    <row r="161">
      <c r="A161" s="67" t="str">
        <f t="shared" si="1"/>
        <v>Wed</v>
      </c>
      <c r="B161" s="69">
        <v>43621.0</v>
      </c>
      <c r="S161" s="15"/>
    </row>
    <row r="162">
      <c r="A162" s="67" t="str">
        <f t="shared" si="1"/>
        <v>Thu</v>
      </c>
      <c r="B162" s="69">
        <v>43622.0</v>
      </c>
      <c r="S162" s="15"/>
    </row>
    <row r="163">
      <c r="A163" s="67" t="str">
        <f t="shared" si="1"/>
        <v>Fri</v>
      </c>
      <c r="B163" s="69">
        <v>43623.0</v>
      </c>
      <c r="S163" s="15"/>
    </row>
    <row r="164">
      <c r="A164" s="67" t="str">
        <f t="shared" si="1"/>
        <v>Sat</v>
      </c>
      <c r="B164" s="69">
        <v>43624.0</v>
      </c>
      <c r="S164" s="15"/>
    </row>
    <row r="165">
      <c r="A165" s="67" t="str">
        <f t="shared" si="1"/>
        <v>Sun</v>
      </c>
      <c r="B165" s="69">
        <v>43625.0</v>
      </c>
      <c r="S165" s="15"/>
    </row>
    <row r="166">
      <c r="A166" s="67" t="str">
        <f t="shared" si="1"/>
        <v>Mon</v>
      </c>
      <c r="B166" s="69">
        <v>43626.0</v>
      </c>
      <c r="S166" s="15"/>
    </row>
    <row r="167">
      <c r="A167" s="67" t="str">
        <f t="shared" si="1"/>
        <v>Tue</v>
      </c>
      <c r="B167" s="69">
        <v>43627.0</v>
      </c>
      <c r="S167" s="15"/>
    </row>
    <row r="168">
      <c r="A168" s="67" t="str">
        <f t="shared" si="1"/>
        <v>Wed</v>
      </c>
      <c r="B168" s="69">
        <v>43628.0</v>
      </c>
      <c r="S168" s="15"/>
    </row>
    <row r="169">
      <c r="A169" s="67" t="str">
        <f t="shared" si="1"/>
        <v>Thu</v>
      </c>
      <c r="B169" s="69">
        <v>43629.0</v>
      </c>
      <c r="S169" s="15"/>
    </row>
    <row r="170">
      <c r="A170" s="67" t="str">
        <f t="shared" si="1"/>
        <v>Fri</v>
      </c>
      <c r="B170" s="69">
        <v>43630.0</v>
      </c>
      <c r="S170" s="15"/>
    </row>
    <row r="171">
      <c r="A171" s="67" t="str">
        <f t="shared" si="1"/>
        <v>Sat</v>
      </c>
      <c r="B171" s="69">
        <v>43631.0</v>
      </c>
      <c r="S171" s="15"/>
    </row>
    <row r="172">
      <c r="A172" s="67" t="str">
        <f t="shared" si="1"/>
        <v>Sun</v>
      </c>
      <c r="B172" s="69">
        <v>43632.0</v>
      </c>
      <c r="S172" s="15"/>
    </row>
    <row r="173">
      <c r="A173" s="67" t="str">
        <f t="shared" si="1"/>
        <v>Mon</v>
      </c>
      <c r="B173" s="69">
        <v>43633.0</v>
      </c>
      <c r="S173" s="15"/>
    </row>
    <row r="174">
      <c r="A174" s="67" t="str">
        <f t="shared" si="1"/>
        <v>Tue</v>
      </c>
      <c r="B174" s="69">
        <v>43634.0</v>
      </c>
      <c r="S174" s="15"/>
    </row>
    <row r="175">
      <c r="A175" s="67" t="str">
        <f t="shared" si="1"/>
        <v>Wed</v>
      </c>
      <c r="B175" s="69">
        <v>43635.0</v>
      </c>
      <c r="S175" s="15"/>
    </row>
    <row r="176">
      <c r="A176" s="67" t="str">
        <f t="shared" si="1"/>
        <v>Thu</v>
      </c>
      <c r="B176" s="69">
        <v>43636.0</v>
      </c>
      <c r="S176" s="15"/>
    </row>
    <row r="177">
      <c r="A177" s="67" t="str">
        <f t="shared" si="1"/>
        <v>Fri</v>
      </c>
      <c r="B177" s="69">
        <v>43637.0</v>
      </c>
      <c r="S177" s="15"/>
    </row>
    <row r="178">
      <c r="A178" s="67" t="str">
        <f t="shared" si="1"/>
        <v>Sat</v>
      </c>
      <c r="B178" s="69">
        <v>43638.0</v>
      </c>
      <c r="S178" s="15"/>
    </row>
    <row r="179">
      <c r="A179" s="67" t="str">
        <f t="shared" si="1"/>
        <v>Sun</v>
      </c>
      <c r="B179" s="69">
        <v>43639.0</v>
      </c>
      <c r="S179" s="15"/>
    </row>
    <row r="180">
      <c r="A180" s="67" t="str">
        <f t="shared" si="1"/>
        <v>Mon</v>
      </c>
      <c r="B180" s="69">
        <v>43640.0</v>
      </c>
      <c r="S180" s="15"/>
    </row>
    <row r="181">
      <c r="A181" s="67" t="str">
        <f t="shared" si="1"/>
        <v>Tue</v>
      </c>
      <c r="B181" s="69">
        <v>43641.0</v>
      </c>
      <c r="S181" s="15"/>
    </row>
    <row r="182">
      <c r="A182" s="67" t="str">
        <f t="shared" si="1"/>
        <v>Wed</v>
      </c>
      <c r="B182" s="69">
        <v>43642.0</v>
      </c>
      <c r="S182" s="15"/>
    </row>
    <row r="183">
      <c r="A183" s="67" t="str">
        <f t="shared" si="1"/>
        <v>Thu</v>
      </c>
      <c r="B183" s="69">
        <v>43643.0</v>
      </c>
      <c r="S183" s="15"/>
    </row>
    <row r="184">
      <c r="A184" s="67" t="str">
        <f t="shared" si="1"/>
        <v>Fri</v>
      </c>
      <c r="B184" s="69">
        <v>43644.0</v>
      </c>
      <c r="S184" s="15"/>
    </row>
    <row r="185">
      <c r="A185" s="67" t="str">
        <f t="shared" si="1"/>
        <v>Sat</v>
      </c>
      <c r="B185" s="69">
        <v>43645.0</v>
      </c>
      <c r="S185" s="15"/>
    </row>
    <row r="186">
      <c r="A186" s="67" t="str">
        <f t="shared" si="1"/>
        <v>Sun</v>
      </c>
      <c r="B186" s="69">
        <v>43646.0</v>
      </c>
      <c r="S186" s="15"/>
    </row>
    <row r="187">
      <c r="A187" s="67" t="str">
        <f t="shared" si="1"/>
        <v>Mon</v>
      </c>
      <c r="B187" s="69">
        <v>43647.0</v>
      </c>
      <c r="S187" s="15"/>
    </row>
    <row r="188">
      <c r="A188" s="67" t="str">
        <f t="shared" si="1"/>
        <v>Tue</v>
      </c>
      <c r="B188" s="69">
        <v>43648.0</v>
      </c>
      <c r="S188" s="15"/>
    </row>
    <row r="189">
      <c r="A189" s="67" t="str">
        <f t="shared" si="1"/>
        <v>Wed</v>
      </c>
      <c r="B189" s="69">
        <v>43649.0</v>
      </c>
      <c r="S189" s="15"/>
    </row>
    <row r="190">
      <c r="A190" s="67" t="str">
        <f t="shared" si="1"/>
        <v>Thu</v>
      </c>
      <c r="B190" s="69">
        <v>43650.0</v>
      </c>
      <c r="S190" s="15"/>
    </row>
    <row r="191">
      <c r="A191" s="67" t="str">
        <f t="shared" si="1"/>
        <v>Fri</v>
      </c>
      <c r="B191" s="69">
        <v>43651.0</v>
      </c>
      <c r="S191" s="15"/>
    </row>
    <row r="192">
      <c r="A192" s="67" t="str">
        <f t="shared" si="1"/>
        <v>Sat</v>
      </c>
      <c r="B192" s="69">
        <v>43652.0</v>
      </c>
      <c r="S192" s="15"/>
    </row>
    <row r="193">
      <c r="A193" s="67" t="str">
        <f t="shared" si="1"/>
        <v>Sun</v>
      </c>
      <c r="B193" s="69">
        <v>43653.0</v>
      </c>
      <c r="S193" s="15"/>
    </row>
    <row r="194">
      <c r="A194" s="67" t="str">
        <f t="shared" si="1"/>
        <v>Mon</v>
      </c>
      <c r="B194" s="69">
        <v>43654.0</v>
      </c>
      <c r="S194" s="15"/>
    </row>
    <row r="195">
      <c r="A195" s="67" t="str">
        <f t="shared" si="1"/>
        <v>Tue</v>
      </c>
      <c r="B195" s="69">
        <v>43655.0</v>
      </c>
      <c r="S195" s="15"/>
    </row>
    <row r="196">
      <c r="A196" s="67" t="str">
        <f t="shared" si="1"/>
        <v>Wed</v>
      </c>
      <c r="B196" s="69">
        <v>43656.0</v>
      </c>
      <c r="S196" s="15"/>
    </row>
    <row r="197">
      <c r="A197" s="67" t="str">
        <f t="shared" si="1"/>
        <v>Thu</v>
      </c>
      <c r="B197" s="69">
        <v>43657.0</v>
      </c>
      <c r="S197" s="15"/>
    </row>
    <row r="198">
      <c r="A198" s="67" t="str">
        <f t="shared" si="1"/>
        <v>Fri</v>
      </c>
      <c r="B198" s="69">
        <v>43658.0</v>
      </c>
      <c r="S198" s="15"/>
    </row>
    <row r="199">
      <c r="A199" s="67" t="str">
        <f t="shared" si="1"/>
        <v>Sat</v>
      </c>
      <c r="B199" s="69">
        <v>43659.0</v>
      </c>
      <c r="S199" s="15"/>
    </row>
    <row r="200">
      <c r="A200" s="67" t="str">
        <f t="shared" si="1"/>
        <v>Sun</v>
      </c>
      <c r="B200" s="69">
        <v>43660.0</v>
      </c>
      <c r="S200" s="15"/>
    </row>
    <row r="201">
      <c r="A201" s="67" t="str">
        <f t="shared" si="1"/>
        <v>Mon</v>
      </c>
      <c r="B201" s="69">
        <v>43661.0</v>
      </c>
      <c r="S201" s="15"/>
    </row>
    <row r="202">
      <c r="A202" s="67" t="str">
        <f t="shared" si="1"/>
        <v>Tue</v>
      </c>
      <c r="B202" s="69">
        <v>43662.0</v>
      </c>
      <c r="S202" s="15"/>
    </row>
    <row r="203">
      <c r="A203" s="67" t="str">
        <f t="shared" si="1"/>
        <v>Wed</v>
      </c>
      <c r="B203" s="69">
        <v>43663.0</v>
      </c>
      <c r="S203" s="15"/>
    </row>
    <row r="204">
      <c r="A204" s="67" t="str">
        <f t="shared" si="1"/>
        <v>Thu</v>
      </c>
      <c r="B204" s="69">
        <v>43664.0</v>
      </c>
      <c r="S204" s="15"/>
    </row>
    <row r="205">
      <c r="A205" s="67" t="str">
        <f t="shared" si="1"/>
        <v>Fri</v>
      </c>
      <c r="B205" s="69">
        <v>43665.0</v>
      </c>
      <c r="S205" s="15"/>
    </row>
    <row r="206">
      <c r="A206" s="67" t="str">
        <f t="shared" si="1"/>
        <v>Sat</v>
      </c>
      <c r="B206" s="69">
        <v>43666.0</v>
      </c>
      <c r="S206" s="15"/>
    </row>
    <row r="207">
      <c r="A207" s="67" t="str">
        <f t="shared" si="1"/>
        <v>Sun</v>
      </c>
      <c r="B207" s="69">
        <v>43667.0</v>
      </c>
      <c r="S207" s="15"/>
    </row>
    <row r="208">
      <c r="A208" s="67" t="str">
        <f t="shared" si="1"/>
        <v>Mon</v>
      </c>
      <c r="B208" s="69">
        <v>43668.0</v>
      </c>
      <c r="S208" s="15"/>
    </row>
    <row r="209">
      <c r="A209" s="67" t="str">
        <f t="shared" si="1"/>
        <v>Tue</v>
      </c>
      <c r="B209" s="69">
        <v>43669.0</v>
      </c>
      <c r="S209" s="15"/>
    </row>
    <row r="210">
      <c r="A210" s="67" t="str">
        <f t="shared" si="1"/>
        <v>Wed</v>
      </c>
      <c r="B210" s="69">
        <v>43670.0</v>
      </c>
      <c r="S210" s="15"/>
    </row>
    <row r="211">
      <c r="A211" s="67" t="str">
        <f t="shared" si="1"/>
        <v>Thu</v>
      </c>
      <c r="B211" s="69">
        <v>43671.0</v>
      </c>
      <c r="S211" s="15"/>
    </row>
    <row r="212">
      <c r="A212" s="67" t="str">
        <f t="shared" si="1"/>
        <v>Fri</v>
      </c>
      <c r="B212" s="69">
        <v>43672.0</v>
      </c>
      <c r="S212" s="15"/>
    </row>
    <row r="213">
      <c r="A213" s="67" t="str">
        <f t="shared" si="1"/>
        <v>Sat</v>
      </c>
      <c r="B213" s="69">
        <v>43673.0</v>
      </c>
      <c r="S213" s="15"/>
    </row>
    <row r="214">
      <c r="A214" s="67" t="str">
        <f t="shared" si="1"/>
        <v>Sun</v>
      </c>
      <c r="B214" s="69">
        <v>43674.0</v>
      </c>
      <c r="S214" s="15"/>
    </row>
    <row r="215">
      <c r="A215" s="67" t="str">
        <f t="shared" si="1"/>
        <v>Mon</v>
      </c>
      <c r="B215" s="69">
        <v>43675.0</v>
      </c>
      <c r="S215" s="15"/>
    </row>
    <row r="216">
      <c r="A216" s="67" t="str">
        <f t="shared" si="1"/>
        <v>Tue</v>
      </c>
      <c r="B216" s="69">
        <v>43676.0</v>
      </c>
      <c r="S216" s="15"/>
    </row>
    <row r="217">
      <c r="A217" s="67" t="str">
        <f t="shared" si="1"/>
        <v>Wed</v>
      </c>
      <c r="B217" s="69">
        <v>43677.0</v>
      </c>
      <c r="S217" s="15"/>
    </row>
    <row r="218">
      <c r="A218" s="67" t="str">
        <f t="shared" si="1"/>
        <v>Thu</v>
      </c>
      <c r="B218" s="69">
        <v>43678.0</v>
      </c>
      <c r="S218" s="15"/>
    </row>
    <row r="219">
      <c r="A219" s="67" t="str">
        <f t="shared" si="1"/>
        <v>Fri</v>
      </c>
      <c r="B219" s="69">
        <v>43679.0</v>
      </c>
      <c r="S219" s="15"/>
    </row>
    <row r="220">
      <c r="A220" s="67" t="str">
        <f t="shared" si="1"/>
        <v>Sat</v>
      </c>
      <c r="B220" s="69">
        <v>43680.0</v>
      </c>
      <c r="S220" s="15"/>
    </row>
    <row r="221">
      <c r="A221" s="67" t="str">
        <f t="shared" si="1"/>
        <v>Sun</v>
      </c>
      <c r="B221" s="69">
        <v>43681.0</v>
      </c>
      <c r="S221" s="15"/>
    </row>
    <row r="222">
      <c r="A222" s="67" t="str">
        <f t="shared" si="1"/>
        <v>Mon</v>
      </c>
      <c r="B222" s="69">
        <v>43682.0</v>
      </c>
      <c r="S222" s="15"/>
    </row>
    <row r="223">
      <c r="A223" s="67" t="str">
        <f t="shared" si="1"/>
        <v>Tue</v>
      </c>
      <c r="B223" s="69">
        <v>43683.0</v>
      </c>
      <c r="S223" s="15"/>
    </row>
    <row r="224">
      <c r="A224" s="67" t="str">
        <f t="shared" si="1"/>
        <v>Wed</v>
      </c>
      <c r="B224" s="69">
        <v>43684.0</v>
      </c>
      <c r="S224" s="15"/>
    </row>
    <row r="225">
      <c r="A225" s="67" t="str">
        <f t="shared" si="1"/>
        <v>Thu</v>
      </c>
      <c r="B225" s="69">
        <v>43685.0</v>
      </c>
      <c r="S225" s="15"/>
    </row>
    <row r="226">
      <c r="A226" s="67" t="str">
        <f t="shared" si="1"/>
        <v>Fri</v>
      </c>
      <c r="B226" s="69">
        <v>43686.0</v>
      </c>
      <c r="S226" s="15"/>
    </row>
    <row r="227">
      <c r="A227" s="67" t="str">
        <f t="shared" si="1"/>
        <v>Sat</v>
      </c>
      <c r="B227" s="69">
        <v>43687.0</v>
      </c>
      <c r="S227" s="15"/>
    </row>
    <row r="228">
      <c r="A228" s="67" t="str">
        <f t="shared" si="1"/>
        <v>Sun</v>
      </c>
      <c r="B228" s="69">
        <v>43688.0</v>
      </c>
      <c r="S228" s="15"/>
    </row>
    <row r="229">
      <c r="A229" s="67" t="str">
        <f t="shared" si="1"/>
        <v>Mon</v>
      </c>
      <c r="B229" s="69">
        <v>43689.0</v>
      </c>
      <c r="S229" s="15"/>
    </row>
    <row r="230">
      <c r="A230" s="67" t="str">
        <f t="shared" si="1"/>
        <v>Tue</v>
      </c>
      <c r="B230" s="69">
        <v>43690.0</v>
      </c>
      <c r="S230" s="15"/>
    </row>
    <row r="231">
      <c r="A231" s="67" t="str">
        <f t="shared" si="1"/>
        <v>Wed</v>
      </c>
      <c r="B231" s="69">
        <v>43691.0</v>
      </c>
      <c r="S231" s="15"/>
    </row>
    <row r="232">
      <c r="A232" s="67" t="str">
        <f t="shared" si="1"/>
        <v>Thu</v>
      </c>
      <c r="B232" s="69">
        <v>43692.0</v>
      </c>
      <c r="S232" s="15"/>
    </row>
    <row r="233">
      <c r="A233" s="67" t="str">
        <f t="shared" si="1"/>
        <v>Fri</v>
      </c>
      <c r="B233" s="69">
        <v>43693.0</v>
      </c>
      <c r="S233" s="15"/>
    </row>
    <row r="234">
      <c r="A234" s="67" t="str">
        <f t="shared" si="1"/>
        <v>Sat</v>
      </c>
      <c r="B234" s="69">
        <v>43694.0</v>
      </c>
      <c r="S234" s="15"/>
    </row>
    <row r="235">
      <c r="A235" s="67" t="str">
        <f t="shared" si="1"/>
        <v>Sun</v>
      </c>
      <c r="B235" s="69">
        <v>43695.0</v>
      </c>
      <c r="S235" s="15"/>
    </row>
    <row r="236">
      <c r="A236" s="67" t="str">
        <f t="shared" si="1"/>
        <v>Mon</v>
      </c>
      <c r="B236" s="69">
        <v>43696.0</v>
      </c>
      <c r="S236" s="15"/>
    </row>
    <row r="237">
      <c r="A237" s="67" t="str">
        <f t="shared" si="1"/>
        <v>Tue</v>
      </c>
      <c r="B237" s="69">
        <v>43697.0</v>
      </c>
      <c r="S237" s="15"/>
    </row>
    <row r="238">
      <c r="A238" s="67" t="str">
        <f t="shared" si="1"/>
        <v>Wed</v>
      </c>
      <c r="B238" s="69">
        <v>43698.0</v>
      </c>
      <c r="S238" s="15"/>
    </row>
    <row r="239">
      <c r="A239" s="67" t="str">
        <f t="shared" si="1"/>
        <v>Thu</v>
      </c>
      <c r="B239" s="69">
        <v>43699.0</v>
      </c>
      <c r="S239" s="15"/>
    </row>
    <row r="240">
      <c r="A240" s="67" t="str">
        <f t="shared" si="1"/>
        <v>Fri</v>
      </c>
      <c r="B240" s="69">
        <v>43700.0</v>
      </c>
      <c r="S240" s="15"/>
    </row>
    <row r="241">
      <c r="A241" s="67" t="str">
        <f t="shared" si="1"/>
        <v>Sat</v>
      </c>
      <c r="B241" s="69">
        <v>43701.0</v>
      </c>
      <c r="S241" s="15"/>
    </row>
    <row r="242">
      <c r="A242" s="67" t="str">
        <f t="shared" si="1"/>
        <v>Sun</v>
      </c>
      <c r="B242" s="69">
        <v>43702.0</v>
      </c>
      <c r="S242" s="15"/>
    </row>
    <row r="243">
      <c r="A243" s="67" t="str">
        <f t="shared" si="1"/>
        <v>Mon</v>
      </c>
      <c r="B243" s="69">
        <v>43703.0</v>
      </c>
      <c r="S243" s="15"/>
    </row>
    <row r="244">
      <c r="A244" s="67" t="str">
        <f t="shared" si="1"/>
        <v>Tue</v>
      </c>
      <c r="B244" s="69">
        <v>43704.0</v>
      </c>
      <c r="S244" s="15"/>
    </row>
    <row r="245">
      <c r="A245" s="67" t="str">
        <f t="shared" si="1"/>
        <v>Wed</v>
      </c>
      <c r="B245" s="69">
        <v>43705.0</v>
      </c>
      <c r="S245" s="15"/>
    </row>
    <row r="246">
      <c r="A246" s="67" t="str">
        <f t="shared" si="1"/>
        <v>Thu</v>
      </c>
      <c r="B246" s="69">
        <v>43706.0</v>
      </c>
      <c r="S246" s="15"/>
    </row>
    <row r="247">
      <c r="A247" s="67" t="str">
        <f t="shared" si="1"/>
        <v>Fri</v>
      </c>
      <c r="B247" s="69">
        <v>43707.0</v>
      </c>
      <c r="S247" s="15"/>
    </row>
    <row r="248">
      <c r="A248" s="67" t="str">
        <f t="shared" si="1"/>
        <v>Sat</v>
      </c>
      <c r="B248" s="69">
        <v>43708.0</v>
      </c>
      <c r="S248" s="15"/>
    </row>
    <row r="249">
      <c r="A249" s="67" t="str">
        <f t="shared" si="1"/>
        <v>Sun</v>
      </c>
      <c r="B249" s="69">
        <v>43709.0</v>
      </c>
      <c r="S249" s="15"/>
    </row>
    <row r="250">
      <c r="A250" s="67" t="str">
        <f t="shared" si="1"/>
        <v>Mon</v>
      </c>
      <c r="B250" s="69">
        <v>43710.0</v>
      </c>
      <c r="S250" s="15"/>
    </row>
    <row r="251">
      <c r="A251" s="67" t="str">
        <f t="shared" si="1"/>
        <v>Tue</v>
      </c>
      <c r="B251" s="69">
        <v>43711.0</v>
      </c>
      <c r="S251" s="15"/>
    </row>
    <row r="252">
      <c r="A252" s="67" t="str">
        <f t="shared" si="1"/>
        <v>Wed</v>
      </c>
      <c r="B252" s="69">
        <v>43712.0</v>
      </c>
      <c r="S252" s="15"/>
    </row>
    <row r="253">
      <c r="A253" s="67" t="str">
        <f t="shared" si="1"/>
        <v>Thu</v>
      </c>
      <c r="B253" s="69">
        <v>43713.0</v>
      </c>
      <c r="S253" s="15"/>
    </row>
    <row r="254">
      <c r="A254" s="67" t="str">
        <f t="shared" si="1"/>
        <v>Fri</v>
      </c>
      <c r="B254" s="69">
        <v>43714.0</v>
      </c>
      <c r="S254" s="15"/>
    </row>
    <row r="255">
      <c r="A255" s="67" t="str">
        <f t="shared" si="1"/>
        <v>Sat</v>
      </c>
      <c r="B255" s="69">
        <v>43715.0</v>
      </c>
      <c r="S255" s="15"/>
    </row>
    <row r="256">
      <c r="A256" s="67" t="str">
        <f t="shared" si="1"/>
        <v>Sun</v>
      </c>
      <c r="B256" s="69">
        <v>43716.0</v>
      </c>
      <c r="S256" s="15"/>
    </row>
    <row r="257">
      <c r="A257" s="67" t="str">
        <f t="shared" si="1"/>
        <v>Mon</v>
      </c>
      <c r="B257" s="69">
        <v>43717.0</v>
      </c>
      <c r="S257" s="15"/>
    </row>
    <row r="258">
      <c r="A258" s="67" t="str">
        <f t="shared" si="1"/>
        <v>Tue</v>
      </c>
      <c r="B258" s="69">
        <v>43718.0</v>
      </c>
      <c r="S258" s="15"/>
    </row>
    <row r="259">
      <c r="A259" s="67" t="str">
        <f t="shared" si="1"/>
        <v>Wed</v>
      </c>
      <c r="B259" s="69">
        <v>43719.0</v>
      </c>
      <c r="S259" s="15"/>
    </row>
    <row r="260">
      <c r="A260" s="67" t="str">
        <f t="shared" si="1"/>
        <v>Thu</v>
      </c>
      <c r="B260" s="69">
        <v>43720.0</v>
      </c>
      <c r="S260" s="15"/>
    </row>
    <row r="261">
      <c r="A261" s="67" t="str">
        <f t="shared" si="1"/>
        <v>Fri</v>
      </c>
      <c r="B261" s="69">
        <v>43721.0</v>
      </c>
      <c r="S261" s="15"/>
    </row>
    <row r="262">
      <c r="A262" s="67" t="str">
        <f t="shared" si="1"/>
        <v>Sat</v>
      </c>
      <c r="B262" s="69">
        <v>43722.0</v>
      </c>
      <c r="S262" s="15"/>
    </row>
    <row r="263">
      <c r="A263" s="67" t="str">
        <f t="shared" si="1"/>
        <v>Sun</v>
      </c>
      <c r="B263" s="69">
        <v>43723.0</v>
      </c>
      <c r="S263" s="15"/>
    </row>
    <row r="264">
      <c r="A264" s="67" t="str">
        <f t="shared" si="1"/>
        <v>Mon</v>
      </c>
      <c r="B264" s="69">
        <v>43724.0</v>
      </c>
      <c r="S264" s="15"/>
    </row>
    <row r="265">
      <c r="A265" s="67" t="str">
        <f t="shared" si="1"/>
        <v>Tue</v>
      </c>
      <c r="B265" s="69">
        <v>43725.0</v>
      </c>
      <c r="S265" s="15"/>
    </row>
    <row r="266">
      <c r="A266" s="67" t="str">
        <f t="shared" si="1"/>
        <v>Wed</v>
      </c>
      <c r="B266" s="69">
        <v>43726.0</v>
      </c>
      <c r="S266" s="15"/>
    </row>
    <row r="267">
      <c r="A267" s="67" t="str">
        <f t="shared" si="1"/>
        <v>Thu</v>
      </c>
      <c r="B267" s="69">
        <v>43727.0</v>
      </c>
      <c r="S267" s="15"/>
    </row>
    <row r="268">
      <c r="A268" s="67" t="str">
        <f t="shared" si="1"/>
        <v>Fri</v>
      </c>
      <c r="B268" s="69">
        <v>43728.0</v>
      </c>
      <c r="S268" s="15"/>
    </row>
    <row r="269">
      <c r="A269" s="67" t="str">
        <f t="shared" si="1"/>
        <v>Sat</v>
      </c>
      <c r="B269" s="69">
        <v>43729.0</v>
      </c>
      <c r="S269" s="15"/>
    </row>
    <row r="270">
      <c r="A270" s="67" t="str">
        <f t="shared" si="1"/>
        <v>Sun</v>
      </c>
      <c r="B270" s="69">
        <v>43730.0</v>
      </c>
      <c r="S270" s="15"/>
    </row>
    <row r="271">
      <c r="A271" s="67" t="str">
        <f t="shared" si="1"/>
        <v>Mon</v>
      </c>
      <c r="B271" s="69">
        <v>43731.0</v>
      </c>
      <c r="S271" s="15"/>
    </row>
    <row r="272">
      <c r="A272" s="67" t="str">
        <f t="shared" si="1"/>
        <v>Tue</v>
      </c>
      <c r="B272" s="69">
        <v>43732.0</v>
      </c>
      <c r="S272" s="15"/>
    </row>
    <row r="273">
      <c r="A273" s="67" t="str">
        <f t="shared" si="1"/>
        <v>Wed</v>
      </c>
      <c r="B273" s="69">
        <v>43733.0</v>
      </c>
      <c r="S273" s="15"/>
    </row>
    <row r="274">
      <c r="A274" s="67" t="str">
        <f t="shared" si="1"/>
        <v>Thu</v>
      </c>
      <c r="B274" s="69">
        <v>43734.0</v>
      </c>
      <c r="S274" s="15"/>
    </row>
    <row r="275">
      <c r="A275" s="67" t="str">
        <f t="shared" si="1"/>
        <v>Fri</v>
      </c>
      <c r="B275" s="69">
        <v>43735.0</v>
      </c>
      <c r="S275" s="15"/>
    </row>
    <row r="276">
      <c r="A276" s="67" t="str">
        <f t="shared" si="1"/>
        <v>Sat</v>
      </c>
      <c r="B276" s="69">
        <v>43736.0</v>
      </c>
      <c r="S276" s="15"/>
    </row>
    <row r="277">
      <c r="A277" s="67" t="str">
        <f t="shared" si="1"/>
        <v>Sun</v>
      </c>
      <c r="B277" s="69">
        <v>43737.0</v>
      </c>
      <c r="S277" s="15"/>
    </row>
    <row r="278">
      <c r="A278" s="67" t="str">
        <f t="shared" si="1"/>
        <v>Mon</v>
      </c>
      <c r="B278" s="69">
        <v>43738.0</v>
      </c>
      <c r="S278" s="15"/>
    </row>
    <row r="279">
      <c r="A279" s="67" t="str">
        <f t="shared" si="1"/>
        <v>Tue</v>
      </c>
      <c r="B279" s="69">
        <v>43739.0</v>
      </c>
      <c r="S279" s="15"/>
    </row>
    <row r="280">
      <c r="A280" s="67" t="str">
        <f t="shared" si="1"/>
        <v>Wed</v>
      </c>
      <c r="B280" s="69">
        <v>43740.0</v>
      </c>
      <c r="S280" s="15"/>
    </row>
    <row r="281">
      <c r="A281" s="67" t="str">
        <f t="shared" si="1"/>
        <v>Thu</v>
      </c>
      <c r="B281" s="69">
        <v>43741.0</v>
      </c>
      <c r="S281" s="15"/>
    </row>
    <row r="282">
      <c r="A282" s="67" t="str">
        <f t="shared" si="1"/>
        <v>Fri</v>
      </c>
      <c r="B282" s="69">
        <v>43742.0</v>
      </c>
      <c r="S282" s="15"/>
    </row>
    <row r="283">
      <c r="A283" s="67" t="str">
        <f t="shared" si="1"/>
        <v>Sat</v>
      </c>
      <c r="B283" s="69">
        <v>43743.0</v>
      </c>
      <c r="S283" s="15"/>
    </row>
    <row r="284">
      <c r="A284" s="67" t="str">
        <f t="shared" si="1"/>
        <v>Sun</v>
      </c>
      <c r="B284" s="69">
        <v>43744.0</v>
      </c>
      <c r="S284" s="15"/>
    </row>
    <row r="285">
      <c r="A285" s="67" t="str">
        <f t="shared" si="1"/>
        <v>Mon</v>
      </c>
      <c r="B285" s="69">
        <v>43745.0</v>
      </c>
      <c r="S285" s="15"/>
    </row>
    <row r="286">
      <c r="A286" s="67" t="str">
        <f t="shared" si="1"/>
        <v>Tue</v>
      </c>
      <c r="B286" s="69">
        <v>43746.0</v>
      </c>
      <c r="S286" s="15"/>
    </row>
    <row r="287">
      <c r="A287" s="67" t="str">
        <f t="shared" si="1"/>
        <v>Wed</v>
      </c>
      <c r="B287" s="69">
        <v>43747.0</v>
      </c>
      <c r="S287" s="15"/>
    </row>
    <row r="288">
      <c r="A288" s="67" t="str">
        <f t="shared" si="1"/>
        <v>Thu</v>
      </c>
      <c r="B288" s="69">
        <v>43748.0</v>
      </c>
      <c r="S288" s="15"/>
    </row>
    <row r="289">
      <c r="A289" s="67" t="str">
        <f t="shared" si="1"/>
        <v>Fri</v>
      </c>
      <c r="B289" s="69">
        <v>43749.0</v>
      </c>
      <c r="S289" s="15"/>
    </row>
    <row r="290">
      <c r="A290" s="67" t="str">
        <f t="shared" si="1"/>
        <v>Sat</v>
      </c>
      <c r="B290" s="69">
        <v>43750.0</v>
      </c>
      <c r="S290" s="15"/>
    </row>
    <row r="291">
      <c r="A291" s="67" t="str">
        <f t="shared" si="1"/>
        <v>Sun</v>
      </c>
      <c r="B291" s="69">
        <v>43751.0</v>
      </c>
      <c r="S291" s="15"/>
    </row>
    <row r="292">
      <c r="A292" s="67" t="str">
        <f t="shared" si="1"/>
        <v>Mon</v>
      </c>
      <c r="B292" s="69">
        <v>43752.0</v>
      </c>
      <c r="S292" s="15"/>
    </row>
    <row r="293">
      <c r="A293" s="67" t="str">
        <f t="shared" si="1"/>
        <v>Tue</v>
      </c>
      <c r="B293" s="69">
        <v>43753.0</v>
      </c>
      <c r="S293" s="15"/>
    </row>
    <row r="294">
      <c r="A294" s="67" t="str">
        <f t="shared" si="1"/>
        <v>Wed</v>
      </c>
      <c r="B294" s="69">
        <v>43754.0</v>
      </c>
      <c r="S294" s="15"/>
    </row>
    <row r="295">
      <c r="A295" s="67" t="str">
        <f t="shared" si="1"/>
        <v>Thu</v>
      </c>
      <c r="B295" s="69">
        <v>43755.0</v>
      </c>
      <c r="S295" s="15"/>
    </row>
    <row r="296">
      <c r="A296" s="67" t="str">
        <f t="shared" si="1"/>
        <v>Fri</v>
      </c>
      <c r="B296" s="69">
        <v>43756.0</v>
      </c>
      <c r="S296" s="15"/>
    </row>
    <row r="297">
      <c r="A297" s="67" t="str">
        <f t="shared" si="1"/>
        <v>Sat</v>
      </c>
      <c r="B297" s="69">
        <v>43757.0</v>
      </c>
      <c r="S297" s="15"/>
    </row>
    <row r="298">
      <c r="A298" s="67" t="str">
        <f t="shared" si="1"/>
        <v>Sun</v>
      </c>
      <c r="B298" s="69">
        <v>43758.0</v>
      </c>
      <c r="S298" s="15"/>
    </row>
    <row r="299">
      <c r="A299" s="67" t="str">
        <f t="shared" si="1"/>
        <v>Mon</v>
      </c>
      <c r="B299" s="69">
        <v>43759.0</v>
      </c>
      <c r="S299" s="15"/>
    </row>
    <row r="300">
      <c r="A300" s="67" t="str">
        <f t="shared" si="1"/>
        <v>Tue</v>
      </c>
      <c r="B300" s="69">
        <v>43760.0</v>
      </c>
      <c r="S300" s="15"/>
    </row>
    <row r="301">
      <c r="A301" s="67" t="str">
        <f t="shared" si="1"/>
        <v>Wed</v>
      </c>
      <c r="B301" s="69">
        <v>43761.0</v>
      </c>
      <c r="S301" s="15"/>
    </row>
    <row r="302">
      <c r="A302" s="67" t="str">
        <f t="shared" si="1"/>
        <v>Thu</v>
      </c>
      <c r="B302" s="69">
        <v>43762.0</v>
      </c>
      <c r="S302" s="15"/>
    </row>
    <row r="303">
      <c r="A303" s="67" t="str">
        <f t="shared" si="1"/>
        <v>Fri</v>
      </c>
      <c r="B303" s="69">
        <v>43763.0</v>
      </c>
      <c r="S303" s="15"/>
    </row>
    <row r="304">
      <c r="A304" s="67" t="str">
        <f t="shared" si="1"/>
        <v>Sat</v>
      </c>
      <c r="B304" s="69">
        <v>43764.0</v>
      </c>
      <c r="S304" s="15"/>
    </row>
    <row r="305">
      <c r="A305" s="67" t="str">
        <f t="shared" si="1"/>
        <v>Sun</v>
      </c>
      <c r="B305" s="69">
        <v>43765.0</v>
      </c>
      <c r="S305" s="15"/>
    </row>
    <row r="306">
      <c r="A306" s="67" t="str">
        <f t="shared" si="1"/>
        <v>Mon</v>
      </c>
      <c r="B306" s="69">
        <v>43766.0</v>
      </c>
      <c r="S306" s="15"/>
    </row>
    <row r="307">
      <c r="A307" s="67" t="str">
        <f t="shared" si="1"/>
        <v>Tue</v>
      </c>
      <c r="B307" s="69">
        <v>43767.0</v>
      </c>
      <c r="S307" s="15"/>
    </row>
    <row r="308">
      <c r="A308" s="67" t="str">
        <f t="shared" si="1"/>
        <v>Wed</v>
      </c>
      <c r="B308" s="69">
        <v>43768.0</v>
      </c>
      <c r="S308" s="15"/>
    </row>
    <row r="309">
      <c r="A309" s="67" t="str">
        <f t="shared" si="1"/>
        <v>Thu</v>
      </c>
      <c r="B309" s="69">
        <v>43769.0</v>
      </c>
      <c r="S309" s="15"/>
    </row>
    <row r="310">
      <c r="A310" s="67" t="str">
        <f t="shared" si="1"/>
        <v>Fri</v>
      </c>
      <c r="B310" s="69">
        <v>43770.0</v>
      </c>
      <c r="S310" s="15"/>
    </row>
    <row r="311">
      <c r="A311" s="67" t="str">
        <f t="shared" si="1"/>
        <v>Sat</v>
      </c>
      <c r="B311" s="69">
        <v>43771.0</v>
      </c>
      <c r="S311" s="15"/>
    </row>
    <row r="312">
      <c r="A312" s="67" t="str">
        <f t="shared" si="1"/>
        <v>Sun</v>
      </c>
      <c r="B312" s="69">
        <v>43772.0</v>
      </c>
      <c r="S312" s="15"/>
    </row>
    <row r="313">
      <c r="A313" s="67" t="str">
        <f t="shared" si="1"/>
        <v>Mon</v>
      </c>
      <c r="B313" s="69">
        <v>43773.0</v>
      </c>
      <c r="S313" s="15"/>
    </row>
    <row r="314">
      <c r="A314" s="67" t="str">
        <f t="shared" si="1"/>
        <v>Tue</v>
      </c>
      <c r="B314" s="69">
        <v>43774.0</v>
      </c>
      <c r="S314" s="15"/>
    </row>
    <row r="315">
      <c r="A315" s="67" t="str">
        <f t="shared" si="1"/>
        <v>Wed</v>
      </c>
      <c r="B315" s="69">
        <v>43775.0</v>
      </c>
      <c r="S315" s="15"/>
    </row>
    <row r="316">
      <c r="A316" s="67" t="str">
        <f t="shared" si="1"/>
        <v>Thu</v>
      </c>
      <c r="B316" s="69">
        <v>43776.0</v>
      </c>
      <c r="S316" s="15"/>
    </row>
    <row r="317">
      <c r="A317" s="67" t="str">
        <f t="shared" si="1"/>
        <v>Fri</v>
      </c>
      <c r="B317" s="69">
        <v>43777.0</v>
      </c>
      <c r="S317" s="15"/>
    </row>
    <row r="318">
      <c r="A318" s="67" t="str">
        <f t="shared" si="1"/>
        <v>Sat</v>
      </c>
      <c r="B318" s="69">
        <v>43778.0</v>
      </c>
      <c r="S318" s="15"/>
    </row>
    <row r="319">
      <c r="A319" s="67" t="str">
        <f t="shared" si="1"/>
        <v>Sun</v>
      </c>
      <c r="B319" s="69">
        <v>43779.0</v>
      </c>
      <c r="S319" s="15"/>
    </row>
    <row r="320">
      <c r="A320" s="67" t="str">
        <f t="shared" si="1"/>
        <v>Mon</v>
      </c>
      <c r="B320" s="69">
        <v>43780.0</v>
      </c>
      <c r="S320" s="15"/>
    </row>
    <row r="321">
      <c r="A321" s="67" t="str">
        <f t="shared" si="1"/>
        <v>Tue</v>
      </c>
      <c r="B321" s="69">
        <v>43781.0</v>
      </c>
      <c r="S321" s="15"/>
    </row>
    <row r="322">
      <c r="A322" s="67" t="str">
        <f t="shared" si="1"/>
        <v>Wed</v>
      </c>
      <c r="B322" s="69">
        <v>43782.0</v>
      </c>
      <c r="S322" s="15"/>
    </row>
    <row r="323">
      <c r="A323" s="67" t="str">
        <f t="shared" si="1"/>
        <v>Thu</v>
      </c>
      <c r="B323" s="69">
        <v>43783.0</v>
      </c>
      <c r="S323" s="15"/>
    </row>
    <row r="324">
      <c r="A324" s="67" t="str">
        <f t="shared" si="1"/>
        <v>Fri</v>
      </c>
      <c r="B324" s="69">
        <v>43784.0</v>
      </c>
      <c r="S324" s="15"/>
    </row>
    <row r="325">
      <c r="A325" s="67" t="str">
        <f t="shared" si="1"/>
        <v>Sat</v>
      </c>
      <c r="B325" s="69">
        <v>43785.0</v>
      </c>
      <c r="S325" s="15"/>
    </row>
    <row r="326">
      <c r="A326" s="67" t="str">
        <f t="shared" si="1"/>
        <v>Sun</v>
      </c>
      <c r="B326" s="69">
        <v>43786.0</v>
      </c>
      <c r="S326" s="15"/>
    </row>
    <row r="327">
      <c r="A327" s="67" t="str">
        <f t="shared" si="1"/>
        <v>Mon</v>
      </c>
      <c r="B327" s="69">
        <v>43787.0</v>
      </c>
      <c r="S327" s="15"/>
    </row>
    <row r="328">
      <c r="A328" s="67" t="str">
        <f t="shared" si="1"/>
        <v>Tue</v>
      </c>
      <c r="B328" s="69">
        <v>43788.0</v>
      </c>
      <c r="S328" s="15"/>
    </row>
    <row r="329">
      <c r="A329" s="67" t="str">
        <f t="shared" si="1"/>
        <v>Wed</v>
      </c>
      <c r="B329" s="69">
        <v>43789.0</v>
      </c>
      <c r="S329" s="15"/>
    </row>
    <row r="330">
      <c r="A330" s="67" t="str">
        <f t="shared" si="1"/>
        <v>Thu</v>
      </c>
      <c r="B330" s="69">
        <v>43790.0</v>
      </c>
      <c r="S330" s="15"/>
    </row>
    <row r="331">
      <c r="A331" s="67" t="str">
        <f t="shared" si="1"/>
        <v>Fri</v>
      </c>
      <c r="B331" s="69">
        <v>43791.0</v>
      </c>
      <c r="S331" s="15"/>
    </row>
    <row r="332">
      <c r="A332" s="67" t="str">
        <f t="shared" si="1"/>
        <v>Sat</v>
      </c>
      <c r="B332" s="69">
        <v>43792.0</v>
      </c>
      <c r="S332" s="15"/>
    </row>
    <row r="333">
      <c r="A333" s="67" t="str">
        <f t="shared" si="1"/>
        <v>Sun</v>
      </c>
      <c r="B333" s="69">
        <v>43793.0</v>
      </c>
      <c r="S333" s="15"/>
    </row>
    <row r="334">
      <c r="A334" s="67" t="str">
        <f t="shared" si="1"/>
        <v>Mon</v>
      </c>
      <c r="B334" s="69">
        <v>43794.0</v>
      </c>
      <c r="S334" s="15"/>
    </row>
    <row r="335">
      <c r="A335" s="67" t="str">
        <f t="shared" si="1"/>
        <v>Tue</v>
      </c>
      <c r="B335" s="69">
        <v>43795.0</v>
      </c>
      <c r="S335" s="15"/>
    </row>
    <row r="336">
      <c r="A336" s="67" t="str">
        <f t="shared" si="1"/>
        <v>Wed</v>
      </c>
      <c r="B336" s="69">
        <v>43796.0</v>
      </c>
      <c r="S336" s="15"/>
    </row>
    <row r="337">
      <c r="A337" s="67" t="str">
        <f t="shared" si="1"/>
        <v>Thu</v>
      </c>
      <c r="B337" s="69">
        <v>43797.0</v>
      </c>
      <c r="S337" s="15"/>
    </row>
    <row r="338">
      <c r="A338" s="67" t="str">
        <f t="shared" si="1"/>
        <v>Fri</v>
      </c>
      <c r="B338" s="69">
        <v>43798.0</v>
      </c>
      <c r="S338" s="15"/>
    </row>
    <row r="339">
      <c r="A339" s="67" t="str">
        <f t="shared" si="1"/>
        <v>Sat</v>
      </c>
      <c r="B339" s="69">
        <v>43799.0</v>
      </c>
      <c r="S339" s="15"/>
    </row>
    <row r="340">
      <c r="A340" s="67" t="str">
        <f t="shared" si="1"/>
        <v>Sun</v>
      </c>
      <c r="B340" s="69">
        <v>43800.0</v>
      </c>
      <c r="S340" s="15"/>
    </row>
    <row r="341">
      <c r="A341" s="67" t="str">
        <f t="shared" si="1"/>
        <v>Mon</v>
      </c>
      <c r="B341" s="69">
        <v>43801.0</v>
      </c>
      <c r="S341" s="15"/>
    </row>
    <row r="342">
      <c r="A342" s="67" t="str">
        <f t="shared" si="1"/>
        <v>Tue</v>
      </c>
      <c r="B342" s="69">
        <v>43802.0</v>
      </c>
      <c r="S342" s="15"/>
    </row>
    <row r="343">
      <c r="A343" s="67" t="str">
        <f t="shared" si="1"/>
        <v>Wed</v>
      </c>
      <c r="B343" s="69">
        <v>43803.0</v>
      </c>
      <c r="S343" s="15"/>
    </row>
    <row r="344">
      <c r="A344" s="67" t="str">
        <f t="shared" si="1"/>
        <v>Thu</v>
      </c>
      <c r="B344" s="69">
        <v>43804.0</v>
      </c>
      <c r="S344" s="15"/>
    </row>
    <row r="345">
      <c r="A345" s="67" t="str">
        <f t="shared" si="1"/>
        <v>Fri</v>
      </c>
      <c r="B345" s="69">
        <v>43805.0</v>
      </c>
      <c r="S345" s="15"/>
    </row>
    <row r="346">
      <c r="A346" s="67" t="str">
        <f t="shared" si="1"/>
        <v>Sat</v>
      </c>
      <c r="B346" s="69">
        <v>43806.0</v>
      </c>
      <c r="S346" s="15"/>
    </row>
    <row r="347">
      <c r="A347" s="67" t="str">
        <f t="shared" si="1"/>
        <v>Sun</v>
      </c>
      <c r="B347" s="69">
        <v>43807.0</v>
      </c>
      <c r="S347" s="15"/>
    </row>
    <row r="348">
      <c r="A348" s="67" t="str">
        <f t="shared" si="1"/>
        <v>Mon</v>
      </c>
      <c r="B348" s="69">
        <v>43808.0</v>
      </c>
      <c r="S348" s="15"/>
    </row>
    <row r="349">
      <c r="A349" s="67" t="str">
        <f t="shared" si="1"/>
        <v>Tue</v>
      </c>
      <c r="B349" s="69">
        <v>43809.0</v>
      </c>
      <c r="S349" s="15"/>
    </row>
    <row r="350">
      <c r="A350" s="67" t="str">
        <f t="shared" si="1"/>
        <v>Wed</v>
      </c>
      <c r="B350" s="69">
        <v>43810.0</v>
      </c>
      <c r="S350" s="15"/>
    </row>
    <row r="351">
      <c r="A351" s="67" t="str">
        <f t="shared" si="1"/>
        <v>Thu</v>
      </c>
      <c r="B351" s="69">
        <v>43811.0</v>
      </c>
      <c r="S351" s="15"/>
    </row>
    <row r="352">
      <c r="A352" s="67" t="str">
        <f t="shared" si="1"/>
        <v>Fri</v>
      </c>
      <c r="B352" s="69">
        <v>43812.0</v>
      </c>
      <c r="S352" s="15"/>
    </row>
    <row r="353">
      <c r="A353" s="67" t="str">
        <f t="shared" si="1"/>
        <v>Sat</v>
      </c>
      <c r="B353" s="69">
        <v>43813.0</v>
      </c>
      <c r="S353" s="15"/>
    </row>
    <row r="354">
      <c r="A354" s="67" t="str">
        <f t="shared" si="1"/>
        <v>Sun</v>
      </c>
      <c r="B354" s="69">
        <v>43814.0</v>
      </c>
      <c r="S354" s="15"/>
    </row>
    <row r="355">
      <c r="A355" s="67" t="str">
        <f t="shared" si="1"/>
        <v>Mon</v>
      </c>
      <c r="B355" s="69">
        <v>43815.0</v>
      </c>
      <c r="S355" s="15"/>
    </row>
    <row r="356">
      <c r="A356" s="67" t="str">
        <f t="shared" si="1"/>
        <v>Tue</v>
      </c>
      <c r="B356" s="69">
        <v>43816.0</v>
      </c>
      <c r="S356" s="15"/>
    </row>
    <row r="357">
      <c r="A357" s="67" t="str">
        <f t="shared" si="1"/>
        <v>Wed</v>
      </c>
      <c r="B357" s="69">
        <v>43817.0</v>
      </c>
      <c r="S357" s="15"/>
    </row>
    <row r="358">
      <c r="A358" s="67" t="str">
        <f t="shared" si="1"/>
        <v>Thu</v>
      </c>
      <c r="B358" s="69">
        <v>43818.0</v>
      </c>
      <c r="S358" s="15"/>
    </row>
    <row r="359">
      <c r="A359" s="67" t="str">
        <f t="shared" si="1"/>
        <v>Fri</v>
      </c>
      <c r="B359" s="69">
        <v>43819.0</v>
      </c>
      <c r="S359" s="15"/>
    </row>
    <row r="360">
      <c r="A360" s="67" t="str">
        <f t="shared" si="1"/>
        <v>Sat</v>
      </c>
      <c r="B360" s="69">
        <v>43820.0</v>
      </c>
      <c r="S360" s="15"/>
    </row>
    <row r="361">
      <c r="A361" s="67" t="str">
        <f t="shared" si="1"/>
        <v>Sun</v>
      </c>
      <c r="B361" s="69">
        <v>43821.0</v>
      </c>
      <c r="S361" s="15"/>
    </row>
    <row r="362">
      <c r="A362" s="67" t="str">
        <f t="shared" si="1"/>
        <v>Mon</v>
      </c>
      <c r="B362" s="69">
        <v>43822.0</v>
      </c>
      <c r="S362" s="15"/>
    </row>
    <row r="363">
      <c r="A363" s="67" t="str">
        <f t="shared" si="1"/>
        <v>Tue</v>
      </c>
      <c r="B363" s="69">
        <v>43823.0</v>
      </c>
      <c r="S363" s="15"/>
    </row>
    <row r="364">
      <c r="A364" s="67" t="str">
        <f t="shared" si="1"/>
        <v>Wed</v>
      </c>
      <c r="B364" s="69">
        <v>43824.0</v>
      </c>
      <c r="S364" s="15"/>
    </row>
    <row r="365">
      <c r="A365" s="67" t="str">
        <f t="shared" si="1"/>
        <v>Thu</v>
      </c>
      <c r="B365" s="69">
        <v>43825.0</v>
      </c>
      <c r="S365" s="15"/>
    </row>
    <row r="366">
      <c r="A366" s="67" t="str">
        <f t="shared" si="1"/>
        <v>Fri</v>
      </c>
      <c r="B366" s="69">
        <v>43826.0</v>
      </c>
      <c r="S366" s="15"/>
    </row>
    <row r="367">
      <c r="A367" s="67" t="str">
        <f t="shared" si="1"/>
        <v>Sat</v>
      </c>
      <c r="B367" s="69">
        <v>43827.0</v>
      </c>
      <c r="S367" s="15"/>
    </row>
    <row r="368">
      <c r="A368" s="67" t="str">
        <f t="shared" si="1"/>
        <v>Sun</v>
      </c>
      <c r="B368" s="69">
        <v>43828.0</v>
      </c>
      <c r="S368" s="15"/>
    </row>
    <row r="369">
      <c r="A369" s="67" t="str">
        <f t="shared" si="1"/>
        <v>Mon</v>
      </c>
      <c r="B369" s="69">
        <v>43829.0</v>
      </c>
      <c r="S369" s="15"/>
    </row>
    <row r="370">
      <c r="A370" s="67" t="str">
        <f t="shared" si="1"/>
        <v>Tue</v>
      </c>
      <c r="B370" s="69">
        <v>43830.0</v>
      </c>
      <c r="S370" s="15"/>
    </row>
  </sheetData>
  <mergeCells count="5">
    <mergeCell ref="E1:F1"/>
    <mergeCell ref="E2:F2"/>
    <mergeCell ref="E3:F3"/>
    <mergeCell ref="A1:C3"/>
    <mergeCell ref="G1:S3"/>
  </mergeCells>
  <conditionalFormatting sqref="K4:L370">
    <cfRule type="cellIs" dxfId="0" priority="1" operator="equal">
      <formula>"Enviar email para hotel"</formula>
    </cfRule>
  </conditionalFormatting>
  <dataValidations>
    <dataValidation type="list" allowBlank="1" sqref="L6:L61">
      <formula1>"Enviar email para hotel,Enviado para o hotel,Código de reserva enviado para hóspede,Verificar dados com o hóspede,URGENTE,Fechado"</formula1>
    </dataValidation>
    <dataValidation type="list" allowBlank="1" sqref="L62:L370">
      <formula1>"OK,A FAZER"</formula1>
    </dataValidation>
    <dataValidation type="list" allowBlank="1" sqref="K6:K370">
      <formula1>"A PAGAR,PARCIALMENTE PAGO,PAGO"</formula1>
    </dataValidation>
  </dataValidations>
  <hyperlinks>
    <hyperlink display="Sumario" location="Sumario!A1" ref="A4"/>
  </hyperlinks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29"/>
    <col customWidth="1" min="2" max="2" width="24.57"/>
    <col customWidth="1" min="3" max="3" width="27.43"/>
    <col customWidth="1" min="5" max="5" width="16.71"/>
    <col customWidth="1" min="6" max="6" width="20.57"/>
    <col customWidth="1" min="7" max="8" width="18.43"/>
  </cols>
  <sheetData>
    <row r="1">
      <c r="A1" s="1"/>
      <c r="B1" s="3"/>
      <c r="C1" s="245" t="s">
        <v>2510</v>
      </c>
      <c r="D1" s="2"/>
      <c r="E1" s="2"/>
      <c r="F1" s="2"/>
      <c r="G1" s="2"/>
      <c r="H1" s="3"/>
    </row>
    <row r="2">
      <c r="A2" s="13"/>
      <c r="B2" s="15"/>
      <c r="H2" s="15"/>
    </row>
    <row r="3">
      <c r="A3" s="17"/>
      <c r="B3" s="21"/>
      <c r="C3" s="19"/>
      <c r="D3" s="19"/>
      <c r="E3" s="19"/>
      <c r="F3" s="19"/>
      <c r="G3" s="19"/>
      <c r="H3" s="21"/>
    </row>
    <row r="5">
      <c r="A5" s="42" t="s">
        <v>2511</v>
      </c>
      <c r="B5" s="45" t="s">
        <v>2512</v>
      </c>
      <c r="C5" s="45" t="s">
        <v>219</v>
      </c>
      <c r="D5" s="45" t="s">
        <v>220</v>
      </c>
      <c r="E5" s="45" t="s">
        <v>215</v>
      </c>
      <c r="F5" s="45" t="s">
        <v>216</v>
      </c>
      <c r="G5" s="45" t="s">
        <v>217</v>
      </c>
      <c r="H5" s="159" t="s">
        <v>218</v>
      </c>
    </row>
    <row r="6">
      <c r="A6" s="246" t="str">
        <f>Form!C2</f>
        <v>ILC2206</v>
      </c>
      <c r="B6" s="223" t="str">
        <f>Form!D2</f>
        <v>teste</v>
      </c>
      <c r="C6" s="247" t="str">
        <f>Form!M2</f>
        <v>asfdasfd</v>
      </c>
      <c r="D6" s="247">
        <f>Form!N2</f>
        <v>24234</v>
      </c>
      <c r="E6" s="247" t="str">
        <f>Form!J2</f>
        <v>asfas</v>
      </c>
      <c r="F6" s="247" t="str">
        <f>Form!K2</f>
        <v>asfas</v>
      </c>
      <c r="G6" s="247" t="str">
        <f>Form!L2</f>
        <v>asfdas</v>
      </c>
      <c r="H6" s="247" t="str">
        <f>Form!O2</f>
        <v>asfasdf</v>
      </c>
    </row>
    <row r="7">
      <c r="A7" s="248" t="str">
        <f>Form!C3</f>
        <v>ILC2413</v>
      </c>
      <c r="B7" s="4" t="str">
        <f>Form!D3</f>
        <v>Gustavo Kremer</v>
      </c>
      <c r="C7" s="166" t="str">
        <f>Form!M3</f>
        <v/>
      </c>
      <c r="D7" s="166" t="str">
        <f>Form!N3</f>
        <v/>
      </c>
      <c r="E7" s="166" t="str">
        <f>Form!J3</f>
        <v/>
      </c>
      <c r="F7" s="166" t="str">
        <f>Form!K3</f>
        <v/>
      </c>
      <c r="G7" s="166" t="str">
        <f>Form!L3</f>
        <v/>
      </c>
      <c r="H7" s="166" t="str">
        <f>Form!O3</f>
        <v/>
      </c>
    </row>
    <row r="8">
      <c r="A8" s="248" t="str">
        <f>Form!C4</f>
        <v>ILC1404</v>
      </c>
      <c r="B8" s="4" t="str">
        <f>Form!D4</f>
        <v>Bruna DallAgnol</v>
      </c>
      <c r="C8" s="166" t="str">
        <f>Form!M4</f>
        <v/>
      </c>
      <c r="D8" s="166" t="str">
        <f>Form!N4</f>
        <v>13 99707 1210</v>
      </c>
      <c r="E8" s="166" t="str">
        <f>Form!J4</f>
        <v/>
      </c>
      <c r="F8" s="166" t="str">
        <f>Form!K4</f>
        <v/>
      </c>
      <c r="G8" s="166" t="str">
        <f>Form!L4</f>
        <v/>
      </c>
      <c r="H8" s="166" t="str">
        <f>Form!O4</f>
        <v/>
      </c>
    </row>
    <row r="9">
      <c r="A9" s="248" t="str">
        <f>Form!C5</f>
        <v>ILC1111</v>
      </c>
      <c r="B9" s="4" t="str">
        <f>Form!D5</f>
        <v>Roberto Bertó</v>
      </c>
      <c r="C9" s="166" t="str">
        <f>Form!M5</f>
        <v>roberto.berto@gmail.com</v>
      </c>
      <c r="D9" s="166" t="str">
        <f>Form!N5</f>
        <v>51 9 9666 1509</v>
      </c>
      <c r="E9" s="166" t="str">
        <f>Form!J5</f>
        <v>Acompanhante 1</v>
      </c>
      <c r="F9" s="166" t="str">
        <f>Form!K5</f>
        <v>Acompanhante 2</v>
      </c>
      <c r="G9" s="166" t="str">
        <f>Form!L5</f>
        <v>Acompanhante 3</v>
      </c>
      <c r="H9" s="166" t="str">
        <f>Form!O5</f>
        <v/>
      </c>
    </row>
    <row r="10">
      <c r="A10" s="248" t="str">
        <f>Form!C6</f>
        <v>ILC4410</v>
      </c>
      <c r="B10" s="4" t="str">
        <f>Form!D6</f>
        <v>Gonzalo Pereyra Moine</v>
      </c>
      <c r="C10" s="178" t="s">
        <v>2516</v>
      </c>
      <c r="D10" s="249" t="s">
        <v>2517</v>
      </c>
      <c r="E10" s="178" t="s">
        <v>2518</v>
      </c>
      <c r="F10" s="224" t="s">
        <v>2519</v>
      </c>
      <c r="G10" s="178" t="s">
        <v>2520</v>
      </c>
      <c r="H10" s="166" t="str">
        <f>Form!O6</f>
        <v/>
      </c>
    </row>
    <row r="11">
      <c r="A11" s="248" t="str">
        <f>Form!C7</f>
        <v>ILC2412</v>
      </c>
      <c r="B11" s="4" t="str">
        <f>Form!D7</f>
        <v>Fernando Antonini</v>
      </c>
      <c r="C11" s="166" t="str">
        <f>Form!M7</f>
        <v>antonini.ctbmf@gmail.com</v>
      </c>
      <c r="D11" s="166" t="str">
        <f>Form!N7</f>
        <v>48 9 9946 5051</v>
      </c>
      <c r="E11" s="166" t="str">
        <f>Form!J7</f>
        <v>Aline Manenti</v>
      </c>
      <c r="F11" s="166" t="str">
        <f>Form!K7</f>
        <v/>
      </c>
      <c r="G11" s="166" t="str">
        <f>Form!L7</f>
        <v/>
      </c>
      <c r="H11" s="166" t="str">
        <f>Form!O7</f>
        <v/>
      </c>
    </row>
    <row r="12">
      <c r="A12" s="248" t="str">
        <f>Form!C8</f>
        <v>ILC3312</v>
      </c>
      <c r="B12" s="4" t="str">
        <f>Form!D8</f>
        <v>Raphael Rosa de Souza </v>
      </c>
      <c r="C12" s="166" t="str">
        <f>Form!M8</f>
        <v/>
      </c>
      <c r="D12" s="166" t="str">
        <f>Form!N8</f>
        <v>49 9 9914 2120</v>
      </c>
      <c r="E12" s="166" t="str">
        <f>Form!J8</f>
        <v>Mathias guidalli de Souza </v>
      </c>
      <c r="F12" s="166" t="str">
        <f>Form!K8</f>
        <v>Yuri guidalli de Souza </v>
      </c>
      <c r="G12" s="166" t="str">
        <f>Form!L8</f>
        <v/>
      </c>
      <c r="H12" s="166" t="str">
        <f>Form!O8</f>
        <v/>
      </c>
    </row>
    <row r="13">
      <c r="A13" s="248" t="str">
        <f>Form!C9</f>
        <v>ILC1112</v>
      </c>
      <c r="B13" s="4" t="str">
        <f>Form!D9</f>
        <v>Leticia de Oliveira Vieira</v>
      </c>
      <c r="C13" s="166" t="str">
        <f>Form!M9</f>
        <v>leticiaoliveiravieira.rh@gmail.com</v>
      </c>
      <c r="D13" s="166" t="str">
        <f>Form!N9</f>
        <v>47 9 9179 1886</v>
      </c>
      <c r="E13" s="166" t="str">
        <f>Form!J9</f>
        <v>Jonatas Barros Duarte</v>
      </c>
      <c r="F13" s="166" t="str">
        <f>Form!K9</f>
        <v/>
      </c>
      <c r="G13" s="166" t="str">
        <f>Form!L9</f>
        <v/>
      </c>
      <c r="H13" s="166" t="str">
        <f>Form!O9</f>
        <v/>
      </c>
    </row>
    <row r="14">
      <c r="A14" s="248" t="str">
        <f>Form!C10</f>
        <v>ILC2307</v>
      </c>
      <c r="B14" s="4" t="str">
        <f>Form!D10</f>
        <v>Andressa Sakuma</v>
      </c>
      <c r="C14" s="166" t="str">
        <f>Form!M10</f>
        <v/>
      </c>
      <c r="D14" s="166" t="str">
        <f>Form!N10</f>
        <v>41 9 9245 0054</v>
      </c>
      <c r="E14" s="166" t="str">
        <f>Form!J10</f>
        <v>Acompanhante 1</v>
      </c>
      <c r="F14" s="166" t="str">
        <f>Form!K10</f>
        <v/>
      </c>
      <c r="G14" s="166" t="str">
        <f>Form!L10</f>
        <v/>
      </c>
      <c r="H14" s="166" t="str">
        <f>Form!O10</f>
        <v/>
      </c>
    </row>
    <row r="15">
      <c r="A15" s="248" t="str">
        <f>Form!C11</f>
        <v>ILC1112</v>
      </c>
      <c r="B15" s="4" t="str">
        <f>Form!D11</f>
        <v>Cristiano Da Silva</v>
      </c>
      <c r="C15" s="166" t="str">
        <f>Form!M11</f>
        <v/>
      </c>
      <c r="D15" s="166" t="str">
        <f>Form!N11</f>
        <v>48 9 9686 2636</v>
      </c>
      <c r="E15" s="166" t="str">
        <f>Form!J11</f>
        <v>Acompanhante 1</v>
      </c>
      <c r="F15" s="166" t="str">
        <f>Form!K11</f>
        <v/>
      </c>
      <c r="G15" s="166"/>
      <c r="H15" s="166" t="str">
        <f>Form!O11</f>
        <v/>
      </c>
    </row>
    <row r="16">
      <c r="A16" s="248" t="str">
        <f>Form!C12</f>
        <v>JBV464</v>
      </c>
      <c r="B16" s="4" t="str">
        <f>Form!D12</f>
        <v>Monalisa Campos</v>
      </c>
      <c r="C16" s="166" t="str">
        <f>Form!M12</f>
        <v/>
      </c>
      <c r="D16" s="166" t="str">
        <f>Form!N12</f>
        <v>31 9 9477 8428</v>
      </c>
      <c r="E16" s="166" t="str">
        <f>Form!J12</f>
        <v>Acompanhante 1</v>
      </c>
      <c r="F16" s="166" t="str">
        <f>Form!K12</f>
        <v/>
      </c>
      <c r="G16" s="166"/>
      <c r="H16" s="166" t="str">
        <f>Form!O12</f>
        <v/>
      </c>
    </row>
    <row r="17">
      <c r="A17" s="248" t="str">
        <f>Form!C13</f>
        <v>ILC1112</v>
      </c>
      <c r="B17" s="4" t="str">
        <f>Form!D13</f>
        <v>Nathalia Sousa</v>
      </c>
      <c r="C17" s="166" t="str">
        <f>Form!M13</f>
        <v/>
      </c>
      <c r="D17" s="166" t="str">
        <f>Form!N13</f>
        <v>51 9 9419 4474</v>
      </c>
      <c r="E17" s="166" t="str">
        <f>Form!J13</f>
        <v>Acompanhante 1</v>
      </c>
      <c r="F17" s="166" t="str">
        <f>Form!K13</f>
        <v>Acompanhante 2</v>
      </c>
      <c r="G17" s="166"/>
      <c r="H17" s="166" t="str">
        <f>Form!O13</f>
        <v/>
      </c>
    </row>
    <row r="18">
      <c r="A18" s="248" t="str">
        <f>Form!C14</f>
        <v>JBV464</v>
      </c>
      <c r="B18" s="4" t="str">
        <f>Form!D14</f>
        <v>Maria Helena Rodrigues Remedio</v>
      </c>
      <c r="C18" s="166" t="str">
        <f>Form!M14</f>
        <v/>
      </c>
      <c r="D18" s="166" t="str">
        <f>Form!N14</f>
        <v>51 9 9668 4292</v>
      </c>
      <c r="E18" s="166" t="str">
        <f>Form!J14</f>
        <v>Acompanhante 1</v>
      </c>
      <c r="F18" s="166" t="str">
        <f>Form!K14</f>
        <v/>
      </c>
      <c r="G18" s="166"/>
      <c r="H18" s="166" t="str">
        <f>Form!O14</f>
        <v/>
      </c>
    </row>
    <row r="19">
      <c r="A19" s="248" t="str">
        <f>Form!C15</f>
        <v>ILC4410</v>
      </c>
      <c r="B19" s="4" t="str">
        <f>Form!D15</f>
        <v>Ivan Carmo</v>
      </c>
      <c r="C19" s="166" t="str">
        <f>Form!M15</f>
        <v/>
      </c>
      <c r="D19" s="166" t="str">
        <f>Form!N15</f>
        <v>41 9 9264 4674</v>
      </c>
      <c r="E19" s="166" t="str">
        <f>Form!J15</f>
        <v>Acompanhante 1</v>
      </c>
      <c r="F19" s="166" t="str">
        <f>Form!K15</f>
        <v>Acompanhante 2</v>
      </c>
      <c r="G19" s="241" t="str">
        <f>Form!L15</f>
        <v>Acompanhante 3</v>
      </c>
      <c r="H19" s="166" t="str">
        <f>Form!O15</f>
        <v/>
      </c>
    </row>
    <row r="20">
      <c r="A20" s="248" t="str">
        <f>Form!C16</f>
        <v>ILC3415</v>
      </c>
      <c r="B20" s="4" t="str">
        <f>Form!D16</f>
        <v>Marina Cardoso</v>
      </c>
      <c r="C20" s="166" t="str">
        <f>Form!M16</f>
        <v/>
      </c>
      <c r="D20" s="166" t="str">
        <f>Form!N16</f>
        <v>51 9 9997 9855</v>
      </c>
      <c r="E20" s="166" t="str">
        <f>Form!J16</f>
        <v>Acompanhante 1</v>
      </c>
      <c r="F20" s="166" t="str">
        <f>Form!K16</f>
        <v/>
      </c>
      <c r="G20" s="241" t="str">
        <f>Form!L16</f>
        <v/>
      </c>
      <c r="H20" s="166" t="str">
        <f>Form!O16</f>
        <v/>
      </c>
    </row>
    <row r="21">
      <c r="A21" s="248" t="str">
        <f>Form!C17</f>
        <v>ILC2307</v>
      </c>
      <c r="B21" s="4" t="str">
        <f>Form!D17</f>
        <v>John Hiroshi Sakuma</v>
      </c>
      <c r="C21" s="166" t="str">
        <f>Form!M17</f>
        <v>41 9 9143 0800</v>
      </c>
      <c r="D21" s="166" t="str">
        <f>Form!N17</f>
        <v>sandra.omori@yahoo.com.br</v>
      </c>
      <c r="E21" s="166" t="str">
        <f>Form!J17</f>
        <v>Sandra Aiko Omori</v>
      </c>
      <c r="F21" s="166" t="str">
        <f>Form!K17</f>
        <v/>
      </c>
      <c r="G21" s="241" t="str">
        <f>Form!L17</f>
        <v/>
      </c>
      <c r="H21" s="166" t="str">
        <f>Form!O17</f>
        <v/>
      </c>
    </row>
    <row r="22">
      <c r="A22" s="248" t="str">
        <f>Form!C18</f>
        <v>ILC2307</v>
      </c>
      <c r="B22" s="4" t="str">
        <f>Form!D18</f>
        <v>Nataly Heitor Martini</v>
      </c>
      <c r="C22" s="166" t="str">
        <f>Form!M18</f>
        <v>natalymartini@gmail.com</v>
      </c>
      <c r="D22" s="166" t="str">
        <f>Form!N18</f>
        <v>65 9 8124 9599</v>
      </c>
      <c r="E22" s="166" t="str">
        <f>Form!J18</f>
        <v>Tiago Natari Vieira</v>
      </c>
      <c r="F22" s="166" t="str">
        <f>Form!K18</f>
        <v>Celine Martini Natari</v>
      </c>
      <c r="G22" s="241" t="str">
        <f>Form!L18</f>
        <v/>
      </c>
      <c r="H22" s="166" t="str">
        <f>Form!O18</f>
        <v/>
      </c>
    </row>
    <row r="23">
      <c r="A23" s="248" t="str">
        <f>Form!C19</f>
        <v>ILC1110</v>
      </c>
      <c r="B23" s="4" t="str">
        <f>Form!D19</f>
        <v>Caroline Azeredo </v>
      </c>
      <c r="C23" s="166" t="str">
        <f>Form!M19</f>
        <v>carolineazeredo@hotmail.com</v>
      </c>
      <c r="D23" s="166" t="str">
        <f>Form!N19</f>
        <v>61 9 8151 8853</v>
      </c>
      <c r="E23" s="166" t="str">
        <f>Form!J19</f>
        <v>Rodrigo Alencastro </v>
      </c>
      <c r="F23" s="166" t="str">
        <f>Form!K19</f>
        <v>Vanessa Baldini </v>
      </c>
      <c r="G23" s="241" t="str">
        <f>Form!L19</f>
        <v/>
      </c>
      <c r="H23" s="166" t="str">
        <f>Form!O19</f>
        <v/>
      </c>
    </row>
    <row r="24">
      <c r="A24" s="248" t="str">
        <f>Form!C20</f>
        <v>ILC1111</v>
      </c>
      <c r="B24" s="4" t="str">
        <f>Form!D20</f>
        <v>Isabele Luiza De Souza Schowartz</v>
      </c>
      <c r="C24" s="166" t="str">
        <f>Form!M20</f>
        <v/>
      </c>
      <c r="D24" s="166" t="str">
        <f>Form!N20</f>
        <v>61 9 8183 4653</v>
      </c>
      <c r="E24" s="166" t="str">
        <f>Form!J20</f>
        <v>Acompanhante 1</v>
      </c>
      <c r="F24" s="166" t="str">
        <f>Form!K20</f>
        <v>Acompanhante 2</v>
      </c>
      <c r="G24" s="241" t="str">
        <f>Form!L20</f>
        <v/>
      </c>
      <c r="H24" s="166" t="str">
        <f>Form!O20</f>
        <v/>
      </c>
    </row>
    <row r="25">
      <c r="A25" s="248" t="str">
        <f>Form!C21</f>
        <v>ILC1213</v>
      </c>
      <c r="B25" s="4" t="str">
        <f>Form!D21</f>
        <v>Isabela Boing</v>
      </c>
      <c r="C25" s="166" t="str">
        <f>Form!M21</f>
        <v/>
      </c>
      <c r="D25" s="166" t="str">
        <f>Form!N21</f>
        <v>48 9 9947 7216</v>
      </c>
      <c r="E25" s="166" t="str">
        <f>Form!J21</f>
        <v>Acompanhante 1</v>
      </c>
      <c r="F25" s="166" t="str">
        <f>Form!K21</f>
        <v/>
      </c>
      <c r="G25" s="241" t="str">
        <f>Form!L21</f>
        <v/>
      </c>
      <c r="H25" s="166" t="str">
        <f>Form!O21</f>
        <v/>
      </c>
    </row>
    <row r="26">
      <c r="A26" s="248" t="str">
        <f>Form!C22</f>
        <v>ILC4410</v>
      </c>
      <c r="B26" s="4" t="str">
        <f>Form!D22</f>
        <v>Diogo Sabino</v>
      </c>
      <c r="C26" s="166" t="str">
        <f>Form!M22</f>
        <v/>
      </c>
      <c r="D26" s="166" t="str">
        <f>Form!N22</f>
        <v>43 9 9123 8644</v>
      </c>
      <c r="E26" s="166" t="str">
        <f>Form!J22</f>
        <v>Acompanhante 1</v>
      </c>
      <c r="F26" s="166" t="str">
        <f>Form!K22</f>
        <v/>
      </c>
      <c r="G26" s="241" t="str">
        <f>Form!L22</f>
        <v/>
      </c>
      <c r="H26" s="166" t="str">
        <f>Form!O22</f>
        <v/>
      </c>
    </row>
    <row r="27">
      <c r="A27" s="248" t="str">
        <f>Form!C23</f>
        <v>ILC3312</v>
      </c>
      <c r="B27" s="4" t="str">
        <f>Form!D23</f>
        <v>Naomi Chouveke</v>
      </c>
      <c r="C27" s="166" t="str">
        <f>Form!M23</f>
        <v>11 9 9980 6022</v>
      </c>
      <c r="D27" s="166" t="str">
        <f>Form!N23</f>
        <v>josephchouveke@gmail.com</v>
      </c>
      <c r="E27" s="166" t="str">
        <f>Form!J23</f>
        <v>Yael Chouveke</v>
      </c>
      <c r="F27" s="166" t="str">
        <f>Form!K23</f>
        <v>Israel Chouveke</v>
      </c>
      <c r="G27" s="241" t="str">
        <f>Form!L23</f>
        <v>David Chouveke</v>
      </c>
      <c r="H27" s="166" t="str">
        <f>Form!O23</f>
        <v/>
      </c>
    </row>
    <row r="28">
      <c r="A28" s="248" t="str">
        <f>Form!C24</f>
        <v>ILC3310</v>
      </c>
      <c r="B28" s="4" t="str">
        <f>Form!D24</f>
        <v>Joseph Elie Chouveke</v>
      </c>
      <c r="C28" s="166" t="str">
        <f>Form!M24</f>
        <v>11 9 9980 6022</v>
      </c>
      <c r="D28" s="166" t="str">
        <f>Form!N24</f>
        <v>josephchouveke@gmail.com</v>
      </c>
      <c r="E28" s="166" t="str">
        <f>Form!J24</f>
        <v>Miriam Chouveke</v>
      </c>
      <c r="F28" s="166" t="str">
        <f>Form!K24</f>
        <v/>
      </c>
      <c r="G28" s="241" t="str">
        <f>Form!L24</f>
        <v/>
      </c>
      <c r="H28" s="166" t="str">
        <f>Form!O24</f>
        <v/>
      </c>
    </row>
    <row r="29">
      <c r="A29" s="248" t="str">
        <f>Form!C25</f>
        <v>ILC3104</v>
      </c>
      <c r="B29" s="4" t="str">
        <f>Form!D25</f>
        <v>Rodrigo de Bastos</v>
      </c>
      <c r="C29" s="166" t="str">
        <f>Form!M25</f>
        <v>rd.bastosit@gmail.com</v>
      </c>
      <c r="D29" s="166" t="str">
        <f>Form!N25</f>
        <v>11 9 9791 1826</v>
      </c>
      <c r="E29" s="166" t="str">
        <f>Form!J25</f>
        <v>Acompanhante 1</v>
      </c>
      <c r="F29" s="166" t="str">
        <f>Form!K25</f>
        <v/>
      </c>
      <c r="G29" s="241" t="str">
        <f>Form!L25</f>
        <v/>
      </c>
      <c r="H29" s="166" t="str">
        <f>Form!O25</f>
        <v/>
      </c>
    </row>
    <row r="30">
      <c r="A30" s="248" t="str">
        <f>Form!C26</f>
        <v>JBV455</v>
      </c>
      <c r="B30" s="4" t="str">
        <f>Form!D26</f>
        <v>Sheila B. Rycheta</v>
      </c>
      <c r="C30" s="166" t="str">
        <f>Form!M26</f>
        <v/>
      </c>
      <c r="D30" s="166" t="str">
        <f>Form!N26</f>
        <v>41 9 8411 2236</v>
      </c>
      <c r="E30" s="166" t="str">
        <f>Form!J26</f>
        <v>Acompanhante 1</v>
      </c>
      <c r="F30" s="166" t="str">
        <f>Form!K26</f>
        <v>Acompanhante 2</v>
      </c>
      <c r="G30" s="241" t="str">
        <f>Form!L26</f>
        <v>Acompanhante 3 + 4</v>
      </c>
      <c r="H30" s="166" t="str">
        <f>Form!O26</f>
        <v/>
      </c>
    </row>
    <row r="31">
      <c r="A31" s="248" t="str">
        <f>Form!C27</f>
        <v>ILC1111</v>
      </c>
      <c r="B31" s="4" t="str">
        <f>Form!D27</f>
        <v>Karollyne Branco De Melo</v>
      </c>
      <c r="C31" s="166" t="str">
        <f>Form!M27</f>
        <v/>
      </c>
      <c r="D31" s="166" t="str">
        <f>Form!N27</f>
        <v>7 930 855 02 08</v>
      </c>
      <c r="E31" s="166" t="str">
        <f>Form!J27</f>
        <v>Acompanhante 1</v>
      </c>
      <c r="F31" s="166" t="str">
        <f>Form!K27</f>
        <v/>
      </c>
      <c r="G31" s="241" t="str">
        <f>Form!L27</f>
        <v/>
      </c>
      <c r="H31" s="166" t="str">
        <f>Form!O27</f>
        <v/>
      </c>
    </row>
    <row r="32">
      <c r="A32" s="248" t="str">
        <f>Form!C28</f>
        <v>JBV464</v>
      </c>
      <c r="B32" s="4" t="str">
        <f>Form!D28</f>
        <v>Marlo Herrmann</v>
      </c>
      <c r="C32" s="166" t="str">
        <f>Form!M28</f>
        <v/>
      </c>
      <c r="D32" s="166" t="str">
        <f>Form!N28</f>
        <v> 51 9 9940 1466</v>
      </c>
      <c r="E32" s="166" t="str">
        <f>Form!J28</f>
        <v>Acompanhante 1</v>
      </c>
      <c r="F32" s="166" t="str">
        <f>Form!K28</f>
        <v/>
      </c>
      <c r="G32" s="241" t="str">
        <f>Form!L28</f>
        <v/>
      </c>
      <c r="H32" s="166" t="str">
        <f>Form!O28</f>
        <v/>
      </c>
    </row>
    <row r="33">
      <c r="A33" s="248" t="str">
        <f>Form!C29</f>
        <v>ILC1112</v>
      </c>
      <c r="B33" s="4" t="str">
        <f>Form!D29</f>
        <v>Vera Lucia Razente</v>
      </c>
      <c r="C33" s="166" t="str">
        <f>Form!M29</f>
        <v/>
      </c>
      <c r="D33" s="166" t="str">
        <f>Form!N29</f>
        <v>44 9 9997 7754</v>
      </c>
      <c r="E33" s="166" t="str">
        <f>Form!J29</f>
        <v>Acompanhante 1</v>
      </c>
      <c r="F33" s="166" t="str">
        <f>Form!K29</f>
        <v>Acompanhante 2</v>
      </c>
      <c r="G33" s="241" t="str">
        <f>Form!L29</f>
        <v/>
      </c>
      <c r="H33" s="166" t="str">
        <f>Form!O29</f>
        <v/>
      </c>
    </row>
    <row r="34">
      <c r="A34" s="248" t="str">
        <f>Form!C30</f>
        <v>ILC1111</v>
      </c>
      <c r="B34" s="4" t="str">
        <f>Form!D30</f>
        <v>Aline Razente</v>
      </c>
      <c r="C34" s="166" t="str">
        <f>Form!M30</f>
        <v/>
      </c>
      <c r="D34" s="166" t="str">
        <f>Form!N30</f>
        <v>44 9 9997 7753</v>
      </c>
      <c r="E34" s="166" t="str">
        <f>Form!J30</f>
        <v>Mariluiza Razente</v>
      </c>
      <c r="F34" s="166" t="str">
        <f>Form!K30</f>
        <v>Wagner Spirandelli</v>
      </c>
      <c r="G34" s="241" t="str">
        <f>Form!L30</f>
        <v/>
      </c>
      <c r="H34" s="166" t="str">
        <f>Form!O30</f>
        <v/>
      </c>
    </row>
    <row r="35">
      <c r="A35" s="248" t="str">
        <f>Form!C31</f>
        <v>ILC1110</v>
      </c>
      <c r="B35" s="4" t="str">
        <f>Form!D31</f>
        <v>Aline Razente</v>
      </c>
      <c r="C35" s="166" t="str">
        <f>Form!M31</f>
        <v/>
      </c>
      <c r="D35" s="166" t="str">
        <f>Form!N31</f>
        <v>44 9 9997 7753</v>
      </c>
      <c r="E35" s="166" t="str">
        <f>Form!J31</f>
        <v>Joslei Barbosa</v>
      </c>
      <c r="F35" s="166" t="str">
        <f>Form!K31</f>
        <v/>
      </c>
      <c r="G35" s="241" t="str">
        <f>Form!L31</f>
        <v/>
      </c>
      <c r="H35" s="166" t="str">
        <f>Form!O31</f>
        <v/>
      </c>
    </row>
    <row r="36">
      <c r="A36" s="248" t="str">
        <f>Form!C32</f>
        <v>ILC1314</v>
      </c>
      <c r="B36" s="4" t="str">
        <f>Form!D32</f>
        <v>Kendi Yamamoto</v>
      </c>
      <c r="C36" s="166" t="str">
        <f>Form!M32</f>
        <v/>
      </c>
      <c r="D36" s="166" t="str">
        <f>Form!N32</f>
        <v>47 9 8836 4795</v>
      </c>
      <c r="E36" s="166" t="str">
        <f>Form!J32</f>
        <v>Acompanhante 1</v>
      </c>
      <c r="F36" s="166" t="str">
        <f>Form!K32</f>
        <v>Acompanhante 2</v>
      </c>
      <c r="G36" s="241" t="str">
        <f>Form!L32</f>
        <v/>
      </c>
      <c r="H36" s="166" t="str">
        <f>Form!O32</f>
        <v/>
      </c>
    </row>
    <row r="37">
      <c r="A37" s="248" t="str">
        <f>Form!C33</f>
        <v>JBV462</v>
      </c>
      <c r="B37" s="4" t="str">
        <f>Form!D33</f>
        <v>Anicoli Romanini</v>
      </c>
      <c r="C37" s="166" t="str">
        <f>Form!M33</f>
        <v>anicoliromanini@yahoo.com.br</v>
      </c>
      <c r="D37" s="166" t="str">
        <f>Form!N33</f>
        <v>54 9 9163 4020</v>
      </c>
      <c r="E37" s="166" t="str">
        <f>Form!J33</f>
        <v>Graziela Romanini</v>
      </c>
      <c r="F37" s="166" t="str">
        <f>Form!K33</f>
        <v>Grasiane Romanini</v>
      </c>
      <c r="G37" s="241" t="str">
        <f>Form!L33</f>
        <v/>
      </c>
      <c r="H37" s="166" t="str">
        <f>Form!O33</f>
        <v/>
      </c>
    </row>
    <row r="38">
      <c r="A38" s="248" t="str">
        <f>Form!C34</f>
        <v>ILC1213</v>
      </c>
      <c r="B38" s="4" t="str">
        <f>Form!D34</f>
        <v>Aline Razente</v>
      </c>
      <c r="C38" s="166" t="str">
        <f>Form!M34</f>
        <v>alinerazente@gmail.com</v>
      </c>
      <c r="D38" s="166" t="str">
        <f>Form!N34</f>
        <v>44 99997 7753</v>
      </c>
      <c r="E38" s="166" t="str">
        <f>Form!J34</f>
        <v>Acompanhante 1</v>
      </c>
      <c r="F38" s="166" t="str">
        <f>Form!K34</f>
        <v/>
      </c>
      <c r="G38" s="241" t="str">
        <f>Form!L34</f>
        <v/>
      </c>
      <c r="H38" s="166" t="str">
        <f>Form!O34</f>
        <v/>
      </c>
    </row>
    <row r="39">
      <c r="A39" s="248" t="str">
        <f>Form!C35</f>
        <v>ILC1112</v>
      </c>
      <c r="B39" s="4" t="str">
        <f>Form!D35</f>
        <v>Jamille Amaral Chelala</v>
      </c>
      <c r="C39" s="166" t="str">
        <f>Form!M35</f>
        <v/>
      </c>
      <c r="D39" s="166" t="str">
        <f>Form!N35</f>
        <v>47 9 9654 9034</v>
      </c>
      <c r="E39" s="166" t="str">
        <f>Form!J35</f>
        <v>Jeferson Roberto Heidecke</v>
      </c>
      <c r="F39" s="166" t="str">
        <f>Form!K35</f>
        <v/>
      </c>
      <c r="G39" s="241" t="str">
        <f>Form!L35</f>
        <v/>
      </c>
      <c r="H39" s="166" t="str">
        <f>Form!O35</f>
        <v/>
      </c>
    </row>
    <row r="40">
      <c r="A40" s="248" t="str">
        <f>Form!C36</f>
        <v/>
      </c>
      <c r="B40" s="4" t="str">
        <f>Form!D36</f>
        <v/>
      </c>
      <c r="C40" s="166" t="str">
        <f>Form!M36</f>
        <v/>
      </c>
      <c r="D40" s="166" t="str">
        <f>Form!N36</f>
        <v/>
      </c>
      <c r="E40" s="166" t="str">
        <f>Form!J36</f>
        <v/>
      </c>
      <c r="F40" s="166" t="str">
        <f>Form!K36</f>
        <v/>
      </c>
      <c r="G40" s="241" t="str">
        <f>Form!L36</f>
        <v/>
      </c>
      <c r="H40" s="166" t="str">
        <f>Form!O36</f>
        <v/>
      </c>
    </row>
    <row r="41">
      <c r="A41" s="248" t="str">
        <f>Form!C37</f>
        <v/>
      </c>
      <c r="B41" s="4" t="str">
        <f>Form!D37</f>
        <v/>
      </c>
      <c r="C41" s="166" t="str">
        <f>Form!M37</f>
        <v/>
      </c>
      <c r="D41" s="166" t="str">
        <f>Form!N37</f>
        <v/>
      </c>
      <c r="E41" s="166" t="str">
        <f>Form!J37</f>
        <v/>
      </c>
      <c r="F41" s="166" t="str">
        <f>Form!K37</f>
        <v/>
      </c>
      <c r="G41" s="166"/>
      <c r="H41" s="166" t="str">
        <f>Form!O37</f>
        <v/>
      </c>
    </row>
    <row r="42">
      <c r="A42" s="248" t="str">
        <f>Form!C38</f>
        <v/>
      </c>
      <c r="B42" s="4" t="str">
        <f>Form!D38</f>
        <v/>
      </c>
      <c r="C42" s="166" t="str">
        <f>Form!M38</f>
        <v/>
      </c>
      <c r="D42" s="166" t="str">
        <f>Form!N38</f>
        <v/>
      </c>
      <c r="E42" s="166" t="str">
        <f>Form!J38</f>
        <v/>
      </c>
      <c r="F42" s="166" t="str">
        <f>Form!K38</f>
        <v/>
      </c>
      <c r="G42" s="166"/>
      <c r="H42" s="166" t="str">
        <f>Form!O38</f>
        <v/>
      </c>
    </row>
    <row r="43">
      <c r="A43" s="248" t="str">
        <f>Form!C39</f>
        <v/>
      </c>
      <c r="B43" s="4" t="str">
        <f>Form!D39</f>
        <v/>
      </c>
      <c r="C43" s="166" t="str">
        <f>Form!M39</f>
        <v/>
      </c>
      <c r="D43" s="166" t="str">
        <f>Form!N39</f>
        <v/>
      </c>
      <c r="E43" s="166" t="str">
        <f>Form!J39</f>
        <v/>
      </c>
      <c r="F43" s="166" t="str">
        <f>Form!K39</f>
        <v/>
      </c>
      <c r="G43" s="166"/>
      <c r="H43" s="166" t="str">
        <f>Form!O39</f>
        <v/>
      </c>
    </row>
    <row r="44">
      <c r="A44" s="248" t="str">
        <f>Form!C40</f>
        <v/>
      </c>
      <c r="B44" s="4" t="str">
        <f>Form!D40</f>
        <v/>
      </c>
      <c r="C44" s="166" t="str">
        <f>Form!M40</f>
        <v/>
      </c>
      <c r="D44" s="166" t="str">
        <f>Form!N40</f>
        <v/>
      </c>
      <c r="E44" s="166" t="str">
        <f>Form!J40</f>
        <v/>
      </c>
      <c r="F44" s="166" t="str">
        <f>Form!K40</f>
        <v/>
      </c>
      <c r="G44" s="166"/>
      <c r="H44" s="166" t="str">
        <f>Form!O40</f>
        <v/>
      </c>
    </row>
    <row r="45">
      <c r="A45" s="248" t="str">
        <f>Form!C41</f>
        <v/>
      </c>
      <c r="B45" s="4" t="str">
        <f>Form!D41</f>
        <v/>
      </c>
      <c r="C45" s="166" t="str">
        <f>Form!M41</f>
        <v/>
      </c>
      <c r="D45" s="166" t="str">
        <f>Form!N41</f>
        <v/>
      </c>
      <c r="E45" s="166" t="str">
        <f>Form!J41</f>
        <v/>
      </c>
      <c r="F45" s="166" t="str">
        <f>Form!K41</f>
        <v/>
      </c>
      <c r="G45" s="166"/>
      <c r="H45" s="166" t="str">
        <f>Form!O41</f>
        <v/>
      </c>
    </row>
    <row r="46">
      <c r="A46" s="248" t="str">
        <f>Form!C42</f>
        <v/>
      </c>
      <c r="B46" s="4" t="str">
        <f>Form!D42</f>
        <v/>
      </c>
      <c r="C46" s="166" t="str">
        <f>Form!M42</f>
        <v/>
      </c>
      <c r="D46" s="166" t="str">
        <f>Form!N42</f>
        <v/>
      </c>
      <c r="E46" s="166" t="str">
        <f>Form!J42</f>
        <v/>
      </c>
      <c r="F46" s="166" t="str">
        <f>Form!K42</f>
        <v/>
      </c>
      <c r="G46" s="166"/>
      <c r="H46" s="166" t="str">
        <f>Form!O42</f>
        <v/>
      </c>
    </row>
    <row r="47">
      <c r="A47" s="248" t="str">
        <f>Form!C43</f>
        <v/>
      </c>
      <c r="B47" s="4" t="str">
        <f>Form!D43</f>
        <v/>
      </c>
      <c r="C47" s="166" t="str">
        <f>Form!M43</f>
        <v/>
      </c>
      <c r="D47" s="166" t="str">
        <f>Form!N43</f>
        <v/>
      </c>
      <c r="E47" s="166" t="str">
        <f>Form!J43</f>
        <v/>
      </c>
      <c r="F47" s="166" t="str">
        <f>Form!K43</f>
        <v/>
      </c>
      <c r="G47" s="166"/>
      <c r="H47" s="166" t="str">
        <f>Form!O43</f>
        <v/>
      </c>
    </row>
    <row r="48">
      <c r="A48" s="248" t="str">
        <f>Form!C44</f>
        <v/>
      </c>
      <c r="B48" s="4" t="str">
        <f>Form!D44</f>
        <v/>
      </c>
      <c r="C48" s="166" t="str">
        <f>Form!M44</f>
        <v/>
      </c>
      <c r="D48" s="166" t="str">
        <f>Form!N44</f>
        <v/>
      </c>
      <c r="E48" s="166" t="str">
        <f>Form!J44</f>
        <v/>
      </c>
      <c r="F48" s="166" t="str">
        <f>Form!K44</f>
        <v/>
      </c>
      <c r="G48" s="166"/>
      <c r="H48" s="166" t="str">
        <f>Form!O44</f>
        <v/>
      </c>
    </row>
    <row r="49">
      <c r="A49" s="248" t="str">
        <f>Form!C45</f>
        <v/>
      </c>
      <c r="B49" s="4" t="str">
        <f>Form!D45</f>
        <v/>
      </c>
      <c r="C49" s="166" t="str">
        <f>Form!M45</f>
        <v/>
      </c>
      <c r="D49" s="166" t="str">
        <f>Form!N45</f>
        <v/>
      </c>
      <c r="E49" s="166" t="str">
        <f>Form!J45</f>
        <v/>
      </c>
      <c r="F49" s="166" t="str">
        <f>Form!K45</f>
        <v/>
      </c>
      <c r="G49" s="166"/>
      <c r="H49" s="166" t="str">
        <f>Form!O45</f>
        <v/>
      </c>
    </row>
    <row r="50">
      <c r="A50" s="248" t="str">
        <f>Form!C46</f>
        <v/>
      </c>
      <c r="B50" s="4" t="str">
        <f>Form!D46</f>
        <v/>
      </c>
      <c r="C50" s="166" t="str">
        <f>Form!M46</f>
        <v/>
      </c>
      <c r="D50" s="166" t="str">
        <f>Form!N46</f>
        <v/>
      </c>
      <c r="E50" s="166" t="str">
        <f>Form!J46</f>
        <v/>
      </c>
      <c r="F50" s="166" t="str">
        <f>Form!K46</f>
        <v/>
      </c>
      <c r="G50" s="166"/>
      <c r="H50" s="166" t="str">
        <f>Form!O46</f>
        <v/>
      </c>
    </row>
    <row r="51">
      <c r="A51" s="248" t="str">
        <f>Form!C47</f>
        <v/>
      </c>
      <c r="B51" s="4" t="str">
        <f>Form!D47</f>
        <v/>
      </c>
      <c r="C51" s="166" t="str">
        <f>Form!M47</f>
        <v/>
      </c>
      <c r="D51" s="166" t="str">
        <f>Form!N47</f>
        <v/>
      </c>
      <c r="E51" s="166" t="str">
        <f>Form!J47</f>
        <v/>
      </c>
      <c r="F51" s="166" t="str">
        <f>Form!K47</f>
        <v/>
      </c>
      <c r="G51" s="166"/>
      <c r="H51" s="166" t="str">
        <f>Form!O47</f>
        <v/>
      </c>
    </row>
    <row r="52">
      <c r="A52" s="248" t="str">
        <f>Form!C48</f>
        <v/>
      </c>
      <c r="B52" s="4" t="str">
        <f>Form!D48</f>
        <v/>
      </c>
      <c r="C52" s="166" t="str">
        <f>Form!M48</f>
        <v/>
      </c>
      <c r="D52" s="166" t="str">
        <f>Form!N48</f>
        <v/>
      </c>
      <c r="E52" s="166" t="str">
        <f>Form!J48</f>
        <v/>
      </c>
      <c r="F52" s="166" t="str">
        <f>Form!K48</f>
        <v/>
      </c>
      <c r="G52" s="166"/>
      <c r="H52" s="166" t="str">
        <f>Form!O48</f>
        <v/>
      </c>
    </row>
    <row r="53">
      <c r="A53" s="248" t="str">
        <f>Form!C49</f>
        <v/>
      </c>
      <c r="B53" s="4" t="str">
        <f>Form!D49</f>
        <v/>
      </c>
      <c r="C53" s="166" t="str">
        <f>Form!M49</f>
        <v/>
      </c>
      <c r="D53" s="166" t="str">
        <f>Form!N49</f>
        <v/>
      </c>
      <c r="E53" s="166" t="str">
        <f>Form!J49</f>
        <v/>
      </c>
      <c r="F53" s="166" t="str">
        <f>Form!K49</f>
        <v/>
      </c>
      <c r="G53" s="166"/>
      <c r="H53" s="166" t="str">
        <f>Form!O49</f>
        <v/>
      </c>
    </row>
    <row r="54">
      <c r="A54" s="248" t="str">
        <f>Form!C50</f>
        <v/>
      </c>
      <c r="B54" s="4" t="str">
        <f>Form!D50</f>
        <v/>
      </c>
      <c r="C54" s="166" t="str">
        <f>Form!M50</f>
        <v/>
      </c>
      <c r="D54" s="166" t="str">
        <f>Form!N50</f>
        <v/>
      </c>
      <c r="E54" s="166" t="str">
        <f>Form!J50</f>
        <v/>
      </c>
      <c r="F54" s="166" t="str">
        <f>Form!K50</f>
        <v/>
      </c>
      <c r="G54" s="166"/>
      <c r="H54" s="166" t="str">
        <f>Form!O50</f>
        <v/>
      </c>
    </row>
    <row r="55">
      <c r="A55" s="248" t="str">
        <f>Form!C51</f>
        <v/>
      </c>
      <c r="B55" s="4" t="str">
        <f>Form!D51</f>
        <v/>
      </c>
      <c r="C55" s="166" t="str">
        <f>Form!M51</f>
        <v/>
      </c>
      <c r="D55" s="166" t="str">
        <f>Form!N51</f>
        <v/>
      </c>
      <c r="E55" s="166" t="str">
        <f>Form!J51</f>
        <v/>
      </c>
      <c r="F55" s="166" t="str">
        <f>Form!K51</f>
        <v/>
      </c>
      <c r="G55" s="166"/>
      <c r="H55" s="166" t="str">
        <f>Form!O51</f>
        <v/>
      </c>
    </row>
    <row r="56">
      <c r="A56" s="248" t="str">
        <f>Form!C52</f>
        <v/>
      </c>
      <c r="B56" s="4" t="str">
        <f>Form!D52</f>
        <v/>
      </c>
      <c r="C56" s="166" t="str">
        <f>Form!M52</f>
        <v/>
      </c>
      <c r="D56" s="166" t="str">
        <f>Form!N52</f>
        <v/>
      </c>
      <c r="E56" s="166" t="str">
        <f>Form!J52</f>
        <v/>
      </c>
      <c r="F56" s="166" t="str">
        <f>Form!K52</f>
        <v/>
      </c>
      <c r="G56" s="166"/>
      <c r="H56" s="166" t="str">
        <f>Form!O52</f>
        <v/>
      </c>
    </row>
    <row r="57">
      <c r="A57" s="248" t="str">
        <f>Form!C53</f>
        <v/>
      </c>
      <c r="B57" s="4" t="str">
        <f>Form!D53</f>
        <v/>
      </c>
      <c r="C57" s="166" t="str">
        <f>Form!M53</f>
        <v/>
      </c>
      <c r="D57" s="166" t="str">
        <f>Form!N53</f>
        <v/>
      </c>
      <c r="E57" s="166" t="str">
        <f>Form!J53</f>
        <v/>
      </c>
      <c r="F57" s="166" t="str">
        <f>Form!K53</f>
        <v/>
      </c>
      <c r="G57" s="166"/>
      <c r="H57" s="166" t="str">
        <f>Form!O53</f>
        <v/>
      </c>
    </row>
    <row r="58">
      <c r="A58" s="248" t="str">
        <f>Form!C54</f>
        <v/>
      </c>
      <c r="B58" s="4" t="str">
        <f>Form!D54</f>
        <v/>
      </c>
      <c r="C58" s="166" t="str">
        <f>Form!M54</f>
        <v/>
      </c>
      <c r="D58" s="166" t="str">
        <f>Form!N54</f>
        <v/>
      </c>
      <c r="E58" s="166" t="str">
        <f>Form!J54</f>
        <v/>
      </c>
      <c r="F58" s="166" t="str">
        <f>Form!K54</f>
        <v/>
      </c>
      <c r="G58" s="166"/>
      <c r="H58" s="166" t="str">
        <f>Form!O54</f>
        <v/>
      </c>
    </row>
    <row r="59">
      <c r="A59" s="248" t="str">
        <f>Form!C55</f>
        <v/>
      </c>
      <c r="B59" s="4" t="str">
        <f>Form!D55</f>
        <v/>
      </c>
      <c r="C59" s="166" t="str">
        <f>Form!M55</f>
        <v/>
      </c>
      <c r="D59" s="166" t="str">
        <f>Form!N55</f>
        <v/>
      </c>
      <c r="E59" s="166" t="str">
        <f>Form!J55</f>
        <v/>
      </c>
      <c r="F59" s="166" t="str">
        <f>Form!K55</f>
        <v/>
      </c>
      <c r="G59" s="166"/>
      <c r="H59" s="166" t="str">
        <f>Form!O55</f>
        <v/>
      </c>
    </row>
    <row r="60">
      <c r="A60" s="248" t="str">
        <f>Form!C56</f>
        <v/>
      </c>
      <c r="B60" s="4" t="str">
        <f>Form!D56</f>
        <v/>
      </c>
      <c r="C60" s="166" t="str">
        <f>Form!M56</f>
        <v/>
      </c>
      <c r="D60" s="166" t="str">
        <f>Form!N56</f>
        <v/>
      </c>
      <c r="E60" s="166" t="str">
        <f>Form!J56</f>
        <v/>
      </c>
      <c r="F60" s="166" t="str">
        <f>Form!K56</f>
        <v/>
      </c>
      <c r="G60" s="166"/>
      <c r="H60" s="166" t="str">
        <f>Form!O56</f>
        <v/>
      </c>
    </row>
    <row r="61">
      <c r="A61" s="248" t="str">
        <f>Form!C57</f>
        <v/>
      </c>
      <c r="B61" s="4" t="str">
        <f>Form!D57</f>
        <v/>
      </c>
      <c r="C61" s="166" t="str">
        <f>Form!M57</f>
        <v/>
      </c>
      <c r="D61" s="166" t="str">
        <f>Form!N57</f>
        <v/>
      </c>
      <c r="E61" s="166" t="str">
        <f>Form!J57</f>
        <v/>
      </c>
      <c r="F61" s="166" t="str">
        <f>Form!K57</f>
        <v/>
      </c>
      <c r="G61" s="166"/>
      <c r="H61" s="166" t="str">
        <f>Form!O57</f>
        <v/>
      </c>
    </row>
    <row r="62">
      <c r="A62" s="248" t="str">
        <f>Form!C58</f>
        <v/>
      </c>
      <c r="B62" s="4" t="str">
        <f>Form!D58</f>
        <v/>
      </c>
      <c r="C62" s="166" t="str">
        <f>Form!M58</f>
        <v/>
      </c>
      <c r="D62" s="166" t="str">
        <f>Form!N58</f>
        <v/>
      </c>
      <c r="E62" s="166" t="str">
        <f>Form!J58</f>
        <v/>
      </c>
      <c r="F62" s="166" t="str">
        <f>Form!K58</f>
        <v/>
      </c>
      <c r="G62" s="166"/>
      <c r="H62" s="166" t="str">
        <f>Form!O58</f>
        <v/>
      </c>
    </row>
    <row r="63">
      <c r="A63" s="248" t="str">
        <f>Form!C59</f>
        <v/>
      </c>
      <c r="B63" s="4" t="str">
        <f>Form!D59</f>
        <v/>
      </c>
      <c r="C63" s="166" t="str">
        <f>Form!M59</f>
        <v/>
      </c>
      <c r="D63" s="166" t="str">
        <f>Form!N59</f>
        <v/>
      </c>
      <c r="E63" s="166" t="str">
        <f>Form!J59</f>
        <v/>
      </c>
      <c r="F63" s="166" t="str">
        <f>Form!K59</f>
        <v/>
      </c>
      <c r="G63" s="166"/>
      <c r="H63" s="166" t="str">
        <f>Form!O59</f>
        <v/>
      </c>
    </row>
    <row r="64">
      <c r="A64" s="248" t="str">
        <f>Form!C60</f>
        <v/>
      </c>
      <c r="B64" s="4" t="str">
        <f>Form!D60</f>
        <v/>
      </c>
      <c r="C64" s="166" t="str">
        <f>Form!M60</f>
        <v/>
      </c>
      <c r="D64" s="166" t="str">
        <f>Form!N60</f>
        <v/>
      </c>
      <c r="E64" s="166" t="str">
        <f>Form!J60</f>
        <v/>
      </c>
      <c r="F64" s="166" t="str">
        <f>Form!K60</f>
        <v/>
      </c>
      <c r="G64" s="166"/>
      <c r="H64" s="166" t="str">
        <f>Form!O60</f>
        <v/>
      </c>
    </row>
    <row r="65">
      <c r="A65" s="248" t="str">
        <f>Form!C61</f>
        <v/>
      </c>
      <c r="B65" s="4" t="str">
        <f>Form!D61</f>
        <v/>
      </c>
      <c r="C65" s="166" t="str">
        <f>Form!M61</f>
        <v/>
      </c>
      <c r="D65" s="166" t="str">
        <f>Form!N61</f>
        <v/>
      </c>
      <c r="E65" s="166" t="str">
        <f>Form!J61</f>
        <v/>
      </c>
      <c r="F65" s="166" t="str">
        <f>Form!K61</f>
        <v/>
      </c>
      <c r="G65" s="166"/>
      <c r="H65" s="166" t="str">
        <f>Form!O61</f>
        <v/>
      </c>
    </row>
    <row r="66">
      <c r="A66" s="248" t="str">
        <f>Form!C62</f>
        <v/>
      </c>
      <c r="B66" s="4" t="str">
        <f>Form!D62</f>
        <v/>
      </c>
      <c r="C66" s="166" t="str">
        <f>Form!M62</f>
        <v/>
      </c>
      <c r="D66" s="166" t="str">
        <f>Form!N62</f>
        <v/>
      </c>
      <c r="E66" s="166" t="str">
        <f>Form!J62</f>
        <v/>
      </c>
      <c r="F66" s="166" t="str">
        <f>Form!K62</f>
        <v/>
      </c>
      <c r="G66" s="166"/>
      <c r="H66" s="166" t="str">
        <f>Form!O62</f>
        <v/>
      </c>
    </row>
    <row r="67">
      <c r="A67" s="248" t="str">
        <f>Form!C63</f>
        <v/>
      </c>
      <c r="B67" s="4" t="str">
        <f>Form!D63</f>
        <v/>
      </c>
      <c r="C67" s="166" t="str">
        <f>Form!M63</f>
        <v/>
      </c>
      <c r="D67" s="166" t="str">
        <f>Form!N63</f>
        <v/>
      </c>
      <c r="E67" s="166" t="str">
        <f>Form!J63</f>
        <v/>
      </c>
      <c r="F67" s="166" t="str">
        <f>Form!K63</f>
        <v/>
      </c>
      <c r="G67" s="166"/>
      <c r="H67" s="166" t="str">
        <f>Form!O63</f>
        <v/>
      </c>
    </row>
    <row r="68">
      <c r="A68" s="248" t="str">
        <f>Form!C64</f>
        <v/>
      </c>
      <c r="B68" s="4" t="str">
        <f>Form!D64</f>
        <v/>
      </c>
      <c r="C68" s="166" t="str">
        <f>Form!M64</f>
        <v/>
      </c>
      <c r="D68" s="166" t="str">
        <f>Form!N64</f>
        <v/>
      </c>
      <c r="E68" s="166" t="str">
        <f>Form!J64</f>
        <v/>
      </c>
      <c r="F68" s="166" t="str">
        <f>Form!K64</f>
        <v/>
      </c>
      <c r="G68" s="166"/>
      <c r="H68" s="166" t="str">
        <f>Form!O64</f>
        <v/>
      </c>
    </row>
    <row r="69">
      <c r="A69" s="248" t="str">
        <f>Form!C65</f>
        <v/>
      </c>
      <c r="B69" s="4" t="str">
        <f>Form!D65</f>
        <v/>
      </c>
      <c r="C69" s="166" t="str">
        <f>Form!M65</f>
        <v/>
      </c>
      <c r="D69" s="166" t="str">
        <f>Form!N65</f>
        <v/>
      </c>
      <c r="E69" s="166" t="str">
        <f>Form!J65</f>
        <v/>
      </c>
      <c r="F69" s="166" t="str">
        <f>Form!K65</f>
        <v/>
      </c>
      <c r="G69" s="166"/>
      <c r="H69" s="166" t="str">
        <f>Form!O65</f>
        <v/>
      </c>
    </row>
    <row r="70">
      <c r="A70" s="248" t="str">
        <f>Form!C66</f>
        <v/>
      </c>
      <c r="B70" s="4" t="str">
        <f>Form!D66</f>
        <v/>
      </c>
      <c r="C70" s="166" t="str">
        <f>Form!M66</f>
        <v/>
      </c>
      <c r="D70" s="166" t="str">
        <f>Form!N66</f>
        <v/>
      </c>
      <c r="E70" s="166" t="str">
        <f>Form!J66</f>
        <v/>
      </c>
      <c r="F70" s="166" t="str">
        <f>Form!K66</f>
        <v/>
      </c>
      <c r="G70" s="166"/>
      <c r="H70" s="166" t="str">
        <f>Form!O66</f>
        <v/>
      </c>
    </row>
    <row r="71">
      <c r="A71" s="248" t="str">
        <f>Form!C67</f>
        <v/>
      </c>
      <c r="B71" s="4" t="str">
        <f>Form!D67</f>
        <v/>
      </c>
      <c r="C71" s="166" t="str">
        <f>Form!M67</f>
        <v/>
      </c>
      <c r="D71" s="166" t="str">
        <f>Form!N67</f>
        <v/>
      </c>
      <c r="E71" s="166" t="str">
        <f>Form!J67</f>
        <v/>
      </c>
      <c r="F71" s="166" t="str">
        <f>Form!K67</f>
        <v/>
      </c>
      <c r="G71" s="166"/>
      <c r="H71" s="166" t="str">
        <f>Form!O67</f>
        <v/>
      </c>
    </row>
    <row r="72">
      <c r="A72" s="248" t="str">
        <f>Form!C68</f>
        <v/>
      </c>
      <c r="B72" s="4" t="str">
        <f>Form!D68</f>
        <v/>
      </c>
      <c r="C72" s="166" t="str">
        <f>Form!M68</f>
        <v/>
      </c>
      <c r="D72" s="166" t="str">
        <f>Form!N68</f>
        <v/>
      </c>
      <c r="E72" s="166" t="str">
        <f>Form!J68</f>
        <v/>
      </c>
      <c r="F72" s="166" t="str">
        <f>Form!K68</f>
        <v/>
      </c>
      <c r="G72" s="166"/>
      <c r="H72" s="166" t="str">
        <f>Form!O68</f>
        <v/>
      </c>
    </row>
    <row r="73">
      <c r="A73" s="248" t="str">
        <f>Form!C69</f>
        <v/>
      </c>
      <c r="B73" s="4" t="str">
        <f>Form!D69</f>
        <v/>
      </c>
      <c r="C73" s="166" t="str">
        <f>Form!M69</f>
        <v/>
      </c>
      <c r="D73" s="166" t="str">
        <f>Form!N69</f>
        <v/>
      </c>
      <c r="E73" s="166" t="str">
        <f>Form!J69</f>
        <v/>
      </c>
      <c r="F73" s="166" t="str">
        <f>Form!K69</f>
        <v/>
      </c>
      <c r="G73" s="166"/>
      <c r="H73" s="166" t="str">
        <f>Form!O69</f>
        <v/>
      </c>
    </row>
    <row r="74">
      <c r="A74" s="248" t="str">
        <f>Form!C70</f>
        <v/>
      </c>
      <c r="B74" s="4" t="str">
        <f>Form!D70</f>
        <v/>
      </c>
      <c r="C74" s="166" t="str">
        <f>Form!M70</f>
        <v/>
      </c>
      <c r="D74" s="166" t="str">
        <f>Form!N70</f>
        <v/>
      </c>
      <c r="E74" s="166" t="str">
        <f>Form!J70</f>
        <v/>
      </c>
      <c r="F74" s="166" t="str">
        <f>Form!K70</f>
        <v/>
      </c>
      <c r="G74" s="166"/>
      <c r="H74" s="166" t="str">
        <f>Form!O70</f>
        <v/>
      </c>
    </row>
    <row r="75">
      <c r="A75" s="248" t="str">
        <f>Form!C71</f>
        <v/>
      </c>
      <c r="B75" s="4" t="str">
        <f>Form!D71</f>
        <v/>
      </c>
      <c r="C75" s="166" t="str">
        <f>Form!M71</f>
        <v/>
      </c>
      <c r="D75" s="166" t="str">
        <f>Form!N71</f>
        <v/>
      </c>
      <c r="E75" s="166" t="str">
        <f>Form!J71</f>
        <v/>
      </c>
      <c r="F75" s="166" t="str">
        <f>Form!K71</f>
        <v/>
      </c>
      <c r="G75" s="166"/>
      <c r="H75" s="166" t="str">
        <f>Form!O71</f>
        <v/>
      </c>
    </row>
    <row r="76">
      <c r="A76" s="248" t="str">
        <f>Form!C72</f>
        <v/>
      </c>
      <c r="B76" s="4" t="str">
        <f>Form!D72</f>
        <v/>
      </c>
      <c r="C76" s="166" t="str">
        <f>Form!M72</f>
        <v/>
      </c>
      <c r="D76" s="166" t="str">
        <f>Form!N72</f>
        <v/>
      </c>
      <c r="E76" s="166" t="str">
        <f>Form!J72</f>
        <v/>
      </c>
      <c r="F76" s="166" t="str">
        <f>Form!K72</f>
        <v/>
      </c>
      <c r="G76" s="166"/>
      <c r="H76" s="166" t="str">
        <f>Form!O72</f>
        <v/>
      </c>
    </row>
    <row r="77">
      <c r="A77" s="248" t="str">
        <f>Form!C73</f>
        <v/>
      </c>
      <c r="B77" s="4" t="str">
        <f>Form!D73</f>
        <v/>
      </c>
      <c r="C77" s="166" t="str">
        <f>Form!M73</f>
        <v/>
      </c>
      <c r="D77" s="166" t="str">
        <f>Form!N73</f>
        <v/>
      </c>
      <c r="E77" s="166" t="str">
        <f>Form!J73</f>
        <v/>
      </c>
      <c r="F77" s="166" t="str">
        <f>Form!K73</f>
        <v/>
      </c>
      <c r="G77" s="166"/>
      <c r="H77" s="166" t="str">
        <f>Form!O73</f>
        <v/>
      </c>
    </row>
    <row r="78">
      <c r="A78" s="248" t="str">
        <f>Form!C74</f>
        <v/>
      </c>
      <c r="B78" s="4" t="str">
        <f>Form!D74</f>
        <v/>
      </c>
      <c r="C78" s="166" t="str">
        <f>Form!M74</f>
        <v/>
      </c>
      <c r="D78" s="166" t="str">
        <f>Form!N74</f>
        <v/>
      </c>
      <c r="E78" s="166" t="str">
        <f>Form!J74</f>
        <v/>
      </c>
      <c r="F78" s="166" t="str">
        <f>Form!K74</f>
        <v/>
      </c>
      <c r="G78" s="166"/>
      <c r="H78" s="166" t="str">
        <f>Form!O74</f>
        <v/>
      </c>
    </row>
    <row r="79">
      <c r="A79" s="248" t="str">
        <f>Form!C75</f>
        <v/>
      </c>
      <c r="B79" s="4" t="str">
        <f>Form!D75</f>
        <v/>
      </c>
      <c r="C79" s="166" t="str">
        <f>Form!M75</f>
        <v/>
      </c>
      <c r="D79" s="166" t="str">
        <f>Form!N75</f>
        <v/>
      </c>
      <c r="E79" s="166" t="str">
        <f>Form!J75</f>
        <v/>
      </c>
      <c r="F79" s="166" t="str">
        <f>Form!K75</f>
        <v/>
      </c>
      <c r="G79" s="166"/>
      <c r="H79" s="166" t="str">
        <f>Form!O75</f>
        <v/>
      </c>
    </row>
    <row r="80">
      <c r="A80" s="248" t="str">
        <f>Form!C76</f>
        <v/>
      </c>
      <c r="B80" s="4" t="str">
        <f>Form!D76</f>
        <v/>
      </c>
      <c r="C80" s="166" t="str">
        <f>Form!M76</f>
        <v/>
      </c>
      <c r="D80" s="166" t="str">
        <f>Form!N76</f>
        <v/>
      </c>
      <c r="E80" s="166" t="str">
        <f>Form!J76</f>
        <v/>
      </c>
      <c r="F80" s="166" t="str">
        <f>Form!K76</f>
        <v/>
      </c>
      <c r="G80" s="166"/>
      <c r="H80" s="166" t="str">
        <f>Form!O76</f>
        <v/>
      </c>
    </row>
    <row r="81">
      <c r="A81" s="248" t="str">
        <f>Form!C77</f>
        <v/>
      </c>
      <c r="B81" s="4" t="str">
        <f>Form!D77</f>
        <v/>
      </c>
      <c r="C81" s="166" t="str">
        <f>Form!M77</f>
        <v/>
      </c>
      <c r="D81" s="166" t="str">
        <f>Form!N77</f>
        <v/>
      </c>
      <c r="E81" s="166" t="str">
        <f>Form!J77</f>
        <v/>
      </c>
      <c r="F81" s="166" t="str">
        <f>Form!K77</f>
        <v/>
      </c>
      <c r="G81" s="166"/>
      <c r="H81" s="166" t="str">
        <f>Form!O77</f>
        <v/>
      </c>
    </row>
    <row r="82">
      <c r="A82" s="248" t="str">
        <f>Form!C78</f>
        <v/>
      </c>
      <c r="B82" s="4" t="str">
        <f>Form!D78</f>
        <v/>
      </c>
      <c r="C82" s="166" t="str">
        <f>Form!M78</f>
        <v/>
      </c>
      <c r="D82" s="166" t="str">
        <f>Form!N78</f>
        <v/>
      </c>
      <c r="E82" s="166" t="str">
        <f>Form!J78</f>
        <v/>
      </c>
      <c r="F82" s="166" t="str">
        <f>Form!K78</f>
        <v/>
      </c>
      <c r="G82" s="166"/>
      <c r="H82" s="166" t="str">
        <f>Form!O78</f>
        <v/>
      </c>
    </row>
    <row r="83">
      <c r="A83" s="248" t="str">
        <f>Form!C79</f>
        <v/>
      </c>
      <c r="B83" s="4" t="str">
        <f>Form!D79</f>
        <v/>
      </c>
      <c r="C83" s="166" t="str">
        <f>Form!M79</f>
        <v/>
      </c>
      <c r="D83" s="166" t="str">
        <f>Form!N79</f>
        <v/>
      </c>
      <c r="E83" s="166" t="str">
        <f>Form!J79</f>
        <v/>
      </c>
      <c r="F83" s="166" t="str">
        <f>Form!K79</f>
        <v/>
      </c>
      <c r="G83" s="166"/>
      <c r="H83" s="166" t="str">
        <f>Form!O79</f>
        <v/>
      </c>
    </row>
    <row r="84">
      <c r="A84" s="248" t="str">
        <f>Form!C80</f>
        <v/>
      </c>
      <c r="B84" s="4" t="str">
        <f>Form!D80</f>
        <v/>
      </c>
      <c r="C84" s="166" t="str">
        <f>Form!M80</f>
        <v/>
      </c>
      <c r="D84" s="166" t="str">
        <f>Form!N80</f>
        <v/>
      </c>
      <c r="E84" s="166" t="str">
        <f>Form!J80</f>
        <v/>
      </c>
      <c r="F84" s="166" t="str">
        <f>Form!K80</f>
        <v/>
      </c>
      <c r="G84" s="166"/>
      <c r="H84" s="166" t="str">
        <f>Form!O80</f>
        <v/>
      </c>
    </row>
    <row r="85">
      <c r="A85" s="248" t="str">
        <f>Form!C81</f>
        <v/>
      </c>
      <c r="B85" s="4" t="str">
        <f>Form!D81</f>
        <v/>
      </c>
      <c r="C85" s="166" t="str">
        <f>Form!M81</f>
        <v/>
      </c>
      <c r="D85" s="166" t="str">
        <f>Form!N81</f>
        <v/>
      </c>
      <c r="E85" s="166" t="str">
        <f>Form!J81</f>
        <v/>
      </c>
      <c r="F85" s="166" t="str">
        <f>Form!K81</f>
        <v/>
      </c>
      <c r="G85" s="166"/>
      <c r="H85" s="166" t="str">
        <f>Form!O81</f>
        <v/>
      </c>
    </row>
    <row r="86">
      <c r="A86" s="248" t="str">
        <f>Form!C82</f>
        <v/>
      </c>
      <c r="B86" s="4" t="str">
        <f>Form!D82</f>
        <v/>
      </c>
      <c r="C86" s="166" t="str">
        <f>Form!M82</f>
        <v/>
      </c>
      <c r="D86" s="166" t="str">
        <f>Form!N82</f>
        <v/>
      </c>
      <c r="E86" s="166" t="str">
        <f>Form!J82</f>
        <v/>
      </c>
      <c r="F86" s="166" t="str">
        <f>Form!K82</f>
        <v/>
      </c>
      <c r="G86" s="166"/>
      <c r="H86" s="166" t="str">
        <f>Form!O82</f>
        <v/>
      </c>
    </row>
    <row r="87">
      <c r="A87" s="248" t="str">
        <f>Form!C83</f>
        <v/>
      </c>
      <c r="B87" s="4" t="str">
        <f>Form!D83</f>
        <v/>
      </c>
      <c r="C87" s="166" t="str">
        <f>Form!M83</f>
        <v/>
      </c>
      <c r="D87" s="166" t="str">
        <f>Form!N83</f>
        <v/>
      </c>
      <c r="E87" s="166" t="str">
        <f>Form!J83</f>
        <v/>
      </c>
      <c r="F87" s="166" t="str">
        <f>Form!K83</f>
        <v/>
      </c>
      <c r="G87" s="166"/>
      <c r="H87" s="166" t="str">
        <f>Form!O83</f>
        <v/>
      </c>
    </row>
    <row r="88">
      <c r="A88" s="248" t="str">
        <f>Form!C84</f>
        <v/>
      </c>
      <c r="B88" s="4" t="str">
        <f>Form!D84</f>
        <v/>
      </c>
      <c r="C88" s="166" t="str">
        <f>Form!M84</f>
        <v/>
      </c>
      <c r="D88" s="166" t="str">
        <f>Form!N84</f>
        <v/>
      </c>
      <c r="E88" s="166" t="str">
        <f>Form!J84</f>
        <v/>
      </c>
      <c r="F88" s="166" t="str">
        <f>Form!K84</f>
        <v/>
      </c>
      <c r="G88" s="166"/>
      <c r="H88" s="166" t="str">
        <f>Form!O84</f>
        <v/>
      </c>
    </row>
    <row r="89">
      <c r="A89" s="248" t="str">
        <f>Form!C85</f>
        <v/>
      </c>
      <c r="B89" s="4" t="str">
        <f>Form!D85</f>
        <v/>
      </c>
      <c r="C89" s="166" t="str">
        <f>Form!M85</f>
        <v/>
      </c>
      <c r="D89" s="166" t="str">
        <f>Form!N85</f>
        <v/>
      </c>
      <c r="E89" s="166" t="str">
        <f>Form!J85</f>
        <v/>
      </c>
      <c r="F89" s="166" t="str">
        <f>Form!K85</f>
        <v/>
      </c>
      <c r="G89" s="166"/>
      <c r="H89" s="166" t="str">
        <f>Form!O85</f>
        <v/>
      </c>
    </row>
    <row r="90">
      <c r="A90" s="248" t="str">
        <f>Form!C86</f>
        <v/>
      </c>
      <c r="B90" s="4" t="str">
        <f>Form!D86</f>
        <v/>
      </c>
      <c r="C90" s="166" t="str">
        <f>Form!M86</f>
        <v/>
      </c>
      <c r="D90" s="166" t="str">
        <f>Form!N86</f>
        <v/>
      </c>
      <c r="E90" s="166" t="str">
        <f>Form!J86</f>
        <v/>
      </c>
      <c r="F90" s="166" t="str">
        <f>Form!K86</f>
        <v/>
      </c>
      <c r="G90" s="166"/>
      <c r="H90" s="166" t="str">
        <f>Form!O86</f>
        <v/>
      </c>
    </row>
    <row r="91">
      <c r="A91" s="248" t="str">
        <f>Form!C87</f>
        <v/>
      </c>
      <c r="B91" s="4" t="str">
        <f>Form!D87</f>
        <v/>
      </c>
      <c r="C91" s="166" t="str">
        <f>Form!M87</f>
        <v/>
      </c>
      <c r="D91" s="166" t="str">
        <f>Form!N87</f>
        <v/>
      </c>
      <c r="E91" s="166" t="str">
        <f>Form!J87</f>
        <v/>
      </c>
      <c r="F91" s="166" t="str">
        <f>Form!K87</f>
        <v/>
      </c>
      <c r="G91" s="166"/>
      <c r="H91" s="166" t="str">
        <f>Form!O87</f>
        <v/>
      </c>
    </row>
    <row r="92">
      <c r="A92" s="248" t="str">
        <f>Form!C88</f>
        <v/>
      </c>
      <c r="B92" s="4" t="str">
        <f>Form!D88</f>
        <v/>
      </c>
      <c r="C92" s="166" t="str">
        <f>Form!M88</f>
        <v/>
      </c>
      <c r="D92" s="166" t="str">
        <f>Form!N88</f>
        <v/>
      </c>
      <c r="E92" s="166" t="str">
        <f>Form!J88</f>
        <v/>
      </c>
      <c r="F92" s="166" t="str">
        <f>Form!K88</f>
        <v/>
      </c>
      <c r="G92" s="166"/>
      <c r="H92" s="166" t="str">
        <f>Form!O88</f>
        <v/>
      </c>
    </row>
    <row r="93">
      <c r="A93" s="248" t="str">
        <f>Form!C89</f>
        <v/>
      </c>
      <c r="B93" s="4" t="str">
        <f>Form!D89</f>
        <v/>
      </c>
      <c r="C93" s="166" t="str">
        <f>Form!M89</f>
        <v/>
      </c>
      <c r="D93" s="166" t="str">
        <f>Form!N89</f>
        <v/>
      </c>
      <c r="E93" s="166" t="str">
        <f>Form!J89</f>
        <v/>
      </c>
      <c r="F93" s="166" t="str">
        <f>Form!K89</f>
        <v/>
      </c>
      <c r="G93" s="166"/>
      <c r="H93" s="166" t="str">
        <f>Form!O89</f>
        <v/>
      </c>
    </row>
    <row r="94">
      <c r="A94" s="248" t="str">
        <f>Form!C90</f>
        <v/>
      </c>
      <c r="B94" s="4" t="str">
        <f>Form!D90</f>
        <v/>
      </c>
      <c r="C94" s="166" t="str">
        <f>Form!M90</f>
        <v/>
      </c>
      <c r="D94" s="166" t="str">
        <f>Form!N90</f>
        <v/>
      </c>
      <c r="E94" s="166" t="str">
        <f>Form!J90</f>
        <v/>
      </c>
      <c r="F94" s="166" t="str">
        <f>Form!K90</f>
        <v/>
      </c>
      <c r="G94" s="166"/>
      <c r="H94" s="166" t="str">
        <f>Form!O90</f>
        <v/>
      </c>
    </row>
    <row r="95">
      <c r="A95" s="248" t="str">
        <f>Form!C91</f>
        <v/>
      </c>
      <c r="B95" s="4" t="str">
        <f>Form!D91</f>
        <v/>
      </c>
      <c r="C95" s="166" t="str">
        <f>Form!M91</f>
        <v/>
      </c>
      <c r="D95" s="166" t="str">
        <f>Form!N91</f>
        <v/>
      </c>
      <c r="E95" s="166" t="str">
        <f>Form!J91</f>
        <v/>
      </c>
      <c r="F95" s="166" t="str">
        <f>Form!K91</f>
        <v/>
      </c>
      <c r="G95" s="166"/>
      <c r="H95" s="166" t="str">
        <f>Form!O91</f>
        <v/>
      </c>
    </row>
    <row r="96">
      <c r="A96" s="248" t="str">
        <f>Form!C92</f>
        <v/>
      </c>
      <c r="B96" s="4" t="str">
        <f>Form!D92</f>
        <v/>
      </c>
      <c r="C96" s="166" t="str">
        <f>Form!M92</f>
        <v/>
      </c>
      <c r="D96" s="166" t="str">
        <f>Form!N92</f>
        <v/>
      </c>
      <c r="E96" s="166" t="str">
        <f>Form!J92</f>
        <v/>
      </c>
      <c r="F96" s="166" t="str">
        <f>Form!K92</f>
        <v/>
      </c>
      <c r="G96" s="166"/>
      <c r="H96" s="166" t="str">
        <f>Form!O92</f>
        <v/>
      </c>
    </row>
    <row r="97">
      <c r="A97" s="248" t="str">
        <f>Form!C93</f>
        <v/>
      </c>
      <c r="B97" s="4" t="str">
        <f>Form!D93</f>
        <v/>
      </c>
      <c r="C97" s="166" t="str">
        <f>Form!M93</f>
        <v/>
      </c>
      <c r="D97" s="166" t="str">
        <f>Form!N93</f>
        <v/>
      </c>
      <c r="E97" s="166" t="str">
        <f>Form!J93</f>
        <v/>
      </c>
      <c r="F97" s="166" t="str">
        <f>Form!K93</f>
        <v/>
      </c>
      <c r="G97" s="166"/>
      <c r="H97" s="166" t="str">
        <f>Form!O93</f>
        <v/>
      </c>
    </row>
    <row r="98">
      <c r="A98" s="248" t="str">
        <f>Form!C94</f>
        <v/>
      </c>
      <c r="B98" s="4" t="str">
        <f>Form!D94</f>
        <v/>
      </c>
      <c r="C98" s="166" t="str">
        <f>Form!M94</f>
        <v/>
      </c>
      <c r="D98" s="166" t="str">
        <f>Form!N94</f>
        <v/>
      </c>
      <c r="E98" s="166" t="str">
        <f>Form!J94</f>
        <v/>
      </c>
      <c r="F98" s="166" t="str">
        <f>Form!K94</f>
        <v/>
      </c>
      <c r="G98" s="166"/>
      <c r="H98" s="166" t="str">
        <f>Form!O94</f>
        <v/>
      </c>
    </row>
    <row r="99">
      <c r="A99" s="248" t="str">
        <f>Form!C95</f>
        <v/>
      </c>
      <c r="B99" s="4" t="str">
        <f>Form!D95</f>
        <v/>
      </c>
      <c r="C99" s="166" t="str">
        <f>Form!M95</f>
        <v/>
      </c>
      <c r="D99" s="166" t="str">
        <f>Form!N95</f>
        <v/>
      </c>
      <c r="E99" s="166" t="str">
        <f>Form!J95</f>
        <v/>
      </c>
      <c r="F99" s="166" t="str">
        <f>Form!K95</f>
        <v/>
      </c>
      <c r="G99" s="166"/>
      <c r="H99" s="166" t="str">
        <f>Form!O95</f>
        <v/>
      </c>
    </row>
    <row r="100">
      <c r="A100" s="248" t="str">
        <f>Form!C96</f>
        <v/>
      </c>
      <c r="B100" s="4" t="str">
        <f>Form!D96</f>
        <v/>
      </c>
      <c r="C100" s="166" t="str">
        <f>Form!M96</f>
        <v/>
      </c>
      <c r="D100" s="166" t="str">
        <f>Form!N96</f>
        <v/>
      </c>
      <c r="E100" s="166" t="str">
        <f>Form!J96</f>
        <v/>
      </c>
      <c r="F100" s="166" t="str">
        <f>Form!K96</f>
        <v/>
      </c>
      <c r="G100" s="166"/>
      <c r="H100" s="166" t="str">
        <f>Form!O96</f>
        <v/>
      </c>
    </row>
    <row r="101">
      <c r="A101" s="248" t="str">
        <f>Form!C97</f>
        <v/>
      </c>
      <c r="B101" s="4" t="str">
        <f>Form!D97</f>
        <v/>
      </c>
      <c r="C101" s="166" t="str">
        <f>Form!M97</f>
        <v/>
      </c>
      <c r="D101" s="166" t="str">
        <f>Form!N97</f>
        <v/>
      </c>
      <c r="E101" s="166" t="str">
        <f>Form!J97</f>
        <v/>
      </c>
      <c r="F101" s="166" t="str">
        <f>Form!K97</f>
        <v/>
      </c>
      <c r="G101" s="166"/>
      <c r="H101" s="166" t="str">
        <f>Form!O97</f>
        <v/>
      </c>
    </row>
    <row r="102">
      <c r="A102" s="248" t="str">
        <f>Form!C98</f>
        <v/>
      </c>
      <c r="B102" s="4" t="str">
        <f>Form!D98</f>
        <v/>
      </c>
      <c r="C102" s="166" t="str">
        <f>Form!M98</f>
        <v/>
      </c>
      <c r="D102" s="166" t="str">
        <f>Form!N98</f>
        <v/>
      </c>
      <c r="E102" s="166" t="str">
        <f>Form!J98</f>
        <v/>
      </c>
      <c r="F102" s="166" t="str">
        <f>Form!K98</f>
        <v/>
      </c>
      <c r="G102" s="166"/>
      <c r="H102" s="166" t="str">
        <f>Form!O98</f>
        <v/>
      </c>
    </row>
    <row r="103">
      <c r="A103" s="248" t="str">
        <f>Form!C99</f>
        <v/>
      </c>
      <c r="B103" s="4" t="str">
        <f>Form!D99</f>
        <v/>
      </c>
      <c r="C103" s="166" t="str">
        <f>Form!M99</f>
        <v/>
      </c>
      <c r="D103" s="166" t="str">
        <f>Form!N99</f>
        <v/>
      </c>
      <c r="E103" s="166" t="str">
        <f>Form!J99</f>
        <v/>
      </c>
      <c r="F103" s="166" t="str">
        <f>Form!K99</f>
        <v/>
      </c>
      <c r="G103" s="166"/>
      <c r="H103" s="166" t="str">
        <f>Form!O99</f>
        <v/>
      </c>
    </row>
    <row r="104">
      <c r="A104" s="248" t="str">
        <f>Form!C100</f>
        <v/>
      </c>
      <c r="B104" s="4" t="str">
        <f>Form!D100</f>
        <v/>
      </c>
      <c r="C104" s="166" t="str">
        <f>Form!M100</f>
        <v/>
      </c>
      <c r="D104" s="166" t="str">
        <f>Form!N100</f>
        <v/>
      </c>
      <c r="E104" s="166" t="str">
        <f>Form!J100</f>
        <v/>
      </c>
      <c r="F104" s="166" t="str">
        <f>Form!K100</f>
        <v/>
      </c>
      <c r="G104" s="166"/>
      <c r="H104" s="166" t="str">
        <f>Form!O100</f>
        <v/>
      </c>
    </row>
    <row r="105">
      <c r="A105" s="248" t="str">
        <f>Form!C101</f>
        <v/>
      </c>
      <c r="B105" s="4" t="str">
        <f>Form!D101</f>
        <v/>
      </c>
      <c r="C105" s="166" t="str">
        <f>Form!M101</f>
        <v/>
      </c>
      <c r="D105" s="166" t="str">
        <f>Form!N101</f>
        <v/>
      </c>
      <c r="E105" s="166" t="str">
        <f>Form!J101</f>
        <v/>
      </c>
      <c r="F105" s="166" t="str">
        <f>Form!K101</f>
        <v/>
      </c>
      <c r="G105" s="166"/>
      <c r="H105" s="166" t="str">
        <f>Form!O101</f>
        <v/>
      </c>
    </row>
    <row r="106">
      <c r="A106" s="248" t="str">
        <f>Form!C102</f>
        <v/>
      </c>
      <c r="B106" s="4" t="str">
        <f>Form!D102</f>
        <v/>
      </c>
      <c r="C106" s="166" t="str">
        <f>Form!M102</f>
        <v/>
      </c>
      <c r="D106" s="166" t="str">
        <f>Form!N102</f>
        <v/>
      </c>
      <c r="E106" s="166" t="str">
        <f>Form!J102</f>
        <v/>
      </c>
      <c r="F106" s="166" t="str">
        <f>Form!K102</f>
        <v/>
      </c>
      <c r="G106" s="166"/>
      <c r="H106" s="166" t="str">
        <f>Form!O102</f>
        <v/>
      </c>
    </row>
    <row r="107">
      <c r="A107" s="248" t="str">
        <f>Form!C103</f>
        <v/>
      </c>
      <c r="B107" s="4" t="str">
        <f>Form!D103</f>
        <v/>
      </c>
      <c r="C107" s="166" t="str">
        <f>Form!M103</f>
        <v/>
      </c>
      <c r="D107" s="166" t="str">
        <f>Form!N103</f>
        <v/>
      </c>
      <c r="E107" s="166" t="str">
        <f>Form!J103</f>
        <v/>
      </c>
      <c r="F107" s="166" t="str">
        <f>Form!K103</f>
        <v/>
      </c>
      <c r="G107" s="166"/>
      <c r="H107" s="166" t="str">
        <f>Form!O103</f>
        <v/>
      </c>
    </row>
    <row r="108">
      <c r="A108" s="248" t="str">
        <f>Form!C104</f>
        <v/>
      </c>
      <c r="B108" s="4" t="str">
        <f>Form!D104</f>
        <v/>
      </c>
      <c r="C108" s="166" t="str">
        <f>Form!M104</f>
        <v/>
      </c>
      <c r="D108" s="166" t="str">
        <f>Form!N104</f>
        <v/>
      </c>
      <c r="E108" s="166" t="str">
        <f>Form!J104</f>
        <v/>
      </c>
      <c r="F108" s="166" t="str">
        <f>Form!K104</f>
        <v/>
      </c>
      <c r="G108" s="166"/>
      <c r="H108" s="166" t="str">
        <f>Form!O104</f>
        <v/>
      </c>
    </row>
    <row r="109">
      <c r="A109" s="248" t="str">
        <f>Form!C105</f>
        <v/>
      </c>
      <c r="B109" s="4" t="str">
        <f>Form!D105</f>
        <v/>
      </c>
      <c r="C109" s="166" t="str">
        <f>Form!M105</f>
        <v/>
      </c>
      <c r="D109" s="166" t="str">
        <f>Form!N105</f>
        <v/>
      </c>
      <c r="E109" s="166" t="str">
        <f>Form!J105</f>
        <v/>
      </c>
      <c r="F109" s="166" t="str">
        <f>Form!K105</f>
        <v/>
      </c>
      <c r="G109" s="166"/>
      <c r="H109" s="166" t="str">
        <f>Form!O105</f>
        <v/>
      </c>
    </row>
    <row r="110">
      <c r="A110" s="248" t="str">
        <f>Form!C106</f>
        <v/>
      </c>
      <c r="B110" s="4" t="str">
        <f>Form!D106</f>
        <v/>
      </c>
      <c r="C110" s="166" t="str">
        <f>Form!M106</f>
        <v/>
      </c>
      <c r="D110" s="166" t="str">
        <f>Form!N106</f>
        <v/>
      </c>
      <c r="E110" s="166" t="str">
        <f>Form!J106</f>
        <v/>
      </c>
      <c r="F110" s="166" t="str">
        <f>Form!K106</f>
        <v/>
      </c>
      <c r="G110" s="166"/>
      <c r="H110" s="166" t="str">
        <f>Form!O106</f>
        <v/>
      </c>
    </row>
    <row r="111">
      <c r="A111" s="248" t="str">
        <f>Form!C107</f>
        <v/>
      </c>
      <c r="B111" s="4" t="str">
        <f>Form!D107</f>
        <v/>
      </c>
      <c r="C111" s="166" t="str">
        <f>Form!M107</f>
        <v/>
      </c>
      <c r="D111" s="166" t="str">
        <f>Form!N107</f>
        <v/>
      </c>
      <c r="E111" s="166" t="str">
        <f>Form!J107</f>
        <v/>
      </c>
      <c r="F111" s="166" t="str">
        <f>Form!K107</f>
        <v/>
      </c>
      <c r="G111" s="166"/>
      <c r="H111" s="166" t="str">
        <f>Form!O107</f>
        <v/>
      </c>
    </row>
    <row r="112">
      <c r="A112" s="248" t="str">
        <f>Form!C108</f>
        <v/>
      </c>
      <c r="B112" s="4" t="str">
        <f>Form!D108</f>
        <v/>
      </c>
      <c r="C112" s="166" t="str">
        <f>Form!M108</f>
        <v/>
      </c>
      <c r="D112" s="166" t="str">
        <f>Form!N108</f>
        <v/>
      </c>
      <c r="E112" s="166" t="str">
        <f>Form!J108</f>
        <v/>
      </c>
      <c r="F112" s="166" t="str">
        <f>Form!K108</f>
        <v/>
      </c>
      <c r="G112" s="166"/>
      <c r="H112" s="166" t="str">
        <f>Form!O108</f>
        <v/>
      </c>
    </row>
    <row r="113">
      <c r="A113" s="248" t="str">
        <f>Form!C109</f>
        <v/>
      </c>
      <c r="B113" s="4" t="str">
        <f>Form!D109</f>
        <v/>
      </c>
      <c r="C113" s="166" t="str">
        <f>Form!M109</f>
        <v/>
      </c>
      <c r="D113" s="166" t="str">
        <f>Form!N109</f>
        <v/>
      </c>
      <c r="E113" s="166" t="str">
        <f>Form!J109</f>
        <v/>
      </c>
      <c r="F113" s="166" t="str">
        <f>Form!K109</f>
        <v/>
      </c>
      <c r="G113" s="166"/>
      <c r="H113" s="166" t="str">
        <f>Form!O109</f>
        <v/>
      </c>
    </row>
    <row r="114">
      <c r="A114" s="248" t="str">
        <f>Form!C110</f>
        <v/>
      </c>
      <c r="B114" s="4" t="str">
        <f>Form!D110</f>
        <v/>
      </c>
      <c r="C114" s="166" t="str">
        <f>Form!M110</f>
        <v/>
      </c>
      <c r="D114" s="166" t="str">
        <f>Form!N110</f>
        <v/>
      </c>
      <c r="E114" s="166" t="str">
        <f>Form!J110</f>
        <v/>
      </c>
      <c r="F114" s="166" t="str">
        <f>Form!K110</f>
        <v/>
      </c>
      <c r="G114" s="166"/>
      <c r="H114" s="166" t="str">
        <f>Form!O110</f>
        <v/>
      </c>
    </row>
    <row r="115">
      <c r="A115" s="248" t="str">
        <f>Form!C111</f>
        <v/>
      </c>
      <c r="B115" s="4" t="str">
        <f>Form!D111</f>
        <v/>
      </c>
      <c r="C115" s="166" t="str">
        <f>Form!M111</f>
        <v/>
      </c>
      <c r="D115" s="166" t="str">
        <f>Form!N111</f>
        <v/>
      </c>
      <c r="E115" s="166" t="str">
        <f>Form!J111</f>
        <v/>
      </c>
      <c r="F115" s="166" t="str">
        <f>Form!K111</f>
        <v/>
      </c>
      <c r="G115" s="166"/>
      <c r="H115" s="166" t="str">
        <f>Form!O111</f>
        <v/>
      </c>
    </row>
    <row r="116">
      <c r="A116" s="248" t="str">
        <f>Form!C112</f>
        <v/>
      </c>
      <c r="B116" s="4" t="str">
        <f>Form!D112</f>
        <v/>
      </c>
      <c r="C116" s="166" t="str">
        <f>Form!M112</f>
        <v/>
      </c>
      <c r="D116" s="166" t="str">
        <f>Form!N112</f>
        <v/>
      </c>
      <c r="E116" s="166" t="str">
        <f>Form!J112</f>
        <v/>
      </c>
      <c r="F116" s="166" t="str">
        <f>Form!K112</f>
        <v/>
      </c>
      <c r="G116" s="166"/>
      <c r="H116" s="166" t="str">
        <f>Form!O112</f>
        <v/>
      </c>
    </row>
    <row r="117">
      <c r="A117" s="248" t="str">
        <f>Form!C113</f>
        <v/>
      </c>
      <c r="B117" s="4" t="str">
        <f>Form!D113</f>
        <v/>
      </c>
      <c r="C117" s="166" t="str">
        <f>Form!M113</f>
        <v/>
      </c>
      <c r="D117" s="166" t="str">
        <f>Form!N113</f>
        <v/>
      </c>
      <c r="E117" s="166" t="str">
        <f>Form!J113</f>
        <v/>
      </c>
      <c r="F117" s="166" t="str">
        <f>Form!K113</f>
        <v/>
      </c>
      <c r="G117" s="166"/>
      <c r="H117" s="166" t="str">
        <f>Form!O113</f>
        <v/>
      </c>
    </row>
    <row r="118">
      <c r="A118" s="248" t="str">
        <f>Form!C114</f>
        <v/>
      </c>
      <c r="B118" s="4" t="str">
        <f>Form!D114</f>
        <v/>
      </c>
      <c r="C118" s="166" t="str">
        <f>Form!M114</f>
        <v/>
      </c>
      <c r="D118" s="166" t="str">
        <f>Form!N114</f>
        <v/>
      </c>
      <c r="E118" s="166" t="str">
        <f>Form!J114</f>
        <v/>
      </c>
      <c r="F118" s="166" t="str">
        <f>Form!K114</f>
        <v/>
      </c>
      <c r="G118" s="166"/>
      <c r="H118" s="166" t="str">
        <f>Form!O114</f>
        <v/>
      </c>
    </row>
    <row r="119">
      <c r="A119" s="248" t="str">
        <f>Form!C115</f>
        <v/>
      </c>
      <c r="B119" s="4" t="str">
        <f>Form!D115</f>
        <v/>
      </c>
      <c r="C119" s="166" t="str">
        <f>Form!M115</f>
        <v/>
      </c>
      <c r="D119" s="166" t="str">
        <f>Form!N115</f>
        <v/>
      </c>
      <c r="E119" s="166" t="str">
        <f>Form!J115</f>
        <v/>
      </c>
      <c r="F119" s="166" t="str">
        <f>Form!K115</f>
        <v/>
      </c>
      <c r="G119" s="166"/>
      <c r="H119" s="166" t="str">
        <f>Form!O115</f>
        <v/>
      </c>
    </row>
    <row r="120">
      <c r="A120" s="248" t="str">
        <f>Form!C115</f>
        <v/>
      </c>
      <c r="B120" s="4" t="str">
        <f>Form!D115</f>
        <v/>
      </c>
      <c r="C120" s="166" t="str">
        <f>Form!M115</f>
        <v/>
      </c>
      <c r="D120" s="166" t="str">
        <f>Form!N115</f>
        <v/>
      </c>
      <c r="E120" s="166" t="str">
        <f>Form!J115</f>
        <v/>
      </c>
      <c r="F120" s="166" t="str">
        <f>Form!K115</f>
        <v/>
      </c>
      <c r="G120" s="166"/>
      <c r="H120" s="166" t="str">
        <f>Form!O116</f>
        <v/>
      </c>
    </row>
    <row r="121">
      <c r="A121" s="248" t="str">
        <f>Form!C116</f>
        <v/>
      </c>
      <c r="B121" s="4" t="str">
        <f>Form!D116</f>
        <v/>
      </c>
      <c r="C121" s="166" t="str">
        <f>Form!M116</f>
        <v/>
      </c>
      <c r="D121" s="166" t="str">
        <f>Form!N116</f>
        <v/>
      </c>
      <c r="E121" s="166" t="str">
        <f>Form!J116</f>
        <v/>
      </c>
      <c r="F121" s="166" t="str">
        <f>Form!K116</f>
        <v/>
      </c>
      <c r="G121" s="166"/>
      <c r="H121" s="166" t="str">
        <f>Form!O117</f>
        <v/>
      </c>
    </row>
    <row r="122">
      <c r="A122" s="248" t="str">
        <f>Form!C117</f>
        <v/>
      </c>
      <c r="B122" s="4" t="str">
        <f>Form!D117</f>
        <v/>
      </c>
      <c r="C122" s="166" t="str">
        <f>Form!M117</f>
        <v/>
      </c>
      <c r="D122" s="166" t="str">
        <f>Form!N117</f>
        <v/>
      </c>
      <c r="E122" s="166" t="str">
        <f>Form!J117</f>
        <v/>
      </c>
      <c r="F122" s="166" t="str">
        <f>Form!K117</f>
        <v/>
      </c>
      <c r="G122" s="166"/>
      <c r="H122" s="166" t="str">
        <f>Form!O118</f>
        <v/>
      </c>
    </row>
    <row r="123">
      <c r="A123" s="248" t="str">
        <f>Form!C118</f>
        <v/>
      </c>
      <c r="B123" s="4" t="str">
        <f>Form!D118</f>
        <v/>
      </c>
      <c r="C123" s="166" t="str">
        <f>Form!M118</f>
        <v/>
      </c>
      <c r="D123" s="166" t="str">
        <f>Form!N118</f>
        <v/>
      </c>
      <c r="E123" s="166" t="str">
        <f>Form!J118</f>
        <v/>
      </c>
      <c r="F123" s="166" t="str">
        <f>Form!K118</f>
        <v/>
      </c>
      <c r="G123" s="166"/>
      <c r="H123" s="166" t="str">
        <f>Form!O119</f>
        <v/>
      </c>
    </row>
    <row r="124">
      <c r="A124" s="248" t="str">
        <f>Form!C119</f>
        <v/>
      </c>
      <c r="B124" s="4" t="str">
        <f>Form!D119</f>
        <v/>
      </c>
      <c r="C124" s="166" t="str">
        <f>Form!M119</f>
        <v/>
      </c>
      <c r="D124" s="166" t="str">
        <f>Form!N119</f>
        <v/>
      </c>
      <c r="E124" s="166" t="str">
        <f>Form!J119</f>
        <v/>
      </c>
      <c r="F124" s="166" t="str">
        <f>Form!K119</f>
        <v/>
      </c>
      <c r="G124" s="166"/>
      <c r="H124" s="166" t="str">
        <f>Form!O120</f>
        <v/>
      </c>
    </row>
    <row r="125">
      <c r="A125" s="248" t="str">
        <f>Form!C120</f>
        <v/>
      </c>
      <c r="B125" s="4" t="str">
        <f>Form!D120</f>
        <v/>
      </c>
      <c r="C125" s="166" t="str">
        <f>Form!M120</f>
        <v/>
      </c>
      <c r="D125" s="166" t="str">
        <f>Form!N120</f>
        <v/>
      </c>
      <c r="E125" s="166" t="str">
        <f>Form!J120</f>
        <v/>
      </c>
      <c r="F125" s="166" t="str">
        <f>Form!K120</f>
        <v/>
      </c>
      <c r="G125" s="166"/>
      <c r="H125" s="166" t="str">
        <f>Form!O121</f>
        <v/>
      </c>
    </row>
    <row r="126">
      <c r="A126" s="248" t="str">
        <f>Form!C121</f>
        <v/>
      </c>
      <c r="B126" s="4" t="str">
        <f>Form!D121</f>
        <v/>
      </c>
      <c r="C126" s="166" t="str">
        <f>Form!M121</f>
        <v/>
      </c>
      <c r="D126" s="166" t="str">
        <f>Form!N121</f>
        <v/>
      </c>
      <c r="E126" s="166" t="str">
        <f>Form!J121</f>
        <v/>
      </c>
      <c r="F126" s="166" t="str">
        <f>Form!K121</f>
        <v/>
      </c>
      <c r="G126" s="166"/>
      <c r="H126" s="166" t="str">
        <f>Form!O122</f>
        <v/>
      </c>
    </row>
    <row r="127">
      <c r="A127" s="248" t="str">
        <f>Form!C122</f>
        <v/>
      </c>
      <c r="B127" s="4" t="str">
        <f>Form!D122</f>
        <v/>
      </c>
      <c r="C127" s="166" t="str">
        <f>Form!M122</f>
        <v/>
      </c>
      <c r="D127" s="166" t="str">
        <f>Form!N122</f>
        <v/>
      </c>
      <c r="E127" s="166" t="str">
        <f>Form!J122</f>
        <v/>
      </c>
      <c r="F127" s="166" t="str">
        <f>Form!K122</f>
        <v/>
      </c>
      <c r="G127" s="166"/>
      <c r="H127" s="166" t="str">
        <f>Form!O123</f>
        <v/>
      </c>
    </row>
    <row r="128">
      <c r="A128" s="248" t="str">
        <f>Form!C123</f>
        <v/>
      </c>
      <c r="B128" s="4" t="str">
        <f>Form!D123</f>
        <v/>
      </c>
      <c r="C128" s="166" t="str">
        <f>Form!M123</f>
        <v/>
      </c>
      <c r="D128" s="166" t="str">
        <f>Form!N123</f>
        <v/>
      </c>
      <c r="E128" s="166" t="str">
        <f>Form!J123</f>
        <v/>
      </c>
      <c r="F128" s="166" t="str">
        <f>Form!K123</f>
        <v/>
      </c>
      <c r="G128" s="166"/>
      <c r="H128" s="166" t="str">
        <f>Form!O124</f>
        <v/>
      </c>
    </row>
    <row r="129">
      <c r="A129" s="248" t="str">
        <f>Form!C124</f>
        <v/>
      </c>
      <c r="B129" s="4" t="str">
        <f>Form!D124</f>
        <v/>
      </c>
      <c r="C129" s="166" t="str">
        <f>Form!M124</f>
        <v/>
      </c>
      <c r="D129" s="166" t="str">
        <f>Form!N124</f>
        <v/>
      </c>
      <c r="E129" s="166" t="str">
        <f>Form!J124</f>
        <v/>
      </c>
      <c r="F129" s="166" t="str">
        <f>Form!K124</f>
        <v/>
      </c>
      <c r="G129" s="166"/>
      <c r="H129" s="166" t="str">
        <f>Form!O125</f>
        <v/>
      </c>
    </row>
    <row r="130">
      <c r="A130" s="248" t="str">
        <f>Form!C125</f>
        <v/>
      </c>
      <c r="B130" s="4" t="str">
        <f>Form!D125</f>
        <v/>
      </c>
      <c r="C130" s="166" t="str">
        <f>Form!M125</f>
        <v/>
      </c>
      <c r="D130" s="166" t="str">
        <f>Form!N125</f>
        <v/>
      </c>
      <c r="E130" s="166" t="str">
        <f>Form!J125</f>
        <v/>
      </c>
      <c r="F130" s="166" t="str">
        <f>Form!K125</f>
        <v/>
      </c>
      <c r="G130" s="166"/>
      <c r="H130" s="166" t="str">
        <f>Form!O126</f>
        <v/>
      </c>
    </row>
    <row r="131">
      <c r="A131" s="248" t="str">
        <f>Form!C126</f>
        <v/>
      </c>
      <c r="B131" s="4" t="str">
        <f>Form!D126</f>
        <v/>
      </c>
      <c r="C131" s="166" t="str">
        <f>Form!M126</f>
        <v/>
      </c>
      <c r="D131" s="166" t="str">
        <f>Form!N126</f>
        <v/>
      </c>
      <c r="E131" s="166" t="str">
        <f>Form!J126</f>
        <v/>
      </c>
      <c r="F131" s="166" t="str">
        <f>Form!K126</f>
        <v/>
      </c>
      <c r="G131" s="166"/>
      <c r="H131" s="166" t="str">
        <f>Form!O127</f>
        <v/>
      </c>
    </row>
    <row r="132">
      <c r="A132" s="248" t="str">
        <f>Form!C127</f>
        <v/>
      </c>
      <c r="B132" s="4" t="str">
        <f>Form!D127</f>
        <v/>
      </c>
      <c r="C132" s="166" t="str">
        <f>Form!M127</f>
        <v/>
      </c>
      <c r="D132" s="166" t="str">
        <f>Form!N127</f>
        <v/>
      </c>
      <c r="E132" s="166" t="str">
        <f>Form!J127</f>
        <v/>
      </c>
      <c r="F132" s="166" t="str">
        <f>Form!K127</f>
        <v/>
      </c>
      <c r="G132" s="166"/>
      <c r="H132" s="166" t="str">
        <f>Form!O128</f>
        <v/>
      </c>
    </row>
    <row r="133">
      <c r="A133" s="248" t="str">
        <f>Form!C128</f>
        <v/>
      </c>
      <c r="B133" s="4" t="str">
        <f>Form!D128</f>
        <v/>
      </c>
      <c r="C133" s="166" t="str">
        <f>Form!M128</f>
        <v/>
      </c>
      <c r="D133" s="166" t="str">
        <f>Form!N128</f>
        <v/>
      </c>
      <c r="E133" s="166" t="str">
        <f>Form!J128</f>
        <v/>
      </c>
      <c r="F133" s="166" t="str">
        <f>Form!K128</f>
        <v/>
      </c>
      <c r="G133" s="166"/>
      <c r="H133" s="166" t="str">
        <f>Form!O129</f>
        <v/>
      </c>
    </row>
    <row r="134">
      <c r="A134" s="248" t="str">
        <f>Form!C129</f>
        <v/>
      </c>
      <c r="B134" s="4" t="str">
        <f>Form!D129</f>
        <v/>
      </c>
      <c r="C134" s="166" t="str">
        <f>Form!M129</f>
        <v/>
      </c>
      <c r="D134" s="166" t="str">
        <f>Form!N129</f>
        <v/>
      </c>
      <c r="E134" s="166" t="str">
        <f>Form!J129</f>
        <v/>
      </c>
      <c r="F134" s="166" t="str">
        <f>Form!K129</f>
        <v/>
      </c>
      <c r="G134" s="166"/>
      <c r="H134" s="166" t="str">
        <f>Form!O130</f>
        <v/>
      </c>
    </row>
    <row r="135">
      <c r="A135" s="248" t="str">
        <f>Form!C130</f>
        <v/>
      </c>
      <c r="B135" s="4" t="str">
        <f>Form!D130</f>
        <v/>
      </c>
      <c r="C135" s="166" t="str">
        <f>Form!M130</f>
        <v/>
      </c>
      <c r="D135" s="166" t="str">
        <f>Form!N130</f>
        <v/>
      </c>
      <c r="E135" s="166" t="str">
        <f>Form!J130</f>
        <v/>
      </c>
      <c r="F135" s="166" t="str">
        <f>Form!K130</f>
        <v/>
      </c>
      <c r="G135" s="166"/>
      <c r="H135" s="166" t="str">
        <f>Form!O131</f>
        <v/>
      </c>
    </row>
    <row r="136">
      <c r="A136" s="248" t="str">
        <f>Form!C131</f>
        <v/>
      </c>
      <c r="B136" s="4" t="str">
        <f>Form!D131</f>
        <v/>
      </c>
      <c r="C136" s="166" t="str">
        <f>Form!M131</f>
        <v/>
      </c>
      <c r="D136" s="166" t="str">
        <f>Form!N131</f>
        <v/>
      </c>
      <c r="E136" s="166" t="str">
        <f>Form!J131</f>
        <v/>
      </c>
      <c r="F136" s="166" t="str">
        <f>Form!K131</f>
        <v/>
      </c>
      <c r="G136" s="166"/>
      <c r="H136" s="166" t="str">
        <f>Form!O132</f>
        <v/>
      </c>
    </row>
    <row r="137">
      <c r="A137" s="248" t="str">
        <f>Form!C132</f>
        <v/>
      </c>
      <c r="B137" s="4" t="str">
        <f>Form!D132</f>
        <v/>
      </c>
      <c r="C137" s="166" t="str">
        <f>Form!M132</f>
        <v/>
      </c>
      <c r="D137" s="166" t="str">
        <f>Form!N132</f>
        <v/>
      </c>
      <c r="E137" s="166" t="str">
        <f>Form!J132</f>
        <v/>
      </c>
      <c r="F137" s="166" t="str">
        <f>Form!K132</f>
        <v/>
      </c>
      <c r="G137" s="166"/>
      <c r="H137" s="166" t="str">
        <f>Form!O133</f>
        <v/>
      </c>
    </row>
    <row r="138">
      <c r="A138" s="248" t="str">
        <f>Form!C133</f>
        <v/>
      </c>
      <c r="B138" s="4" t="str">
        <f>Form!D133</f>
        <v/>
      </c>
      <c r="C138" s="166" t="str">
        <f>Form!M133</f>
        <v/>
      </c>
      <c r="D138" s="166" t="str">
        <f>Form!N133</f>
        <v/>
      </c>
      <c r="E138" s="166" t="str">
        <f>Form!J133</f>
        <v/>
      </c>
      <c r="F138" s="166" t="str">
        <f>Form!K133</f>
        <v/>
      </c>
      <c r="G138" s="166"/>
      <c r="H138" s="166" t="str">
        <f>Form!O134</f>
        <v/>
      </c>
    </row>
    <row r="139">
      <c r="A139" s="248" t="str">
        <f>Form!C134</f>
        <v/>
      </c>
      <c r="B139" s="4" t="str">
        <f>Form!D134</f>
        <v/>
      </c>
      <c r="C139" s="166" t="str">
        <f>Form!M134</f>
        <v/>
      </c>
      <c r="D139" s="166" t="str">
        <f>Form!N134</f>
        <v/>
      </c>
      <c r="E139" s="166" t="str">
        <f>Form!J134</f>
        <v/>
      </c>
      <c r="F139" s="166" t="str">
        <f>Form!K134</f>
        <v/>
      </c>
      <c r="G139" s="166"/>
      <c r="H139" s="166" t="str">
        <f>Form!O135</f>
        <v/>
      </c>
    </row>
    <row r="140">
      <c r="A140" s="248" t="str">
        <f>Form!C135</f>
        <v/>
      </c>
      <c r="B140" s="4" t="str">
        <f>Form!D135</f>
        <v/>
      </c>
      <c r="C140" s="166" t="str">
        <f>Form!M135</f>
        <v/>
      </c>
      <c r="D140" s="166" t="str">
        <f>Form!N135</f>
        <v/>
      </c>
      <c r="E140" s="166" t="str">
        <f>Form!J135</f>
        <v/>
      </c>
      <c r="F140" s="166" t="str">
        <f>Form!K135</f>
        <v/>
      </c>
      <c r="G140" s="166"/>
      <c r="H140" s="166" t="str">
        <f>Form!O136</f>
        <v/>
      </c>
    </row>
    <row r="141">
      <c r="A141" s="248" t="str">
        <f>Form!C136</f>
        <v/>
      </c>
      <c r="B141" s="4" t="str">
        <f>Form!D136</f>
        <v/>
      </c>
      <c r="C141" s="166" t="str">
        <f>Form!M136</f>
        <v/>
      </c>
      <c r="D141" s="166" t="str">
        <f>Form!N136</f>
        <v/>
      </c>
      <c r="E141" s="166" t="str">
        <f>Form!J136</f>
        <v/>
      </c>
      <c r="F141" s="166" t="str">
        <f>Form!K136</f>
        <v/>
      </c>
      <c r="G141" s="166"/>
      <c r="H141" s="166" t="str">
        <f>Form!O137</f>
        <v/>
      </c>
    </row>
    <row r="142">
      <c r="A142" s="248" t="str">
        <f>Form!C137</f>
        <v/>
      </c>
      <c r="B142" s="4" t="str">
        <f>Form!D137</f>
        <v/>
      </c>
      <c r="C142" s="166" t="str">
        <f>Form!M137</f>
        <v/>
      </c>
      <c r="D142" s="166" t="str">
        <f>Form!N137</f>
        <v/>
      </c>
      <c r="E142" s="166" t="str">
        <f>Form!J137</f>
        <v/>
      </c>
      <c r="F142" s="166" t="str">
        <f>Form!K137</f>
        <v/>
      </c>
      <c r="G142" s="166"/>
      <c r="H142" s="166" t="str">
        <f>Form!O138</f>
        <v/>
      </c>
    </row>
    <row r="143">
      <c r="A143" s="248" t="str">
        <f>Form!C138</f>
        <v/>
      </c>
      <c r="B143" s="4" t="str">
        <f>Form!D138</f>
        <v/>
      </c>
      <c r="C143" s="166" t="str">
        <f>Form!M138</f>
        <v/>
      </c>
      <c r="D143" s="166" t="str">
        <f>Form!N138</f>
        <v/>
      </c>
      <c r="E143" s="166" t="str">
        <f>Form!J138</f>
        <v/>
      </c>
      <c r="F143" s="166" t="str">
        <f>Form!K138</f>
        <v/>
      </c>
      <c r="G143" s="166"/>
      <c r="H143" s="166" t="str">
        <f>Form!O139</f>
        <v/>
      </c>
    </row>
    <row r="144">
      <c r="A144" s="248" t="str">
        <f>Form!C139</f>
        <v/>
      </c>
      <c r="B144" s="4" t="str">
        <f>Form!D139</f>
        <v/>
      </c>
      <c r="C144" s="166" t="str">
        <f>Form!M139</f>
        <v/>
      </c>
      <c r="D144" s="166" t="str">
        <f>Form!N139</f>
        <v/>
      </c>
      <c r="E144" s="166" t="str">
        <f>Form!J139</f>
        <v/>
      </c>
      <c r="F144" s="166" t="str">
        <f>Form!K139</f>
        <v/>
      </c>
      <c r="G144" s="166"/>
      <c r="H144" s="166" t="str">
        <f>Form!O140</f>
        <v/>
      </c>
    </row>
    <row r="145">
      <c r="A145" s="248" t="str">
        <f>Form!C140</f>
        <v/>
      </c>
      <c r="B145" s="4" t="str">
        <f>Form!D140</f>
        <v/>
      </c>
      <c r="C145" s="166" t="str">
        <f>Form!M140</f>
        <v/>
      </c>
      <c r="D145" s="166" t="str">
        <f>Form!N140</f>
        <v/>
      </c>
      <c r="E145" s="166" t="str">
        <f>Form!J140</f>
        <v/>
      </c>
      <c r="F145" s="166" t="str">
        <f>Form!K140</f>
        <v/>
      </c>
      <c r="G145" s="166"/>
      <c r="H145" s="166" t="str">
        <f>Form!O141</f>
        <v/>
      </c>
    </row>
    <row r="146">
      <c r="A146" s="248" t="str">
        <f>Form!C141</f>
        <v/>
      </c>
      <c r="B146" s="4" t="str">
        <f>Form!D141</f>
        <v/>
      </c>
      <c r="C146" s="166" t="str">
        <f>Form!M141</f>
        <v/>
      </c>
      <c r="D146" s="166" t="str">
        <f>Form!N141</f>
        <v/>
      </c>
      <c r="E146" s="166" t="str">
        <f>Form!J141</f>
        <v/>
      </c>
      <c r="F146" s="166" t="str">
        <f>Form!K141</f>
        <v/>
      </c>
      <c r="G146" s="166"/>
      <c r="H146" s="166" t="str">
        <f>Form!O142</f>
        <v/>
      </c>
    </row>
    <row r="147">
      <c r="A147" s="248" t="str">
        <f>Form!C142</f>
        <v/>
      </c>
      <c r="B147" s="4" t="str">
        <f>Form!D142</f>
        <v/>
      </c>
      <c r="C147" s="166" t="str">
        <f>Form!M142</f>
        <v/>
      </c>
      <c r="D147" s="166" t="str">
        <f>Form!N142</f>
        <v/>
      </c>
      <c r="E147" s="166" t="str">
        <f>Form!J142</f>
        <v/>
      </c>
      <c r="F147" s="166" t="str">
        <f>Form!K142</f>
        <v/>
      </c>
      <c r="G147" s="166"/>
      <c r="H147" s="166" t="str">
        <f>Form!O143</f>
        <v/>
      </c>
    </row>
    <row r="148">
      <c r="A148" s="248" t="str">
        <f>Form!C143</f>
        <v/>
      </c>
      <c r="B148" s="4" t="str">
        <f>Form!D143</f>
        <v/>
      </c>
      <c r="C148" s="166" t="str">
        <f>Form!M143</f>
        <v/>
      </c>
      <c r="D148" s="166" t="str">
        <f>Form!N143</f>
        <v/>
      </c>
      <c r="E148" s="166" t="str">
        <f>Form!J143</f>
        <v/>
      </c>
      <c r="F148" s="166" t="str">
        <f>Form!K143</f>
        <v/>
      </c>
      <c r="G148" s="166"/>
      <c r="H148" s="166" t="str">
        <f>Form!O144</f>
        <v/>
      </c>
    </row>
    <row r="149">
      <c r="A149" s="248" t="str">
        <f>Form!C144</f>
        <v/>
      </c>
      <c r="B149" s="4" t="str">
        <f>Form!D144</f>
        <v/>
      </c>
      <c r="C149" s="166" t="str">
        <f>Form!M144</f>
        <v/>
      </c>
      <c r="D149" s="166" t="str">
        <f>Form!N144</f>
        <v/>
      </c>
      <c r="E149" s="166" t="str">
        <f>Form!J144</f>
        <v/>
      </c>
      <c r="F149" s="166" t="str">
        <f>Form!K144</f>
        <v/>
      </c>
      <c r="G149" s="166"/>
      <c r="H149" s="166" t="str">
        <f>Form!O145</f>
        <v/>
      </c>
    </row>
    <row r="150">
      <c r="A150" s="248" t="str">
        <f>Form!C145</f>
        <v/>
      </c>
      <c r="B150" s="4" t="str">
        <f>Form!D145</f>
        <v/>
      </c>
      <c r="C150" s="166" t="str">
        <f>Form!M145</f>
        <v/>
      </c>
      <c r="D150" s="166" t="str">
        <f>Form!N145</f>
        <v/>
      </c>
      <c r="E150" s="166" t="str">
        <f>Form!J145</f>
        <v/>
      </c>
      <c r="F150" s="166" t="str">
        <f>Form!K145</f>
        <v/>
      </c>
      <c r="G150" s="166"/>
      <c r="H150" s="166" t="str">
        <f>Form!O146</f>
        <v/>
      </c>
    </row>
    <row r="151">
      <c r="A151" s="248" t="str">
        <f>Form!C146</f>
        <v/>
      </c>
      <c r="B151" s="4" t="str">
        <f>Form!D146</f>
        <v/>
      </c>
      <c r="C151" s="166" t="str">
        <f>Form!M146</f>
        <v/>
      </c>
      <c r="D151" s="166" t="str">
        <f>Form!N146</f>
        <v/>
      </c>
      <c r="E151" s="166" t="str">
        <f>Form!J146</f>
        <v/>
      </c>
      <c r="F151" s="166" t="str">
        <f>Form!K146</f>
        <v/>
      </c>
      <c r="G151" s="166"/>
      <c r="H151" s="166" t="str">
        <f>Form!O147</f>
        <v/>
      </c>
    </row>
    <row r="152">
      <c r="A152" s="248" t="str">
        <f>Form!C147</f>
        <v/>
      </c>
      <c r="B152" s="4" t="str">
        <f>Form!D147</f>
        <v/>
      </c>
      <c r="C152" s="166" t="str">
        <f>Form!M147</f>
        <v/>
      </c>
      <c r="D152" s="166" t="str">
        <f>Form!N147</f>
        <v/>
      </c>
      <c r="E152" s="166" t="str">
        <f>Form!J147</f>
        <v/>
      </c>
      <c r="F152" s="166" t="str">
        <f>Form!K147</f>
        <v/>
      </c>
      <c r="G152" s="166"/>
      <c r="H152" s="166" t="str">
        <f>Form!O148</f>
        <v/>
      </c>
    </row>
    <row r="153">
      <c r="A153" s="248" t="str">
        <f>Form!C148</f>
        <v/>
      </c>
      <c r="B153" s="4" t="str">
        <f>Form!D148</f>
        <v/>
      </c>
      <c r="C153" s="166" t="str">
        <f>Form!M148</f>
        <v/>
      </c>
      <c r="D153" s="166" t="str">
        <f>Form!N148</f>
        <v/>
      </c>
      <c r="E153" s="166" t="str">
        <f>Form!J148</f>
        <v/>
      </c>
      <c r="F153" s="166" t="str">
        <f>Form!K148</f>
        <v/>
      </c>
      <c r="G153" s="166"/>
      <c r="H153" s="166" t="str">
        <f>Form!O149</f>
        <v/>
      </c>
    </row>
    <row r="154">
      <c r="A154" s="248" t="str">
        <f>Form!C149</f>
        <v/>
      </c>
      <c r="B154" s="4" t="str">
        <f>Form!D149</f>
        <v/>
      </c>
      <c r="C154" s="166" t="str">
        <f>Form!M149</f>
        <v/>
      </c>
      <c r="D154" s="166" t="str">
        <f>Form!N149</f>
        <v/>
      </c>
      <c r="E154" s="166" t="str">
        <f>Form!J149</f>
        <v/>
      </c>
      <c r="F154" s="166" t="str">
        <f>Form!K149</f>
        <v/>
      </c>
      <c r="G154" s="166"/>
      <c r="H154" s="166" t="str">
        <f>Form!O150</f>
        <v/>
      </c>
    </row>
    <row r="155">
      <c r="A155" s="248" t="str">
        <f>Form!C150</f>
        <v/>
      </c>
      <c r="B155" s="4" t="str">
        <f>Form!D150</f>
        <v/>
      </c>
      <c r="C155" s="166" t="str">
        <f>Form!M150</f>
        <v/>
      </c>
      <c r="D155" s="166" t="str">
        <f>Form!N150</f>
        <v/>
      </c>
      <c r="E155" s="166" t="str">
        <f>Form!J150</f>
        <v/>
      </c>
      <c r="F155" s="166" t="str">
        <f>Form!K150</f>
        <v/>
      </c>
      <c r="G155" s="166"/>
      <c r="H155" s="166" t="str">
        <f>Form!O151</f>
        <v/>
      </c>
    </row>
    <row r="156">
      <c r="A156" s="248" t="str">
        <f>Form!C151</f>
        <v/>
      </c>
      <c r="B156" s="4" t="str">
        <f>Form!D151</f>
        <v/>
      </c>
      <c r="C156" s="166" t="str">
        <f>Form!M151</f>
        <v/>
      </c>
      <c r="D156" s="166" t="str">
        <f>Form!N151</f>
        <v/>
      </c>
      <c r="E156" s="166" t="str">
        <f>Form!J151</f>
        <v/>
      </c>
      <c r="F156" s="166" t="str">
        <f>Form!K151</f>
        <v/>
      </c>
      <c r="G156" s="166"/>
      <c r="H156" s="166" t="str">
        <f>Form!O152</f>
        <v/>
      </c>
    </row>
    <row r="157">
      <c r="A157" s="248" t="str">
        <f>Form!C152</f>
        <v/>
      </c>
      <c r="B157" s="4" t="str">
        <f>Form!D152</f>
        <v/>
      </c>
      <c r="C157" s="166" t="str">
        <f>Form!M152</f>
        <v/>
      </c>
      <c r="D157" s="166" t="str">
        <f>Form!N152</f>
        <v/>
      </c>
      <c r="E157" s="166" t="str">
        <f>Form!J152</f>
        <v/>
      </c>
      <c r="F157" s="166" t="str">
        <f>Form!K152</f>
        <v/>
      </c>
      <c r="G157" s="166"/>
      <c r="H157" s="166" t="str">
        <f>Form!O153</f>
        <v/>
      </c>
    </row>
    <row r="158">
      <c r="A158" s="248" t="str">
        <f>Form!C153</f>
        <v/>
      </c>
      <c r="B158" s="4" t="str">
        <f>Form!D153</f>
        <v/>
      </c>
      <c r="C158" s="166" t="str">
        <f>Form!M153</f>
        <v/>
      </c>
      <c r="D158" s="166" t="str">
        <f>Form!N153</f>
        <v/>
      </c>
      <c r="E158" s="166" t="str">
        <f>Form!J153</f>
        <v/>
      </c>
      <c r="F158" s="166" t="str">
        <f>Form!K153</f>
        <v/>
      </c>
      <c r="G158" s="166"/>
      <c r="H158" s="166" t="str">
        <f>Form!O154</f>
        <v/>
      </c>
    </row>
    <row r="159">
      <c r="A159" s="248" t="str">
        <f>Form!C154</f>
        <v/>
      </c>
      <c r="B159" s="4" t="str">
        <f>Form!D154</f>
        <v/>
      </c>
      <c r="C159" s="166" t="str">
        <f>Form!M154</f>
        <v/>
      </c>
      <c r="D159" s="166" t="str">
        <f>Form!N154</f>
        <v/>
      </c>
      <c r="E159" s="166" t="str">
        <f>Form!J154</f>
        <v/>
      </c>
      <c r="F159" s="166" t="str">
        <f>Form!K154</f>
        <v/>
      </c>
      <c r="G159" s="166"/>
      <c r="H159" s="166" t="str">
        <f>Form!O155</f>
        <v/>
      </c>
    </row>
    <row r="160">
      <c r="A160" s="248" t="str">
        <f>Form!C155</f>
        <v/>
      </c>
      <c r="B160" s="4" t="str">
        <f>Form!D155</f>
        <v/>
      </c>
      <c r="C160" s="166" t="str">
        <f>Form!M155</f>
        <v/>
      </c>
      <c r="D160" s="166" t="str">
        <f>Form!N155</f>
        <v/>
      </c>
      <c r="E160" s="166" t="str">
        <f>Form!J155</f>
        <v/>
      </c>
      <c r="F160" s="166" t="str">
        <f>Form!K155</f>
        <v/>
      </c>
      <c r="G160" s="166"/>
      <c r="H160" s="166" t="str">
        <f>Form!O156</f>
        <v/>
      </c>
    </row>
    <row r="161">
      <c r="A161" s="248" t="str">
        <f>Form!C156</f>
        <v/>
      </c>
      <c r="B161" s="4" t="str">
        <f>Form!D156</f>
        <v/>
      </c>
      <c r="C161" s="166" t="str">
        <f>Form!M156</f>
        <v/>
      </c>
      <c r="D161" s="166" t="str">
        <f>Form!N156</f>
        <v/>
      </c>
      <c r="E161" s="166" t="str">
        <f>Form!J156</f>
        <v/>
      </c>
      <c r="F161" s="166" t="str">
        <f>Form!K156</f>
        <v/>
      </c>
      <c r="G161" s="166"/>
      <c r="H161" s="166" t="str">
        <f>Form!O157</f>
        <v/>
      </c>
    </row>
    <row r="162">
      <c r="A162" s="248" t="str">
        <f>Form!C157</f>
        <v/>
      </c>
      <c r="B162" s="4" t="str">
        <f>Form!D157</f>
        <v/>
      </c>
      <c r="C162" s="166" t="str">
        <f>Form!M157</f>
        <v/>
      </c>
      <c r="D162" s="166" t="str">
        <f>Form!N157</f>
        <v/>
      </c>
      <c r="E162" s="166" t="str">
        <f>Form!J157</f>
        <v/>
      </c>
      <c r="F162" s="166" t="str">
        <f>Form!K157</f>
        <v/>
      </c>
      <c r="G162" s="166"/>
      <c r="H162" s="166" t="str">
        <f>Form!O158</f>
        <v/>
      </c>
    </row>
    <row r="163">
      <c r="A163" s="248" t="str">
        <f>Form!C158</f>
        <v/>
      </c>
      <c r="B163" s="4" t="str">
        <f>Form!D158</f>
        <v/>
      </c>
      <c r="C163" s="166" t="str">
        <f>Form!M158</f>
        <v/>
      </c>
      <c r="D163" s="166" t="str">
        <f>Form!N158</f>
        <v/>
      </c>
      <c r="E163" s="166" t="str">
        <f>Form!J158</f>
        <v/>
      </c>
      <c r="F163" s="166" t="str">
        <f>Form!K158</f>
        <v/>
      </c>
      <c r="G163" s="166"/>
      <c r="H163" s="166" t="str">
        <f>Form!O159</f>
        <v/>
      </c>
    </row>
    <row r="164">
      <c r="A164" s="248" t="str">
        <f>Form!C159</f>
        <v/>
      </c>
      <c r="B164" s="4" t="str">
        <f>Form!D159</f>
        <v/>
      </c>
      <c r="C164" s="166" t="str">
        <f>Form!M159</f>
        <v/>
      </c>
      <c r="D164" s="166" t="str">
        <f>Form!N159</f>
        <v/>
      </c>
      <c r="E164" s="166" t="str">
        <f>Form!J159</f>
        <v/>
      </c>
      <c r="F164" s="166" t="str">
        <f>Form!K159</f>
        <v/>
      </c>
      <c r="G164" s="166"/>
      <c r="H164" s="166" t="str">
        <f>Form!O160</f>
        <v/>
      </c>
    </row>
    <row r="165">
      <c r="A165" s="248" t="str">
        <f>Form!C160</f>
        <v/>
      </c>
      <c r="B165" s="4" t="str">
        <f>Form!D160</f>
        <v/>
      </c>
      <c r="C165" s="166" t="str">
        <f>Form!M160</f>
        <v/>
      </c>
      <c r="D165" s="166" t="str">
        <f>Form!N160</f>
        <v/>
      </c>
      <c r="E165" s="166" t="str">
        <f>Form!J160</f>
        <v/>
      </c>
      <c r="F165" s="166" t="str">
        <f>Form!K160</f>
        <v/>
      </c>
      <c r="G165" s="166"/>
      <c r="H165" s="166" t="str">
        <f>Form!O161</f>
        <v/>
      </c>
    </row>
    <row r="166">
      <c r="A166" s="248" t="str">
        <f>Form!C161</f>
        <v/>
      </c>
      <c r="B166" s="4" t="str">
        <f>Form!D161</f>
        <v/>
      </c>
      <c r="C166" s="166" t="str">
        <f>Form!M161</f>
        <v/>
      </c>
      <c r="D166" s="166" t="str">
        <f>Form!N161</f>
        <v/>
      </c>
      <c r="E166" s="166" t="str">
        <f>Form!J161</f>
        <v/>
      </c>
      <c r="F166" s="166" t="str">
        <f>Form!K161</f>
        <v/>
      </c>
      <c r="G166" s="166"/>
      <c r="H166" s="166" t="str">
        <f>Form!O162</f>
        <v/>
      </c>
    </row>
    <row r="167">
      <c r="A167" s="248" t="str">
        <f>Form!C162</f>
        <v/>
      </c>
      <c r="B167" s="4" t="str">
        <f>Form!D162</f>
        <v/>
      </c>
      <c r="C167" s="166" t="str">
        <f>Form!M162</f>
        <v/>
      </c>
      <c r="D167" s="166" t="str">
        <f>Form!N162</f>
        <v/>
      </c>
      <c r="E167" s="166" t="str">
        <f>Form!J162</f>
        <v/>
      </c>
      <c r="F167" s="166" t="str">
        <f>Form!K162</f>
        <v/>
      </c>
      <c r="G167" s="166"/>
      <c r="H167" s="166" t="str">
        <f>Form!O163</f>
        <v/>
      </c>
    </row>
    <row r="168">
      <c r="A168" s="248" t="str">
        <f>Form!C163</f>
        <v/>
      </c>
      <c r="B168" s="4" t="str">
        <f>Form!D163</f>
        <v/>
      </c>
      <c r="C168" s="166" t="str">
        <f>Form!M163</f>
        <v/>
      </c>
      <c r="D168" s="166" t="str">
        <f>Form!N163</f>
        <v/>
      </c>
      <c r="E168" s="166" t="str">
        <f>Form!J163</f>
        <v/>
      </c>
      <c r="F168" s="166" t="str">
        <f>Form!K163</f>
        <v/>
      </c>
      <c r="G168" s="166"/>
      <c r="H168" s="166" t="str">
        <f>Form!O164</f>
        <v/>
      </c>
    </row>
    <row r="169">
      <c r="A169" s="248" t="str">
        <f>Form!C164</f>
        <v/>
      </c>
      <c r="B169" s="4" t="str">
        <f>Form!D164</f>
        <v/>
      </c>
      <c r="C169" s="166" t="str">
        <f>Form!M164</f>
        <v/>
      </c>
      <c r="D169" s="166" t="str">
        <f>Form!N164</f>
        <v/>
      </c>
      <c r="E169" s="166" t="str">
        <f>Form!J164</f>
        <v/>
      </c>
      <c r="F169" s="166" t="str">
        <f>Form!K164</f>
        <v/>
      </c>
      <c r="G169" s="166"/>
      <c r="H169" s="166" t="str">
        <f>Form!O165</f>
        <v/>
      </c>
    </row>
    <row r="170">
      <c r="A170" s="248" t="str">
        <f>Form!C165</f>
        <v/>
      </c>
      <c r="B170" s="4" t="str">
        <f>Form!D165</f>
        <v/>
      </c>
      <c r="C170" s="166" t="str">
        <f>Form!M165</f>
        <v/>
      </c>
      <c r="D170" s="166" t="str">
        <f>Form!N165</f>
        <v/>
      </c>
      <c r="E170" s="166" t="str">
        <f>Form!J165</f>
        <v/>
      </c>
      <c r="F170" s="166" t="str">
        <f>Form!K165</f>
        <v/>
      </c>
      <c r="G170" s="166"/>
      <c r="H170" s="166" t="str">
        <f>Form!O166</f>
        <v/>
      </c>
    </row>
    <row r="171">
      <c r="A171" s="248" t="str">
        <f>Form!C166</f>
        <v/>
      </c>
      <c r="B171" s="4" t="str">
        <f>Form!D166</f>
        <v/>
      </c>
      <c r="C171" s="166" t="str">
        <f>Form!M166</f>
        <v/>
      </c>
      <c r="D171" s="166" t="str">
        <f>Form!N166</f>
        <v/>
      </c>
      <c r="E171" s="166" t="str">
        <f>Form!J166</f>
        <v/>
      </c>
      <c r="F171" s="166" t="str">
        <f>Form!K166</f>
        <v/>
      </c>
      <c r="G171" s="166"/>
      <c r="H171" s="166" t="str">
        <f>Form!O167</f>
        <v/>
      </c>
    </row>
    <row r="172">
      <c r="A172" s="248" t="str">
        <f>Form!C167</f>
        <v/>
      </c>
      <c r="B172" s="4" t="str">
        <f>Form!D167</f>
        <v/>
      </c>
      <c r="C172" s="166" t="str">
        <f>Form!M167</f>
        <v/>
      </c>
      <c r="D172" s="166" t="str">
        <f>Form!N167</f>
        <v/>
      </c>
      <c r="E172" s="166" t="str">
        <f>Form!J167</f>
        <v/>
      </c>
      <c r="F172" s="166" t="str">
        <f>Form!K167</f>
        <v/>
      </c>
      <c r="G172" s="166"/>
      <c r="H172" s="166" t="str">
        <f>Form!O168</f>
        <v/>
      </c>
    </row>
    <row r="173">
      <c r="A173" s="248" t="str">
        <f>Form!C168</f>
        <v/>
      </c>
      <c r="B173" s="4" t="str">
        <f>Form!D168</f>
        <v/>
      </c>
      <c r="C173" s="166" t="str">
        <f>Form!M168</f>
        <v/>
      </c>
      <c r="D173" s="166" t="str">
        <f>Form!N168</f>
        <v/>
      </c>
      <c r="E173" s="166" t="str">
        <f>Form!J168</f>
        <v/>
      </c>
      <c r="F173" s="166" t="str">
        <f>Form!K168</f>
        <v/>
      </c>
      <c r="G173" s="166"/>
      <c r="H173" s="166" t="str">
        <f>Form!O169</f>
        <v/>
      </c>
    </row>
    <row r="174">
      <c r="A174" s="248" t="str">
        <f>Form!C169</f>
        <v/>
      </c>
      <c r="B174" s="4" t="str">
        <f>Form!D169</f>
        <v/>
      </c>
      <c r="C174" s="166" t="str">
        <f>Form!M169</f>
        <v/>
      </c>
      <c r="D174" s="166" t="str">
        <f>Form!N169</f>
        <v/>
      </c>
      <c r="E174" s="166" t="str">
        <f>Form!J169</f>
        <v/>
      </c>
      <c r="F174" s="166" t="str">
        <f>Form!K169</f>
        <v/>
      </c>
      <c r="G174" s="166"/>
      <c r="H174" s="166" t="str">
        <f>Form!O170</f>
        <v/>
      </c>
    </row>
    <row r="175">
      <c r="A175" s="248" t="str">
        <f>Form!C170</f>
        <v/>
      </c>
      <c r="B175" s="4" t="str">
        <f>Form!D170</f>
        <v/>
      </c>
      <c r="C175" s="166" t="str">
        <f>Form!M170</f>
        <v/>
      </c>
      <c r="D175" s="166" t="str">
        <f>Form!N170</f>
        <v/>
      </c>
      <c r="E175" s="166" t="str">
        <f>Form!J170</f>
        <v/>
      </c>
      <c r="F175" s="166" t="str">
        <f>Form!K170</f>
        <v/>
      </c>
      <c r="G175" s="166"/>
      <c r="H175" s="166" t="str">
        <f>Form!O171</f>
        <v/>
      </c>
    </row>
    <row r="176">
      <c r="A176" s="248" t="str">
        <f>Form!C171</f>
        <v/>
      </c>
      <c r="B176" s="4" t="str">
        <f>Form!D171</f>
        <v/>
      </c>
      <c r="C176" s="166" t="str">
        <f>Form!M171</f>
        <v/>
      </c>
      <c r="D176" s="166" t="str">
        <f>Form!N171</f>
        <v/>
      </c>
      <c r="E176" s="166" t="str">
        <f>Form!J171</f>
        <v/>
      </c>
      <c r="F176" s="166" t="str">
        <f>Form!K171</f>
        <v/>
      </c>
      <c r="G176" s="166"/>
      <c r="H176" s="166" t="str">
        <f>Form!O172</f>
        <v/>
      </c>
    </row>
    <row r="177">
      <c r="A177" s="248" t="str">
        <f>Form!C172</f>
        <v/>
      </c>
      <c r="B177" s="4" t="str">
        <f>Form!D172</f>
        <v/>
      </c>
      <c r="C177" s="166" t="str">
        <f>Form!M172</f>
        <v/>
      </c>
      <c r="D177" s="166" t="str">
        <f>Form!N172</f>
        <v/>
      </c>
      <c r="E177" s="166" t="str">
        <f>Form!J172</f>
        <v/>
      </c>
      <c r="F177" s="166" t="str">
        <f>Form!K172</f>
        <v/>
      </c>
      <c r="G177" s="166"/>
      <c r="H177" s="166" t="str">
        <f>Form!O173</f>
        <v/>
      </c>
    </row>
    <row r="178">
      <c r="A178" s="248" t="str">
        <f>Form!C173</f>
        <v/>
      </c>
      <c r="B178" s="4" t="str">
        <f>Form!D173</f>
        <v/>
      </c>
      <c r="C178" s="166" t="str">
        <f>Form!M173</f>
        <v/>
      </c>
      <c r="D178" s="166" t="str">
        <f>Form!N173</f>
        <v/>
      </c>
      <c r="E178" s="166" t="str">
        <f>Form!J173</f>
        <v/>
      </c>
      <c r="F178" s="166" t="str">
        <f>Form!K173</f>
        <v/>
      </c>
      <c r="G178" s="166"/>
      <c r="H178" s="166" t="str">
        <f>Form!O174</f>
        <v/>
      </c>
    </row>
    <row r="179">
      <c r="A179" s="248" t="str">
        <f>Form!C174</f>
        <v/>
      </c>
      <c r="B179" s="4" t="str">
        <f>Form!D174</f>
        <v/>
      </c>
      <c r="C179" s="166" t="str">
        <f>Form!M174</f>
        <v/>
      </c>
      <c r="D179" s="166" t="str">
        <f>Form!N174</f>
        <v/>
      </c>
      <c r="E179" s="166" t="str">
        <f>Form!J174</f>
        <v/>
      </c>
      <c r="F179" s="166" t="str">
        <f>Form!K174</f>
        <v/>
      </c>
      <c r="G179" s="166"/>
      <c r="H179" s="166" t="str">
        <f>Form!O175</f>
        <v/>
      </c>
    </row>
    <row r="180">
      <c r="A180" s="248" t="str">
        <f>Form!C175</f>
        <v/>
      </c>
      <c r="B180" s="4" t="str">
        <f>Form!D175</f>
        <v/>
      </c>
      <c r="C180" s="166" t="str">
        <f>Form!M175</f>
        <v/>
      </c>
      <c r="D180" s="166" t="str">
        <f>Form!N175</f>
        <v/>
      </c>
      <c r="E180" s="166" t="str">
        <f>Form!J175</f>
        <v/>
      </c>
      <c r="F180" s="166" t="str">
        <f>Form!K175</f>
        <v/>
      </c>
      <c r="G180" s="166"/>
      <c r="H180" s="166" t="str">
        <f>Form!O176</f>
        <v/>
      </c>
    </row>
    <row r="181">
      <c r="A181" s="248" t="str">
        <f>Form!C176</f>
        <v/>
      </c>
      <c r="B181" s="4" t="str">
        <f>Form!D176</f>
        <v/>
      </c>
      <c r="C181" s="166" t="str">
        <f>Form!M176</f>
        <v/>
      </c>
      <c r="D181" s="166" t="str">
        <f>Form!N176</f>
        <v/>
      </c>
      <c r="E181" s="166" t="str">
        <f>Form!J176</f>
        <v/>
      </c>
      <c r="F181" s="166" t="str">
        <f>Form!K176</f>
        <v/>
      </c>
      <c r="G181" s="166"/>
      <c r="H181" s="166" t="str">
        <f>Form!O177</f>
        <v/>
      </c>
    </row>
    <row r="182">
      <c r="A182" s="248" t="str">
        <f>Form!C177</f>
        <v/>
      </c>
      <c r="B182" s="4" t="str">
        <f>Form!D177</f>
        <v/>
      </c>
      <c r="C182" s="166" t="str">
        <f>Form!M177</f>
        <v/>
      </c>
      <c r="D182" s="166" t="str">
        <f>Form!N177</f>
        <v/>
      </c>
      <c r="E182" s="166" t="str">
        <f>Form!J177</f>
        <v/>
      </c>
      <c r="F182" s="166" t="str">
        <f>Form!K177</f>
        <v/>
      </c>
      <c r="G182" s="166"/>
      <c r="H182" s="166" t="str">
        <f>Form!O178</f>
        <v/>
      </c>
    </row>
    <row r="183">
      <c r="A183" s="248" t="str">
        <f>Form!C178</f>
        <v/>
      </c>
      <c r="B183" s="4" t="str">
        <f>Form!D178</f>
        <v/>
      </c>
      <c r="C183" s="166" t="str">
        <f>Form!M178</f>
        <v/>
      </c>
      <c r="D183" s="166" t="str">
        <f>Form!N178</f>
        <v/>
      </c>
      <c r="E183" s="166" t="str">
        <f>Form!J178</f>
        <v/>
      </c>
      <c r="F183" s="166" t="str">
        <f>Form!K178</f>
        <v/>
      </c>
      <c r="G183" s="166"/>
      <c r="H183" s="166" t="str">
        <f>Form!O179</f>
        <v/>
      </c>
    </row>
    <row r="184">
      <c r="A184" s="248" t="str">
        <f>Form!C179</f>
        <v/>
      </c>
      <c r="B184" s="4" t="str">
        <f>Form!D179</f>
        <v/>
      </c>
      <c r="C184" s="166" t="str">
        <f>Form!M179</f>
        <v/>
      </c>
      <c r="D184" s="166" t="str">
        <f>Form!N179</f>
        <v/>
      </c>
      <c r="E184" s="166" t="str">
        <f>Form!J179</f>
        <v/>
      </c>
      <c r="F184" s="166" t="str">
        <f>Form!K179</f>
        <v/>
      </c>
      <c r="G184" s="166"/>
      <c r="H184" s="166" t="str">
        <f>Form!O180</f>
        <v/>
      </c>
    </row>
    <row r="185">
      <c r="A185" s="248" t="str">
        <f>Form!C180</f>
        <v/>
      </c>
      <c r="B185" s="4" t="str">
        <f>Form!D180</f>
        <v/>
      </c>
      <c r="C185" s="166" t="str">
        <f>Form!M180</f>
        <v/>
      </c>
      <c r="D185" s="166" t="str">
        <f>Form!N180</f>
        <v/>
      </c>
      <c r="E185" s="166" t="str">
        <f>Form!J180</f>
        <v/>
      </c>
      <c r="F185" s="166" t="str">
        <f>Form!K180</f>
        <v/>
      </c>
      <c r="G185" s="166"/>
      <c r="H185" s="166" t="str">
        <f>Form!O181</f>
        <v/>
      </c>
    </row>
    <row r="186">
      <c r="A186" s="248" t="str">
        <f>Form!C181</f>
        <v/>
      </c>
      <c r="B186" s="4" t="str">
        <f>Form!D181</f>
        <v/>
      </c>
      <c r="C186" s="166" t="str">
        <f>Form!M181</f>
        <v/>
      </c>
      <c r="D186" s="166" t="str">
        <f>Form!N181</f>
        <v/>
      </c>
      <c r="E186" s="166" t="str">
        <f>Form!J181</f>
        <v/>
      </c>
      <c r="F186" s="166" t="str">
        <f>Form!K181</f>
        <v/>
      </c>
      <c r="G186" s="166"/>
      <c r="H186" s="166" t="str">
        <f>Form!O182</f>
        <v/>
      </c>
    </row>
    <row r="187">
      <c r="A187" s="248" t="str">
        <f>Form!C182</f>
        <v/>
      </c>
      <c r="B187" s="4" t="str">
        <f>Form!D182</f>
        <v/>
      </c>
      <c r="C187" s="166" t="str">
        <f>Form!M182</f>
        <v/>
      </c>
      <c r="D187" s="166" t="str">
        <f>Form!N182</f>
        <v/>
      </c>
      <c r="E187" s="166" t="str">
        <f>Form!J182</f>
        <v/>
      </c>
      <c r="F187" s="166" t="str">
        <f>Form!K182</f>
        <v/>
      </c>
      <c r="G187" s="166"/>
      <c r="H187" s="166" t="str">
        <f>Form!O183</f>
        <v/>
      </c>
    </row>
    <row r="188">
      <c r="A188" s="248" t="str">
        <f>Form!C183</f>
        <v/>
      </c>
      <c r="B188" s="4" t="str">
        <f>Form!D183</f>
        <v/>
      </c>
      <c r="C188" s="166" t="str">
        <f>Form!M183</f>
        <v/>
      </c>
      <c r="D188" s="166" t="str">
        <f>Form!N183</f>
        <v/>
      </c>
      <c r="E188" s="166" t="str">
        <f>Form!J183</f>
        <v/>
      </c>
      <c r="F188" s="166" t="str">
        <f>Form!K183</f>
        <v/>
      </c>
      <c r="G188" s="166"/>
      <c r="H188" s="166" t="str">
        <f>Form!O184</f>
        <v/>
      </c>
    </row>
    <row r="189">
      <c r="A189" s="248" t="str">
        <f>Form!C184</f>
        <v/>
      </c>
      <c r="B189" s="4" t="str">
        <f>Form!D184</f>
        <v/>
      </c>
      <c r="C189" s="166" t="str">
        <f>Form!M184</f>
        <v/>
      </c>
      <c r="D189" s="166" t="str">
        <f>Form!N184</f>
        <v/>
      </c>
      <c r="E189" s="166" t="str">
        <f>Form!J184</f>
        <v/>
      </c>
      <c r="F189" s="166" t="str">
        <f>Form!K184</f>
        <v/>
      </c>
      <c r="G189" s="166"/>
      <c r="H189" s="166" t="str">
        <f>Form!O185</f>
        <v/>
      </c>
    </row>
    <row r="190">
      <c r="A190" s="248" t="str">
        <f>Form!C185</f>
        <v/>
      </c>
      <c r="B190" s="4" t="str">
        <f>Form!D185</f>
        <v/>
      </c>
      <c r="C190" s="166" t="str">
        <f>Form!M185</f>
        <v/>
      </c>
      <c r="D190" s="166" t="str">
        <f>Form!N185</f>
        <v/>
      </c>
      <c r="E190" s="166" t="str">
        <f>Form!J185</f>
        <v/>
      </c>
      <c r="F190" s="166" t="str">
        <f>Form!K185</f>
        <v/>
      </c>
      <c r="G190" s="166"/>
      <c r="H190" s="166" t="str">
        <f>Form!O186</f>
        <v/>
      </c>
    </row>
    <row r="191">
      <c r="A191" s="248" t="str">
        <f>Form!C186</f>
        <v/>
      </c>
      <c r="B191" s="4" t="str">
        <f>Form!D186</f>
        <v/>
      </c>
      <c r="C191" s="166" t="str">
        <f>Form!M186</f>
        <v/>
      </c>
      <c r="D191" s="166" t="str">
        <f>Form!N186</f>
        <v/>
      </c>
      <c r="E191" s="166" t="str">
        <f>Form!J186</f>
        <v/>
      </c>
      <c r="F191" s="166" t="str">
        <f>Form!K186</f>
        <v/>
      </c>
      <c r="G191" s="166"/>
      <c r="H191" s="166" t="str">
        <f>Form!O187</f>
        <v/>
      </c>
    </row>
    <row r="192">
      <c r="A192" s="248" t="str">
        <f>Form!C187</f>
        <v/>
      </c>
      <c r="B192" s="4" t="str">
        <f>Form!D187</f>
        <v/>
      </c>
      <c r="C192" s="166" t="str">
        <f>Form!M187</f>
        <v/>
      </c>
      <c r="D192" s="166" t="str">
        <f>Form!N187</f>
        <v/>
      </c>
      <c r="E192" s="166" t="str">
        <f>Form!J187</f>
        <v/>
      </c>
      <c r="F192" s="166" t="str">
        <f>Form!K187</f>
        <v/>
      </c>
      <c r="G192" s="166"/>
      <c r="H192" s="166" t="str">
        <f>Form!O188</f>
        <v/>
      </c>
    </row>
    <row r="193">
      <c r="A193" s="248" t="str">
        <f>Form!C188</f>
        <v/>
      </c>
      <c r="B193" s="4" t="str">
        <f>Form!D188</f>
        <v/>
      </c>
      <c r="C193" s="166" t="str">
        <f>Form!M188</f>
        <v/>
      </c>
      <c r="D193" s="166" t="str">
        <f>Form!N188</f>
        <v/>
      </c>
      <c r="E193" s="166" t="str">
        <f>Form!J188</f>
        <v/>
      </c>
      <c r="F193" s="166" t="str">
        <f>Form!K188</f>
        <v/>
      </c>
      <c r="G193" s="166"/>
      <c r="H193" s="166" t="str">
        <f>Form!O189</f>
        <v/>
      </c>
    </row>
    <row r="194">
      <c r="A194" s="248" t="str">
        <f>Form!C189</f>
        <v/>
      </c>
      <c r="B194" s="4" t="str">
        <f>Form!D189</f>
        <v/>
      </c>
      <c r="C194" s="166" t="str">
        <f>Form!M189</f>
        <v/>
      </c>
      <c r="D194" s="166" t="str">
        <f>Form!N189</f>
        <v/>
      </c>
      <c r="E194" s="166" t="str">
        <f>Form!J189</f>
        <v/>
      </c>
      <c r="F194" s="166" t="str">
        <f>Form!K189</f>
        <v/>
      </c>
      <c r="G194" s="166"/>
      <c r="H194" s="166" t="str">
        <f>Form!O190</f>
        <v/>
      </c>
    </row>
    <row r="195">
      <c r="A195" s="248" t="str">
        <f>Form!C190</f>
        <v/>
      </c>
      <c r="B195" s="4" t="str">
        <f>Form!D190</f>
        <v/>
      </c>
      <c r="C195" s="166" t="str">
        <f>Form!M190</f>
        <v/>
      </c>
      <c r="D195" s="166" t="str">
        <f>Form!N190</f>
        <v/>
      </c>
      <c r="E195" s="166" t="str">
        <f>Form!J190</f>
        <v/>
      </c>
      <c r="F195" s="166" t="str">
        <f>Form!K190</f>
        <v/>
      </c>
      <c r="G195" s="166"/>
      <c r="H195" s="166" t="str">
        <f>Form!O191</f>
        <v/>
      </c>
    </row>
    <row r="196">
      <c r="A196" s="248" t="str">
        <f>Form!C191</f>
        <v/>
      </c>
      <c r="B196" s="4" t="str">
        <f>Form!D191</f>
        <v/>
      </c>
      <c r="C196" s="166" t="str">
        <f>Form!M191</f>
        <v/>
      </c>
      <c r="D196" s="166" t="str">
        <f>Form!N191</f>
        <v/>
      </c>
      <c r="E196" s="166" t="str">
        <f>Form!J191</f>
        <v/>
      </c>
      <c r="F196" s="166" t="str">
        <f>Form!K191</f>
        <v/>
      </c>
      <c r="G196" s="166"/>
      <c r="H196" s="166" t="str">
        <f>Form!O192</f>
        <v/>
      </c>
    </row>
    <row r="197">
      <c r="A197" s="248" t="str">
        <f>Form!C192</f>
        <v/>
      </c>
      <c r="B197" s="4" t="str">
        <f>Form!D192</f>
        <v/>
      </c>
      <c r="C197" s="166" t="str">
        <f>Form!M192</f>
        <v/>
      </c>
      <c r="D197" s="166" t="str">
        <f>Form!N192</f>
        <v/>
      </c>
      <c r="E197" s="166" t="str">
        <f>Form!J192</f>
        <v/>
      </c>
      <c r="F197" s="166" t="str">
        <f>Form!K192</f>
        <v/>
      </c>
      <c r="G197" s="166"/>
      <c r="H197" s="166" t="str">
        <f>Form!O193</f>
        <v/>
      </c>
    </row>
    <row r="198">
      <c r="A198" s="248" t="str">
        <f>Form!C193</f>
        <v/>
      </c>
      <c r="B198" s="4" t="str">
        <f>Form!D193</f>
        <v/>
      </c>
      <c r="C198" s="166" t="str">
        <f>Form!M193</f>
        <v/>
      </c>
      <c r="D198" s="166" t="str">
        <f>Form!N193</f>
        <v/>
      </c>
      <c r="E198" s="166" t="str">
        <f>Form!J193</f>
        <v/>
      </c>
      <c r="F198" s="166" t="str">
        <f>Form!K193</f>
        <v/>
      </c>
      <c r="G198" s="166"/>
      <c r="H198" s="166" t="str">
        <f>Form!O194</f>
        <v/>
      </c>
    </row>
    <row r="199">
      <c r="A199" s="248" t="str">
        <f>Form!C194</f>
        <v/>
      </c>
      <c r="B199" s="4" t="str">
        <f>Form!D194</f>
        <v/>
      </c>
      <c r="C199" s="166" t="str">
        <f>Form!M194</f>
        <v/>
      </c>
      <c r="D199" s="166" t="str">
        <f>Form!N194</f>
        <v/>
      </c>
      <c r="E199" s="166" t="str">
        <f>Form!J194</f>
        <v/>
      </c>
      <c r="F199" s="166" t="str">
        <f>Form!K194</f>
        <v/>
      </c>
      <c r="G199" s="166"/>
      <c r="H199" s="166" t="str">
        <f>Form!O195</f>
        <v/>
      </c>
    </row>
    <row r="200">
      <c r="A200" s="248" t="str">
        <f>Form!C195</f>
        <v/>
      </c>
      <c r="B200" s="4" t="str">
        <f>Form!D195</f>
        <v/>
      </c>
      <c r="C200" s="166" t="str">
        <f>Form!M195</f>
        <v/>
      </c>
      <c r="D200" s="166" t="str">
        <f>Form!N195</f>
        <v/>
      </c>
      <c r="E200" s="166" t="str">
        <f>Form!J195</f>
        <v/>
      </c>
      <c r="F200" s="166" t="str">
        <f>Form!K195</f>
        <v/>
      </c>
      <c r="G200" s="166"/>
      <c r="H200" s="166" t="str">
        <f>Form!O196</f>
        <v/>
      </c>
    </row>
    <row r="201">
      <c r="A201" s="248" t="str">
        <f>Form!C196</f>
        <v/>
      </c>
      <c r="B201" s="4" t="str">
        <f>Form!D196</f>
        <v/>
      </c>
      <c r="C201" s="166" t="str">
        <f>Form!M196</f>
        <v/>
      </c>
      <c r="D201" s="166" t="str">
        <f>Form!N196</f>
        <v/>
      </c>
      <c r="E201" s="166" t="str">
        <f>Form!J196</f>
        <v/>
      </c>
      <c r="F201" s="166" t="str">
        <f>Form!K196</f>
        <v/>
      </c>
      <c r="G201" s="166"/>
      <c r="H201" s="166" t="str">
        <f>Form!O197</f>
        <v/>
      </c>
    </row>
    <row r="202">
      <c r="A202" s="248" t="str">
        <f>Form!C197</f>
        <v/>
      </c>
      <c r="B202" s="4" t="str">
        <f>Form!D197</f>
        <v/>
      </c>
      <c r="C202" s="166" t="str">
        <f>Form!M197</f>
        <v/>
      </c>
      <c r="D202" s="166" t="str">
        <f>Form!N197</f>
        <v/>
      </c>
      <c r="E202" s="166" t="str">
        <f>Form!J197</f>
        <v/>
      </c>
      <c r="F202" s="166" t="str">
        <f>Form!K197</f>
        <v/>
      </c>
      <c r="G202" s="166"/>
      <c r="H202" s="166" t="str">
        <f>Form!O198</f>
        <v/>
      </c>
    </row>
    <row r="203">
      <c r="A203" s="248" t="str">
        <f>Form!C198</f>
        <v/>
      </c>
      <c r="B203" s="4" t="str">
        <f>Form!D198</f>
        <v/>
      </c>
      <c r="C203" s="166" t="str">
        <f>Form!M198</f>
        <v/>
      </c>
      <c r="D203" s="166" t="str">
        <f>Form!N198</f>
        <v/>
      </c>
      <c r="E203" s="166" t="str">
        <f>Form!J198</f>
        <v/>
      </c>
      <c r="F203" s="166" t="str">
        <f>Form!K198</f>
        <v/>
      </c>
      <c r="G203" s="166"/>
      <c r="H203" s="166" t="str">
        <f>Form!O199</f>
        <v/>
      </c>
    </row>
    <row r="204">
      <c r="A204" s="248" t="str">
        <f>Form!C199</f>
        <v/>
      </c>
      <c r="B204" s="4" t="str">
        <f>Form!D199</f>
        <v/>
      </c>
      <c r="C204" s="166" t="str">
        <f>Form!M199</f>
        <v/>
      </c>
      <c r="D204" s="166" t="str">
        <f>Form!N199</f>
        <v/>
      </c>
      <c r="E204" s="166" t="str">
        <f>Form!J199</f>
        <v/>
      </c>
      <c r="F204" s="166" t="str">
        <f>Form!K199</f>
        <v/>
      </c>
      <c r="G204" s="166"/>
      <c r="H204" s="166" t="str">
        <f>Form!O200</f>
        <v/>
      </c>
    </row>
    <row r="205">
      <c r="A205" s="248" t="str">
        <f>Form!C200</f>
        <v/>
      </c>
      <c r="B205" s="4" t="str">
        <f>Form!D200</f>
        <v/>
      </c>
      <c r="C205" s="166" t="str">
        <f>Form!M200</f>
        <v/>
      </c>
      <c r="D205" s="166" t="str">
        <f>Form!N200</f>
        <v/>
      </c>
      <c r="E205" s="166" t="str">
        <f>Form!J200</f>
        <v/>
      </c>
      <c r="F205" s="166" t="str">
        <f>Form!K200</f>
        <v/>
      </c>
      <c r="G205" s="166"/>
      <c r="H205" s="166" t="str">
        <f>Form!O201</f>
        <v/>
      </c>
    </row>
    <row r="206">
      <c r="A206" s="248" t="str">
        <f>Form!C201</f>
        <v/>
      </c>
      <c r="B206" s="4" t="str">
        <f>Form!D201</f>
        <v/>
      </c>
      <c r="C206" s="166" t="str">
        <f>Form!M201</f>
        <v/>
      </c>
      <c r="D206" s="166" t="str">
        <f>Form!N201</f>
        <v/>
      </c>
      <c r="E206" s="166" t="str">
        <f>Form!J201</f>
        <v/>
      </c>
      <c r="F206" s="166" t="str">
        <f>Form!K201</f>
        <v/>
      </c>
      <c r="G206" s="166"/>
      <c r="H206" s="166" t="str">
        <f>Form!O202</f>
        <v/>
      </c>
    </row>
    <row r="207">
      <c r="A207" s="248" t="str">
        <f>Form!C202</f>
        <v/>
      </c>
      <c r="B207" s="4" t="str">
        <f>Form!D202</f>
        <v/>
      </c>
      <c r="C207" s="166" t="str">
        <f>Form!M202</f>
        <v/>
      </c>
      <c r="D207" s="166" t="str">
        <f>Form!N202</f>
        <v/>
      </c>
      <c r="E207" s="166" t="str">
        <f>Form!J202</f>
        <v/>
      </c>
      <c r="F207" s="166" t="str">
        <f>Form!K202</f>
        <v/>
      </c>
      <c r="G207" s="166"/>
      <c r="H207" s="166" t="str">
        <f>Form!O203</f>
        <v/>
      </c>
    </row>
    <row r="208">
      <c r="A208" s="248" t="str">
        <f>Form!C203</f>
        <v/>
      </c>
      <c r="B208" s="4" t="str">
        <f>Form!D203</f>
        <v/>
      </c>
      <c r="C208" s="166" t="str">
        <f>Form!M203</f>
        <v/>
      </c>
      <c r="D208" s="166" t="str">
        <f>Form!N203</f>
        <v/>
      </c>
      <c r="E208" s="166" t="str">
        <f>Form!J203</f>
        <v/>
      </c>
      <c r="F208" s="166" t="str">
        <f>Form!K203</f>
        <v/>
      </c>
      <c r="G208" s="166"/>
      <c r="H208" s="166" t="str">
        <f>Form!O204</f>
        <v/>
      </c>
    </row>
    <row r="209">
      <c r="A209" s="248" t="str">
        <f>Form!C204</f>
        <v/>
      </c>
      <c r="B209" s="4" t="str">
        <f>Form!D204</f>
        <v/>
      </c>
      <c r="C209" s="166" t="str">
        <f>Form!M204</f>
        <v/>
      </c>
      <c r="D209" s="166" t="str">
        <f>Form!N204</f>
        <v/>
      </c>
      <c r="E209" s="166" t="str">
        <f>Form!J204</f>
        <v/>
      </c>
      <c r="F209" s="166" t="str">
        <f>Form!K204</f>
        <v/>
      </c>
      <c r="G209" s="166"/>
      <c r="H209" s="166" t="str">
        <f>Form!O205</f>
        <v/>
      </c>
    </row>
    <row r="210">
      <c r="A210" s="248" t="str">
        <f>Form!C205</f>
        <v/>
      </c>
      <c r="B210" s="4" t="str">
        <f>Form!D205</f>
        <v/>
      </c>
      <c r="C210" s="166" t="str">
        <f>Form!M205</f>
        <v/>
      </c>
      <c r="D210" s="166" t="str">
        <f>Form!N205</f>
        <v/>
      </c>
      <c r="E210" s="166" t="str">
        <f>Form!J205</f>
        <v/>
      </c>
      <c r="F210" s="166" t="str">
        <f>Form!K205</f>
        <v/>
      </c>
      <c r="G210" s="166"/>
      <c r="H210" s="166" t="str">
        <f>Form!O206</f>
        <v/>
      </c>
    </row>
    <row r="211">
      <c r="A211" s="248" t="str">
        <f>Form!C206</f>
        <v/>
      </c>
      <c r="B211" s="4" t="str">
        <f>Form!D206</f>
        <v/>
      </c>
      <c r="C211" s="166" t="str">
        <f>Form!M206</f>
        <v/>
      </c>
      <c r="D211" s="166" t="str">
        <f>Form!N206</f>
        <v/>
      </c>
      <c r="E211" s="166" t="str">
        <f>Form!J206</f>
        <v/>
      </c>
      <c r="F211" s="166" t="str">
        <f>Form!K206</f>
        <v/>
      </c>
      <c r="G211" s="166"/>
      <c r="H211" s="166" t="str">
        <f>Form!O207</f>
        <v/>
      </c>
    </row>
    <row r="212">
      <c r="A212" s="248" t="str">
        <f>Form!C207</f>
        <v/>
      </c>
      <c r="B212" s="4" t="str">
        <f>Form!D207</f>
        <v/>
      </c>
      <c r="C212" s="166" t="str">
        <f>Form!M207</f>
        <v/>
      </c>
      <c r="D212" s="166" t="str">
        <f>Form!N207</f>
        <v/>
      </c>
      <c r="E212" s="166" t="str">
        <f>Form!J207</f>
        <v/>
      </c>
      <c r="F212" s="166" t="str">
        <f>Form!K207</f>
        <v/>
      </c>
      <c r="G212" s="166"/>
      <c r="H212" s="166" t="str">
        <f>Form!O208</f>
        <v/>
      </c>
    </row>
    <row r="213">
      <c r="A213" s="248" t="str">
        <f>Form!C208</f>
        <v/>
      </c>
      <c r="B213" s="4" t="str">
        <f>Form!D208</f>
        <v/>
      </c>
      <c r="C213" s="166" t="str">
        <f>Form!M208</f>
        <v/>
      </c>
      <c r="D213" s="166" t="str">
        <f>Form!N208</f>
        <v/>
      </c>
      <c r="E213" s="166" t="str">
        <f>Form!J208</f>
        <v/>
      </c>
      <c r="F213" s="166" t="str">
        <f>Form!K208</f>
        <v/>
      </c>
      <c r="G213" s="166"/>
      <c r="H213" s="166" t="str">
        <f>Form!O209</f>
        <v/>
      </c>
    </row>
    <row r="214">
      <c r="A214" s="248" t="str">
        <f>Form!C209</f>
        <v/>
      </c>
      <c r="B214" s="4" t="str">
        <f>Form!D209</f>
        <v/>
      </c>
      <c r="C214" s="166" t="str">
        <f>Form!M209</f>
        <v/>
      </c>
      <c r="D214" s="166" t="str">
        <f>Form!N209</f>
        <v/>
      </c>
      <c r="E214" s="166" t="str">
        <f>Form!J209</f>
        <v/>
      </c>
      <c r="F214" s="166" t="str">
        <f>Form!K209</f>
        <v/>
      </c>
      <c r="G214" s="166"/>
      <c r="H214" s="166" t="str">
        <f>Form!O210</f>
        <v/>
      </c>
    </row>
    <row r="215">
      <c r="A215" s="248" t="str">
        <f>Form!C210</f>
        <v/>
      </c>
      <c r="B215" s="4" t="str">
        <f>Form!D210</f>
        <v/>
      </c>
      <c r="C215" s="166" t="str">
        <f>Form!M210</f>
        <v/>
      </c>
      <c r="D215" s="166" t="str">
        <f>Form!N210</f>
        <v/>
      </c>
      <c r="E215" s="166" t="str">
        <f>Form!J210</f>
        <v/>
      </c>
      <c r="F215" s="166" t="str">
        <f>Form!K210</f>
        <v/>
      </c>
      <c r="G215" s="166"/>
      <c r="H215" s="166" t="str">
        <f>Form!O211</f>
        <v/>
      </c>
    </row>
    <row r="216">
      <c r="A216" s="248" t="str">
        <f>Form!C211</f>
        <v/>
      </c>
      <c r="B216" s="4" t="str">
        <f>Form!D211</f>
        <v/>
      </c>
      <c r="C216" s="166" t="str">
        <f>Form!M211</f>
        <v/>
      </c>
      <c r="D216" s="166" t="str">
        <f>Form!N211</f>
        <v/>
      </c>
      <c r="E216" s="166" t="str">
        <f>Form!J211</f>
        <v/>
      </c>
      <c r="F216" s="166" t="str">
        <f>Form!K211</f>
        <v/>
      </c>
      <c r="G216" s="166"/>
      <c r="H216" s="166" t="str">
        <f>Form!O212</f>
        <v/>
      </c>
    </row>
    <row r="217">
      <c r="A217" s="248" t="str">
        <f>Form!C212</f>
        <v/>
      </c>
      <c r="B217" s="4" t="str">
        <f>Form!D212</f>
        <v/>
      </c>
      <c r="C217" s="166" t="str">
        <f>Form!M212</f>
        <v/>
      </c>
      <c r="D217" s="166" t="str">
        <f>Form!N212</f>
        <v/>
      </c>
      <c r="E217" s="166" t="str">
        <f>Form!J212</f>
        <v/>
      </c>
      <c r="F217" s="166" t="str">
        <f>Form!K212</f>
        <v/>
      </c>
      <c r="G217" s="166"/>
      <c r="H217" s="166" t="str">
        <f>Form!O213</f>
        <v/>
      </c>
    </row>
    <row r="218">
      <c r="A218" s="248" t="str">
        <f>Form!C213</f>
        <v/>
      </c>
      <c r="B218" s="4" t="str">
        <f>Form!D213</f>
        <v/>
      </c>
      <c r="C218" s="166" t="str">
        <f>Form!M213</f>
        <v/>
      </c>
      <c r="D218" s="166" t="str">
        <f>Form!N213</f>
        <v/>
      </c>
      <c r="E218" s="166" t="str">
        <f>Form!J213</f>
        <v/>
      </c>
      <c r="F218" s="166" t="str">
        <f>Form!K213</f>
        <v/>
      </c>
      <c r="G218" s="166"/>
      <c r="H218" s="166" t="str">
        <f>Form!O214</f>
        <v/>
      </c>
    </row>
    <row r="219">
      <c r="A219" s="248" t="str">
        <f>Form!C214</f>
        <v/>
      </c>
      <c r="B219" s="4" t="str">
        <f>Form!D214</f>
        <v/>
      </c>
      <c r="C219" s="166" t="str">
        <f>Form!M214</f>
        <v/>
      </c>
      <c r="D219" s="166" t="str">
        <f>Form!N214</f>
        <v/>
      </c>
      <c r="E219" s="166" t="str">
        <f>Form!J214</f>
        <v/>
      </c>
      <c r="F219" s="166" t="str">
        <f>Form!K214</f>
        <v/>
      </c>
      <c r="G219" s="166"/>
      <c r="H219" s="166" t="str">
        <f>Form!O215</f>
        <v/>
      </c>
    </row>
    <row r="220">
      <c r="A220" s="248" t="str">
        <f>Form!C215</f>
        <v/>
      </c>
      <c r="B220" s="4" t="str">
        <f>Form!D215</f>
        <v/>
      </c>
      <c r="C220" s="166" t="str">
        <f>Form!M215</f>
        <v/>
      </c>
      <c r="D220" s="166" t="str">
        <f>Form!N215</f>
        <v/>
      </c>
      <c r="E220" s="166" t="str">
        <f>Form!J215</f>
        <v/>
      </c>
      <c r="F220" s="166" t="str">
        <f>Form!K215</f>
        <v/>
      </c>
      <c r="G220" s="166"/>
      <c r="H220" s="166" t="str">
        <f>Form!O216</f>
        <v/>
      </c>
    </row>
    <row r="221">
      <c r="A221" s="248" t="str">
        <f>Form!C216</f>
        <v/>
      </c>
      <c r="B221" s="4" t="str">
        <f>Form!D216</f>
        <v/>
      </c>
      <c r="C221" s="166" t="str">
        <f>Form!M216</f>
        <v/>
      </c>
      <c r="D221" s="166" t="str">
        <f>Form!N216</f>
        <v/>
      </c>
      <c r="E221" s="166" t="str">
        <f>Form!J216</f>
        <v/>
      </c>
      <c r="F221" s="166" t="str">
        <f>Form!K216</f>
        <v/>
      </c>
      <c r="G221" s="166"/>
      <c r="H221" s="166" t="str">
        <f>Form!O217</f>
        <v/>
      </c>
    </row>
    <row r="222">
      <c r="A222" s="248" t="str">
        <f>Form!C217</f>
        <v/>
      </c>
      <c r="B222" s="4" t="str">
        <f>Form!D217</f>
        <v/>
      </c>
      <c r="C222" s="166" t="str">
        <f>Form!M217</f>
        <v/>
      </c>
      <c r="D222" s="166" t="str">
        <f>Form!N217</f>
        <v/>
      </c>
      <c r="E222" s="166" t="str">
        <f>Form!J217</f>
        <v/>
      </c>
      <c r="F222" s="166" t="str">
        <f>Form!K217</f>
        <v/>
      </c>
      <c r="G222" s="166"/>
      <c r="H222" s="166" t="str">
        <f>Form!O218</f>
        <v/>
      </c>
    </row>
    <row r="223">
      <c r="A223" s="248" t="str">
        <f>Form!C218</f>
        <v/>
      </c>
      <c r="B223" s="4" t="str">
        <f>Form!D218</f>
        <v/>
      </c>
      <c r="C223" s="166" t="str">
        <f>Form!M218</f>
        <v/>
      </c>
      <c r="D223" s="166" t="str">
        <f>Form!N218</f>
        <v/>
      </c>
      <c r="E223" s="166" t="str">
        <f>Form!J218</f>
        <v/>
      </c>
      <c r="F223" s="166" t="str">
        <f>Form!K218</f>
        <v/>
      </c>
      <c r="G223" s="166"/>
      <c r="H223" s="166" t="str">
        <f>Form!O219</f>
        <v/>
      </c>
    </row>
    <row r="224">
      <c r="A224" s="248" t="str">
        <f>Form!C219</f>
        <v/>
      </c>
      <c r="B224" s="4" t="str">
        <f>Form!D219</f>
        <v/>
      </c>
      <c r="C224" s="166" t="str">
        <f>Form!M219</f>
        <v/>
      </c>
      <c r="D224" s="166" t="str">
        <f>Form!N219</f>
        <v/>
      </c>
      <c r="E224" s="166" t="str">
        <f>Form!J219</f>
        <v/>
      </c>
      <c r="F224" s="166" t="str">
        <f>Form!K219</f>
        <v/>
      </c>
      <c r="G224" s="166"/>
      <c r="H224" s="166" t="str">
        <f>Form!O220</f>
        <v/>
      </c>
    </row>
    <row r="225">
      <c r="A225" s="248" t="str">
        <f>Form!C220</f>
        <v/>
      </c>
      <c r="B225" s="4" t="str">
        <f>Form!D220</f>
        <v/>
      </c>
      <c r="C225" s="166" t="str">
        <f>Form!M220</f>
        <v/>
      </c>
      <c r="D225" s="166" t="str">
        <f>Form!N220</f>
        <v/>
      </c>
      <c r="E225" s="166" t="str">
        <f>Form!J220</f>
        <v/>
      </c>
      <c r="F225" s="166" t="str">
        <f>Form!K220</f>
        <v/>
      </c>
      <c r="G225" s="166"/>
      <c r="H225" s="166" t="str">
        <f>Form!O221</f>
        <v/>
      </c>
    </row>
    <row r="226">
      <c r="A226" s="248" t="str">
        <f>Form!C221</f>
        <v/>
      </c>
      <c r="B226" s="4" t="str">
        <f>Form!D221</f>
        <v/>
      </c>
      <c r="C226" s="166" t="str">
        <f>Form!M221</f>
        <v/>
      </c>
      <c r="D226" s="166" t="str">
        <f>Form!N221</f>
        <v/>
      </c>
      <c r="E226" s="166" t="str">
        <f>Form!J221</f>
        <v/>
      </c>
      <c r="F226" s="166" t="str">
        <f>Form!K221</f>
        <v/>
      </c>
      <c r="G226" s="166"/>
      <c r="H226" s="166" t="str">
        <f>Form!O222</f>
        <v/>
      </c>
    </row>
    <row r="227">
      <c r="A227" s="248" t="str">
        <f>Form!C222</f>
        <v/>
      </c>
      <c r="B227" s="4" t="str">
        <f>Form!D222</f>
        <v/>
      </c>
      <c r="C227" s="166" t="str">
        <f>Form!M222</f>
        <v/>
      </c>
      <c r="D227" s="166" t="str">
        <f>Form!N222</f>
        <v/>
      </c>
      <c r="E227" s="166" t="str">
        <f>Form!J222</f>
        <v/>
      </c>
      <c r="F227" s="166" t="str">
        <f>Form!K222</f>
        <v/>
      </c>
      <c r="G227" s="166"/>
      <c r="H227" s="166" t="str">
        <f>Form!O223</f>
        <v/>
      </c>
    </row>
    <row r="228">
      <c r="A228" s="248" t="str">
        <f>Form!C223</f>
        <v/>
      </c>
      <c r="B228" s="4" t="str">
        <f>Form!D223</f>
        <v/>
      </c>
      <c r="C228" s="166" t="str">
        <f>Form!M223</f>
        <v/>
      </c>
      <c r="D228" s="166" t="str">
        <f>Form!N223</f>
        <v/>
      </c>
      <c r="E228" s="166" t="str">
        <f>Form!J223</f>
        <v/>
      </c>
      <c r="F228" s="166" t="str">
        <f>Form!K223</f>
        <v/>
      </c>
      <c r="G228" s="166"/>
      <c r="H228" s="166" t="str">
        <f>Form!O224</f>
        <v/>
      </c>
    </row>
    <row r="229">
      <c r="A229" s="248" t="str">
        <f>Form!C224</f>
        <v/>
      </c>
      <c r="B229" s="4" t="str">
        <f>Form!D224</f>
        <v/>
      </c>
      <c r="C229" s="166" t="str">
        <f>Form!M224</f>
        <v/>
      </c>
      <c r="D229" s="166" t="str">
        <f>Form!N224</f>
        <v/>
      </c>
      <c r="E229" s="166" t="str">
        <f>Form!J224</f>
        <v/>
      </c>
      <c r="F229" s="166" t="str">
        <f>Form!K224</f>
        <v/>
      </c>
      <c r="G229" s="166"/>
      <c r="H229" s="166" t="str">
        <f>Form!O225</f>
        <v/>
      </c>
    </row>
    <row r="230">
      <c r="A230" s="248" t="str">
        <f>Form!C225</f>
        <v/>
      </c>
      <c r="B230" s="4" t="str">
        <f>Form!D225</f>
        <v/>
      </c>
      <c r="C230" s="166" t="str">
        <f>Form!M225</f>
        <v/>
      </c>
      <c r="D230" s="166" t="str">
        <f>Form!N225</f>
        <v/>
      </c>
      <c r="E230" s="166" t="str">
        <f>Form!J225</f>
        <v/>
      </c>
      <c r="F230" s="166" t="str">
        <f>Form!K225</f>
        <v/>
      </c>
      <c r="G230" s="166"/>
      <c r="H230" s="166" t="str">
        <f>Form!O226</f>
        <v/>
      </c>
    </row>
    <row r="231">
      <c r="A231" s="248" t="str">
        <f>Form!C226</f>
        <v/>
      </c>
      <c r="B231" s="4" t="str">
        <f>Form!D226</f>
        <v/>
      </c>
      <c r="C231" s="166" t="str">
        <f>Form!M226</f>
        <v/>
      </c>
      <c r="D231" s="166" t="str">
        <f>Form!N226</f>
        <v/>
      </c>
      <c r="E231" s="166" t="str">
        <f>Form!J226</f>
        <v/>
      </c>
      <c r="F231" s="166" t="str">
        <f>Form!K226</f>
        <v/>
      </c>
      <c r="G231" s="166"/>
      <c r="H231" s="166" t="str">
        <f>Form!O227</f>
        <v/>
      </c>
    </row>
    <row r="232">
      <c r="A232" s="248" t="str">
        <f>Form!C227</f>
        <v/>
      </c>
      <c r="B232" s="4" t="str">
        <f>Form!D227</f>
        <v/>
      </c>
      <c r="C232" s="166" t="str">
        <f>Form!M227</f>
        <v/>
      </c>
      <c r="D232" s="166" t="str">
        <f>Form!N227</f>
        <v/>
      </c>
      <c r="E232" s="166" t="str">
        <f>Form!J227</f>
        <v/>
      </c>
      <c r="F232" s="166" t="str">
        <f>Form!K227</f>
        <v/>
      </c>
      <c r="G232" s="166"/>
      <c r="H232" s="166" t="str">
        <f>Form!O228</f>
        <v/>
      </c>
    </row>
    <row r="233">
      <c r="A233" s="248" t="str">
        <f>Form!C228</f>
        <v/>
      </c>
      <c r="B233" s="4" t="str">
        <f>Form!D228</f>
        <v/>
      </c>
      <c r="C233" s="166" t="str">
        <f>Form!M228</f>
        <v/>
      </c>
      <c r="D233" s="166" t="str">
        <f>Form!N228</f>
        <v/>
      </c>
      <c r="E233" s="166" t="str">
        <f>Form!J228</f>
        <v/>
      </c>
      <c r="F233" s="166" t="str">
        <f>Form!K228</f>
        <v/>
      </c>
      <c r="G233" s="166"/>
      <c r="H233" s="166" t="str">
        <f>Form!O229</f>
        <v/>
      </c>
    </row>
    <row r="234">
      <c r="A234" s="248" t="str">
        <f>Form!C229</f>
        <v/>
      </c>
      <c r="B234" s="4" t="str">
        <f>Form!D229</f>
        <v/>
      </c>
      <c r="C234" s="166" t="str">
        <f>Form!M229</f>
        <v/>
      </c>
      <c r="D234" s="166" t="str">
        <f>Form!N229</f>
        <v/>
      </c>
      <c r="E234" s="166" t="str">
        <f>Form!J229</f>
        <v/>
      </c>
      <c r="F234" s="166" t="str">
        <f>Form!K229</f>
        <v/>
      </c>
      <c r="G234" s="166"/>
      <c r="H234" s="166" t="str">
        <f>Form!O230</f>
        <v/>
      </c>
    </row>
    <row r="235">
      <c r="A235" s="248" t="str">
        <f>Form!C230</f>
        <v/>
      </c>
      <c r="B235" s="4" t="str">
        <f>Form!D230</f>
        <v/>
      </c>
      <c r="C235" s="166" t="str">
        <f>Form!M230</f>
        <v/>
      </c>
      <c r="D235" s="166" t="str">
        <f>Form!N230</f>
        <v/>
      </c>
      <c r="E235" s="166" t="str">
        <f>Form!J230</f>
        <v/>
      </c>
      <c r="F235" s="166" t="str">
        <f>Form!K230</f>
        <v/>
      </c>
      <c r="G235" s="166"/>
      <c r="H235" s="166" t="str">
        <f>Form!O231</f>
        <v/>
      </c>
    </row>
    <row r="236">
      <c r="A236" s="248" t="str">
        <f>Form!C231</f>
        <v/>
      </c>
      <c r="B236" s="4" t="str">
        <f>Form!D231</f>
        <v/>
      </c>
      <c r="C236" s="166" t="str">
        <f>Form!M231</f>
        <v/>
      </c>
      <c r="D236" s="166" t="str">
        <f>Form!N231</f>
        <v/>
      </c>
      <c r="E236" s="166" t="str">
        <f>Form!J231</f>
        <v/>
      </c>
      <c r="F236" s="166" t="str">
        <f>Form!K231</f>
        <v/>
      </c>
      <c r="G236" s="166"/>
      <c r="H236" s="166" t="str">
        <f>Form!O232</f>
        <v/>
      </c>
    </row>
    <row r="237">
      <c r="A237" s="248" t="str">
        <f>Form!C232</f>
        <v/>
      </c>
      <c r="B237" s="4" t="str">
        <f>Form!D232</f>
        <v/>
      </c>
      <c r="C237" s="166" t="str">
        <f>Form!M232</f>
        <v/>
      </c>
      <c r="D237" s="166" t="str">
        <f>Form!N232</f>
        <v/>
      </c>
      <c r="E237" s="166" t="str">
        <f>Form!J232</f>
        <v/>
      </c>
      <c r="F237" s="166" t="str">
        <f>Form!K232</f>
        <v/>
      </c>
      <c r="G237" s="166"/>
      <c r="H237" s="166" t="str">
        <f>Form!O233</f>
        <v/>
      </c>
    </row>
    <row r="238">
      <c r="A238" s="248" t="str">
        <f>Form!C233</f>
        <v/>
      </c>
      <c r="B238" s="4" t="str">
        <f>Form!D233</f>
        <v/>
      </c>
      <c r="C238" s="166" t="str">
        <f>Form!M233</f>
        <v/>
      </c>
      <c r="D238" s="166" t="str">
        <f>Form!N233</f>
        <v/>
      </c>
      <c r="E238" s="166" t="str">
        <f>Form!J233</f>
        <v/>
      </c>
      <c r="F238" s="166" t="str">
        <f>Form!K233</f>
        <v/>
      </c>
      <c r="G238" s="166"/>
      <c r="H238" s="166" t="str">
        <f>Form!O234</f>
        <v/>
      </c>
    </row>
    <row r="239">
      <c r="A239" s="248" t="str">
        <f>Form!C234</f>
        <v/>
      </c>
      <c r="B239" s="4" t="str">
        <f>Form!D234</f>
        <v/>
      </c>
      <c r="C239" s="166" t="str">
        <f>Form!M234</f>
        <v/>
      </c>
      <c r="D239" s="166" t="str">
        <f>Form!N234</f>
        <v/>
      </c>
      <c r="E239" s="166" t="str">
        <f>Form!J234</f>
        <v/>
      </c>
      <c r="F239" s="166" t="str">
        <f>Form!K234</f>
        <v/>
      </c>
      <c r="G239" s="166"/>
      <c r="H239" s="166" t="str">
        <f>Form!O235</f>
        <v/>
      </c>
    </row>
    <row r="240">
      <c r="A240" s="248" t="str">
        <f>Form!C235</f>
        <v/>
      </c>
      <c r="B240" s="4" t="str">
        <f>Form!D235</f>
        <v/>
      </c>
      <c r="C240" s="166" t="str">
        <f>Form!M235</f>
        <v/>
      </c>
      <c r="D240" s="166" t="str">
        <f>Form!N235</f>
        <v/>
      </c>
      <c r="E240" s="166" t="str">
        <f>Form!J235</f>
        <v/>
      </c>
      <c r="F240" s="166" t="str">
        <f>Form!K235</f>
        <v/>
      </c>
      <c r="G240" s="166"/>
      <c r="H240" s="166" t="str">
        <f>Form!O236</f>
        <v/>
      </c>
    </row>
    <row r="241">
      <c r="A241" s="248" t="str">
        <f>Form!C236</f>
        <v/>
      </c>
      <c r="B241" s="4" t="str">
        <f>Form!D236</f>
        <v/>
      </c>
      <c r="C241" s="166" t="str">
        <f>Form!M236</f>
        <v/>
      </c>
      <c r="D241" s="166" t="str">
        <f>Form!N236</f>
        <v/>
      </c>
      <c r="E241" s="166" t="str">
        <f>Form!J236</f>
        <v/>
      </c>
      <c r="F241" s="166" t="str">
        <f>Form!K236</f>
        <v/>
      </c>
      <c r="G241" s="166"/>
      <c r="H241" s="166" t="str">
        <f>Form!O237</f>
        <v/>
      </c>
    </row>
    <row r="242">
      <c r="A242" s="248" t="str">
        <f>Form!C237</f>
        <v/>
      </c>
      <c r="B242" s="4" t="str">
        <f>Form!D237</f>
        <v/>
      </c>
      <c r="C242" s="166" t="str">
        <f>Form!M237</f>
        <v/>
      </c>
      <c r="D242" s="166" t="str">
        <f>Form!N237</f>
        <v/>
      </c>
      <c r="E242" s="166" t="str">
        <f>Form!J237</f>
        <v/>
      </c>
      <c r="F242" s="166" t="str">
        <f>Form!K237</f>
        <v/>
      </c>
      <c r="G242" s="166"/>
      <c r="H242" s="166" t="str">
        <f>Form!O238</f>
        <v/>
      </c>
    </row>
    <row r="243">
      <c r="A243" s="248" t="str">
        <f>Form!C238</f>
        <v/>
      </c>
      <c r="B243" s="4" t="str">
        <f>Form!D238</f>
        <v/>
      </c>
      <c r="C243" s="166" t="str">
        <f>Form!M238</f>
        <v/>
      </c>
      <c r="D243" s="166" t="str">
        <f>Form!N238</f>
        <v/>
      </c>
      <c r="E243" s="166" t="str">
        <f>Form!J238</f>
        <v/>
      </c>
      <c r="F243" s="166" t="str">
        <f>Form!K238</f>
        <v/>
      </c>
      <c r="G243" s="166"/>
      <c r="H243" s="166" t="str">
        <f>Form!O239</f>
        <v/>
      </c>
    </row>
    <row r="244">
      <c r="A244" s="248" t="str">
        <f>Form!C239</f>
        <v/>
      </c>
      <c r="B244" s="4" t="str">
        <f>Form!D239</f>
        <v/>
      </c>
      <c r="C244" s="166" t="str">
        <f>Form!M239</f>
        <v/>
      </c>
      <c r="D244" s="166" t="str">
        <f>Form!N239</f>
        <v/>
      </c>
      <c r="E244" s="166" t="str">
        <f>Form!J239</f>
        <v/>
      </c>
      <c r="F244" s="166" t="str">
        <f>Form!K239</f>
        <v/>
      </c>
      <c r="G244" s="166"/>
      <c r="H244" s="166" t="str">
        <f>Form!O240</f>
        <v/>
      </c>
    </row>
    <row r="245">
      <c r="A245" s="248" t="str">
        <f>Form!C240</f>
        <v/>
      </c>
      <c r="B245" s="4" t="str">
        <f>Form!D240</f>
        <v/>
      </c>
      <c r="C245" s="166" t="str">
        <f>Form!M240</f>
        <v/>
      </c>
      <c r="D245" s="166" t="str">
        <f>Form!N240</f>
        <v/>
      </c>
      <c r="E245" s="166" t="str">
        <f>Form!J240</f>
        <v/>
      </c>
      <c r="F245" s="166" t="str">
        <f>Form!K240</f>
        <v/>
      </c>
      <c r="G245" s="166"/>
      <c r="H245" s="166" t="str">
        <f>Form!O241</f>
        <v/>
      </c>
    </row>
    <row r="246">
      <c r="A246" s="248" t="str">
        <f>Form!C241</f>
        <v/>
      </c>
      <c r="B246" s="4" t="str">
        <f>Form!D241</f>
        <v/>
      </c>
      <c r="C246" s="166" t="str">
        <f>Form!M241</f>
        <v/>
      </c>
      <c r="D246" s="166" t="str">
        <f>Form!N241</f>
        <v/>
      </c>
      <c r="E246" s="166" t="str">
        <f>Form!J241</f>
        <v/>
      </c>
      <c r="F246" s="166" t="str">
        <f>Form!K241</f>
        <v/>
      </c>
      <c r="G246" s="166"/>
      <c r="H246" s="166" t="str">
        <f>Form!O242</f>
        <v/>
      </c>
    </row>
    <row r="247">
      <c r="A247" s="248" t="str">
        <f>Form!C242</f>
        <v/>
      </c>
      <c r="B247" s="4" t="str">
        <f>Form!D242</f>
        <v/>
      </c>
      <c r="C247" s="166" t="str">
        <f>Form!M242</f>
        <v/>
      </c>
      <c r="D247" s="166" t="str">
        <f>Form!N242</f>
        <v/>
      </c>
      <c r="E247" s="166" t="str">
        <f>Form!J242</f>
        <v/>
      </c>
      <c r="F247" s="166" t="str">
        <f>Form!K242</f>
        <v/>
      </c>
      <c r="G247" s="166"/>
      <c r="H247" s="166" t="str">
        <f>Form!O243</f>
        <v/>
      </c>
    </row>
    <row r="248">
      <c r="A248" s="248" t="str">
        <f>Form!C243</f>
        <v/>
      </c>
      <c r="B248" s="4" t="str">
        <f>Form!D243</f>
        <v/>
      </c>
      <c r="C248" s="166" t="str">
        <f>Form!M243</f>
        <v/>
      </c>
      <c r="D248" s="166" t="str">
        <f>Form!N243</f>
        <v/>
      </c>
      <c r="E248" s="166" t="str">
        <f>Form!J243</f>
        <v/>
      </c>
      <c r="F248" s="166" t="str">
        <f>Form!K243</f>
        <v/>
      </c>
      <c r="G248" s="166"/>
      <c r="H248" s="166" t="str">
        <f>Form!O244</f>
        <v/>
      </c>
    </row>
    <row r="249">
      <c r="A249" s="248" t="str">
        <f>Form!C244</f>
        <v/>
      </c>
      <c r="B249" s="4" t="str">
        <f>Form!D244</f>
        <v/>
      </c>
      <c r="C249" s="166" t="str">
        <f>Form!M244</f>
        <v/>
      </c>
      <c r="D249" s="166" t="str">
        <f>Form!N244</f>
        <v/>
      </c>
      <c r="E249" s="166" t="str">
        <f>Form!J244</f>
        <v/>
      </c>
      <c r="F249" s="166" t="str">
        <f>Form!K244</f>
        <v/>
      </c>
      <c r="G249" s="166"/>
      <c r="H249" s="166" t="str">
        <f>Form!O245</f>
        <v/>
      </c>
    </row>
    <row r="250">
      <c r="A250" s="248" t="str">
        <f>Form!C245</f>
        <v/>
      </c>
      <c r="B250" s="4" t="str">
        <f>Form!D245</f>
        <v/>
      </c>
      <c r="C250" s="166" t="str">
        <f>Form!M245</f>
        <v/>
      </c>
      <c r="D250" s="166" t="str">
        <f>Form!N245</f>
        <v/>
      </c>
      <c r="E250" s="166" t="str">
        <f>Form!J245</f>
        <v/>
      </c>
      <c r="F250" s="166" t="str">
        <f>Form!K245</f>
        <v/>
      </c>
      <c r="G250" s="166"/>
      <c r="H250" s="166" t="str">
        <f>Form!O246</f>
        <v/>
      </c>
    </row>
    <row r="251">
      <c r="A251" s="248" t="str">
        <f>Form!C246</f>
        <v/>
      </c>
      <c r="B251" s="4" t="str">
        <f>Form!D246</f>
        <v/>
      </c>
      <c r="C251" s="166" t="str">
        <f>Form!M246</f>
        <v/>
      </c>
      <c r="D251" s="166" t="str">
        <f>Form!N246</f>
        <v/>
      </c>
      <c r="E251" s="166" t="str">
        <f>Form!J246</f>
        <v/>
      </c>
      <c r="F251" s="166" t="str">
        <f>Form!K246</f>
        <v/>
      </c>
      <c r="G251" s="166"/>
      <c r="H251" s="166" t="str">
        <f>Form!O247</f>
        <v/>
      </c>
    </row>
    <row r="252">
      <c r="A252" s="248" t="str">
        <f>Form!C247</f>
        <v/>
      </c>
      <c r="B252" s="4" t="str">
        <f>Form!D247</f>
        <v/>
      </c>
      <c r="C252" s="166" t="str">
        <f>Form!M247</f>
        <v/>
      </c>
      <c r="D252" s="166" t="str">
        <f>Form!N247</f>
        <v/>
      </c>
      <c r="E252" s="166" t="str">
        <f>Form!J247</f>
        <v/>
      </c>
      <c r="F252" s="166" t="str">
        <f>Form!K247</f>
        <v/>
      </c>
      <c r="G252" s="166"/>
      <c r="H252" s="166" t="str">
        <f>Form!O248</f>
        <v/>
      </c>
    </row>
    <row r="253">
      <c r="A253" s="248" t="str">
        <f>Form!C248</f>
        <v/>
      </c>
      <c r="B253" s="4" t="str">
        <f>Form!D248</f>
        <v/>
      </c>
      <c r="C253" s="166" t="str">
        <f>Form!M248</f>
        <v/>
      </c>
      <c r="D253" s="166" t="str">
        <f>Form!N248</f>
        <v/>
      </c>
      <c r="E253" s="166" t="str">
        <f>Form!J248</f>
        <v/>
      </c>
      <c r="F253" s="166" t="str">
        <f>Form!K248</f>
        <v/>
      </c>
      <c r="G253" s="166"/>
      <c r="H253" s="166" t="str">
        <f>Form!O249</f>
        <v/>
      </c>
    </row>
    <row r="254">
      <c r="A254" s="248" t="str">
        <f>Form!C249</f>
        <v/>
      </c>
      <c r="B254" s="4" t="str">
        <f>Form!D249</f>
        <v/>
      </c>
      <c r="C254" s="166" t="str">
        <f>Form!M249</f>
        <v/>
      </c>
      <c r="D254" s="166" t="str">
        <f>Form!N249</f>
        <v/>
      </c>
      <c r="E254" s="166" t="str">
        <f>Form!J249</f>
        <v/>
      </c>
      <c r="F254" s="166" t="str">
        <f>Form!K249</f>
        <v/>
      </c>
      <c r="G254" s="166"/>
      <c r="H254" s="166" t="str">
        <f>Form!O250</f>
        <v/>
      </c>
    </row>
    <row r="255">
      <c r="A255" s="248" t="str">
        <f>Form!C250</f>
        <v/>
      </c>
      <c r="B255" s="4" t="str">
        <f>Form!D250</f>
        <v/>
      </c>
      <c r="C255" s="166" t="str">
        <f>Form!M250</f>
        <v/>
      </c>
      <c r="D255" s="166" t="str">
        <f>Form!N250</f>
        <v/>
      </c>
      <c r="E255" s="166" t="str">
        <f>Form!J250</f>
        <v/>
      </c>
      <c r="F255" s="166" t="str">
        <f>Form!K250</f>
        <v/>
      </c>
      <c r="G255" s="166"/>
      <c r="H255" s="166" t="str">
        <f>Form!O251</f>
        <v/>
      </c>
    </row>
    <row r="256">
      <c r="A256" s="248" t="str">
        <f>Form!C251</f>
        <v/>
      </c>
      <c r="B256" s="4" t="str">
        <f>Form!D251</f>
        <v/>
      </c>
      <c r="C256" s="166" t="str">
        <f>Form!M251</f>
        <v/>
      </c>
      <c r="D256" s="166" t="str">
        <f>Form!N251</f>
        <v/>
      </c>
      <c r="E256" s="166" t="str">
        <f>Form!J251</f>
        <v/>
      </c>
      <c r="F256" s="166" t="str">
        <f>Form!K251</f>
        <v/>
      </c>
      <c r="G256" s="166"/>
      <c r="H256" s="166" t="str">
        <f>Form!O252</f>
        <v/>
      </c>
    </row>
    <row r="257">
      <c r="A257" s="248" t="str">
        <f>Form!C252</f>
        <v/>
      </c>
      <c r="B257" s="4" t="str">
        <f>Form!D252</f>
        <v/>
      </c>
      <c r="C257" s="166" t="str">
        <f>Form!M252</f>
        <v/>
      </c>
      <c r="D257" s="166" t="str">
        <f>Form!N252</f>
        <v/>
      </c>
      <c r="E257" s="166" t="str">
        <f>Form!J252</f>
        <v/>
      </c>
      <c r="F257" s="166" t="str">
        <f>Form!K252</f>
        <v/>
      </c>
      <c r="G257" s="166"/>
      <c r="H257" s="166" t="str">
        <f>Form!O253</f>
        <v/>
      </c>
    </row>
    <row r="258">
      <c r="A258" s="248" t="str">
        <f>Form!C253</f>
        <v/>
      </c>
      <c r="B258" s="4" t="str">
        <f>Form!D253</f>
        <v/>
      </c>
      <c r="C258" s="166" t="str">
        <f>Form!M253</f>
        <v/>
      </c>
      <c r="D258" s="166" t="str">
        <f>Form!N253</f>
        <v/>
      </c>
      <c r="E258" s="166" t="str">
        <f>Form!J253</f>
        <v/>
      </c>
      <c r="F258" s="166" t="str">
        <f>Form!K253</f>
        <v/>
      </c>
      <c r="G258" s="166"/>
      <c r="H258" s="166" t="str">
        <f>Form!O254</f>
        <v/>
      </c>
    </row>
    <row r="259">
      <c r="A259" s="248" t="str">
        <f>Form!C254</f>
        <v/>
      </c>
      <c r="B259" s="4" t="str">
        <f>Form!D254</f>
        <v/>
      </c>
      <c r="C259" s="166" t="str">
        <f>Form!M254</f>
        <v/>
      </c>
      <c r="D259" s="166" t="str">
        <f>Form!N254</f>
        <v/>
      </c>
      <c r="E259" s="166" t="str">
        <f>Form!J254</f>
        <v/>
      </c>
      <c r="F259" s="166" t="str">
        <f>Form!K254</f>
        <v/>
      </c>
      <c r="G259" s="166"/>
      <c r="H259" s="166" t="str">
        <f>Form!O255</f>
        <v/>
      </c>
    </row>
    <row r="260">
      <c r="A260" s="248" t="str">
        <f>Form!C255</f>
        <v/>
      </c>
      <c r="B260" s="4" t="str">
        <f>Form!D255</f>
        <v/>
      </c>
      <c r="C260" s="166" t="str">
        <f>Form!M255</f>
        <v/>
      </c>
      <c r="D260" s="166" t="str">
        <f>Form!N255</f>
        <v/>
      </c>
      <c r="E260" s="166" t="str">
        <f>Form!J255</f>
        <v/>
      </c>
      <c r="F260" s="166" t="str">
        <f>Form!K255</f>
        <v/>
      </c>
      <c r="G260" s="166"/>
      <c r="H260" s="166" t="str">
        <f>Form!O256</f>
        <v/>
      </c>
    </row>
    <row r="261">
      <c r="A261" s="248" t="str">
        <f>Form!C256</f>
        <v/>
      </c>
      <c r="B261" s="4" t="str">
        <f>Form!D256</f>
        <v/>
      </c>
      <c r="C261" s="166" t="str">
        <f>Form!M256</f>
        <v/>
      </c>
      <c r="D261" s="166" t="str">
        <f>Form!N256</f>
        <v/>
      </c>
      <c r="E261" s="166" t="str">
        <f>Form!J256</f>
        <v/>
      </c>
      <c r="F261" s="166" t="str">
        <f>Form!K256</f>
        <v/>
      </c>
      <c r="G261" s="166"/>
      <c r="H261" s="166" t="str">
        <f>Form!O257</f>
        <v/>
      </c>
    </row>
    <row r="262">
      <c r="A262" s="248" t="str">
        <f>Form!C257</f>
        <v/>
      </c>
      <c r="B262" s="4" t="str">
        <f>Form!D257</f>
        <v/>
      </c>
      <c r="C262" s="166" t="str">
        <f>Form!M257</f>
        <v/>
      </c>
      <c r="D262" s="166" t="str">
        <f>Form!N257</f>
        <v/>
      </c>
      <c r="E262" s="166" t="str">
        <f>Form!J257</f>
        <v/>
      </c>
      <c r="F262" s="166" t="str">
        <f>Form!K257</f>
        <v/>
      </c>
      <c r="G262" s="166"/>
      <c r="H262" s="166" t="str">
        <f>Form!O258</f>
        <v/>
      </c>
    </row>
    <row r="263">
      <c r="A263" s="248" t="str">
        <f>Form!C258</f>
        <v/>
      </c>
      <c r="B263" s="4" t="str">
        <f>Form!D258</f>
        <v/>
      </c>
      <c r="C263" s="166" t="str">
        <f>Form!M258</f>
        <v/>
      </c>
      <c r="D263" s="166" t="str">
        <f>Form!N258</f>
        <v/>
      </c>
      <c r="E263" s="166" t="str">
        <f>Form!J258</f>
        <v/>
      </c>
      <c r="F263" s="166" t="str">
        <f>Form!K258</f>
        <v/>
      </c>
      <c r="G263" s="166"/>
      <c r="H263" s="166" t="str">
        <f>Form!O259</f>
        <v/>
      </c>
    </row>
    <row r="264">
      <c r="A264" s="248" t="str">
        <f>Form!C259</f>
        <v/>
      </c>
      <c r="B264" s="4" t="str">
        <f>Form!D259</f>
        <v/>
      </c>
      <c r="C264" s="166" t="str">
        <f>Form!M259</f>
        <v/>
      </c>
      <c r="D264" s="166" t="str">
        <f>Form!N259</f>
        <v/>
      </c>
      <c r="E264" s="166" t="str">
        <f>Form!J259</f>
        <v/>
      </c>
      <c r="F264" s="166" t="str">
        <f>Form!K259</f>
        <v/>
      </c>
      <c r="G264" s="166"/>
      <c r="H264" s="166" t="str">
        <f>Form!O260</f>
        <v/>
      </c>
    </row>
    <row r="265">
      <c r="A265" s="248" t="str">
        <f>Form!C260</f>
        <v/>
      </c>
      <c r="B265" s="4" t="str">
        <f>Form!D260</f>
        <v/>
      </c>
      <c r="C265" s="166" t="str">
        <f>Form!M260</f>
        <v/>
      </c>
      <c r="D265" s="166" t="str">
        <f>Form!N260</f>
        <v/>
      </c>
      <c r="E265" s="166" t="str">
        <f>Form!J260</f>
        <v/>
      </c>
      <c r="F265" s="166" t="str">
        <f>Form!K260</f>
        <v/>
      </c>
      <c r="G265" s="166"/>
      <c r="H265" s="166" t="str">
        <f>Form!O261</f>
        <v/>
      </c>
    </row>
    <row r="266">
      <c r="A266" s="248" t="str">
        <f>Form!C261</f>
        <v/>
      </c>
      <c r="B266" s="4" t="str">
        <f>Form!D261</f>
        <v/>
      </c>
      <c r="C266" s="166" t="str">
        <f>Form!M261</f>
        <v/>
      </c>
      <c r="D266" s="166" t="str">
        <f>Form!N261</f>
        <v/>
      </c>
      <c r="E266" s="166" t="str">
        <f>Form!J261</f>
        <v/>
      </c>
      <c r="F266" s="166" t="str">
        <f>Form!K261</f>
        <v/>
      </c>
      <c r="G266" s="166"/>
      <c r="H266" s="166" t="str">
        <f>Form!O262</f>
        <v/>
      </c>
    </row>
    <row r="267">
      <c r="A267" s="248" t="str">
        <f>Form!C262</f>
        <v/>
      </c>
      <c r="B267" s="4" t="str">
        <f>Form!D262</f>
        <v/>
      </c>
      <c r="C267" s="166" t="str">
        <f>Form!M262</f>
        <v/>
      </c>
      <c r="D267" s="166" t="str">
        <f>Form!N262</f>
        <v/>
      </c>
      <c r="E267" s="166" t="str">
        <f>Form!J262</f>
        <v/>
      </c>
      <c r="F267" s="166" t="str">
        <f>Form!K262</f>
        <v/>
      </c>
      <c r="G267" s="166"/>
      <c r="H267" s="166" t="str">
        <f>Form!O263</f>
        <v/>
      </c>
    </row>
    <row r="268">
      <c r="A268" s="248" t="str">
        <f>Form!C263</f>
        <v/>
      </c>
      <c r="B268" s="4" t="str">
        <f>Form!D263</f>
        <v/>
      </c>
      <c r="C268" s="166" t="str">
        <f>Form!M263</f>
        <v/>
      </c>
      <c r="D268" s="166" t="str">
        <f>Form!N263</f>
        <v/>
      </c>
      <c r="E268" s="166" t="str">
        <f>Form!J263</f>
        <v/>
      </c>
      <c r="F268" s="166" t="str">
        <f>Form!K263</f>
        <v/>
      </c>
      <c r="G268" s="166"/>
      <c r="H268" s="166" t="str">
        <f>Form!O264</f>
        <v/>
      </c>
    </row>
    <row r="269">
      <c r="A269" s="248" t="str">
        <f>Form!C264</f>
        <v/>
      </c>
      <c r="B269" s="4" t="str">
        <f>Form!D264</f>
        <v/>
      </c>
      <c r="C269" s="166" t="str">
        <f>Form!M264</f>
        <v/>
      </c>
      <c r="D269" s="166" t="str">
        <f>Form!N264</f>
        <v/>
      </c>
      <c r="E269" s="166" t="str">
        <f>Form!J264</f>
        <v/>
      </c>
      <c r="F269" s="166" t="str">
        <f>Form!K264</f>
        <v/>
      </c>
      <c r="G269" s="166"/>
      <c r="H269" s="166" t="str">
        <f>Form!O265</f>
        <v/>
      </c>
    </row>
    <row r="270">
      <c r="A270" s="248" t="str">
        <f>Form!C265</f>
        <v/>
      </c>
      <c r="B270" s="4" t="str">
        <f>Form!D265</f>
        <v/>
      </c>
      <c r="C270" s="166" t="str">
        <f>Form!M265</f>
        <v/>
      </c>
      <c r="D270" s="166" t="str">
        <f>Form!N265</f>
        <v/>
      </c>
      <c r="E270" s="166" t="str">
        <f>Form!J265</f>
        <v/>
      </c>
      <c r="F270" s="166" t="str">
        <f>Form!K265</f>
        <v/>
      </c>
      <c r="G270" s="166"/>
      <c r="H270" s="166" t="str">
        <f>Form!O266</f>
        <v/>
      </c>
    </row>
    <row r="271">
      <c r="A271" s="248" t="str">
        <f>Form!C266</f>
        <v/>
      </c>
      <c r="B271" s="4" t="str">
        <f>Form!D266</f>
        <v/>
      </c>
      <c r="C271" s="166" t="str">
        <f>Form!M266</f>
        <v/>
      </c>
      <c r="D271" s="166" t="str">
        <f>Form!N266</f>
        <v/>
      </c>
      <c r="E271" s="166" t="str">
        <f>Form!J266</f>
        <v/>
      </c>
      <c r="F271" s="166" t="str">
        <f>Form!K266</f>
        <v/>
      </c>
      <c r="G271" s="166"/>
      <c r="H271" s="166" t="str">
        <f>Form!O267</f>
        <v/>
      </c>
    </row>
    <row r="272">
      <c r="A272" s="248" t="str">
        <f>Form!C267</f>
        <v/>
      </c>
      <c r="B272" s="4" t="str">
        <f>Form!D267</f>
        <v/>
      </c>
      <c r="C272" s="166" t="str">
        <f>Form!M267</f>
        <v/>
      </c>
      <c r="D272" s="166" t="str">
        <f>Form!N267</f>
        <v/>
      </c>
      <c r="E272" s="166" t="str">
        <f>Form!J267</f>
        <v/>
      </c>
      <c r="F272" s="166" t="str">
        <f>Form!K267</f>
        <v/>
      </c>
      <c r="G272" s="166"/>
      <c r="H272" s="166" t="str">
        <f>Form!O268</f>
        <v/>
      </c>
    </row>
    <row r="273">
      <c r="A273" s="248" t="str">
        <f>Form!C268</f>
        <v/>
      </c>
      <c r="B273" s="4" t="str">
        <f>Form!D268</f>
        <v/>
      </c>
      <c r="C273" s="166" t="str">
        <f>Form!M268</f>
        <v/>
      </c>
      <c r="D273" s="166" t="str">
        <f>Form!N268</f>
        <v/>
      </c>
      <c r="E273" s="166" t="str">
        <f>Form!J268</f>
        <v/>
      </c>
      <c r="F273" s="166" t="str">
        <f>Form!K268</f>
        <v/>
      </c>
      <c r="G273" s="166"/>
      <c r="H273" s="166" t="str">
        <f>Form!O269</f>
        <v/>
      </c>
    </row>
    <row r="274">
      <c r="A274" s="248" t="str">
        <f>Form!C269</f>
        <v/>
      </c>
      <c r="B274" s="4" t="str">
        <f>Form!D269</f>
        <v/>
      </c>
      <c r="C274" s="166" t="str">
        <f>Form!M269</f>
        <v/>
      </c>
      <c r="D274" s="166" t="str">
        <f>Form!N269</f>
        <v/>
      </c>
      <c r="E274" s="166" t="str">
        <f>Form!J269</f>
        <v/>
      </c>
      <c r="F274" s="166" t="str">
        <f>Form!K269</f>
        <v/>
      </c>
      <c r="G274" s="166"/>
      <c r="H274" s="166" t="str">
        <f>Form!O270</f>
        <v/>
      </c>
    </row>
    <row r="275">
      <c r="A275" s="248" t="str">
        <f>Form!C270</f>
        <v/>
      </c>
      <c r="B275" s="4" t="str">
        <f>Form!D270</f>
        <v/>
      </c>
      <c r="C275" s="166" t="str">
        <f>Form!M270</f>
        <v/>
      </c>
      <c r="D275" s="166" t="str">
        <f>Form!N270</f>
        <v/>
      </c>
      <c r="E275" s="166" t="str">
        <f>Form!J270</f>
        <v/>
      </c>
      <c r="F275" s="166" t="str">
        <f>Form!K270</f>
        <v/>
      </c>
      <c r="G275" s="166"/>
      <c r="H275" s="166" t="str">
        <f>Form!O271</f>
        <v/>
      </c>
    </row>
    <row r="276">
      <c r="A276" s="248" t="str">
        <f>Form!C271</f>
        <v/>
      </c>
      <c r="B276" s="4" t="str">
        <f>Form!D271</f>
        <v/>
      </c>
      <c r="C276" s="166" t="str">
        <f>Form!M271</f>
        <v/>
      </c>
      <c r="D276" s="166" t="str">
        <f>Form!N271</f>
        <v/>
      </c>
      <c r="E276" s="166" t="str">
        <f>Form!J271</f>
        <v/>
      </c>
      <c r="F276" s="166" t="str">
        <f>Form!K271</f>
        <v/>
      </c>
      <c r="G276" s="166"/>
      <c r="H276" s="166" t="str">
        <f>Form!O272</f>
        <v/>
      </c>
    </row>
    <row r="277">
      <c r="A277" s="248" t="str">
        <f>Form!C272</f>
        <v/>
      </c>
      <c r="B277" s="4" t="str">
        <f>Form!D272</f>
        <v/>
      </c>
      <c r="C277" s="166" t="str">
        <f>Form!M272</f>
        <v/>
      </c>
      <c r="D277" s="166" t="str">
        <f>Form!N272</f>
        <v/>
      </c>
      <c r="E277" s="166" t="str">
        <f>Form!J272</f>
        <v/>
      </c>
      <c r="F277" s="166" t="str">
        <f>Form!K272</f>
        <v/>
      </c>
      <c r="G277" s="166"/>
      <c r="H277" s="166" t="str">
        <f>Form!O273</f>
        <v/>
      </c>
    </row>
    <row r="278">
      <c r="A278" s="248" t="str">
        <f>Form!C273</f>
        <v/>
      </c>
      <c r="B278" s="4" t="str">
        <f>Form!D273</f>
        <v/>
      </c>
      <c r="C278" s="166" t="str">
        <f>Form!M273</f>
        <v/>
      </c>
      <c r="D278" s="166" t="str">
        <f>Form!N273</f>
        <v/>
      </c>
      <c r="E278" s="166" t="str">
        <f>Form!J273</f>
        <v/>
      </c>
      <c r="F278" s="166" t="str">
        <f>Form!K273</f>
        <v/>
      </c>
      <c r="G278" s="166"/>
      <c r="H278" s="166" t="str">
        <f>Form!O274</f>
        <v/>
      </c>
    </row>
    <row r="279">
      <c r="A279" s="248" t="str">
        <f>Form!C274</f>
        <v/>
      </c>
      <c r="B279" s="4" t="str">
        <f>Form!D274</f>
        <v/>
      </c>
      <c r="C279" s="166" t="str">
        <f>Form!M274</f>
        <v/>
      </c>
      <c r="D279" s="166" t="str">
        <f>Form!N274</f>
        <v/>
      </c>
      <c r="E279" s="166" t="str">
        <f>Form!J274</f>
        <v/>
      </c>
      <c r="F279" s="166" t="str">
        <f>Form!K274</f>
        <v/>
      </c>
      <c r="G279" s="166"/>
      <c r="H279" s="166" t="str">
        <f>Form!O275</f>
        <v/>
      </c>
    </row>
    <row r="280">
      <c r="A280" s="248" t="str">
        <f>Form!C275</f>
        <v/>
      </c>
      <c r="B280" s="4" t="str">
        <f>Form!D275</f>
        <v/>
      </c>
      <c r="C280" s="166" t="str">
        <f>Form!M275</f>
        <v/>
      </c>
      <c r="D280" s="166" t="str">
        <f>Form!N275</f>
        <v/>
      </c>
      <c r="E280" s="166" t="str">
        <f>Form!J275</f>
        <v/>
      </c>
      <c r="F280" s="166" t="str">
        <f>Form!K275</f>
        <v/>
      </c>
      <c r="G280" s="166"/>
      <c r="H280" s="166" t="str">
        <f>Form!O276</f>
        <v/>
      </c>
    </row>
    <row r="281">
      <c r="A281" s="248" t="str">
        <f>Form!C276</f>
        <v/>
      </c>
      <c r="B281" s="4" t="str">
        <f>Form!D276</f>
        <v/>
      </c>
      <c r="C281" s="166" t="str">
        <f>Form!M276</f>
        <v/>
      </c>
      <c r="D281" s="166" t="str">
        <f>Form!N276</f>
        <v/>
      </c>
      <c r="E281" s="166" t="str">
        <f>Form!J276</f>
        <v/>
      </c>
      <c r="F281" s="166" t="str">
        <f>Form!K276</f>
        <v/>
      </c>
      <c r="G281" s="166"/>
      <c r="H281" s="166" t="str">
        <f>Form!O277</f>
        <v/>
      </c>
    </row>
    <row r="282">
      <c r="A282" s="248" t="str">
        <f>Form!C277</f>
        <v/>
      </c>
      <c r="B282" s="4" t="str">
        <f>Form!D277</f>
        <v/>
      </c>
      <c r="C282" s="166" t="str">
        <f>Form!M277</f>
        <v/>
      </c>
      <c r="D282" s="166" t="str">
        <f>Form!N277</f>
        <v/>
      </c>
      <c r="E282" s="166" t="str">
        <f>Form!J277</f>
        <v/>
      </c>
      <c r="F282" s="166" t="str">
        <f>Form!K277</f>
        <v/>
      </c>
      <c r="G282" s="166"/>
      <c r="H282" s="166" t="str">
        <f>Form!O278</f>
        <v/>
      </c>
    </row>
    <row r="283">
      <c r="A283" s="248" t="str">
        <f>Form!C278</f>
        <v/>
      </c>
      <c r="B283" s="4" t="str">
        <f>Form!D278</f>
        <v/>
      </c>
      <c r="C283" s="166" t="str">
        <f>Form!M278</f>
        <v/>
      </c>
      <c r="D283" s="166" t="str">
        <f>Form!N278</f>
        <v/>
      </c>
      <c r="E283" s="166" t="str">
        <f>Form!J278</f>
        <v/>
      </c>
      <c r="F283" s="166" t="str">
        <f>Form!K278</f>
        <v/>
      </c>
      <c r="G283" s="166"/>
      <c r="H283" s="166" t="str">
        <f>Form!O279</f>
        <v/>
      </c>
    </row>
    <row r="284">
      <c r="A284" s="248" t="str">
        <f>Form!C279</f>
        <v/>
      </c>
      <c r="B284" s="4" t="str">
        <f>Form!D279</f>
        <v/>
      </c>
      <c r="C284" s="166" t="str">
        <f>Form!M279</f>
        <v/>
      </c>
      <c r="D284" s="166" t="str">
        <f>Form!N279</f>
        <v/>
      </c>
      <c r="E284" s="166" t="str">
        <f>Form!J279</f>
        <v/>
      </c>
      <c r="F284" s="166" t="str">
        <f>Form!K279</f>
        <v/>
      </c>
      <c r="G284" s="166"/>
      <c r="H284" s="166" t="str">
        <f>Form!O280</f>
        <v/>
      </c>
    </row>
    <row r="285">
      <c r="A285" s="248" t="str">
        <f>Form!C280</f>
        <v/>
      </c>
      <c r="B285" s="4" t="str">
        <f>Form!D280</f>
        <v/>
      </c>
      <c r="C285" s="166" t="str">
        <f>Form!M280</f>
        <v/>
      </c>
      <c r="D285" s="166" t="str">
        <f>Form!N280</f>
        <v/>
      </c>
      <c r="E285" s="166" t="str">
        <f>Form!J280</f>
        <v/>
      </c>
      <c r="F285" s="166" t="str">
        <f>Form!K280</f>
        <v/>
      </c>
      <c r="G285" s="166"/>
      <c r="H285" s="166" t="str">
        <f>Form!O281</f>
        <v/>
      </c>
    </row>
    <row r="286">
      <c r="A286" s="248" t="str">
        <f>Form!C281</f>
        <v/>
      </c>
      <c r="B286" s="4" t="str">
        <f>Form!D281</f>
        <v/>
      </c>
      <c r="C286" s="166" t="str">
        <f>Form!M281</f>
        <v/>
      </c>
      <c r="D286" s="166" t="str">
        <f>Form!N281</f>
        <v/>
      </c>
      <c r="E286" s="166" t="str">
        <f>Form!J281</f>
        <v/>
      </c>
      <c r="F286" s="166" t="str">
        <f>Form!K281</f>
        <v/>
      </c>
      <c r="G286" s="166"/>
      <c r="H286" s="166" t="str">
        <f>Form!O282</f>
        <v/>
      </c>
    </row>
    <row r="287">
      <c r="A287" s="248" t="str">
        <f>Form!C282</f>
        <v/>
      </c>
      <c r="B287" s="4" t="str">
        <f>Form!D282</f>
        <v/>
      </c>
      <c r="C287" s="166" t="str">
        <f>Form!M282</f>
        <v/>
      </c>
      <c r="D287" s="166" t="str">
        <f>Form!N282</f>
        <v/>
      </c>
      <c r="E287" s="166" t="str">
        <f>Form!J282</f>
        <v/>
      </c>
      <c r="F287" s="166" t="str">
        <f>Form!K282</f>
        <v/>
      </c>
      <c r="G287" s="166"/>
      <c r="H287" s="166" t="str">
        <f>Form!O283</f>
        <v/>
      </c>
    </row>
    <row r="288">
      <c r="A288" s="248" t="str">
        <f>Form!C283</f>
        <v/>
      </c>
      <c r="B288" s="4" t="str">
        <f>Form!D283</f>
        <v/>
      </c>
      <c r="C288" s="166" t="str">
        <f>Form!M283</f>
        <v/>
      </c>
      <c r="D288" s="166" t="str">
        <f>Form!N283</f>
        <v/>
      </c>
      <c r="E288" s="166" t="str">
        <f>Form!J283</f>
        <v/>
      </c>
      <c r="F288" s="166" t="str">
        <f>Form!K283</f>
        <v/>
      </c>
      <c r="G288" s="166"/>
      <c r="H288" s="166" t="str">
        <f>Form!O284</f>
        <v/>
      </c>
    </row>
    <row r="289">
      <c r="A289" s="248" t="str">
        <f>Form!C284</f>
        <v/>
      </c>
      <c r="B289" s="4" t="str">
        <f>Form!D284</f>
        <v/>
      </c>
      <c r="C289" s="166" t="str">
        <f>Form!M284</f>
        <v/>
      </c>
      <c r="D289" s="166" t="str">
        <f>Form!N284</f>
        <v/>
      </c>
      <c r="E289" s="166" t="str">
        <f>Form!J284</f>
        <v/>
      </c>
      <c r="F289" s="166" t="str">
        <f>Form!K284</f>
        <v/>
      </c>
      <c r="G289" s="166"/>
      <c r="H289" s="166" t="str">
        <f>Form!O285</f>
        <v/>
      </c>
    </row>
    <row r="290">
      <c r="A290" s="248" t="str">
        <f>Form!C285</f>
        <v/>
      </c>
      <c r="B290" s="4" t="str">
        <f>Form!D285</f>
        <v/>
      </c>
      <c r="C290" s="166" t="str">
        <f>Form!M285</f>
        <v/>
      </c>
      <c r="D290" s="166" t="str">
        <f>Form!N285</f>
        <v/>
      </c>
      <c r="E290" s="166" t="str">
        <f>Form!J285</f>
        <v/>
      </c>
      <c r="F290" s="166" t="str">
        <f>Form!K285</f>
        <v/>
      </c>
      <c r="G290" s="166"/>
      <c r="H290" s="166" t="str">
        <f>Form!O286</f>
        <v/>
      </c>
    </row>
    <row r="291">
      <c r="A291" s="248" t="str">
        <f>Form!C286</f>
        <v/>
      </c>
      <c r="B291" s="4" t="str">
        <f>Form!D286</f>
        <v/>
      </c>
      <c r="C291" s="166" t="str">
        <f>Form!M286</f>
        <v/>
      </c>
      <c r="D291" s="166" t="str">
        <f>Form!N286</f>
        <v/>
      </c>
      <c r="E291" s="166" t="str">
        <f>Form!J286</f>
        <v/>
      </c>
      <c r="F291" s="166" t="str">
        <f>Form!K286</f>
        <v/>
      </c>
      <c r="G291" s="166"/>
      <c r="H291" s="166" t="str">
        <f>Form!O287</f>
        <v/>
      </c>
    </row>
    <row r="292">
      <c r="A292" s="248" t="str">
        <f>Form!C287</f>
        <v/>
      </c>
      <c r="B292" s="4" t="str">
        <f>Form!D287</f>
        <v/>
      </c>
      <c r="C292" s="166" t="str">
        <f>Form!M287</f>
        <v/>
      </c>
      <c r="D292" s="166" t="str">
        <f>Form!N287</f>
        <v/>
      </c>
      <c r="E292" s="166" t="str">
        <f>Form!J287</f>
        <v/>
      </c>
      <c r="F292" s="166" t="str">
        <f>Form!K287</f>
        <v/>
      </c>
      <c r="G292" s="166"/>
      <c r="H292" s="166" t="str">
        <f>Form!O288</f>
        <v/>
      </c>
    </row>
    <row r="293">
      <c r="A293" s="248" t="str">
        <f>Form!C288</f>
        <v/>
      </c>
      <c r="B293" s="4" t="str">
        <f>Form!D288</f>
        <v/>
      </c>
      <c r="C293" s="166" t="str">
        <f>Form!M288</f>
        <v/>
      </c>
      <c r="D293" s="166" t="str">
        <f>Form!N288</f>
        <v/>
      </c>
      <c r="E293" s="166" t="str">
        <f>Form!J288</f>
        <v/>
      </c>
      <c r="F293" s="166" t="str">
        <f>Form!K288</f>
        <v/>
      </c>
      <c r="G293" s="166"/>
      <c r="H293" s="166" t="str">
        <f>Form!O289</f>
        <v/>
      </c>
    </row>
    <row r="294">
      <c r="A294" s="248" t="str">
        <f>Form!C289</f>
        <v/>
      </c>
      <c r="B294" s="4" t="str">
        <f>Form!D289</f>
        <v/>
      </c>
      <c r="C294" s="166" t="str">
        <f>Form!M289</f>
        <v/>
      </c>
      <c r="D294" s="166" t="str">
        <f>Form!N289</f>
        <v/>
      </c>
      <c r="E294" s="166" t="str">
        <f>Form!J289</f>
        <v/>
      </c>
      <c r="F294" s="166" t="str">
        <f>Form!K289</f>
        <v/>
      </c>
      <c r="G294" s="166"/>
      <c r="H294" s="166" t="str">
        <f>Form!O290</f>
        <v/>
      </c>
    </row>
    <row r="295">
      <c r="A295" s="248" t="str">
        <f>Form!C290</f>
        <v/>
      </c>
      <c r="B295" s="4" t="str">
        <f>Form!D290</f>
        <v/>
      </c>
      <c r="C295" s="166" t="str">
        <f>Form!M290</f>
        <v/>
      </c>
      <c r="D295" s="166" t="str">
        <f>Form!N290</f>
        <v/>
      </c>
      <c r="E295" s="166" t="str">
        <f>Form!J290</f>
        <v/>
      </c>
      <c r="F295" s="166" t="str">
        <f>Form!K290</f>
        <v/>
      </c>
      <c r="G295" s="166"/>
      <c r="H295" s="166" t="str">
        <f>Form!O291</f>
        <v/>
      </c>
    </row>
    <row r="296">
      <c r="A296" s="248" t="str">
        <f>Form!C291</f>
        <v/>
      </c>
      <c r="B296" s="4" t="str">
        <f>Form!D291</f>
        <v/>
      </c>
      <c r="C296" s="166" t="str">
        <f>Form!M291</f>
        <v/>
      </c>
      <c r="D296" s="166" t="str">
        <f>Form!N291</f>
        <v/>
      </c>
      <c r="E296" s="166" t="str">
        <f>Form!J291</f>
        <v/>
      </c>
      <c r="F296" s="166" t="str">
        <f>Form!K291</f>
        <v/>
      </c>
      <c r="G296" s="166"/>
      <c r="H296" s="166" t="str">
        <f>Form!O292</f>
        <v/>
      </c>
    </row>
    <row r="297">
      <c r="A297" s="248" t="str">
        <f>Form!C292</f>
        <v/>
      </c>
      <c r="B297" s="4" t="str">
        <f>Form!D292</f>
        <v/>
      </c>
      <c r="C297" s="166" t="str">
        <f>Form!M292</f>
        <v/>
      </c>
      <c r="D297" s="166" t="str">
        <f>Form!N292</f>
        <v/>
      </c>
      <c r="E297" s="166" t="str">
        <f>Form!J292</f>
        <v/>
      </c>
      <c r="F297" s="166" t="str">
        <f>Form!K292</f>
        <v/>
      </c>
      <c r="G297" s="166"/>
      <c r="H297" s="166" t="str">
        <f>Form!O293</f>
        <v/>
      </c>
    </row>
    <row r="298">
      <c r="A298" s="248" t="str">
        <f>Form!C293</f>
        <v/>
      </c>
      <c r="B298" s="4" t="str">
        <f>Form!D293</f>
        <v/>
      </c>
      <c r="C298" s="166" t="str">
        <f>Form!M293</f>
        <v/>
      </c>
      <c r="D298" s="166" t="str">
        <f>Form!N293</f>
        <v/>
      </c>
      <c r="E298" s="166" t="str">
        <f>Form!J293</f>
        <v/>
      </c>
      <c r="F298" s="166" t="str">
        <f>Form!K293</f>
        <v/>
      </c>
      <c r="G298" s="166"/>
      <c r="H298" s="166" t="str">
        <f>Form!O294</f>
        <v/>
      </c>
    </row>
    <row r="299">
      <c r="A299" s="248" t="str">
        <f>Form!C294</f>
        <v/>
      </c>
      <c r="B299" s="4" t="str">
        <f>Form!D294</f>
        <v/>
      </c>
      <c r="C299" s="166" t="str">
        <f>Form!M294</f>
        <v/>
      </c>
      <c r="D299" s="166" t="str">
        <f>Form!N294</f>
        <v/>
      </c>
      <c r="E299" s="166" t="str">
        <f>Form!J294</f>
        <v/>
      </c>
      <c r="F299" s="166" t="str">
        <f>Form!K294</f>
        <v/>
      </c>
      <c r="G299" s="166"/>
      <c r="H299" s="166" t="str">
        <f>Form!O295</f>
        <v/>
      </c>
    </row>
    <row r="300">
      <c r="A300" s="248" t="str">
        <f>Form!C295</f>
        <v/>
      </c>
      <c r="B300" s="4" t="str">
        <f>Form!D295</f>
        <v/>
      </c>
      <c r="C300" s="166" t="str">
        <f>Form!M295</f>
        <v/>
      </c>
      <c r="D300" s="166" t="str">
        <f>Form!N295</f>
        <v/>
      </c>
      <c r="E300" s="166" t="str">
        <f>Form!J295</f>
        <v/>
      </c>
      <c r="F300" s="166" t="str">
        <f>Form!K295</f>
        <v/>
      </c>
      <c r="G300" s="166"/>
      <c r="H300" s="166" t="str">
        <f>Form!O296</f>
        <v/>
      </c>
    </row>
    <row r="301">
      <c r="A301" s="248" t="str">
        <f>Form!C296</f>
        <v/>
      </c>
      <c r="B301" s="4" t="str">
        <f>Form!D296</f>
        <v/>
      </c>
      <c r="C301" s="166" t="str">
        <f>Form!M296</f>
        <v/>
      </c>
      <c r="D301" s="166" t="str">
        <f>Form!N296</f>
        <v/>
      </c>
      <c r="E301" s="166" t="str">
        <f>Form!J296</f>
        <v/>
      </c>
      <c r="F301" s="166" t="str">
        <f>Form!K296</f>
        <v/>
      </c>
      <c r="G301" s="166"/>
      <c r="H301" s="166" t="str">
        <f>Form!O297</f>
        <v/>
      </c>
    </row>
    <row r="302">
      <c r="A302" s="248" t="str">
        <f>Form!C297</f>
        <v/>
      </c>
      <c r="B302" s="4" t="str">
        <f>Form!D297</f>
        <v/>
      </c>
      <c r="C302" s="166" t="str">
        <f>Form!M297</f>
        <v/>
      </c>
      <c r="D302" s="166" t="str">
        <f>Form!N297</f>
        <v/>
      </c>
      <c r="E302" s="166" t="str">
        <f>Form!J297</f>
        <v/>
      </c>
      <c r="F302" s="166" t="str">
        <f>Form!K297</f>
        <v/>
      </c>
      <c r="G302" s="166"/>
      <c r="H302" s="166" t="str">
        <f>Form!O298</f>
        <v/>
      </c>
    </row>
    <row r="303">
      <c r="A303" s="248" t="str">
        <f>Form!C298</f>
        <v/>
      </c>
      <c r="B303" s="4" t="str">
        <f>Form!D298</f>
        <v/>
      </c>
      <c r="C303" s="166" t="str">
        <f>Form!M298</f>
        <v/>
      </c>
      <c r="D303" s="166" t="str">
        <f>Form!N298</f>
        <v/>
      </c>
      <c r="E303" s="166" t="str">
        <f>Form!J298</f>
        <v/>
      </c>
      <c r="F303" s="166" t="str">
        <f>Form!K298</f>
        <v/>
      </c>
      <c r="G303" s="166"/>
      <c r="H303" s="166" t="str">
        <f>Form!O299</f>
        <v/>
      </c>
    </row>
    <row r="304">
      <c r="A304" s="248" t="str">
        <f>Form!C299</f>
        <v/>
      </c>
      <c r="B304" s="4" t="str">
        <f>Form!D299</f>
        <v/>
      </c>
      <c r="C304" s="166" t="str">
        <f>Form!M299</f>
        <v/>
      </c>
      <c r="D304" s="166" t="str">
        <f>Form!N299</f>
        <v/>
      </c>
      <c r="E304" s="166" t="str">
        <f>Form!J299</f>
        <v/>
      </c>
      <c r="F304" s="166" t="str">
        <f>Form!K299</f>
        <v/>
      </c>
      <c r="G304" s="166"/>
      <c r="H304" s="166" t="str">
        <f>Form!O300</f>
        <v/>
      </c>
    </row>
    <row r="305">
      <c r="A305" s="248" t="str">
        <f>Form!C300</f>
        <v/>
      </c>
      <c r="B305" s="4" t="str">
        <f>Form!D300</f>
        <v/>
      </c>
      <c r="C305" s="166" t="str">
        <f>Form!M300</f>
        <v/>
      </c>
      <c r="D305" s="166" t="str">
        <f>Form!N300</f>
        <v/>
      </c>
      <c r="E305" s="166" t="str">
        <f>Form!J300</f>
        <v/>
      </c>
      <c r="F305" s="166" t="str">
        <f>Form!K300</f>
        <v/>
      </c>
      <c r="G305" s="166"/>
      <c r="H305" s="166" t="str">
        <f>Form!O301</f>
        <v/>
      </c>
    </row>
    <row r="306">
      <c r="A306" s="248" t="str">
        <f>Form!C301</f>
        <v/>
      </c>
      <c r="B306" s="4" t="str">
        <f>Form!D301</f>
        <v/>
      </c>
      <c r="C306" s="166" t="str">
        <f>Form!M301</f>
        <v/>
      </c>
      <c r="D306" s="166" t="str">
        <f>Form!N301</f>
        <v/>
      </c>
      <c r="E306" s="166" t="str">
        <f>Form!J301</f>
        <v/>
      </c>
      <c r="F306" s="166" t="str">
        <f>Form!K301</f>
        <v/>
      </c>
      <c r="G306" s="166"/>
      <c r="H306" s="166" t="str">
        <f>Form!O302</f>
        <v/>
      </c>
    </row>
    <row r="307">
      <c r="A307" s="248" t="str">
        <f>Form!C302</f>
        <v/>
      </c>
      <c r="B307" s="4" t="str">
        <f>Form!D302</f>
        <v/>
      </c>
      <c r="C307" s="166" t="str">
        <f>Form!M302</f>
        <v/>
      </c>
      <c r="D307" s="166" t="str">
        <f>Form!N302</f>
        <v/>
      </c>
      <c r="E307" s="166" t="str">
        <f>Form!J302</f>
        <v/>
      </c>
      <c r="F307" s="166" t="str">
        <f>Form!K302</f>
        <v/>
      </c>
      <c r="G307" s="166"/>
      <c r="H307" s="166" t="str">
        <f>Form!O303</f>
        <v/>
      </c>
    </row>
    <row r="308">
      <c r="A308" s="248" t="str">
        <f>Form!C303</f>
        <v/>
      </c>
      <c r="B308" s="4" t="str">
        <f>Form!D303</f>
        <v/>
      </c>
      <c r="C308" s="166" t="str">
        <f>Form!M303</f>
        <v/>
      </c>
      <c r="D308" s="166" t="str">
        <f>Form!N303</f>
        <v/>
      </c>
      <c r="E308" s="166" t="str">
        <f>Form!J303</f>
        <v/>
      </c>
      <c r="F308" s="166" t="str">
        <f>Form!K303</f>
        <v/>
      </c>
      <c r="G308" s="166"/>
      <c r="H308" s="166" t="str">
        <f>Form!O304</f>
        <v/>
      </c>
    </row>
    <row r="309">
      <c r="A309" s="248" t="str">
        <f>Form!C304</f>
        <v/>
      </c>
      <c r="B309" s="4" t="str">
        <f>Form!D304</f>
        <v/>
      </c>
      <c r="C309" s="166" t="str">
        <f>Form!M304</f>
        <v/>
      </c>
      <c r="D309" s="166" t="str">
        <f>Form!N304</f>
        <v/>
      </c>
      <c r="E309" s="166" t="str">
        <f>Form!J304</f>
        <v/>
      </c>
      <c r="F309" s="166" t="str">
        <f>Form!K304</f>
        <v/>
      </c>
      <c r="G309" s="166"/>
      <c r="H309" s="166" t="str">
        <f>Form!O305</f>
        <v/>
      </c>
    </row>
    <row r="310">
      <c r="A310" s="248" t="str">
        <f>Form!C305</f>
        <v/>
      </c>
      <c r="B310" s="4" t="str">
        <f>Form!D305</f>
        <v/>
      </c>
      <c r="C310" s="166" t="str">
        <f>Form!M305</f>
        <v/>
      </c>
      <c r="D310" s="166" t="str">
        <f>Form!N305</f>
        <v/>
      </c>
      <c r="E310" s="166" t="str">
        <f>Form!J305</f>
        <v/>
      </c>
      <c r="F310" s="166" t="str">
        <f>Form!K305</f>
        <v/>
      </c>
      <c r="G310" s="166"/>
      <c r="H310" s="166" t="str">
        <f>Form!O306</f>
        <v/>
      </c>
    </row>
    <row r="311">
      <c r="A311" s="248" t="str">
        <f>Form!C306</f>
        <v/>
      </c>
      <c r="B311" s="4" t="str">
        <f>Form!D306</f>
        <v/>
      </c>
      <c r="C311" s="166" t="str">
        <f>Form!M306</f>
        <v/>
      </c>
      <c r="D311" s="166" t="str">
        <f>Form!N306</f>
        <v/>
      </c>
      <c r="E311" s="166" t="str">
        <f>Form!J306</f>
        <v/>
      </c>
      <c r="F311" s="166" t="str">
        <f>Form!K306</f>
        <v/>
      </c>
      <c r="G311" s="166"/>
      <c r="H311" s="166" t="str">
        <f>Form!O307</f>
        <v/>
      </c>
    </row>
    <row r="312">
      <c r="A312" s="248" t="str">
        <f>Form!C307</f>
        <v/>
      </c>
      <c r="B312" s="4" t="str">
        <f>Form!D307</f>
        <v/>
      </c>
      <c r="C312" s="166" t="str">
        <f>Form!M307</f>
        <v/>
      </c>
      <c r="D312" s="166" t="str">
        <f>Form!N307</f>
        <v/>
      </c>
      <c r="E312" s="166" t="str">
        <f>Form!J307</f>
        <v/>
      </c>
      <c r="F312" s="166" t="str">
        <f>Form!K307</f>
        <v/>
      </c>
      <c r="G312" s="166"/>
      <c r="H312" s="166" t="str">
        <f>Form!O308</f>
        <v/>
      </c>
    </row>
    <row r="313">
      <c r="A313" s="248" t="str">
        <f>Form!C308</f>
        <v/>
      </c>
      <c r="B313" s="4" t="str">
        <f>Form!D308</f>
        <v/>
      </c>
      <c r="C313" s="166" t="str">
        <f>Form!M308</f>
        <v/>
      </c>
      <c r="D313" s="166" t="str">
        <f>Form!N308</f>
        <v/>
      </c>
      <c r="E313" s="166" t="str">
        <f>Form!J308</f>
        <v/>
      </c>
      <c r="F313" s="166" t="str">
        <f>Form!K308</f>
        <v/>
      </c>
      <c r="G313" s="166"/>
      <c r="H313" s="166" t="str">
        <f>Form!O309</f>
        <v/>
      </c>
    </row>
    <row r="314">
      <c r="A314" s="248" t="str">
        <f>Form!C309</f>
        <v/>
      </c>
      <c r="B314" s="4" t="str">
        <f>Form!D309</f>
        <v/>
      </c>
      <c r="C314" s="166" t="str">
        <f>Form!M309</f>
        <v/>
      </c>
      <c r="D314" s="166" t="str">
        <f>Form!N309</f>
        <v/>
      </c>
      <c r="E314" s="166" t="str">
        <f>Form!J309</f>
        <v/>
      </c>
      <c r="F314" s="166" t="str">
        <f>Form!K309</f>
        <v/>
      </c>
      <c r="G314" s="166"/>
      <c r="H314" s="166" t="str">
        <f>Form!O310</f>
        <v/>
      </c>
    </row>
    <row r="315">
      <c r="A315" s="248" t="str">
        <f>Form!C310</f>
        <v/>
      </c>
      <c r="B315" s="4" t="str">
        <f>Form!D310</f>
        <v/>
      </c>
      <c r="C315" s="166" t="str">
        <f>Form!M310</f>
        <v/>
      </c>
      <c r="D315" s="166" t="str">
        <f>Form!N310</f>
        <v/>
      </c>
      <c r="E315" s="166" t="str">
        <f>Form!J310</f>
        <v/>
      </c>
      <c r="F315" s="166" t="str">
        <f>Form!K310</f>
        <v/>
      </c>
      <c r="G315" s="166"/>
      <c r="H315" s="166" t="str">
        <f>Form!O311</f>
        <v/>
      </c>
    </row>
    <row r="316">
      <c r="A316" s="248" t="str">
        <f>Form!C311</f>
        <v/>
      </c>
      <c r="B316" s="4" t="str">
        <f>Form!D311</f>
        <v/>
      </c>
      <c r="C316" s="166" t="str">
        <f>Form!M311</f>
        <v/>
      </c>
      <c r="D316" s="166" t="str">
        <f>Form!N311</f>
        <v/>
      </c>
      <c r="E316" s="166" t="str">
        <f>Form!J311</f>
        <v/>
      </c>
      <c r="F316" s="166" t="str">
        <f>Form!K311</f>
        <v/>
      </c>
      <c r="G316" s="166"/>
      <c r="H316" s="166" t="str">
        <f>Form!O312</f>
        <v/>
      </c>
    </row>
    <row r="317">
      <c r="A317" s="248" t="str">
        <f>Form!C312</f>
        <v/>
      </c>
      <c r="B317" s="4" t="str">
        <f>Form!D312</f>
        <v/>
      </c>
      <c r="C317" s="166" t="str">
        <f>Form!M312</f>
        <v/>
      </c>
      <c r="D317" s="166" t="str">
        <f>Form!N312</f>
        <v/>
      </c>
      <c r="E317" s="166" t="str">
        <f>Form!J312</f>
        <v/>
      </c>
      <c r="F317" s="166" t="str">
        <f>Form!K312</f>
        <v/>
      </c>
      <c r="G317" s="166"/>
      <c r="H317" s="166" t="str">
        <f>Form!O313</f>
        <v/>
      </c>
    </row>
    <row r="318">
      <c r="A318" s="248" t="str">
        <f>Form!C313</f>
        <v/>
      </c>
      <c r="B318" s="4" t="str">
        <f>Form!D313</f>
        <v/>
      </c>
      <c r="C318" s="166" t="str">
        <f>Form!M313</f>
        <v/>
      </c>
      <c r="D318" s="166" t="str">
        <f>Form!N313</f>
        <v/>
      </c>
      <c r="E318" s="166" t="str">
        <f>Form!J313</f>
        <v/>
      </c>
      <c r="F318" s="166" t="str">
        <f>Form!K313</f>
        <v/>
      </c>
      <c r="G318" s="166"/>
      <c r="H318" s="166" t="str">
        <f>Form!O314</f>
        <v/>
      </c>
    </row>
    <row r="319">
      <c r="A319" s="248" t="str">
        <f>Form!C314</f>
        <v/>
      </c>
      <c r="B319" s="4" t="str">
        <f>Form!D314</f>
        <v/>
      </c>
      <c r="C319" s="166" t="str">
        <f>Form!M314</f>
        <v/>
      </c>
      <c r="D319" s="166" t="str">
        <f>Form!N314</f>
        <v/>
      </c>
      <c r="E319" s="166" t="str">
        <f>Form!J314</f>
        <v/>
      </c>
      <c r="F319" s="166" t="str">
        <f>Form!K314</f>
        <v/>
      </c>
      <c r="G319" s="166"/>
      <c r="H319" s="166" t="str">
        <f>Form!O315</f>
        <v/>
      </c>
    </row>
    <row r="320">
      <c r="A320" s="248" t="str">
        <f>Form!C315</f>
        <v/>
      </c>
      <c r="B320" s="4" t="str">
        <f>Form!D315</f>
        <v/>
      </c>
      <c r="C320" s="166" t="str">
        <f>Form!M315</f>
        <v/>
      </c>
      <c r="D320" s="166" t="str">
        <f>Form!N315</f>
        <v/>
      </c>
      <c r="E320" s="166" t="str">
        <f>Form!J315</f>
        <v/>
      </c>
      <c r="F320" s="166" t="str">
        <f>Form!K315</f>
        <v/>
      </c>
      <c r="G320" s="166"/>
      <c r="H320" s="166" t="str">
        <f>Form!O316</f>
        <v/>
      </c>
    </row>
    <row r="321">
      <c r="A321" s="248" t="str">
        <f>Form!C316</f>
        <v/>
      </c>
      <c r="B321" s="4" t="str">
        <f>Form!D316</f>
        <v/>
      </c>
      <c r="C321" s="166" t="str">
        <f>Form!M316</f>
        <v/>
      </c>
      <c r="D321" s="166" t="str">
        <f>Form!N316</f>
        <v/>
      </c>
      <c r="E321" s="166" t="str">
        <f>Form!J316</f>
        <v/>
      </c>
      <c r="F321" s="166" t="str">
        <f>Form!K316</f>
        <v/>
      </c>
      <c r="G321" s="166"/>
      <c r="H321" s="166" t="str">
        <f>Form!O317</f>
        <v/>
      </c>
    </row>
    <row r="322">
      <c r="A322" s="248" t="str">
        <f>Form!C317</f>
        <v/>
      </c>
      <c r="B322" s="4" t="str">
        <f>Form!D317</f>
        <v/>
      </c>
      <c r="C322" s="166" t="str">
        <f>Form!M317</f>
        <v/>
      </c>
      <c r="D322" s="166" t="str">
        <f>Form!N317</f>
        <v/>
      </c>
      <c r="E322" s="166" t="str">
        <f>Form!J317</f>
        <v/>
      </c>
      <c r="F322" s="166" t="str">
        <f>Form!K317</f>
        <v/>
      </c>
      <c r="G322" s="166"/>
      <c r="H322" s="166" t="str">
        <f>Form!O318</f>
        <v/>
      </c>
    </row>
    <row r="323">
      <c r="A323" s="248" t="str">
        <f>Form!C318</f>
        <v/>
      </c>
      <c r="B323" s="4" t="str">
        <f>Form!D318</f>
        <v/>
      </c>
      <c r="C323" s="166" t="str">
        <f>Form!M318</f>
        <v/>
      </c>
      <c r="D323" s="166" t="str">
        <f>Form!N318</f>
        <v/>
      </c>
      <c r="E323" s="166" t="str">
        <f>Form!J318</f>
        <v/>
      </c>
      <c r="F323" s="166" t="str">
        <f>Form!K318</f>
        <v/>
      </c>
      <c r="G323" s="166"/>
      <c r="H323" s="166" t="str">
        <f>Form!O319</f>
        <v/>
      </c>
    </row>
    <row r="324">
      <c r="A324" s="248" t="str">
        <f>Form!C319</f>
        <v/>
      </c>
      <c r="B324" s="4" t="str">
        <f>Form!D319</f>
        <v/>
      </c>
      <c r="C324" s="166" t="str">
        <f>Form!M319</f>
        <v/>
      </c>
      <c r="D324" s="166" t="str">
        <f>Form!N319</f>
        <v/>
      </c>
      <c r="E324" s="166" t="str">
        <f>Form!J319</f>
        <v/>
      </c>
      <c r="F324" s="166" t="str">
        <f>Form!K319</f>
        <v/>
      </c>
      <c r="G324" s="166"/>
      <c r="H324" s="166" t="str">
        <f>Form!O320</f>
        <v/>
      </c>
    </row>
    <row r="325">
      <c r="A325" s="248" t="str">
        <f>Form!C320</f>
        <v/>
      </c>
      <c r="B325" s="4" t="str">
        <f>Form!D320</f>
        <v/>
      </c>
      <c r="C325" s="166" t="str">
        <f>Form!M320</f>
        <v/>
      </c>
      <c r="D325" s="166" t="str">
        <f>Form!N320</f>
        <v/>
      </c>
      <c r="E325" s="166" t="str">
        <f>Form!J320</f>
        <v/>
      </c>
      <c r="F325" s="166" t="str">
        <f>Form!K320</f>
        <v/>
      </c>
      <c r="G325" s="166"/>
      <c r="H325" s="166" t="str">
        <f>Form!O321</f>
        <v/>
      </c>
    </row>
    <row r="326">
      <c r="A326" s="248" t="str">
        <f>Form!C321</f>
        <v/>
      </c>
      <c r="B326" s="4" t="str">
        <f>Form!D321</f>
        <v/>
      </c>
      <c r="C326" s="166" t="str">
        <f>Form!M321</f>
        <v/>
      </c>
      <c r="D326" s="166" t="str">
        <f>Form!N321</f>
        <v/>
      </c>
      <c r="E326" s="166" t="str">
        <f>Form!J321</f>
        <v/>
      </c>
      <c r="F326" s="166" t="str">
        <f>Form!K321</f>
        <v/>
      </c>
      <c r="G326" s="166"/>
      <c r="H326" s="166" t="str">
        <f>Form!O322</f>
        <v/>
      </c>
    </row>
    <row r="327">
      <c r="A327" s="248" t="str">
        <f>Form!C322</f>
        <v/>
      </c>
      <c r="B327" s="4" t="str">
        <f>Form!D322</f>
        <v/>
      </c>
      <c r="C327" s="166" t="str">
        <f>Form!M322</f>
        <v/>
      </c>
      <c r="D327" s="166" t="str">
        <f>Form!N322</f>
        <v/>
      </c>
      <c r="E327" s="166" t="str">
        <f>Form!J322</f>
        <v/>
      </c>
      <c r="F327" s="166" t="str">
        <f>Form!K322</f>
        <v/>
      </c>
      <c r="G327" s="166"/>
      <c r="H327" s="166" t="str">
        <f>Form!O323</f>
        <v/>
      </c>
    </row>
    <row r="328">
      <c r="A328" s="248" t="str">
        <f>Form!C323</f>
        <v/>
      </c>
      <c r="B328" s="4" t="str">
        <f>Form!D323</f>
        <v/>
      </c>
      <c r="C328" s="166" t="str">
        <f>Form!M323</f>
        <v/>
      </c>
      <c r="D328" s="166" t="str">
        <f>Form!N323</f>
        <v/>
      </c>
      <c r="E328" s="166" t="str">
        <f>Form!J323</f>
        <v/>
      </c>
      <c r="F328" s="166" t="str">
        <f>Form!K323</f>
        <v/>
      </c>
      <c r="G328" s="166"/>
      <c r="H328" s="166" t="str">
        <f>Form!O324</f>
        <v/>
      </c>
    </row>
    <row r="329">
      <c r="A329" s="248" t="str">
        <f>Form!C324</f>
        <v/>
      </c>
      <c r="B329" s="4" t="str">
        <f>Form!D324</f>
        <v/>
      </c>
      <c r="C329" s="166" t="str">
        <f>Form!M324</f>
        <v/>
      </c>
      <c r="D329" s="166" t="str">
        <f>Form!N324</f>
        <v/>
      </c>
      <c r="E329" s="166" t="str">
        <f>Form!J324</f>
        <v/>
      </c>
      <c r="F329" s="166" t="str">
        <f>Form!K324</f>
        <v/>
      </c>
      <c r="G329" s="166"/>
      <c r="H329" s="166" t="str">
        <f>Form!O325</f>
        <v/>
      </c>
    </row>
    <row r="330">
      <c r="A330" s="248" t="str">
        <f>Form!C325</f>
        <v/>
      </c>
      <c r="B330" s="4" t="str">
        <f>Form!D325</f>
        <v/>
      </c>
      <c r="C330" s="166" t="str">
        <f>Form!M325</f>
        <v/>
      </c>
      <c r="D330" s="166" t="str">
        <f>Form!N325</f>
        <v/>
      </c>
      <c r="E330" s="166" t="str">
        <f>Form!J325</f>
        <v/>
      </c>
      <c r="F330" s="166" t="str">
        <f>Form!K325</f>
        <v/>
      </c>
      <c r="G330" s="166"/>
      <c r="H330" s="166" t="str">
        <f>Form!O326</f>
        <v/>
      </c>
    </row>
    <row r="331">
      <c r="A331" s="248" t="str">
        <f>Form!C326</f>
        <v/>
      </c>
      <c r="B331" s="4" t="str">
        <f>Form!D326</f>
        <v/>
      </c>
      <c r="C331" s="166" t="str">
        <f>Form!M326</f>
        <v/>
      </c>
      <c r="D331" s="166" t="str">
        <f>Form!N326</f>
        <v/>
      </c>
      <c r="E331" s="166" t="str">
        <f>Form!J326</f>
        <v/>
      </c>
      <c r="F331" s="166" t="str">
        <f>Form!K326</f>
        <v/>
      </c>
      <c r="G331" s="166"/>
      <c r="H331" s="166" t="str">
        <f>Form!O327</f>
        <v/>
      </c>
    </row>
    <row r="332">
      <c r="A332" s="248" t="str">
        <f>Form!C327</f>
        <v/>
      </c>
      <c r="B332" s="4" t="str">
        <f>Form!D327</f>
        <v/>
      </c>
      <c r="C332" s="166" t="str">
        <f>Form!M327</f>
        <v/>
      </c>
      <c r="D332" s="166" t="str">
        <f>Form!N327</f>
        <v/>
      </c>
      <c r="E332" s="166" t="str">
        <f>Form!J327</f>
        <v/>
      </c>
      <c r="F332" s="166" t="str">
        <f>Form!K327</f>
        <v/>
      </c>
      <c r="G332" s="166"/>
      <c r="H332" s="166" t="str">
        <f>Form!O328</f>
        <v/>
      </c>
    </row>
    <row r="333">
      <c r="A333" s="248" t="str">
        <f>Form!C328</f>
        <v/>
      </c>
      <c r="B333" s="4" t="str">
        <f>Form!D328</f>
        <v/>
      </c>
      <c r="C333" s="166" t="str">
        <f>Form!M328</f>
        <v/>
      </c>
      <c r="D333" s="166" t="str">
        <f>Form!N328</f>
        <v/>
      </c>
      <c r="E333" s="166" t="str">
        <f>Form!J328</f>
        <v/>
      </c>
      <c r="F333" s="166" t="str">
        <f>Form!K328</f>
        <v/>
      </c>
      <c r="G333" s="166"/>
      <c r="H333" s="166" t="str">
        <f>Form!O329</f>
        <v/>
      </c>
    </row>
    <row r="334">
      <c r="A334" s="248" t="str">
        <f>Form!C329</f>
        <v/>
      </c>
      <c r="B334" s="4" t="str">
        <f>Form!D329</f>
        <v/>
      </c>
      <c r="C334" s="166" t="str">
        <f>Form!M329</f>
        <v/>
      </c>
      <c r="D334" s="166" t="str">
        <f>Form!N329</f>
        <v/>
      </c>
      <c r="E334" s="166" t="str">
        <f>Form!J329</f>
        <v/>
      </c>
      <c r="F334" s="166" t="str">
        <f>Form!K329</f>
        <v/>
      </c>
      <c r="G334" s="166"/>
      <c r="H334" s="166" t="str">
        <f>Form!O330</f>
        <v/>
      </c>
    </row>
    <row r="335">
      <c r="A335" s="248" t="str">
        <f>Form!C330</f>
        <v/>
      </c>
      <c r="B335" s="4" t="str">
        <f>Form!D330</f>
        <v/>
      </c>
      <c r="C335" s="166" t="str">
        <f>Form!M330</f>
        <v/>
      </c>
      <c r="D335" s="166" t="str">
        <f>Form!N330</f>
        <v/>
      </c>
      <c r="E335" s="166" t="str">
        <f>Form!J330</f>
        <v/>
      </c>
      <c r="F335" s="166" t="str">
        <f>Form!K330</f>
        <v/>
      </c>
      <c r="G335" s="166"/>
      <c r="H335" s="166" t="str">
        <f>Form!O331</f>
        <v/>
      </c>
    </row>
    <row r="336">
      <c r="A336" s="248" t="str">
        <f>Form!C331</f>
        <v/>
      </c>
      <c r="B336" s="4" t="str">
        <f>Form!D331</f>
        <v/>
      </c>
      <c r="C336" s="166" t="str">
        <f>Form!M331</f>
        <v/>
      </c>
      <c r="D336" s="166" t="str">
        <f>Form!N331</f>
        <v/>
      </c>
      <c r="E336" s="166" t="str">
        <f>Form!J331</f>
        <v/>
      </c>
      <c r="F336" s="166" t="str">
        <f>Form!K331</f>
        <v/>
      </c>
      <c r="G336" s="166"/>
      <c r="H336" s="166" t="str">
        <f>Form!O332</f>
        <v/>
      </c>
    </row>
    <row r="337">
      <c r="A337" s="248" t="str">
        <f>Form!C332</f>
        <v/>
      </c>
      <c r="B337" s="4" t="str">
        <f>Form!D332</f>
        <v/>
      </c>
      <c r="C337" s="166" t="str">
        <f>Form!M332</f>
        <v/>
      </c>
      <c r="D337" s="166" t="str">
        <f>Form!N332</f>
        <v/>
      </c>
      <c r="E337" s="166" t="str">
        <f>Form!J332</f>
        <v/>
      </c>
      <c r="F337" s="166" t="str">
        <f>Form!K332</f>
        <v/>
      </c>
      <c r="G337" s="166"/>
      <c r="H337" s="166" t="str">
        <f>Form!O333</f>
        <v/>
      </c>
    </row>
    <row r="338">
      <c r="A338" s="248" t="str">
        <f>Form!C333</f>
        <v/>
      </c>
      <c r="B338" s="4" t="str">
        <f>Form!D333</f>
        <v/>
      </c>
      <c r="C338" s="166" t="str">
        <f>Form!M333</f>
        <v/>
      </c>
      <c r="D338" s="166" t="str">
        <f>Form!N333</f>
        <v/>
      </c>
      <c r="E338" s="166" t="str">
        <f>Form!J333</f>
        <v/>
      </c>
      <c r="F338" s="166" t="str">
        <f>Form!K333</f>
        <v/>
      </c>
      <c r="G338" s="166"/>
      <c r="H338" s="166" t="str">
        <f>Form!O334</f>
        <v/>
      </c>
    </row>
    <row r="339">
      <c r="A339" s="248" t="str">
        <f>Form!C334</f>
        <v/>
      </c>
      <c r="B339" s="4" t="str">
        <f>Form!D334</f>
        <v/>
      </c>
      <c r="C339" s="166" t="str">
        <f>Form!M334</f>
        <v/>
      </c>
      <c r="D339" s="166" t="str">
        <f>Form!N334</f>
        <v/>
      </c>
      <c r="E339" s="166" t="str">
        <f>Form!J334</f>
        <v/>
      </c>
      <c r="F339" s="166" t="str">
        <f>Form!K334</f>
        <v/>
      </c>
      <c r="G339" s="166"/>
      <c r="H339" s="166" t="str">
        <f>Form!O335</f>
        <v/>
      </c>
    </row>
    <row r="340">
      <c r="A340" s="248" t="str">
        <f>Form!C335</f>
        <v/>
      </c>
      <c r="B340" s="4" t="str">
        <f>Form!D335</f>
        <v/>
      </c>
      <c r="C340" s="166" t="str">
        <f>Form!M335</f>
        <v/>
      </c>
      <c r="D340" s="166" t="str">
        <f>Form!N335</f>
        <v/>
      </c>
      <c r="E340" s="166" t="str">
        <f>Form!J335</f>
        <v/>
      </c>
      <c r="F340" s="166" t="str">
        <f>Form!K335</f>
        <v/>
      </c>
      <c r="G340" s="166"/>
      <c r="H340" s="166" t="str">
        <f>Form!O336</f>
        <v/>
      </c>
    </row>
    <row r="341">
      <c r="A341" s="248" t="str">
        <f>Form!C336</f>
        <v/>
      </c>
      <c r="B341" s="4" t="str">
        <f>Form!D336</f>
        <v/>
      </c>
      <c r="C341" s="166" t="str">
        <f>Form!M336</f>
        <v/>
      </c>
      <c r="D341" s="166" t="str">
        <f>Form!N336</f>
        <v/>
      </c>
      <c r="E341" s="166" t="str">
        <f>Form!J336</f>
        <v/>
      </c>
      <c r="F341" s="166" t="str">
        <f>Form!K336</f>
        <v/>
      </c>
      <c r="G341" s="166"/>
      <c r="H341" s="166" t="str">
        <f>Form!O337</f>
        <v/>
      </c>
    </row>
    <row r="342">
      <c r="A342" s="248" t="str">
        <f>Form!C337</f>
        <v/>
      </c>
      <c r="B342" s="4" t="str">
        <f>Form!D337</f>
        <v/>
      </c>
      <c r="C342" s="166" t="str">
        <f>Form!M337</f>
        <v/>
      </c>
      <c r="D342" s="166" t="str">
        <f>Form!N337</f>
        <v/>
      </c>
      <c r="E342" s="166" t="str">
        <f>Form!J337</f>
        <v/>
      </c>
      <c r="F342" s="166" t="str">
        <f>Form!K337</f>
        <v/>
      </c>
      <c r="G342" s="166"/>
      <c r="H342" s="166" t="str">
        <f>Form!O338</f>
        <v/>
      </c>
    </row>
    <row r="343">
      <c r="A343" s="248" t="str">
        <f>Form!C338</f>
        <v/>
      </c>
      <c r="B343" s="4" t="str">
        <f>Form!D338</f>
        <v/>
      </c>
      <c r="C343" s="166" t="str">
        <f>Form!M338</f>
        <v/>
      </c>
      <c r="D343" s="166" t="str">
        <f>Form!N338</f>
        <v/>
      </c>
      <c r="E343" s="166" t="str">
        <f>Form!J338</f>
        <v/>
      </c>
      <c r="F343" s="166" t="str">
        <f>Form!K338</f>
        <v/>
      </c>
      <c r="G343" s="166"/>
      <c r="H343" s="166" t="str">
        <f>Form!O339</f>
        <v/>
      </c>
    </row>
    <row r="344">
      <c r="A344" s="248" t="str">
        <f>Form!C339</f>
        <v/>
      </c>
      <c r="B344" s="4" t="str">
        <f>Form!D339</f>
        <v/>
      </c>
      <c r="C344" s="166" t="str">
        <f>Form!M339</f>
        <v/>
      </c>
      <c r="D344" s="166" t="str">
        <f>Form!N339</f>
        <v/>
      </c>
      <c r="E344" s="166" t="str">
        <f>Form!J339</f>
        <v/>
      </c>
      <c r="F344" s="166" t="str">
        <f>Form!K339</f>
        <v/>
      </c>
      <c r="G344" s="166"/>
      <c r="H344" s="166" t="str">
        <f>Form!O340</f>
        <v/>
      </c>
    </row>
    <row r="345">
      <c r="A345" s="248" t="str">
        <f>Form!C340</f>
        <v/>
      </c>
      <c r="B345" s="4" t="str">
        <f>Form!D340</f>
        <v/>
      </c>
      <c r="C345" s="166" t="str">
        <f>Form!M340</f>
        <v/>
      </c>
      <c r="D345" s="166" t="str">
        <f>Form!N340</f>
        <v/>
      </c>
      <c r="E345" s="166" t="str">
        <f>Form!J340</f>
        <v/>
      </c>
      <c r="F345" s="166" t="str">
        <f>Form!K340</f>
        <v/>
      </c>
      <c r="G345" s="166"/>
      <c r="H345" s="166" t="str">
        <f>Form!O341</f>
        <v/>
      </c>
    </row>
    <row r="346">
      <c r="A346" s="248" t="str">
        <f>Form!C341</f>
        <v/>
      </c>
      <c r="B346" s="4" t="str">
        <f>Form!D341</f>
        <v/>
      </c>
      <c r="C346" s="166" t="str">
        <f>Form!M341</f>
        <v/>
      </c>
      <c r="D346" s="166" t="str">
        <f>Form!N341</f>
        <v/>
      </c>
      <c r="E346" s="166" t="str">
        <f>Form!J341</f>
        <v/>
      </c>
      <c r="F346" s="166" t="str">
        <f>Form!K341</f>
        <v/>
      </c>
      <c r="G346" s="166"/>
      <c r="H346" s="166" t="str">
        <f>Form!O342</f>
        <v/>
      </c>
    </row>
    <row r="347">
      <c r="A347" s="248" t="str">
        <f>Form!C342</f>
        <v/>
      </c>
      <c r="B347" s="4" t="str">
        <f>Form!D342</f>
        <v/>
      </c>
      <c r="C347" s="166" t="str">
        <f>Form!M342</f>
        <v/>
      </c>
      <c r="D347" s="166" t="str">
        <f>Form!N342</f>
        <v/>
      </c>
      <c r="E347" s="166" t="str">
        <f>Form!J342</f>
        <v/>
      </c>
      <c r="F347" s="166" t="str">
        <f>Form!K342</f>
        <v/>
      </c>
      <c r="G347" s="166"/>
      <c r="H347" s="166" t="str">
        <f>Form!O343</f>
        <v/>
      </c>
    </row>
    <row r="348">
      <c r="A348" s="248" t="str">
        <f>Form!C343</f>
        <v/>
      </c>
      <c r="B348" s="4" t="str">
        <f>Form!D343</f>
        <v/>
      </c>
      <c r="C348" s="166" t="str">
        <f>Form!M343</f>
        <v/>
      </c>
      <c r="D348" s="166" t="str">
        <f>Form!N343</f>
        <v/>
      </c>
      <c r="E348" s="166" t="str">
        <f>Form!J343</f>
        <v/>
      </c>
      <c r="F348" s="166" t="str">
        <f>Form!K343</f>
        <v/>
      </c>
      <c r="G348" s="166"/>
      <c r="H348" s="166" t="str">
        <f>Form!O344</f>
        <v/>
      </c>
    </row>
    <row r="349">
      <c r="A349" s="248" t="str">
        <f>Form!C344</f>
        <v/>
      </c>
      <c r="B349" s="4" t="str">
        <f>Form!D344</f>
        <v/>
      </c>
      <c r="C349" s="166" t="str">
        <f>Form!M344</f>
        <v/>
      </c>
      <c r="D349" s="166" t="str">
        <f>Form!N344</f>
        <v/>
      </c>
      <c r="E349" s="166" t="str">
        <f>Form!J344</f>
        <v/>
      </c>
      <c r="F349" s="166" t="str">
        <f>Form!K344</f>
        <v/>
      </c>
      <c r="G349" s="166"/>
      <c r="H349" s="166" t="str">
        <f>Form!O345</f>
        <v/>
      </c>
    </row>
    <row r="350">
      <c r="A350" s="248" t="str">
        <f>Form!C345</f>
        <v/>
      </c>
      <c r="B350" s="4" t="str">
        <f>Form!D345</f>
        <v/>
      </c>
      <c r="C350" s="166" t="str">
        <f>Form!M345</f>
        <v/>
      </c>
      <c r="D350" s="166" t="str">
        <f>Form!N345</f>
        <v/>
      </c>
      <c r="E350" s="166" t="str">
        <f>Form!J345</f>
        <v/>
      </c>
      <c r="F350" s="166" t="str">
        <f>Form!K345</f>
        <v/>
      </c>
      <c r="G350" s="166"/>
      <c r="H350" s="166" t="str">
        <f>Form!O346</f>
        <v/>
      </c>
    </row>
    <row r="351">
      <c r="A351" s="248" t="str">
        <f>Form!C346</f>
        <v/>
      </c>
      <c r="B351" s="4" t="str">
        <f>Form!D346</f>
        <v/>
      </c>
      <c r="C351" s="166" t="str">
        <f>Form!M346</f>
        <v/>
      </c>
      <c r="D351" s="166" t="str">
        <f>Form!N346</f>
        <v/>
      </c>
      <c r="E351" s="166" t="str">
        <f>Form!J346</f>
        <v/>
      </c>
      <c r="F351" s="166" t="str">
        <f>Form!K346</f>
        <v/>
      </c>
      <c r="G351" s="166"/>
      <c r="H351" s="166" t="str">
        <f>Form!O347</f>
        <v/>
      </c>
    </row>
    <row r="352">
      <c r="A352" s="248" t="str">
        <f>Form!C347</f>
        <v/>
      </c>
      <c r="B352" s="4" t="str">
        <f>Form!D347</f>
        <v/>
      </c>
      <c r="C352" s="166" t="str">
        <f>Form!M347</f>
        <v/>
      </c>
      <c r="D352" s="166" t="str">
        <f>Form!N347</f>
        <v/>
      </c>
      <c r="E352" s="166" t="str">
        <f>Form!J347</f>
        <v/>
      </c>
      <c r="F352" s="166" t="str">
        <f>Form!K347</f>
        <v/>
      </c>
      <c r="G352" s="166"/>
      <c r="H352" s="166" t="str">
        <f>Form!O348</f>
        <v/>
      </c>
    </row>
    <row r="353">
      <c r="A353" s="248" t="str">
        <f>Form!C348</f>
        <v/>
      </c>
      <c r="B353" s="4" t="str">
        <f>Form!D348</f>
        <v/>
      </c>
      <c r="C353" s="166" t="str">
        <f>Form!M348</f>
        <v/>
      </c>
      <c r="D353" s="166" t="str">
        <f>Form!N348</f>
        <v/>
      </c>
      <c r="E353" s="166" t="str">
        <f>Form!J348</f>
        <v/>
      </c>
      <c r="F353" s="166" t="str">
        <f>Form!K348</f>
        <v/>
      </c>
      <c r="G353" s="166"/>
      <c r="H353" s="166" t="str">
        <f>Form!O349</f>
        <v/>
      </c>
    </row>
    <row r="354">
      <c r="A354" s="248" t="str">
        <f>Form!C349</f>
        <v/>
      </c>
      <c r="B354" s="4" t="str">
        <f>Form!D349</f>
        <v/>
      </c>
      <c r="C354" s="166" t="str">
        <f>Form!M349</f>
        <v/>
      </c>
      <c r="D354" s="166" t="str">
        <f>Form!N349</f>
        <v/>
      </c>
      <c r="E354" s="166" t="str">
        <f>Form!J349</f>
        <v/>
      </c>
      <c r="F354" s="166" t="str">
        <f>Form!K349</f>
        <v/>
      </c>
      <c r="G354" s="166"/>
      <c r="H354" s="166" t="str">
        <f>Form!O350</f>
        <v/>
      </c>
    </row>
    <row r="355">
      <c r="A355" s="248" t="str">
        <f>Form!C350</f>
        <v/>
      </c>
      <c r="B355" s="4" t="str">
        <f>Form!D350</f>
        <v/>
      </c>
      <c r="C355" s="166" t="str">
        <f>Form!M350</f>
        <v/>
      </c>
      <c r="D355" s="166" t="str">
        <f>Form!N350</f>
        <v/>
      </c>
      <c r="E355" s="166" t="str">
        <f>Form!J350</f>
        <v/>
      </c>
      <c r="F355" s="166" t="str">
        <f>Form!K350</f>
        <v/>
      </c>
      <c r="G355" s="166"/>
      <c r="H355" s="166" t="str">
        <f>Form!O351</f>
        <v/>
      </c>
    </row>
    <row r="356">
      <c r="A356" s="248" t="str">
        <f>Form!C351</f>
        <v/>
      </c>
      <c r="B356" s="4" t="str">
        <f>Form!D351</f>
        <v/>
      </c>
      <c r="C356" s="166" t="str">
        <f>Form!M351</f>
        <v/>
      </c>
      <c r="D356" s="166" t="str">
        <f>Form!N351</f>
        <v/>
      </c>
      <c r="E356" s="166" t="str">
        <f>Form!J351</f>
        <v/>
      </c>
      <c r="F356" s="166" t="str">
        <f>Form!K351</f>
        <v/>
      </c>
      <c r="G356" s="166"/>
      <c r="H356" s="166" t="str">
        <f>Form!O352</f>
        <v/>
      </c>
    </row>
    <row r="357">
      <c r="A357" s="248" t="str">
        <f>Form!C352</f>
        <v/>
      </c>
      <c r="B357" s="4" t="str">
        <f>Form!D352</f>
        <v/>
      </c>
      <c r="C357" s="166" t="str">
        <f>Form!M352</f>
        <v/>
      </c>
      <c r="D357" s="166" t="str">
        <f>Form!N352</f>
        <v/>
      </c>
      <c r="E357" s="166" t="str">
        <f>Form!J352</f>
        <v/>
      </c>
      <c r="F357" s="166" t="str">
        <f>Form!K352</f>
        <v/>
      </c>
      <c r="G357" s="166"/>
      <c r="H357" s="166" t="str">
        <f>Form!O353</f>
        <v/>
      </c>
    </row>
    <row r="358">
      <c r="A358" s="248" t="str">
        <f>Form!C353</f>
        <v/>
      </c>
      <c r="B358" s="4" t="str">
        <f>Form!D353</f>
        <v/>
      </c>
      <c r="C358" s="166" t="str">
        <f>Form!M353</f>
        <v/>
      </c>
      <c r="D358" s="166" t="str">
        <f>Form!N353</f>
        <v/>
      </c>
      <c r="E358" s="166" t="str">
        <f>Form!J353</f>
        <v/>
      </c>
      <c r="F358" s="166" t="str">
        <f>Form!K353</f>
        <v/>
      </c>
      <c r="G358" s="166"/>
      <c r="H358" s="166" t="str">
        <f>Form!O354</f>
        <v/>
      </c>
    </row>
    <row r="359">
      <c r="A359" s="248" t="str">
        <f>Form!C354</f>
        <v/>
      </c>
      <c r="B359" s="4" t="str">
        <f>Form!D354</f>
        <v/>
      </c>
      <c r="C359" s="166" t="str">
        <f>Form!M354</f>
        <v/>
      </c>
      <c r="D359" s="166" t="str">
        <f>Form!N354</f>
        <v/>
      </c>
      <c r="E359" s="166" t="str">
        <f>Form!J354</f>
        <v/>
      </c>
      <c r="F359" s="166" t="str">
        <f>Form!K354</f>
        <v/>
      </c>
      <c r="G359" s="166"/>
      <c r="H359" s="166" t="str">
        <f>Form!O355</f>
        <v/>
      </c>
    </row>
    <row r="360">
      <c r="A360" s="248" t="str">
        <f>Form!C355</f>
        <v/>
      </c>
      <c r="B360" s="4" t="str">
        <f>Form!D355</f>
        <v/>
      </c>
      <c r="C360" s="166" t="str">
        <f>Form!M355</f>
        <v/>
      </c>
      <c r="D360" s="166" t="str">
        <f>Form!N355</f>
        <v/>
      </c>
      <c r="E360" s="166" t="str">
        <f>Form!J355</f>
        <v/>
      </c>
      <c r="F360" s="166" t="str">
        <f>Form!K355</f>
        <v/>
      </c>
      <c r="G360" s="166"/>
      <c r="H360" s="166" t="str">
        <f>Form!O356</f>
        <v/>
      </c>
    </row>
    <row r="361">
      <c r="A361" s="248" t="str">
        <f>Form!C356</f>
        <v/>
      </c>
      <c r="B361" s="4" t="str">
        <f>Form!D356</f>
        <v/>
      </c>
      <c r="C361" s="166" t="str">
        <f>Form!M356</f>
        <v/>
      </c>
      <c r="D361" s="166" t="str">
        <f>Form!N356</f>
        <v/>
      </c>
      <c r="E361" s="166" t="str">
        <f>Form!J356</f>
        <v/>
      </c>
      <c r="F361" s="166" t="str">
        <f>Form!K356</f>
        <v/>
      </c>
      <c r="G361" s="166"/>
      <c r="H361" s="166" t="str">
        <f>Form!O357</f>
        <v/>
      </c>
    </row>
    <row r="362">
      <c r="A362" s="248" t="str">
        <f>Form!C357</f>
        <v/>
      </c>
      <c r="B362" s="4" t="str">
        <f>Form!D357</f>
        <v/>
      </c>
      <c r="C362" s="166" t="str">
        <f>Form!M357</f>
        <v/>
      </c>
      <c r="D362" s="166" t="str">
        <f>Form!N357</f>
        <v/>
      </c>
      <c r="E362" s="166" t="str">
        <f>Form!J357</f>
        <v/>
      </c>
      <c r="F362" s="166" t="str">
        <f>Form!K357</f>
        <v/>
      </c>
      <c r="G362" s="166"/>
      <c r="H362" s="166" t="str">
        <f>Form!O358</f>
        <v/>
      </c>
    </row>
    <row r="363">
      <c r="A363" s="248" t="str">
        <f>Form!C358</f>
        <v/>
      </c>
      <c r="B363" s="4" t="str">
        <f>Form!D358</f>
        <v/>
      </c>
      <c r="C363" s="166" t="str">
        <f>Form!M358</f>
        <v/>
      </c>
      <c r="D363" s="166" t="str">
        <f>Form!N358</f>
        <v/>
      </c>
      <c r="E363" s="166" t="str">
        <f>Form!J358</f>
        <v/>
      </c>
      <c r="F363" s="166" t="str">
        <f>Form!K358</f>
        <v/>
      </c>
      <c r="G363" s="166"/>
      <c r="H363" s="166" t="str">
        <f>Form!O359</f>
        <v/>
      </c>
    </row>
    <row r="364">
      <c r="A364" s="248" t="str">
        <f>Form!C359</f>
        <v/>
      </c>
      <c r="B364" s="4" t="str">
        <f>Form!D359</f>
        <v/>
      </c>
      <c r="C364" s="166" t="str">
        <f>Form!M359</f>
        <v/>
      </c>
      <c r="D364" s="166" t="str">
        <f>Form!N359</f>
        <v/>
      </c>
      <c r="E364" s="166" t="str">
        <f>Form!J359</f>
        <v/>
      </c>
      <c r="F364" s="166" t="str">
        <f>Form!K359</f>
        <v/>
      </c>
      <c r="G364" s="166"/>
      <c r="H364" s="166" t="str">
        <f>Form!O360</f>
        <v/>
      </c>
    </row>
    <row r="365">
      <c r="A365" s="248" t="str">
        <f>Form!C360</f>
        <v/>
      </c>
      <c r="B365" s="4" t="str">
        <f>Form!D360</f>
        <v/>
      </c>
      <c r="C365" s="166" t="str">
        <f>Form!M360</f>
        <v/>
      </c>
      <c r="D365" s="166" t="str">
        <f>Form!N360</f>
        <v/>
      </c>
      <c r="E365" s="166" t="str">
        <f>Form!J360</f>
        <v/>
      </c>
      <c r="F365" s="166" t="str">
        <f>Form!K360</f>
        <v/>
      </c>
      <c r="G365" s="166"/>
      <c r="H365" s="166" t="str">
        <f>Form!O361</f>
        <v/>
      </c>
    </row>
    <row r="366">
      <c r="A366" s="248"/>
      <c r="B366" s="273"/>
      <c r="C366" s="166"/>
      <c r="D366" s="166" t="str">
        <f>Form!N361</f>
        <v/>
      </c>
      <c r="E366" s="166" t="str">
        <f>Form!J361</f>
        <v/>
      </c>
      <c r="F366" s="166" t="str">
        <f>Form!K361</f>
        <v/>
      </c>
      <c r="G366" s="166"/>
      <c r="H366" s="166" t="str">
        <f>Form!O362</f>
        <v/>
      </c>
    </row>
    <row r="367">
      <c r="A367" s="248"/>
      <c r="C367" s="274"/>
      <c r="D367" s="166" t="str">
        <f>Form!N362</f>
        <v/>
      </c>
      <c r="E367" s="166" t="str">
        <f>Form!J362</f>
        <v/>
      </c>
      <c r="F367" s="166" t="str">
        <f>Form!K362</f>
        <v/>
      </c>
      <c r="G367" s="166"/>
      <c r="H367" s="166" t="str">
        <f>Form!O363</f>
        <v/>
      </c>
    </row>
    <row r="368">
      <c r="A368" s="248"/>
      <c r="B368" s="273"/>
      <c r="C368" s="274"/>
      <c r="D368" s="166" t="str">
        <f>Form!N363</f>
        <v/>
      </c>
      <c r="E368" s="166" t="str">
        <f>Form!J363</f>
        <v/>
      </c>
      <c r="F368" s="166" t="str">
        <f>Form!K363</f>
        <v/>
      </c>
      <c r="G368" s="166"/>
      <c r="H368" s="166" t="str">
        <f>Form!O364</f>
        <v/>
      </c>
    </row>
    <row r="369">
      <c r="A369" s="248" t="str">
        <f>Form!C364</f>
        <v/>
      </c>
      <c r="B369" s="4" t="str">
        <f>Form!D364</f>
        <v/>
      </c>
      <c r="C369" s="166" t="str">
        <f>Form!M364</f>
        <v/>
      </c>
      <c r="D369" s="166" t="str">
        <f>Form!N364</f>
        <v/>
      </c>
      <c r="E369" s="166" t="str">
        <f>Form!J364</f>
        <v/>
      </c>
      <c r="F369" s="166" t="str">
        <f>Form!K364</f>
        <v/>
      </c>
      <c r="G369" s="166"/>
      <c r="H369" s="166" t="str">
        <f>Form!O365</f>
        <v/>
      </c>
    </row>
    <row r="370">
      <c r="A370" s="248" t="str">
        <f>Form!C365</f>
        <v/>
      </c>
      <c r="B370" s="4" t="str">
        <f>Form!D365</f>
        <v/>
      </c>
      <c r="C370" s="166" t="str">
        <f>Form!M365</f>
        <v/>
      </c>
      <c r="D370" s="166" t="str">
        <f>Form!N365</f>
        <v/>
      </c>
      <c r="E370" s="166" t="str">
        <f>Form!J365</f>
        <v/>
      </c>
      <c r="F370" s="166" t="str">
        <f>Form!K365</f>
        <v/>
      </c>
      <c r="G370" s="166"/>
      <c r="H370" s="166" t="str">
        <f>Form!O366</f>
        <v/>
      </c>
    </row>
    <row r="371">
      <c r="A371" s="248" t="str">
        <f>Form!C366</f>
        <v/>
      </c>
      <c r="B371" s="4" t="str">
        <f>Form!D366</f>
        <v/>
      </c>
      <c r="C371" s="166" t="str">
        <f>Form!M366</f>
        <v/>
      </c>
      <c r="D371" s="166" t="str">
        <f>Form!N366</f>
        <v/>
      </c>
      <c r="E371" s="166" t="str">
        <f>Form!J366</f>
        <v/>
      </c>
      <c r="F371" s="166" t="str">
        <f>Form!K366</f>
        <v/>
      </c>
      <c r="G371" s="166"/>
      <c r="H371" s="166" t="str">
        <f>Form!O367</f>
        <v/>
      </c>
    </row>
    <row r="372">
      <c r="A372" s="248" t="str">
        <f>Form!C367</f>
        <v/>
      </c>
      <c r="B372" s="4" t="str">
        <f>Form!D367</f>
        <v/>
      </c>
      <c r="C372" s="166" t="str">
        <f>Form!M367</f>
        <v/>
      </c>
      <c r="D372" s="166" t="str">
        <f>Form!N367</f>
        <v/>
      </c>
      <c r="E372" s="166" t="str">
        <f>Form!J367</f>
        <v/>
      </c>
      <c r="F372" s="166" t="str">
        <f>Form!K367</f>
        <v/>
      </c>
      <c r="G372" s="166"/>
      <c r="H372" s="166" t="str">
        <f>Form!O368</f>
        <v/>
      </c>
    </row>
    <row r="373">
      <c r="A373" s="248" t="str">
        <f>Form!C368</f>
        <v/>
      </c>
      <c r="B373" s="4" t="str">
        <f>Form!D368</f>
        <v/>
      </c>
      <c r="C373" s="166" t="str">
        <f>Form!M368</f>
        <v/>
      </c>
      <c r="D373" s="166" t="str">
        <f>Form!N368</f>
        <v/>
      </c>
      <c r="E373" s="166" t="str">
        <f>Form!J368</f>
        <v/>
      </c>
      <c r="F373" s="166" t="str">
        <f>Form!K368</f>
        <v/>
      </c>
      <c r="G373" s="166"/>
      <c r="H373" s="166" t="str">
        <f>Form!O369</f>
        <v/>
      </c>
    </row>
    <row r="374">
      <c r="A374" s="248" t="str">
        <f>Form!C369</f>
        <v/>
      </c>
      <c r="B374" s="4" t="str">
        <f>Form!D369</f>
        <v/>
      </c>
      <c r="C374" s="166" t="str">
        <f>Form!M369</f>
        <v/>
      </c>
      <c r="D374" s="166" t="str">
        <f>Form!N369</f>
        <v/>
      </c>
      <c r="E374" s="166" t="str">
        <f>Form!J369</f>
        <v/>
      </c>
      <c r="F374" s="166" t="str">
        <f>Form!K369</f>
        <v/>
      </c>
      <c r="G374" s="166"/>
      <c r="H374" s="166" t="str">
        <f>Form!O370</f>
        <v/>
      </c>
    </row>
    <row r="375">
      <c r="A375" s="248" t="str">
        <f>Form!C370</f>
        <v/>
      </c>
      <c r="B375" s="4" t="str">
        <f>Form!D370</f>
        <v/>
      </c>
      <c r="C375" s="166" t="str">
        <f>Form!M370</f>
        <v/>
      </c>
      <c r="D375" s="166" t="str">
        <f>Form!N370</f>
        <v/>
      </c>
      <c r="E375" s="166" t="str">
        <f>Form!J370</f>
        <v/>
      </c>
      <c r="F375" s="166" t="str">
        <f>Form!K370</f>
        <v/>
      </c>
      <c r="G375" s="166"/>
      <c r="H375" s="166" t="str">
        <f>Form!O371</f>
        <v/>
      </c>
    </row>
    <row r="376">
      <c r="A376" s="248" t="str">
        <f>Form!C371</f>
        <v/>
      </c>
      <c r="B376" s="4" t="str">
        <f>Form!D371</f>
        <v/>
      </c>
      <c r="C376" s="166" t="str">
        <f>Form!M371</f>
        <v/>
      </c>
      <c r="D376" s="166" t="str">
        <f>Form!N371</f>
        <v/>
      </c>
      <c r="E376" s="166" t="str">
        <f>Form!J371</f>
        <v/>
      </c>
      <c r="F376" s="166" t="str">
        <f>Form!K371</f>
        <v/>
      </c>
      <c r="G376" s="166"/>
      <c r="H376" s="166" t="str">
        <f>Form!O372</f>
        <v/>
      </c>
    </row>
    <row r="377">
      <c r="A377" s="248" t="str">
        <f>Form!C372</f>
        <v/>
      </c>
      <c r="B377" s="4" t="str">
        <f>Form!D372</f>
        <v/>
      </c>
      <c r="C377" s="166" t="str">
        <f>Form!M372</f>
        <v/>
      </c>
      <c r="D377" s="166" t="str">
        <f>Form!N372</f>
        <v/>
      </c>
      <c r="E377" s="166" t="str">
        <f>Form!J372</f>
        <v/>
      </c>
      <c r="F377" s="166" t="str">
        <f>Form!K372</f>
        <v/>
      </c>
      <c r="G377" s="166"/>
      <c r="H377" s="166" t="str">
        <f>Form!O373</f>
        <v/>
      </c>
    </row>
    <row r="378">
      <c r="A378" s="248" t="str">
        <f>Form!C373</f>
        <v/>
      </c>
      <c r="B378" s="4" t="str">
        <f>Form!D373</f>
        <v/>
      </c>
      <c r="C378" s="166" t="str">
        <f>Form!M373</f>
        <v/>
      </c>
      <c r="D378" s="166" t="str">
        <f>Form!N373</f>
        <v/>
      </c>
      <c r="E378" s="166" t="str">
        <f>Form!J373</f>
        <v/>
      </c>
      <c r="F378" s="166" t="str">
        <f>Form!K373</f>
        <v/>
      </c>
      <c r="G378" s="166"/>
      <c r="H378" s="166" t="str">
        <f>Form!O374</f>
        <v/>
      </c>
    </row>
    <row r="379">
      <c r="A379" s="248" t="str">
        <f>Form!C374</f>
        <v/>
      </c>
      <c r="B379" s="4" t="str">
        <f>Form!D374</f>
        <v/>
      </c>
      <c r="C379" s="166" t="str">
        <f>Form!M374</f>
        <v/>
      </c>
      <c r="D379" s="166" t="str">
        <f>Form!N374</f>
        <v/>
      </c>
      <c r="E379" s="166" t="str">
        <f>Form!J374</f>
        <v/>
      </c>
      <c r="F379" s="166" t="str">
        <f>Form!K374</f>
        <v/>
      </c>
      <c r="G379" s="166"/>
      <c r="H379" s="166" t="str">
        <f>Form!O375</f>
        <v/>
      </c>
    </row>
    <row r="380">
      <c r="A380" s="248" t="str">
        <f>Form!C375</f>
        <v/>
      </c>
      <c r="B380" s="4" t="str">
        <f>Form!D375</f>
        <v/>
      </c>
      <c r="C380" s="166" t="str">
        <f>Form!M375</f>
        <v/>
      </c>
      <c r="D380" s="166" t="str">
        <f>Form!N375</f>
        <v/>
      </c>
      <c r="E380" s="166" t="str">
        <f>Form!J375</f>
        <v/>
      </c>
      <c r="F380" s="166" t="str">
        <f>Form!K375</f>
        <v/>
      </c>
      <c r="G380" s="166"/>
      <c r="H380" s="166" t="str">
        <f>Form!O376</f>
        <v/>
      </c>
    </row>
    <row r="381">
      <c r="A381" s="248" t="str">
        <f>Form!C376</f>
        <v/>
      </c>
      <c r="B381" s="4" t="str">
        <f>Form!D376</f>
        <v/>
      </c>
      <c r="C381" s="166" t="str">
        <f>Form!M376</f>
        <v/>
      </c>
      <c r="D381" s="166" t="str">
        <f>Form!N376</f>
        <v/>
      </c>
      <c r="E381" s="166" t="str">
        <f>Form!J376</f>
        <v/>
      </c>
      <c r="F381" s="166" t="str">
        <f>Form!K376</f>
        <v/>
      </c>
      <c r="G381" s="166"/>
      <c r="H381" s="166" t="str">
        <f>Form!O377</f>
        <v/>
      </c>
    </row>
    <row r="382">
      <c r="A382" s="248" t="str">
        <f>Form!C377</f>
        <v/>
      </c>
      <c r="B382" s="4" t="str">
        <f>Form!D377</f>
        <v/>
      </c>
      <c r="C382" s="166" t="str">
        <f>Form!M377</f>
        <v/>
      </c>
      <c r="D382" s="166" t="str">
        <f>Form!N377</f>
        <v/>
      </c>
      <c r="E382" s="166" t="str">
        <f>Form!J377</f>
        <v/>
      </c>
      <c r="F382" s="166" t="str">
        <f>Form!K377</f>
        <v/>
      </c>
      <c r="G382" s="166"/>
      <c r="H382" s="166" t="str">
        <f>Form!O378</f>
        <v/>
      </c>
    </row>
    <row r="383">
      <c r="A383" s="248" t="str">
        <f>Form!C378</f>
        <v/>
      </c>
      <c r="B383" s="4" t="str">
        <f>Form!D378</f>
        <v/>
      </c>
      <c r="C383" s="166" t="str">
        <f>Form!M378</f>
        <v/>
      </c>
      <c r="D383" s="166" t="str">
        <f>Form!N378</f>
        <v/>
      </c>
      <c r="E383" s="166" t="str">
        <f>Form!J378</f>
        <v/>
      </c>
      <c r="F383" s="166" t="str">
        <f>Form!K378</f>
        <v/>
      </c>
      <c r="G383" s="166"/>
      <c r="H383" s="166" t="str">
        <f>Form!O379</f>
        <v/>
      </c>
    </row>
    <row r="384">
      <c r="A384" s="248" t="str">
        <f>Form!C379</f>
        <v/>
      </c>
      <c r="B384" s="4" t="str">
        <f>Form!D379</f>
        <v/>
      </c>
      <c r="C384" s="166" t="str">
        <f>Form!M379</f>
        <v/>
      </c>
      <c r="D384" s="166" t="str">
        <f>Form!N379</f>
        <v/>
      </c>
      <c r="E384" s="166" t="str">
        <f>Form!J379</f>
        <v/>
      </c>
      <c r="F384" s="166" t="str">
        <f>Form!K379</f>
        <v/>
      </c>
      <c r="G384" s="166"/>
      <c r="H384" s="166" t="str">
        <f>Form!O380</f>
        <v/>
      </c>
    </row>
    <row r="385">
      <c r="A385" s="248" t="str">
        <f>Form!C380</f>
        <v/>
      </c>
      <c r="B385" s="4" t="str">
        <f>Form!D380</f>
        <v/>
      </c>
      <c r="C385" s="166" t="str">
        <f>Form!M380</f>
        <v/>
      </c>
      <c r="D385" s="166" t="str">
        <f>Form!N380</f>
        <v/>
      </c>
      <c r="E385" s="166" t="str">
        <f>Form!J380</f>
        <v/>
      </c>
      <c r="F385" s="166" t="str">
        <f>Form!K380</f>
        <v/>
      </c>
      <c r="G385" s="166"/>
      <c r="H385" s="166" t="str">
        <f>Form!O381</f>
        <v/>
      </c>
    </row>
    <row r="386">
      <c r="A386" s="248" t="str">
        <f>Form!C381</f>
        <v/>
      </c>
      <c r="B386" s="4" t="str">
        <f>Form!D381</f>
        <v/>
      </c>
      <c r="C386" s="166" t="str">
        <f>Form!M381</f>
        <v/>
      </c>
      <c r="D386" s="166" t="str">
        <f>Form!N381</f>
        <v/>
      </c>
      <c r="E386" s="166" t="str">
        <f>Form!J381</f>
        <v/>
      </c>
      <c r="F386" s="166" t="str">
        <f>Form!K381</f>
        <v/>
      </c>
      <c r="G386" s="166"/>
      <c r="H386" s="166" t="str">
        <f>Form!O382</f>
        <v/>
      </c>
    </row>
    <row r="387">
      <c r="A387" s="248" t="str">
        <f>Form!C382</f>
        <v/>
      </c>
      <c r="B387" s="4" t="str">
        <f>Form!D382</f>
        <v/>
      </c>
      <c r="C387" s="166" t="str">
        <f>Form!M382</f>
        <v/>
      </c>
      <c r="D387" s="166" t="str">
        <f>Form!N382</f>
        <v/>
      </c>
      <c r="E387" s="166" t="str">
        <f>Form!J382</f>
        <v/>
      </c>
      <c r="F387" s="166" t="str">
        <f>Form!K382</f>
        <v/>
      </c>
      <c r="G387" s="166"/>
      <c r="H387" s="166" t="str">
        <f>Form!O383</f>
        <v/>
      </c>
    </row>
    <row r="388">
      <c r="A388" s="248" t="str">
        <f>Form!C383</f>
        <v/>
      </c>
      <c r="B388" s="4" t="str">
        <f>Form!D383</f>
        <v/>
      </c>
      <c r="C388" s="166" t="str">
        <f>Form!M383</f>
        <v/>
      </c>
      <c r="D388" s="166" t="str">
        <f>Form!N383</f>
        <v/>
      </c>
      <c r="E388" s="166" t="str">
        <f>Form!J383</f>
        <v/>
      </c>
      <c r="F388" s="166" t="str">
        <f>Form!K383</f>
        <v/>
      </c>
      <c r="G388" s="166"/>
      <c r="H388" s="166" t="str">
        <f>Form!O384</f>
        <v/>
      </c>
    </row>
    <row r="389">
      <c r="A389" s="248" t="str">
        <f>Form!C384</f>
        <v/>
      </c>
      <c r="B389" s="4" t="str">
        <f>Form!D384</f>
        <v/>
      </c>
      <c r="C389" s="166" t="str">
        <f>Form!M384</f>
        <v/>
      </c>
      <c r="D389" s="166" t="str">
        <f>Form!N384</f>
        <v/>
      </c>
      <c r="E389" s="166" t="str">
        <f>Form!J384</f>
        <v/>
      </c>
      <c r="F389" s="166" t="str">
        <f>Form!K384</f>
        <v/>
      </c>
      <c r="G389" s="166"/>
      <c r="H389" s="166" t="str">
        <f>Form!O385</f>
        <v/>
      </c>
    </row>
    <row r="390">
      <c r="A390" s="248" t="str">
        <f>Form!C385</f>
        <v/>
      </c>
      <c r="B390" s="4" t="str">
        <f>Form!D385</f>
        <v/>
      </c>
      <c r="C390" s="166" t="str">
        <f>Form!M385</f>
        <v/>
      </c>
      <c r="D390" s="166" t="str">
        <f>Form!N385</f>
        <v/>
      </c>
      <c r="E390" s="166" t="str">
        <f>Form!J385</f>
        <v/>
      </c>
      <c r="F390" s="166" t="str">
        <f>Form!K385</f>
        <v/>
      </c>
      <c r="G390" s="166"/>
      <c r="H390" s="166" t="str">
        <f>Form!O386</f>
        <v/>
      </c>
    </row>
    <row r="391">
      <c r="A391" s="248" t="str">
        <f>Form!C386</f>
        <v/>
      </c>
      <c r="B391" s="4" t="str">
        <f>Form!D386</f>
        <v/>
      </c>
      <c r="C391" s="166" t="str">
        <f>Form!M386</f>
        <v/>
      </c>
      <c r="D391" s="166" t="str">
        <f>Form!N386</f>
        <v/>
      </c>
      <c r="E391" s="166" t="str">
        <f>Form!J386</f>
        <v/>
      </c>
      <c r="F391" s="166" t="str">
        <f>Form!K386</f>
        <v/>
      </c>
      <c r="G391" s="166"/>
      <c r="H391" s="166" t="str">
        <f>Form!O387</f>
        <v/>
      </c>
    </row>
    <row r="392">
      <c r="A392" s="248" t="str">
        <f>Form!C387</f>
        <v/>
      </c>
      <c r="B392" s="4" t="str">
        <f>Form!D387</f>
        <v/>
      </c>
      <c r="C392" s="166" t="str">
        <f>Form!M387</f>
        <v/>
      </c>
      <c r="D392" s="166" t="str">
        <f>Form!N387</f>
        <v/>
      </c>
      <c r="E392" s="166" t="str">
        <f>Form!J387</f>
        <v/>
      </c>
      <c r="F392" s="166" t="str">
        <f>Form!K387</f>
        <v/>
      </c>
      <c r="G392" s="166"/>
      <c r="H392" s="166" t="str">
        <f>Form!O388</f>
        <v/>
      </c>
    </row>
    <row r="393">
      <c r="A393" s="248" t="str">
        <f>Form!C388</f>
        <v/>
      </c>
      <c r="B393" s="4" t="str">
        <f>Form!D388</f>
        <v/>
      </c>
      <c r="C393" s="166" t="str">
        <f>Form!M388</f>
        <v/>
      </c>
      <c r="D393" s="166" t="str">
        <f>Form!N388</f>
        <v/>
      </c>
      <c r="E393" s="166" t="str">
        <f>Form!J388</f>
        <v/>
      </c>
      <c r="F393" s="166" t="str">
        <f>Form!K388</f>
        <v/>
      </c>
      <c r="G393" s="166"/>
      <c r="H393" s="166" t="str">
        <f>Form!O389</f>
        <v/>
      </c>
    </row>
    <row r="394">
      <c r="A394" s="248" t="str">
        <f>Form!C389</f>
        <v/>
      </c>
      <c r="B394" s="4" t="str">
        <f>Form!D389</f>
        <v/>
      </c>
      <c r="C394" s="166" t="str">
        <f>Form!M389</f>
        <v/>
      </c>
      <c r="D394" s="166" t="str">
        <f>Form!N389</f>
        <v/>
      </c>
      <c r="E394" s="166" t="str">
        <f>Form!J389</f>
        <v/>
      </c>
      <c r="F394" s="166" t="str">
        <f>Form!K389</f>
        <v/>
      </c>
      <c r="G394" s="166"/>
      <c r="H394" s="166" t="str">
        <f>Form!O390</f>
        <v/>
      </c>
    </row>
    <row r="395">
      <c r="A395" s="248" t="str">
        <f>Form!C390</f>
        <v/>
      </c>
      <c r="B395" s="4" t="str">
        <f>Form!D390</f>
        <v/>
      </c>
      <c r="C395" s="166" t="str">
        <f>Form!M390</f>
        <v/>
      </c>
      <c r="D395" s="166" t="str">
        <f>Form!N390</f>
        <v/>
      </c>
      <c r="E395" s="166" t="str">
        <f>Form!J390</f>
        <v/>
      </c>
      <c r="F395" s="166" t="str">
        <f>Form!K390</f>
        <v/>
      </c>
      <c r="G395" s="166"/>
      <c r="H395" s="166" t="str">
        <f>Form!O391</f>
        <v/>
      </c>
    </row>
    <row r="396">
      <c r="A396" s="248" t="str">
        <f>Form!C391</f>
        <v/>
      </c>
      <c r="B396" s="4" t="str">
        <f>Form!D391</f>
        <v/>
      </c>
      <c r="C396" s="166" t="str">
        <f>Form!M391</f>
        <v/>
      </c>
      <c r="D396" s="166" t="str">
        <f>Form!N391</f>
        <v/>
      </c>
      <c r="E396" s="166" t="str">
        <f>Form!J391</f>
        <v/>
      </c>
      <c r="F396" s="166" t="str">
        <f>Form!K391</f>
        <v/>
      </c>
      <c r="G396" s="166"/>
      <c r="H396" s="166" t="str">
        <f>Form!O392</f>
        <v/>
      </c>
    </row>
    <row r="397">
      <c r="A397" s="248" t="str">
        <f>Form!C392</f>
        <v/>
      </c>
      <c r="B397" s="4" t="str">
        <f>Form!D392</f>
        <v/>
      </c>
      <c r="C397" s="166" t="str">
        <f>Form!M392</f>
        <v/>
      </c>
      <c r="D397" s="166" t="str">
        <f>Form!N392</f>
        <v/>
      </c>
      <c r="E397" s="166" t="str">
        <f>Form!J392</f>
        <v/>
      </c>
      <c r="F397" s="166" t="str">
        <f>Form!K392</f>
        <v/>
      </c>
      <c r="G397" s="166"/>
      <c r="H397" s="166" t="str">
        <f>Form!O393</f>
        <v/>
      </c>
    </row>
    <row r="398">
      <c r="A398" s="248" t="str">
        <f>Form!C393</f>
        <v/>
      </c>
      <c r="B398" s="4" t="str">
        <f>Form!D393</f>
        <v/>
      </c>
      <c r="C398" s="166" t="str">
        <f>Form!M393</f>
        <v/>
      </c>
      <c r="D398" s="166" t="str">
        <f>Form!N393</f>
        <v/>
      </c>
      <c r="E398" s="166" t="str">
        <f>Form!J393</f>
        <v/>
      </c>
      <c r="F398" s="166" t="str">
        <f>Form!K393</f>
        <v/>
      </c>
      <c r="G398" s="166"/>
      <c r="H398" s="166" t="str">
        <f>Form!O394</f>
        <v/>
      </c>
    </row>
    <row r="399">
      <c r="A399" s="248" t="str">
        <f>Form!C394</f>
        <v/>
      </c>
      <c r="B399" s="4" t="str">
        <f>Form!D394</f>
        <v/>
      </c>
      <c r="C399" s="166" t="str">
        <f>Form!M394</f>
        <v/>
      </c>
      <c r="D399" s="166" t="str">
        <f>Form!N394</f>
        <v/>
      </c>
      <c r="E399" s="166" t="str">
        <f>Form!J394</f>
        <v/>
      </c>
      <c r="F399" s="166" t="str">
        <f>Form!K394</f>
        <v/>
      </c>
      <c r="G399" s="166"/>
      <c r="H399" s="166" t="str">
        <f>Form!O395</f>
        <v/>
      </c>
    </row>
    <row r="400">
      <c r="A400" s="248" t="str">
        <f>Form!C395</f>
        <v/>
      </c>
      <c r="B400" s="4" t="str">
        <f>Form!D395</f>
        <v/>
      </c>
      <c r="C400" s="166" t="str">
        <f>Form!M395</f>
        <v/>
      </c>
      <c r="D400" s="166" t="str">
        <f>Form!N395</f>
        <v/>
      </c>
      <c r="E400" s="166" t="str">
        <f>Form!J395</f>
        <v/>
      </c>
      <c r="F400" s="166" t="str">
        <f>Form!K395</f>
        <v/>
      </c>
      <c r="G400" s="166"/>
      <c r="H400" s="166" t="str">
        <f>Form!O396</f>
        <v/>
      </c>
    </row>
    <row r="401">
      <c r="A401" s="248" t="str">
        <f>Form!C396</f>
        <v/>
      </c>
      <c r="B401" s="4" t="str">
        <f>Form!D396</f>
        <v/>
      </c>
      <c r="C401" s="166" t="str">
        <f>Form!M396</f>
        <v/>
      </c>
      <c r="D401" s="166" t="str">
        <f>Form!N396</f>
        <v/>
      </c>
      <c r="E401" s="166" t="str">
        <f>Form!J396</f>
        <v/>
      </c>
      <c r="F401" s="166" t="str">
        <f>Form!K396</f>
        <v/>
      </c>
      <c r="G401" s="166"/>
      <c r="H401" s="166" t="str">
        <f>Form!O397</f>
        <v/>
      </c>
    </row>
    <row r="402">
      <c r="A402" s="248" t="str">
        <f>Form!C397</f>
        <v/>
      </c>
      <c r="B402" s="4" t="str">
        <f>Form!D397</f>
        <v/>
      </c>
      <c r="C402" s="166" t="str">
        <f>Form!M397</f>
        <v/>
      </c>
      <c r="D402" s="166" t="str">
        <f>Form!N397</f>
        <v/>
      </c>
      <c r="E402" s="166" t="str">
        <f>Form!J397</f>
        <v/>
      </c>
      <c r="F402" s="166" t="str">
        <f>Form!K397</f>
        <v/>
      </c>
      <c r="G402" s="166"/>
      <c r="H402" s="166" t="str">
        <f>Form!O398</f>
        <v/>
      </c>
    </row>
    <row r="403">
      <c r="A403" s="248" t="str">
        <f>Form!C398</f>
        <v/>
      </c>
      <c r="B403" s="4" t="str">
        <f>Form!D398</f>
        <v/>
      </c>
      <c r="C403" s="166" t="str">
        <f>Form!M398</f>
        <v/>
      </c>
      <c r="D403" s="166" t="str">
        <f>Form!N398</f>
        <v/>
      </c>
      <c r="E403" s="166" t="str">
        <f>Form!J398</f>
        <v/>
      </c>
      <c r="F403" s="166" t="str">
        <f>Form!K398</f>
        <v/>
      </c>
      <c r="G403" s="166"/>
      <c r="H403" s="166" t="str">
        <f>Form!O399</f>
        <v/>
      </c>
    </row>
    <row r="404">
      <c r="A404" s="248" t="str">
        <f>Form!C399</f>
        <v/>
      </c>
      <c r="B404" s="4" t="str">
        <f>Form!D399</f>
        <v/>
      </c>
      <c r="C404" s="166" t="str">
        <f>Form!M399</f>
        <v/>
      </c>
      <c r="D404" s="166" t="str">
        <f>Form!N399</f>
        <v/>
      </c>
      <c r="E404" s="166" t="str">
        <f>Form!J399</f>
        <v/>
      </c>
      <c r="F404" s="166" t="str">
        <f>Form!K399</f>
        <v/>
      </c>
      <c r="G404" s="166"/>
      <c r="H404" s="166" t="str">
        <f>Form!O400</f>
        <v/>
      </c>
    </row>
    <row r="405">
      <c r="A405" s="248" t="str">
        <f>Form!C400</f>
        <v/>
      </c>
      <c r="B405" s="4" t="str">
        <f>Form!D400</f>
        <v/>
      </c>
      <c r="C405" s="166" t="str">
        <f>Form!M400</f>
        <v/>
      </c>
      <c r="D405" s="166" t="str">
        <f>Form!N400</f>
        <v/>
      </c>
      <c r="E405" s="166" t="str">
        <f>Form!J400</f>
        <v/>
      </c>
      <c r="F405" s="166" t="str">
        <f>Form!K400</f>
        <v/>
      </c>
      <c r="G405" s="166"/>
      <c r="H405" s="166" t="str">
        <f>Form!O401</f>
        <v/>
      </c>
    </row>
    <row r="406">
      <c r="A406" s="248" t="str">
        <f>Form!C401</f>
        <v/>
      </c>
      <c r="B406" s="4" t="str">
        <f>Form!D401</f>
        <v/>
      </c>
      <c r="C406" s="166" t="str">
        <f>Form!M401</f>
        <v/>
      </c>
      <c r="D406" s="166" t="str">
        <f>Form!N401</f>
        <v/>
      </c>
      <c r="E406" s="166" t="str">
        <f>Form!J401</f>
        <v/>
      </c>
      <c r="F406" s="166" t="str">
        <f>Form!K401</f>
        <v/>
      </c>
      <c r="G406" s="166"/>
      <c r="H406" s="166" t="str">
        <f>Form!O402</f>
        <v/>
      </c>
    </row>
    <row r="407">
      <c r="A407" s="248" t="str">
        <f>Form!C402</f>
        <v/>
      </c>
      <c r="B407" s="4" t="str">
        <f>Form!D402</f>
        <v/>
      </c>
      <c r="C407" s="166" t="str">
        <f>Form!M402</f>
        <v/>
      </c>
      <c r="D407" s="166" t="str">
        <f>Form!N402</f>
        <v/>
      </c>
      <c r="E407" s="166" t="str">
        <f>Form!J402</f>
        <v/>
      </c>
      <c r="F407" s="166" t="str">
        <f>Form!K402</f>
        <v/>
      </c>
      <c r="G407" s="166"/>
      <c r="H407" s="166" t="str">
        <f>Form!O403</f>
        <v/>
      </c>
    </row>
    <row r="408">
      <c r="A408" s="248" t="str">
        <f>Form!C403</f>
        <v/>
      </c>
      <c r="B408" s="4" t="str">
        <f>Form!D403</f>
        <v/>
      </c>
      <c r="C408" s="166" t="str">
        <f>Form!M403</f>
        <v/>
      </c>
      <c r="D408" s="166" t="str">
        <f>Form!N403</f>
        <v/>
      </c>
      <c r="E408" s="166" t="str">
        <f>Form!J403</f>
        <v/>
      </c>
      <c r="F408" s="166" t="str">
        <f>Form!K403</f>
        <v/>
      </c>
      <c r="G408" s="166"/>
      <c r="H408" s="166" t="str">
        <f>Form!O404</f>
        <v/>
      </c>
    </row>
    <row r="409">
      <c r="A409" s="248" t="str">
        <f>Form!C404</f>
        <v/>
      </c>
      <c r="B409" s="4" t="str">
        <f>Form!D404</f>
        <v/>
      </c>
      <c r="C409" s="166" t="str">
        <f>Form!M404</f>
        <v/>
      </c>
      <c r="D409" s="166" t="str">
        <f>Form!N404</f>
        <v/>
      </c>
      <c r="E409" s="166" t="str">
        <f>Form!J404</f>
        <v/>
      </c>
      <c r="F409" s="166" t="str">
        <f>Form!K404</f>
        <v/>
      </c>
      <c r="G409" s="166"/>
      <c r="H409" s="166" t="str">
        <f>Form!O405</f>
        <v/>
      </c>
    </row>
    <row r="410">
      <c r="A410" s="248" t="str">
        <f>Form!C405</f>
        <v/>
      </c>
      <c r="B410" s="4" t="str">
        <f>Form!D405</f>
        <v/>
      </c>
      <c r="C410" s="166" t="str">
        <f>Form!M405</f>
        <v/>
      </c>
      <c r="D410" s="166" t="str">
        <f>Form!N405</f>
        <v/>
      </c>
      <c r="E410" s="166" t="str">
        <f>Form!J405</f>
        <v/>
      </c>
      <c r="F410" s="166" t="str">
        <f>Form!K405</f>
        <v/>
      </c>
      <c r="G410" s="166"/>
      <c r="H410" s="166" t="str">
        <f>Form!O406</f>
        <v/>
      </c>
    </row>
    <row r="411">
      <c r="A411" s="248" t="str">
        <f>Form!C406</f>
        <v/>
      </c>
      <c r="B411" s="4" t="str">
        <f>Form!D406</f>
        <v/>
      </c>
      <c r="C411" s="166" t="str">
        <f>Form!M406</f>
        <v/>
      </c>
      <c r="D411" s="166" t="str">
        <f>Form!N406</f>
        <v/>
      </c>
      <c r="E411" s="166" t="str">
        <f>Form!J406</f>
        <v/>
      </c>
      <c r="F411" s="166" t="str">
        <f>Form!K406</f>
        <v/>
      </c>
      <c r="G411" s="166"/>
      <c r="H411" s="166" t="str">
        <f>Form!O407</f>
        <v/>
      </c>
    </row>
    <row r="412">
      <c r="A412" s="248" t="str">
        <f>Form!C407</f>
        <v/>
      </c>
      <c r="B412" s="4" t="str">
        <f>Form!D407</f>
        <v/>
      </c>
      <c r="C412" s="166" t="str">
        <f>Form!M407</f>
        <v/>
      </c>
      <c r="D412" s="166" t="str">
        <f>Form!N407</f>
        <v/>
      </c>
      <c r="E412" s="166" t="str">
        <f>Form!J407</f>
        <v/>
      </c>
      <c r="F412" s="166" t="str">
        <f>Form!K407</f>
        <v/>
      </c>
      <c r="G412" s="166"/>
      <c r="H412" s="166" t="str">
        <f>Form!O408</f>
        <v/>
      </c>
    </row>
    <row r="413">
      <c r="A413" s="248" t="str">
        <f>Form!C408</f>
        <v/>
      </c>
      <c r="B413" s="4" t="str">
        <f>Form!D408</f>
        <v/>
      </c>
      <c r="C413" s="166" t="str">
        <f>Form!M408</f>
        <v/>
      </c>
      <c r="D413" s="166" t="str">
        <f>Form!N408</f>
        <v/>
      </c>
      <c r="E413" s="166" t="str">
        <f>Form!J408</f>
        <v/>
      </c>
      <c r="F413" s="166" t="str">
        <f>Form!K408</f>
        <v/>
      </c>
      <c r="G413" s="166"/>
      <c r="H413" s="166" t="str">
        <f>Form!O409</f>
        <v/>
      </c>
    </row>
    <row r="414">
      <c r="A414" s="248" t="str">
        <f>Form!C409</f>
        <v/>
      </c>
      <c r="B414" s="4" t="str">
        <f>Form!D409</f>
        <v/>
      </c>
      <c r="C414" s="166" t="str">
        <f>Form!M409</f>
        <v/>
      </c>
      <c r="D414" s="166" t="str">
        <f>Form!N409</f>
        <v/>
      </c>
      <c r="E414" s="166" t="str">
        <f>Form!J409</f>
        <v/>
      </c>
      <c r="F414" s="166" t="str">
        <f>Form!K409</f>
        <v/>
      </c>
      <c r="G414" s="166"/>
      <c r="H414" s="166" t="str">
        <f>Form!O410</f>
        <v/>
      </c>
    </row>
    <row r="415">
      <c r="A415" s="248" t="str">
        <f>Form!C410</f>
        <v/>
      </c>
      <c r="B415" s="4" t="str">
        <f>Form!D410</f>
        <v/>
      </c>
      <c r="C415" s="166" t="str">
        <f>Form!M410</f>
        <v/>
      </c>
      <c r="D415" s="166" t="str">
        <f>Form!N410</f>
        <v/>
      </c>
      <c r="E415" s="166" t="str">
        <f>Form!J410</f>
        <v/>
      </c>
      <c r="F415" s="166" t="str">
        <f>Form!K410</f>
        <v/>
      </c>
      <c r="G415" s="166"/>
      <c r="H415" s="166" t="str">
        <f>Form!O411</f>
        <v/>
      </c>
    </row>
    <row r="416">
      <c r="A416" s="248" t="str">
        <f>Form!C411</f>
        <v/>
      </c>
      <c r="B416" s="4" t="str">
        <f>Form!D411</f>
        <v/>
      </c>
      <c r="C416" s="166" t="str">
        <f>Form!M411</f>
        <v/>
      </c>
      <c r="D416" s="166" t="str">
        <f>Form!N411</f>
        <v/>
      </c>
      <c r="E416" s="166" t="str">
        <f>Form!J411</f>
        <v/>
      </c>
      <c r="F416" s="166" t="str">
        <f>Form!K411</f>
        <v/>
      </c>
      <c r="G416" s="166"/>
      <c r="H416" s="166" t="str">
        <f>Form!O412</f>
        <v/>
      </c>
    </row>
    <row r="417">
      <c r="A417" s="248" t="str">
        <f>Form!C412</f>
        <v/>
      </c>
      <c r="B417" s="4" t="str">
        <f>Form!D412</f>
        <v/>
      </c>
      <c r="C417" s="166" t="str">
        <f>Form!M412</f>
        <v/>
      </c>
      <c r="D417" s="166" t="str">
        <f>Form!N412</f>
        <v/>
      </c>
      <c r="E417" s="166" t="str">
        <f>Form!J412</f>
        <v/>
      </c>
      <c r="F417" s="166" t="str">
        <f>Form!K412</f>
        <v/>
      </c>
      <c r="G417" s="166"/>
      <c r="H417" s="166" t="str">
        <f>Form!O413</f>
        <v/>
      </c>
    </row>
    <row r="418">
      <c r="A418" s="248" t="str">
        <f>Form!C413</f>
        <v/>
      </c>
      <c r="B418" s="4" t="str">
        <f>Form!D413</f>
        <v/>
      </c>
      <c r="C418" s="166" t="str">
        <f>Form!M413</f>
        <v/>
      </c>
      <c r="D418" s="166" t="str">
        <f>Form!N413</f>
        <v/>
      </c>
      <c r="E418" s="166" t="str">
        <f>Form!J413</f>
        <v/>
      </c>
      <c r="F418" s="166" t="str">
        <f>Form!K413</f>
        <v/>
      </c>
      <c r="G418" s="166"/>
      <c r="H418" s="166" t="str">
        <f>Form!O414</f>
        <v/>
      </c>
    </row>
    <row r="419">
      <c r="A419" s="248" t="str">
        <f>Form!C414</f>
        <v/>
      </c>
      <c r="B419" s="4" t="str">
        <f>Form!D414</f>
        <v/>
      </c>
      <c r="C419" s="166" t="str">
        <f>Form!M414</f>
        <v/>
      </c>
      <c r="D419" s="166" t="str">
        <f>Form!N414</f>
        <v/>
      </c>
      <c r="E419" s="166" t="str">
        <f>Form!J414</f>
        <v/>
      </c>
      <c r="F419" s="166" t="str">
        <f>Form!K414</f>
        <v/>
      </c>
      <c r="G419" s="166"/>
      <c r="H419" s="166" t="str">
        <f>Form!O415</f>
        <v/>
      </c>
    </row>
    <row r="420">
      <c r="A420" s="248" t="str">
        <f>Form!C415</f>
        <v/>
      </c>
      <c r="B420" s="4" t="str">
        <f>Form!D415</f>
        <v/>
      </c>
      <c r="C420" s="166" t="str">
        <f>Form!M415</f>
        <v/>
      </c>
      <c r="D420" s="166" t="str">
        <f>Form!N415</f>
        <v/>
      </c>
      <c r="E420" s="166" t="str">
        <f>Form!J415</f>
        <v/>
      </c>
      <c r="F420" s="166" t="str">
        <f>Form!K415</f>
        <v/>
      </c>
      <c r="G420" s="166"/>
      <c r="H420" s="166" t="str">
        <f>Form!O416</f>
        <v/>
      </c>
    </row>
    <row r="421">
      <c r="A421" s="248" t="str">
        <f>Form!C416</f>
        <v/>
      </c>
      <c r="B421" s="4" t="str">
        <f>Form!D416</f>
        <v/>
      </c>
      <c r="C421" s="166" t="str">
        <f>Form!M416</f>
        <v/>
      </c>
      <c r="D421" s="166" t="str">
        <f>Form!N416</f>
        <v/>
      </c>
      <c r="E421" s="166" t="str">
        <f>Form!J416</f>
        <v/>
      </c>
      <c r="F421" s="166" t="str">
        <f>Form!K416</f>
        <v/>
      </c>
      <c r="G421" s="166"/>
      <c r="H421" s="166" t="str">
        <f>Form!O417</f>
        <v/>
      </c>
    </row>
    <row r="422">
      <c r="A422" s="248" t="str">
        <f>Form!C417</f>
        <v/>
      </c>
      <c r="B422" s="4" t="str">
        <f>Form!D417</f>
        <v/>
      </c>
      <c r="C422" s="166" t="str">
        <f>Form!M417</f>
        <v/>
      </c>
      <c r="D422" s="166" t="str">
        <f>Form!N417</f>
        <v/>
      </c>
      <c r="E422" s="166" t="str">
        <f>Form!J417</f>
        <v/>
      </c>
      <c r="F422" s="166" t="str">
        <f>Form!K417</f>
        <v/>
      </c>
      <c r="G422" s="166"/>
      <c r="H422" s="166" t="str">
        <f>Form!O418</f>
        <v/>
      </c>
    </row>
    <row r="423">
      <c r="A423" s="248" t="str">
        <f>Form!C418</f>
        <v/>
      </c>
      <c r="B423" s="4" t="str">
        <f>Form!D418</f>
        <v/>
      </c>
      <c r="C423" s="166" t="str">
        <f>Form!M418</f>
        <v/>
      </c>
      <c r="D423" s="166" t="str">
        <f>Form!N418</f>
        <v/>
      </c>
      <c r="E423" s="166" t="str">
        <f>Form!J418</f>
        <v/>
      </c>
      <c r="F423" s="166" t="str">
        <f>Form!K418</f>
        <v/>
      </c>
      <c r="G423" s="166"/>
      <c r="H423" s="166" t="str">
        <f>Form!O419</f>
        <v/>
      </c>
    </row>
    <row r="424">
      <c r="A424" s="248" t="str">
        <f>Form!C419</f>
        <v/>
      </c>
      <c r="B424" s="4" t="str">
        <f>Form!D419</f>
        <v/>
      </c>
      <c r="C424" s="166" t="str">
        <f>Form!M419</f>
        <v/>
      </c>
      <c r="D424" s="166" t="str">
        <f>Form!N419</f>
        <v/>
      </c>
      <c r="E424" s="166" t="str">
        <f>Form!J419</f>
        <v/>
      </c>
      <c r="F424" s="166" t="str">
        <f>Form!K419</f>
        <v/>
      </c>
      <c r="G424" s="166"/>
      <c r="H424" s="166" t="str">
        <f>Form!O420</f>
        <v/>
      </c>
    </row>
    <row r="425">
      <c r="A425" s="248" t="str">
        <f>Form!C420</f>
        <v/>
      </c>
      <c r="B425" s="4" t="str">
        <f>Form!D420</f>
        <v/>
      </c>
      <c r="C425" s="166" t="str">
        <f>Form!M420</f>
        <v/>
      </c>
      <c r="D425" s="166" t="str">
        <f>Form!N420</f>
        <v/>
      </c>
      <c r="E425" s="166" t="str">
        <f>Form!J420</f>
        <v/>
      </c>
      <c r="F425" s="166" t="str">
        <f>Form!K420</f>
        <v/>
      </c>
      <c r="G425" s="166"/>
      <c r="H425" s="166" t="str">
        <f>Form!O421</f>
        <v/>
      </c>
    </row>
    <row r="426">
      <c r="A426" s="248" t="str">
        <f>Form!C421</f>
        <v/>
      </c>
      <c r="B426" s="4" t="str">
        <f>Form!D421</f>
        <v/>
      </c>
      <c r="C426" s="166" t="str">
        <f>Form!M421</f>
        <v/>
      </c>
      <c r="D426" s="166" t="str">
        <f>Form!N421</f>
        <v/>
      </c>
      <c r="E426" s="166" t="str">
        <f>Form!J421</f>
        <v/>
      </c>
      <c r="F426" s="166" t="str">
        <f>Form!K421</f>
        <v/>
      </c>
      <c r="G426" s="166"/>
      <c r="H426" s="166" t="str">
        <f>Form!O422</f>
        <v/>
      </c>
    </row>
    <row r="427">
      <c r="A427" s="248" t="str">
        <f>Form!C422</f>
        <v/>
      </c>
      <c r="B427" s="4" t="str">
        <f>Form!D422</f>
        <v/>
      </c>
      <c r="C427" s="166" t="str">
        <f>Form!M422</f>
        <v/>
      </c>
      <c r="D427" s="166" t="str">
        <f>Form!N422</f>
        <v/>
      </c>
      <c r="E427" s="166" t="str">
        <f>Form!J422</f>
        <v/>
      </c>
      <c r="F427" s="166" t="str">
        <f>Form!K422</f>
        <v/>
      </c>
      <c r="G427" s="166"/>
      <c r="H427" s="166" t="str">
        <f>Form!O423</f>
        <v/>
      </c>
    </row>
    <row r="428">
      <c r="A428" s="248" t="str">
        <f>Form!C423</f>
        <v/>
      </c>
      <c r="B428" s="4" t="str">
        <f>Form!D423</f>
        <v/>
      </c>
      <c r="C428" s="166" t="str">
        <f>Form!M423</f>
        <v/>
      </c>
      <c r="D428" s="166" t="str">
        <f>Form!N423</f>
        <v/>
      </c>
      <c r="E428" s="166" t="str">
        <f>Form!J423</f>
        <v/>
      </c>
      <c r="F428" s="166" t="str">
        <f>Form!K423</f>
        <v/>
      </c>
      <c r="G428" s="166"/>
      <c r="H428" s="166" t="str">
        <f>Form!O424</f>
        <v/>
      </c>
    </row>
    <row r="429">
      <c r="A429" s="248" t="str">
        <f>Form!C424</f>
        <v/>
      </c>
      <c r="B429" s="4" t="str">
        <f>Form!D424</f>
        <v/>
      </c>
      <c r="C429" s="166" t="str">
        <f>Form!M424</f>
        <v/>
      </c>
      <c r="D429" s="166" t="str">
        <f>Form!N424</f>
        <v/>
      </c>
      <c r="E429" s="166" t="str">
        <f>Form!J424</f>
        <v/>
      </c>
      <c r="F429" s="166" t="str">
        <f>Form!K424</f>
        <v/>
      </c>
      <c r="G429" s="166"/>
      <c r="H429" s="166" t="str">
        <f>Form!O425</f>
        <v/>
      </c>
    </row>
    <row r="430">
      <c r="A430" s="248" t="str">
        <f>Form!C425</f>
        <v/>
      </c>
      <c r="B430" s="4" t="str">
        <f>Form!D425</f>
        <v/>
      </c>
      <c r="C430" s="166" t="str">
        <f>Form!M425</f>
        <v/>
      </c>
      <c r="D430" s="166" t="str">
        <f>Form!N425</f>
        <v/>
      </c>
      <c r="E430" s="166" t="str">
        <f>Form!J425</f>
        <v/>
      </c>
      <c r="F430" s="166" t="str">
        <f>Form!K425</f>
        <v/>
      </c>
      <c r="G430" s="166"/>
      <c r="H430" s="166" t="str">
        <f>Form!O426</f>
        <v/>
      </c>
    </row>
    <row r="431">
      <c r="A431" s="248" t="str">
        <f>Form!C426</f>
        <v/>
      </c>
      <c r="B431" s="4" t="str">
        <f>Form!D426</f>
        <v/>
      </c>
      <c r="C431" s="166" t="str">
        <f>Form!M426</f>
        <v/>
      </c>
      <c r="D431" s="166" t="str">
        <f>Form!N426</f>
        <v/>
      </c>
      <c r="E431" s="166" t="str">
        <f>Form!J426</f>
        <v/>
      </c>
      <c r="F431" s="166" t="str">
        <f>Form!K426</f>
        <v/>
      </c>
      <c r="G431" s="166"/>
      <c r="H431" s="166" t="str">
        <f>Form!O427</f>
        <v/>
      </c>
    </row>
    <row r="432">
      <c r="A432" s="248" t="str">
        <f>Form!C427</f>
        <v/>
      </c>
      <c r="B432" s="4" t="str">
        <f>Form!D427</f>
        <v/>
      </c>
      <c r="C432" s="166" t="str">
        <f>Form!M427</f>
        <v/>
      </c>
      <c r="D432" s="166" t="str">
        <f>Form!N427</f>
        <v/>
      </c>
      <c r="E432" s="166" t="str">
        <f>Form!J427</f>
        <v/>
      </c>
      <c r="F432" s="166" t="str">
        <f>Form!K427</f>
        <v/>
      </c>
      <c r="G432" s="166"/>
      <c r="H432" s="166" t="str">
        <f>Form!O428</f>
        <v/>
      </c>
    </row>
    <row r="433">
      <c r="A433" s="248" t="str">
        <f>Form!C428</f>
        <v/>
      </c>
      <c r="B433" s="4" t="str">
        <f>Form!D428</f>
        <v/>
      </c>
      <c r="C433" s="166" t="str">
        <f>Form!M428</f>
        <v/>
      </c>
      <c r="D433" s="166" t="str">
        <f>Form!N428</f>
        <v/>
      </c>
      <c r="E433" s="166" t="str">
        <f>Form!J428</f>
        <v/>
      </c>
      <c r="F433" s="166" t="str">
        <f>Form!K428</f>
        <v/>
      </c>
      <c r="G433" s="166"/>
      <c r="H433" s="166" t="str">
        <f>Form!O429</f>
        <v/>
      </c>
    </row>
    <row r="434">
      <c r="A434" s="248" t="str">
        <f>Form!C429</f>
        <v/>
      </c>
      <c r="B434" s="4" t="str">
        <f>Form!D429</f>
        <v/>
      </c>
      <c r="C434" s="166" t="str">
        <f>Form!M429</f>
        <v/>
      </c>
      <c r="D434" s="166" t="str">
        <f>Form!N429</f>
        <v/>
      </c>
      <c r="E434" s="166" t="str">
        <f>Form!J429</f>
        <v/>
      </c>
      <c r="F434" s="166" t="str">
        <f>Form!K429</f>
        <v/>
      </c>
      <c r="G434" s="166"/>
      <c r="H434" s="166" t="str">
        <f>Form!O430</f>
        <v/>
      </c>
    </row>
    <row r="435">
      <c r="A435" s="248" t="str">
        <f>Form!C430</f>
        <v/>
      </c>
      <c r="B435" s="4" t="str">
        <f>Form!D430</f>
        <v/>
      </c>
      <c r="C435" s="166" t="str">
        <f>Form!M430</f>
        <v/>
      </c>
      <c r="D435" s="166" t="str">
        <f>Form!N430</f>
        <v/>
      </c>
      <c r="E435" s="166" t="str">
        <f>Form!J430</f>
        <v/>
      </c>
      <c r="F435" s="166" t="str">
        <f>Form!K430</f>
        <v/>
      </c>
      <c r="G435" s="166"/>
      <c r="H435" s="166" t="str">
        <f>Form!O431</f>
        <v/>
      </c>
    </row>
    <row r="436">
      <c r="A436" s="248" t="str">
        <f>Form!C431</f>
        <v/>
      </c>
      <c r="B436" s="4" t="str">
        <f>Form!D431</f>
        <v/>
      </c>
      <c r="C436" s="166" t="str">
        <f>Form!M431</f>
        <v/>
      </c>
      <c r="D436" s="166" t="str">
        <f>Form!N431</f>
        <v/>
      </c>
      <c r="E436" s="166" t="str">
        <f>Form!J431</f>
        <v/>
      </c>
      <c r="F436" s="166" t="str">
        <f>Form!K431</f>
        <v/>
      </c>
      <c r="G436" s="166"/>
      <c r="H436" s="166" t="str">
        <f>Form!O432</f>
        <v/>
      </c>
    </row>
    <row r="437">
      <c r="A437" s="248" t="str">
        <f>Form!C432</f>
        <v/>
      </c>
      <c r="B437" s="4" t="str">
        <f>Form!D432</f>
        <v/>
      </c>
      <c r="C437" s="166" t="str">
        <f>Form!M432</f>
        <v/>
      </c>
      <c r="D437" s="166" t="str">
        <f>Form!N432</f>
        <v/>
      </c>
      <c r="E437" s="166" t="str">
        <f>Form!J432</f>
        <v/>
      </c>
      <c r="F437" s="166" t="str">
        <f>Form!K432</f>
        <v/>
      </c>
      <c r="G437" s="166"/>
      <c r="H437" s="166" t="str">
        <f>Form!O433</f>
        <v/>
      </c>
    </row>
    <row r="438">
      <c r="A438" s="248" t="str">
        <f>Form!C433</f>
        <v/>
      </c>
      <c r="B438" s="4" t="str">
        <f>Form!D433</f>
        <v/>
      </c>
      <c r="C438" s="166" t="str">
        <f>Form!M433</f>
        <v/>
      </c>
      <c r="D438" s="166" t="str">
        <f>Form!N433</f>
        <v/>
      </c>
      <c r="E438" s="166" t="str">
        <f>Form!J433</f>
        <v/>
      </c>
      <c r="F438" s="166" t="str">
        <f>Form!K433</f>
        <v/>
      </c>
      <c r="G438" s="166"/>
      <c r="H438" s="166" t="str">
        <f>Form!O434</f>
        <v/>
      </c>
    </row>
    <row r="439">
      <c r="A439" s="248" t="str">
        <f>Form!C434</f>
        <v/>
      </c>
      <c r="B439" s="4" t="str">
        <f>Form!D434</f>
        <v/>
      </c>
      <c r="C439" s="166" t="str">
        <f>Form!M434</f>
        <v/>
      </c>
      <c r="D439" s="166" t="str">
        <f>Form!N434</f>
        <v/>
      </c>
      <c r="E439" s="166" t="str">
        <f>Form!J434</f>
        <v/>
      </c>
      <c r="F439" s="166" t="str">
        <f>Form!K434</f>
        <v/>
      </c>
      <c r="G439" s="166"/>
      <c r="H439" s="166" t="str">
        <f>Form!O435</f>
        <v/>
      </c>
    </row>
    <row r="440">
      <c r="A440" s="248" t="str">
        <f>Form!C435</f>
        <v/>
      </c>
      <c r="B440" s="4" t="str">
        <f>Form!D435</f>
        <v/>
      </c>
      <c r="C440" s="166" t="str">
        <f>Form!M435</f>
        <v/>
      </c>
      <c r="D440" s="166" t="str">
        <f>Form!N435</f>
        <v/>
      </c>
      <c r="E440" s="166" t="str">
        <f>Form!J435</f>
        <v/>
      </c>
      <c r="F440" s="166" t="str">
        <f>Form!K435</f>
        <v/>
      </c>
      <c r="G440" s="166"/>
      <c r="H440" s="166" t="str">
        <f>Form!O436</f>
        <v/>
      </c>
    </row>
    <row r="441">
      <c r="A441" s="248" t="str">
        <f>Form!C436</f>
        <v/>
      </c>
      <c r="B441" s="4" t="str">
        <f>Form!D436</f>
        <v/>
      </c>
      <c r="C441" s="166" t="str">
        <f>Form!M436</f>
        <v/>
      </c>
      <c r="D441" s="166" t="str">
        <f>Form!N436</f>
        <v/>
      </c>
      <c r="E441" s="166" t="str">
        <f>Form!J436</f>
        <v/>
      </c>
      <c r="F441" s="166" t="str">
        <f>Form!K436</f>
        <v/>
      </c>
      <c r="G441" s="166"/>
      <c r="H441" s="166" t="str">
        <f>Form!O437</f>
        <v/>
      </c>
    </row>
    <row r="442">
      <c r="A442" s="248" t="str">
        <f>Form!C437</f>
        <v/>
      </c>
      <c r="B442" s="4" t="str">
        <f>Form!D437</f>
        <v/>
      </c>
      <c r="C442" s="166" t="str">
        <f>Form!M437</f>
        <v/>
      </c>
      <c r="D442" s="166" t="str">
        <f>Form!N437</f>
        <v/>
      </c>
      <c r="E442" s="166" t="str">
        <f>Form!J437</f>
        <v/>
      </c>
      <c r="F442" s="166" t="str">
        <f>Form!K437</f>
        <v/>
      </c>
      <c r="G442" s="166"/>
      <c r="H442" s="166" t="str">
        <f>Form!O438</f>
        <v/>
      </c>
    </row>
    <row r="443">
      <c r="A443" s="248" t="str">
        <f>Form!C438</f>
        <v/>
      </c>
      <c r="B443" s="4" t="str">
        <f>Form!D438</f>
        <v/>
      </c>
      <c r="C443" s="166" t="str">
        <f>Form!M438</f>
        <v/>
      </c>
      <c r="D443" s="166" t="str">
        <f>Form!N438</f>
        <v/>
      </c>
      <c r="E443" s="166" t="str">
        <f>Form!J438</f>
        <v/>
      </c>
      <c r="F443" s="166" t="str">
        <f>Form!K438</f>
        <v/>
      </c>
      <c r="G443" s="166"/>
      <c r="H443" s="166" t="str">
        <f>Form!O439</f>
        <v/>
      </c>
    </row>
    <row r="444">
      <c r="A444" s="248" t="str">
        <f>Form!C439</f>
        <v/>
      </c>
      <c r="B444" s="4" t="str">
        <f>Form!D439</f>
        <v/>
      </c>
      <c r="C444" s="166" t="str">
        <f>Form!M439</f>
        <v/>
      </c>
      <c r="D444" s="166" t="str">
        <f>Form!N439</f>
        <v/>
      </c>
      <c r="E444" s="166" t="str">
        <f>Form!J439</f>
        <v/>
      </c>
      <c r="F444" s="166" t="str">
        <f>Form!K439</f>
        <v/>
      </c>
      <c r="G444" s="166"/>
      <c r="H444" s="166" t="str">
        <f>Form!O440</f>
        <v/>
      </c>
    </row>
    <row r="445">
      <c r="A445" s="248" t="str">
        <f>Form!C440</f>
        <v/>
      </c>
      <c r="B445" s="4" t="str">
        <f>Form!D440</f>
        <v/>
      </c>
      <c r="C445" s="166" t="str">
        <f>Form!M440</f>
        <v/>
      </c>
      <c r="D445" s="166" t="str">
        <f>Form!N440</f>
        <v/>
      </c>
      <c r="E445" s="166" t="str">
        <f>Form!J440</f>
        <v/>
      </c>
      <c r="F445" s="166" t="str">
        <f>Form!K440</f>
        <v/>
      </c>
      <c r="G445" s="166"/>
      <c r="H445" s="166" t="str">
        <f>Form!O441</f>
        <v/>
      </c>
    </row>
    <row r="446">
      <c r="A446" s="248" t="str">
        <f>Form!C441</f>
        <v/>
      </c>
      <c r="B446" s="4" t="str">
        <f>Form!D441</f>
        <v/>
      </c>
      <c r="C446" s="166" t="str">
        <f>Form!M441</f>
        <v/>
      </c>
      <c r="D446" s="166" t="str">
        <f>Form!N441</f>
        <v/>
      </c>
      <c r="E446" s="166" t="str">
        <f>Form!J441</f>
        <v/>
      </c>
      <c r="F446" s="166" t="str">
        <f>Form!K441</f>
        <v/>
      </c>
      <c r="G446" s="166"/>
      <c r="H446" s="166" t="str">
        <f>Form!O442</f>
        <v/>
      </c>
    </row>
    <row r="447">
      <c r="A447" s="248" t="str">
        <f>Form!C442</f>
        <v/>
      </c>
      <c r="B447" s="4" t="str">
        <f>Form!D442</f>
        <v/>
      </c>
      <c r="C447" s="166" t="str">
        <f>Form!M442</f>
        <v/>
      </c>
      <c r="D447" s="166" t="str">
        <f>Form!N442</f>
        <v/>
      </c>
      <c r="E447" s="166" t="str">
        <f>Form!J442</f>
        <v/>
      </c>
      <c r="F447" s="166" t="str">
        <f>Form!K442</f>
        <v/>
      </c>
      <c r="G447" s="166"/>
      <c r="H447" s="166" t="str">
        <f>Form!O443</f>
        <v/>
      </c>
    </row>
    <row r="448">
      <c r="A448" s="248" t="str">
        <f>Form!C443</f>
        <v/>
      </c>
      <c r="B448" s="4" t="str">
        <f>Form!D443</f>
        <v/>
      </c>
      <c r="C448" s="166" t="str">
        <f>Form!M443</f>
        <v/>
      </c>
      <c r="D448" s="166" t="str">
        <f>Form!N443</f>
        <v/>
      </c>
      <c r="E448" s="166" t="str">
        <f>Form!J443</f>
        <v/>
      </c>
      <c r="F448" s="166" t="str">
        <f>Form!K443</f>
        <v/>
      </c>
      <c r="G448" s="166"/>
      <c r="H448" s="166" t="str">
        <f>Form!O444</f>
        <v/>
      </c>
    </row>
    <row r="449">
      <c r="A449" s="248" t="str">
        <f>Form!C444</f>
        <v/>
      </c>
      <c r="B449" s="4" t="str">
        <f>Form!D444</f>
        <v/>
      </c>
      <c r="C449" s="166" t="str">
        <f>Form!M444</f>
        <v/>
      </c>
      <c r="D449" s="166" t="str">
        <f>Form!N444</f>
        <v/>
      </c>
      <c r="E449" s="166" t="str">
        <f>Form!J444</f>
        <v/>
      </c>
      <c r="F449" s="166" t="str">
        <f>Form!K444</f>
        <v/>
      </c>
      <c r="G449" s="166"/>
      <c r="H449" s="166" t="str">
        <f>Form!O445</f>
        <v/>
      </c>
    </row>
    <row r="450">
      <c r="A450" s="248" t="str">
        <f>Form!C445</f>
        <v/>
      </c>
      <c r="B450" s="4" t="str">
        <f>Form!D445</f>
        <v/>
      </c>
      <c r="C450" s="166" t="str">
        <f>Form!M445</f>
        <v/>
      </c>
      <c r="D450" s="166" t="str">
        <f>Form!N445</f>
        <v/>
      </c>
      <c r="E450" s="166" t="str">
        <f>Form!J445</f>
        <v/>
      </c>
      <c r="F450" s="166" t="str">
        <f>Form!K445</f>
        <v/>
      </c>
      <c r="G450" s="166"/>
      <c r="H450" s="166" t="str">
        <f>Form!O446</f>
        <v/>
      </c>
    </row>
    <row r="451">
      <c r="A451" s="248" t="str">
        <f>Form!C446</f>
        <v/>
      </c>
      <c r="B451" s="4" t="str">
        <f>Form!D446</f>
        <v/>
      </c>
      <c r="C451" s="166" t="str">
        <f>Form!M446</f>
        <v/>
      </c>
      <c r="D451" s="166" t="str">
        <f>Form!N446</f>
        <v/>
      </c>
      <c r="E451" s="166" t="str">
        <f>Form!J446</f>
        <v/>
      </c>
      <c r="F451" s="166" t="str">
        <f>Form!K446</f>
        <v/>
      </c>
      <c r="G451" s="166"/>
      <c r="H451" s="166" t="str">
        <f>Form!O447</f>
        <v/>
      </c>
    </row>
    <row r="452">
      <c r="A452" s="248" t="str">
        <f>Form!C447</f>
        <v/>
      </c>
      <c r="B452" s="4" t="str">
        <f>Form!D447</f>
        <v/>
      </c>
      <c r="C452" s="166" t="str">
        <f>Form!M447</f>
        <v/>
      </c>
      <c r="D452" s="166" t="str">
        <f>Form!N447</f>
        <v/>
      </c>
      <c r="E452" s="166" t="str">
        <f>Form!J447</f>
        <v/>
      </c>
      <c r="F452" s="166" t="str">
        <f>Form!K447</f>
        <v/>
      </c>
      <c r="G452" s="166"/>
      <c r="H452" s="166" t="str">
        <f>Form!O448</f>
        <v/>
      </c>
    </row>
    <row r="453">
      <c r="A453" s="248" t="str">
        <f>Form!C448</f>
        <v/>
      </c>
      <c r="B453" s="4" t="str">
        <f>Form!D448</f>
        <v/>
      </c>
      <c r="C453" s="166" t="str">
        <f>Form!M448</f>
        <v/>
      </c>
      <c r="D453" s="166" t="str">
        <f>Form!N448</f>
        <v/>
      </c>
      <c r="E453" s="166" t="str">
        <f>Form!J448</f>
        <v/>
      </c>
      <c r="F453" s="166" t="str">
        <f>Form!K448</f>
        <v/>
      </c>
      <c r="G453" s="166"/>
      <c r="H453" s="166" t="str">
        <f>Form!O449</f>
        <v/>
      </c>
    </row>
    <row r="454">
      <c r="A454" s="248" t="str">
        <f>Form!C449</f>
        <v/>
      </c>
      <c r="B454" s="4" t="str">
        <f>Form!D449</f>
        <v/>
      </c>
      <c r="C454" s="166" t="str">
        <f>Form!M449</f>
        <v/>
      </c>
      <c r="D454" s="166" t="str">
        <f>Form!N449</f>
        <v/>
      </c>
      <c r="E454" s="166" t="str">
        <f>Form!J449</f>
        <v/>
      </c>
      <c r="F454" s="166" t="str">
        <f>Form!K449</f>
        <v/>
      </c>
      <c r="G454" s="166"/>
      <c r="H454" s="166" t="str">
        <f>Form!O450</f>
        <v/>
      </c>
    </row>
    <row r="455">
      <c r="A455" s="248" t="str">
        <f>Form!C450</f>
        <v/>
      </c>
      <c r="B455" s="4" t="str">
        <f>Form!D450</f>
        <v/>
      </c>
      <c r="C455" s="166" t="str">
        <f>Form!M450</f>
        <v/>
      </c>
      <c r="D455" s="166" t="str">
        <f>Form!N450</f>
        <v/>
      </c>
      <c r="E455" s="166" t="str">
        <f>Form!J450</f>
        <v/>
      </c>
      <c r="F455" s="166" t="str">
        <f>Form!K450</f>
        <v/>
      </c>
      <c r="G455" s="166"/>
      <c r="H455" s="166" t="str">
        <f>Form!O451</f>
        <v/>
      </c>
    </row>
    <row r="456">
      <c r="A456" s="248" t="str">
        <f>Form!C451</f>
        <v/>
      </c>
      <c r="B456" s="4" t="str">
        <f>Form!D451</f>
        <v/>
      </c>
      <c r="C456" s="166" t="str">
        <f>Form!M451</f>
        <v/>
      </c>
      <c r="D456" s="166" t="str">
        <f>Form!N451</f>
        <v/>
      </c>
      <c r="E456" s="166" t="str">
        <f>Form!J451</f>
        <v/>
      </c>
      <c r="F456" s="166" t="str">
        <f>Form!K451</f>
        <v/>
      </c>
      <c r="G456" s="166"/>
      <c r="H456" s="166" t="str">
        <f>Form!O452</f>
        <v/>
      </c>
    </row>
    <row r="457">
      <c r="A457" s="248" t="str">
        <f>Form!C452</f>
        <v/>
      </c>
      <c r="B457" s="4" t="str">
        <f>Form!D452</f>
        <v/>
      </c>
      <c r="C457" s="166" t="str">
        <f>Form!M452</f>
        <v/>
      </c>
      <c r="D457" s="166" t="str">
        <f>Form!N452</f>
        <v/>
      </c>
      <c r="E457" s="166" t="str">
        <f>Form!J452</f>
        <v/>
      </c>
      <c r="F457" s="166" t="str">
        <f>Form!K452</f>
        <v/>
      </c>
      <c r="G457" s="166"/>
      <c r="H457" s="166" t="str">
        <f>Form!O453</f>
        <v/>
      </c>
    </row>
    <row r="458">
      <c r="A458" s="248" t="str">
        <f>Form!C453</f>
        <v/>
      </c>
      <c r="B458" s="4" t="str">
        <f>Form!D453</f>
        <v/>
      </c>
      <c r="C458" s="166" t="str">
        <f>Form!M453</f>
        <v/>
      </c>
      <c r="D458" s="166" t="str">
        <f>Form!N453</f>
        <v/>
      </c>
      <c r="E458" s="166" t="str">
        <f>Form!J453</f>
        <v/>
      </c>
      <c r="F458" s="166" t="str">
        <f>Form!K453</f>
        <v/>
      </c>
      <c r="G458" s="166"/>
      <c r="H458" s="166" t="str">
        <f>Form!O454</f>
        <v/>
      </c>
    </row>
    <row r="459">
      <c r="A459" s="248" t="str">
        <f>Form!C454</f>
        <v/>
      </c>
      <c r="B459" s="4" t="str">
        <f>Form!D454</f>
        <v/>
      </c>
      <c r="C459" s="166" t="str">
        <f>Form!M454</f>
        <v/>
      </c>
      <c r="D459" s="166" t="str">
        <f>Form!N454</f>
        <v/>
      </c>
      <c r="E459" s="166" t="str">
        <f>Form!J454</f>
        <v/>
      </c>
      <c r="F459" s="166" t="str">
        <f>Form!K454</f>
        <v/>
      </c>
      <c r="G459" s="166"/>
      <c r="H459" s="166" t="str">
        <f>Form!O455</f>
        <v/>
      </c>
    </row>
    <row r="460">
      <c r="A460" s="248" t="str">
        <f>Form!C455</f>
        <v/>
      </c>
      <c r="B460" s="4" t="str">
        <f>Form!D455</f>
        <v/>
      </c>
      <c r="C460" s="166" t="str">
        <f>Form!M455</f>
        <v/>
      </c>
      <c r="D460" s="166" t="str">
        <f>Form!N455</f>
        <v/>
      </c>
      <c r="E460" s="166" t="str">
        <f>Form!J455</f>
        <v/>
      </c>
      <c r="F460" s="166" t="str">
        <f>Form!K455</f>
        <v/>
      </c>
      <c r="G460" s="166"/>
      <c r="H460" s="166" t="str">
        <f>Form!O456</f>
        <v/>
      </c>
    </row>
    <row r="461">
      <c r="A461" s="248" t="str">
        <f>Form!C456</f>
        <v/>
      </c>
      <c r="B461" s="4" t="str">
        <f>Form!D456</f>
        <v/>
      </c>
      <c r="C461" s="166" t="str">
        <f>Form!M456</f>
        <v/>
      </c>
      <c r="D461" s="166" t="str">
        <f>Form!N456</f>
        <v/>
      </c>
      <c r="E461" s="166" t="str">
        <f>Form!J456</f>
        <v/>
      </c>
      <c r="F461" s="166" t="str">
        <f>Form!K456</f>
        <v/>
      </c>
      <c r="G461" s="166"/>
      <c r="H461" s="166" t="str">
        <f>Form!O457</f>
        <v/>
      </c>
    </row>
    <row r="462">
      <c r="A462" s="248" t="str">
        <f>Form!C457</f>
        <v/>
      </c>
      <c r="B462" s="4" t="str">
        <f>Form!D457</f>
        <v/>
      </c>
      <c r="C462" s="166" t="str">
        <f>Form!M457</f>
        <v/>
      </c>
      <c r="D462" s="166" t="str">
        <f>Form!N457</f>
        <v/>
      </c>
      <c r="E462" s="166" t="str">
        <f>Form!J457</f>
        <v/>
      </c>
      <c r="F462" s="166" t="str">
        <f>Form!K457</f>
        <v/>
      </c>
      <c r="G462" s="166"/>
      <c r="H462" s="166" t="str">
        <f>Form!O458</f>
        <v/>
      </c>
    </row>
    <row r="463">
      <c r="A463" s="248" t="str">
        <f>Form!C458</f>
        <v/>
      </c>
      <c r="B463" s="4" t="str">
        <f>Form!D458</f>
        <v/>
      </c>
      <c r="C463" s="166" t="str">
        <f>Form!M458</f>
        <v/>
      </c>
      <c r="D463" s="166" t="str">
        <f>Form!N458</f>
        <v/>
      </c>
      <c r="E463" s="166" t="str">
        <f>Form!J458</f>
        <v/>
      </c>
      <c r="F463" s="166" t="str">
        <f>Form!K458</f>
        <v/>
      </c>
      <c r="G463" s="166"/>
      <c r="H463" s="166" t="str">
        <f>Form!O459</f>
        <v/>
      </c>
    </row>
    <row r="464">
      <c r="A464" s="248" t="str">
        <f>Form!C459</f>
        <v/>
      </c>
      <c r="B464" s="4" t="str">
        <f>Form!D459</f>
        <v/>
      </c>
      <c r="C464" s="166" t="str">
        <f>Form!M459</f>
        <v/>
      </c>
      <c r="D464" s="166" t="str">
        <f>Form!N459</f>
        <v/>
      </c>
      <c r="E464" s="166" t="str">
        <f>Form!J459</f>
        <v/>
      </c>
      <c r="F464" s="166" t="str">
        <f>Form!K459</f>
        <v/>
      </c>
      <c r="G464" s="166"/>
      <c r="H464" s="166" t="str">
        <f>Form!O460</f>
        <v/>
      </c>
    </row>
    <row r="465">
      <c r="A465" s="248" t="str">
        <f>Form!C460</f>
        <v/>
      </c>
      <c r="B465" s="4" t="str">
        <f>Form!D460</f>
        <v/>
      </c>
      <c r="C465" s="166" t="str">
        <f>Form!M460</f>
        <v/>
      </c>
      <c r="D465" s="166" t="str">
        <f>Form!N460</f>
        <v/>
      </c>
      <c r="E465" s="166" t="str">
        <f>Form!J460</f>
        <v/>
      </c>
      <c r="F465" s="166" t="str">
        <f>Form!K460</f>
        <v/>
      </c>
      <c r="G465" s="166"/>
      <c r="H465" s="166" t="str">
        <f>Form!O461</f>
        <v/>
      </c>
    </row>
    <row r="466">
      <c r="A466" s="248" t="str">
        <f>Form!C461</f>
        <v/>
      </c>
      <c r="B466" s="4" t="str">
        <f>Form!D461</f>
        <v/>
      </c>
      <c r="C466" s="166" t="str">
        <f>Form!M461</f>
        <v/>
      </c>
      <c r="D466" s="166" t="str">
        <f>Form!N461</f>
        <v/>
      </c>
      <c r="E466" s="166" t="str">
        <f>Form!J461</f>
        <v/>
      </c>
      <c r="F466" s="166" t="str">
        <f>Form!K461</f>
        <v/>
      </c>
      <c r="G466" s="166"/>
      <c r="H466" s="166" t="str">
        <f>Form!O462</f>
        <v/>
      </c>
    </row>
    <row r="467">
      <c r="A467" s="248" t="str">
        <f>Form!C462</f>
        <v/>
      </c>
      <c r="B467" s="4" t="str">
        <f>Form!D462</f>
        <v/>
      </c>
      <c r="C467" s="166" t="str">
        <f>Form!M462</f>
        <v/>
      </c>
      <c r="D467" s="166" t="str">
        <f>Form!N462</f>
        <v/>
      </c>
      <c r="E467" s="166" t="str">
        <f>Form!J462</f>
        <v/>
      </c>
      <c r="F467" s="166" t="str">
        <f>Form!K462</f>
        <v/>
      </c>
      <c r="G467" s="166"/>
      <c r="H467" s="166" t="str">
        <f>Form!O463</f>
        <v/>
      </c>
    </row>
    <row r="468">
      <c r="A468" s="248" t="str">
        <f>Form!C463</f>
        <v/>
      </c>
      <c r="B468" s="4" t="str">
        <f>Form!D463</f>
        <v/>
      </c>
      <c r="C468" s="166" t="str">
        <f>Form!M463</f>
        <v/>
      </c>
      <c r="D468" s="166" t="str">
        <f>Form!N463</f>
        <v/>
      </c>
      <c r="E468" s="166" t="str">
        <f>Form!J463</f>
        <v/>
      </c>
      <c r="F468" s="166" t="str">
        <f>Form!K463</f>
        <v/>
      </c>
      <c r="G468" s="166"/>
      <c r="H468" s="166" t="str">
        <f>Form!O464</f>
        <v/>
      </c>
    </row>
    <row r="469">
      <c r="A469" s="248" t="str">
        <f>Form!C464</f>
        <v/>
      </c>
      <c r="B469" s="4" t="str">
        <f>Form!D464</f>
        <v/>
      </c>
      <c r="C469" s="166" t="str">
        <f>Form!M464</f>
        <v/>
      </c>
      <c r="D469" s="166" t="str">
        <f>Form!N464</f>
        <v/>
      </c>
      <c r="E469" s="166" t="str">
        <f>Form!J464</f>
        <v/>
      </c>
      <c r="F469" s="166" t="str">
        <f>Form!K464</f>
        <v/>
      </c>
      <c r="G469" s="166"/>
      <c r="H469" s="166" t="str">
        <f>Form!O465</f>
        <v/>
      </c>
    </row>
    <row r="470">
      <c r="A470" s="248" t="str">
        <f>Form!C465</f>
        <v/>
      </c>
      <c r="B470" s="4" t="str">
        <f>Form!D465</f>
        <v/>
      </c>
      <c r="C470" s="166" t="str">
        <f>Form!M465</f>
        <v/>
      </c>
      <c r="D470" s="166" t="str">
        <f>Form!N465</f>
        <v/>
      </c>
      <c r="E470" s="166" t="str">
        <f>Form!J465</f>
        <v/>
      </c>
      <c r="F470" s="166" t="str">
        <f>Form!K465</f>
        <v/>
      </c>
      <c r="G470" s="166"/>
      <c r="H470" s="166" t="str">
        <f>Form!O466</f>
        <v/>
      </c>
    </row>
    <row r="471">
      <c r="A471" s="248" t="str">
        <f>Form!C466</f>
        <v/>
      </c>
      <c r="B471" s="4" t="str">
        <f>Form!D466</f>
        <v/>
      </c>
      <c r="C471" s="166" t="str">
        <f>Form!M466</f>
        <v/>
      </c>
      <c r="D471" s="166" t="str">
        <f>Form!N466</f>
        <v/>
      </c>
      <c r="E471" s="166" t="str">
        <f>Form!J466</f>
        <v/>
      </c>
      <c r="F471" s="166" t="str">
        <f>Form!K466</f>
        <v/>
      </c>
      <c r="G471" s="166"/>
      <c r="H471" s="166" t="str">
        <f>Form!O467</f>
        <v/>
      </c>
    </row>
    <row r="472">
      <c r="A472" s="248" t="str">
        <f>Form!C467</f>
        <v/>
      </c>
      <c r="B472" s="4" t="str">
        <f>Form!D467</f>
        <v/>
      </c>
      <c r="C472" s="166" t="str">
        <f>Form!M467</f>
        <v/>
      </c>
      <c r="D472" s="166" t="str">
        <f>Form!N467</f>
        <v/>
      </c>
      <c r="E472" s="166" t="str">
        <f>Form!J467</f>
        <v/>
      </c>
      <c r="F472" s="166" t="str">
        <f>Form!K467</f>
        <v/>
      </c>
      <c r="G472" s="166"/>
      <c r="H472" s="166" t="str">
        <f>Form!O468</f>
        <v/>
      </c>
    </row>
    <row r="473">
      <c r="A473" s="248" t="str">
        <f>Form!C468</f>
        <v/>
      </c>
      <c r="B473" s="4" t="str">
        <f>Form!D468</f>
        <v/>
      </c>
      <c r="C473" s="166" t="str">
        <f>Form!M468</f>
        <v/>
      </c>
      <c r="D473" s="166" t="str">
        <f>Form!N468</f>
        <v/>
      </c>
      <c r="E473" s="166" t="str">
        <f>Form!J468</f>
        <v/>
      </c>
      <c r="F473" s="166" t="str">
        <f>Form!K468</f>
        <v/>
      </c>
      <c r="G473" s="166"/>
      <c r="H473" s="166" t="str">
        <f>Form!O469</f>
        <v/>
      </c>
    </row>
    <row r="474">
      <c r="A474" s="248" t="str">
        <f>Form!C469</f>
        <v/>
      </c>
      <c r="B474" s="4" t="str">
        <f>Form!D469</f>
        <v/>
      </c>
      <c r="C474" s="166" t="str">
        <f>Form!M469</f>
        <v/>
      </c>
      <c r="D474" s="166" t="str">
        <f>Form!N469</f>
        <v/>
      </c>
      <c r="E474" s="166" t="str">
        <f>Form!J469</f>
        <v/>
      </c>
      <c r="F474" s="166" t="str">
        <f>Form!K469</f>
        <v/>
      </c>
      <c r="G474" s="166"/>
      <c r="H474" s="166" t="str">
        <f>Form!O470</f>
        <v/>
      </c>
    </row>
    <row r="475">
      <c r="A475" s="248" t="str">
        <f>Form!C470</f>
        <v/>
      </c>
      <c r="B475" s="4" t="str">
        <f>Form!D470</f>
        <v/>
      </c>
      <c r="C475" s="166" t="str">
        <f>Form!M470</f>
        <v/>
      </c>
      <c r="D475" s="166" t="str">
        <f>Form!N470</f>
        <v/>
      </c>
      <c r="E475" s="166" t="str">
        <f>Form!J470</f>
        <v/>
      </c>
      <c r="F475" s="166" t="str">
        <f>Form!K470</f>
        <v/>
      </c>
      <c r="G475" s="166"/>
      <c r="H475" s="166" t="str">
        <f>Form!O471</f>
        <v/>
      </c>
    </row>
    <row r="476">
      <c r="A476" s="248" t="str">
        <f>Form!C471</f>
        <v/>
      </c>
      <c r="B476" s="4" t="str">
        <f>Form!D471</f>
        <v/>
      </c>
      <c r="C476" s="166" t="str">
        <f>Form!M471</f>
        <v/>
      </c>
      <c r="D476" s="166" t="str">
        <f>Form!N471</f>
        <v/>
      </c>
      <c r="E476" s="166" t="str">
        <f>Form!J471</f>
        <v/>
      </c>
      <c r="F476" s="166" t="str">
        <f>Form!K471</f>
        <v/>
      </c>
      <c r="G476" s="166"/>
      <c r="H476" s="166" t="str">
        <f>Form!O472</f>
        <v/>
      </c>
    </row>
    <row r="477">
      <c r="A477" s="248" t="str">
        <f>Form!C472</f>
        <v/>
      </c>
      <c r="B477" s="4" t="str">
        <f>Form!D472</f>
        <v/>
      </c>
      <c r="C477" s="166" t="str">
        <f>Form!M472</f>
        <v/>
      </c>
      <c r="D477" s="166" t="str">
        <f>Form!N472</f>
        <v/>
      </c>
      <c r="E477" s="166" t="str">
        <f>Form!J472</f>
        <v/>
      </c>
      <c r="F477" s="166" t="str">
        <f>Form!K472</f>
        <v/>
      </c>
      <c r="G477" s="166"/>
      <c r="H477" s="166" t="str">
        <f>Form!O473</f>
        <v/>
      </c>
    </row>
    <row r="478">
      <c r="A478" s="248" t="str">
        <f>Form!C473</f>
        <v/>
      </c>
      <c r="B478" s="4" t="str">
        <f>Form!D473</f>
        <v/>
      </c>
      <c r="C478" s="166" t="str">
        <f>Form!M473</f>
        <v/>
      </c>
      <c r="D478" s="166" t="str">
        <f>Form!N473</f>
        <v/>
      </c>
      <c r="E478" s="166" t="str">
        <f>Form!J473</f>
        <v/>
      </c>
      <c r="F478" s="166" t="str">
        <f>Form!K473</f>
        <v/>
      </c>
      <c r="G478" s="166"/>
      <c r="H478" s="166" t="str">
        <f>Form!O474</f>
        <v/>
      </c>
    </row>
    <row r="479">
      <c r="A479" s="248" t="str">
        <f>Form!C474</f>
        <v/>
      </c>
      <c r="B479" s="4" t="str">
        <f>Form!D474</f>
        <v/>
      </c>
      <c r="C479" s="166" t="str">
        <f>Form!M474</f>
        <v/>
      </c>
      <c r="D479" s="166" t="str">
        <f>Form!N474</f>
        <v/>
      </c>
      <c r="E479" s="166" t="str">
        <f>Form!J474</f>
        <v/>
      </c>
      <c r="F479" s="166" t="str">
        <f>Form!K474</f>
        <v/>
      </c>
      <c r="G479" s="166"/>
      <c r="H479" s="166" t="str">
        <f>Form!O475</f>
        <v/>
      </c>
    </row>
    <row r="480">
      <c r="A480" s="248" t="str">
        <f>Form!C475</f>
        <v/>
      </c>
      <c r="B480" s="4" t="str">
        <f>Form!D475</f>
        <v/>
      </c>
      <c r="C480" s="166" t="str">
        <f>Form!M475</f>
        <v/>
      </c>
      <c r="D480" s="166" t="str">
        <f>Form!N475</f>
        <v/>
      </c>
      <c r="E480" s="166" t="str">
        <f>Form!J475</f>
        <v/>
      </c>
      <c r="F480" s="166" t="str">
        <f>Form!K475</f>
        <v/>
      </c>
      <c r="G480" s="166"/>
      <c r="H480" s="166" t="str">
        <f>Form!O476</f>
        <v/>
      </c>
    </row>
    <row r="481">
      <c r="A481" s="248" t="str">
        <f>Form!C476</f>
        <v/>
      </c>
      <c r="B481" s="4" t="str">
        <f>Form!D476</f>
        <v/>
      </c>
      <c r="C481" s="166" t="str">
        <f>Form!M476</f>
        <v/>
      </c>
      <c r="D481" s="166" t="str">
        <f>Form!N476</f>
        <v/>
      </c>
      <c r="E481" s="166" t="str">
        <f>Form!J476</f>
        <v/>
      </c>
      <c r="F481" s="166" t="str">
        <f>Form!K476</f>
        <v/>
      </c>
      <c r="G481" s="166"/>
      <c r="H481" s="166" t="str">
        <f>Form!O477</f>
        <v/>
      </c>
    </row>
    <row r="482">
      <c r="A482" s="248" t="str">
        <f>Form!C477</f>
        <v/>
      </c>
      <c r="B482" s="4" t="str">
        <f>Form!D477</f>
        <v/>
      </c>
      <c r="C482" s="166" t="str">
        <f>Form!M477</f>
        <v/>
      </c>
      <c r="D482" s="166" t="str">
        <f>Form!N477</f>
        <v/>
      </c>
      <c r="E482" s="166" t="str">
        <f>Form!J477</f>
        <v/>
      </c>
      <c r="F482" s="166" t="str">
        <f>Form!K477</f>
        <v/>
      </c>
      <c r="G482" s="166"/>
      <c r="H482" s="166" t="str">
        <f>Form!O478</f>
        <v/>
      </c>
    </row>
    <row r="483">
      <c r="A483" s="248" t="str">
        <f>Form!C478</f>
        <v/>
      </c>
      <c r="B483" s="4" t="str">
        <f>Form!D478</f>
        <v/>
      </c>
      <c r="C483" s="166" t="str">
        <f>Form!M478</f>
        <v/>
      </c>
      <c r="D483" s="166" t="str">
        <f>Form!N478</f>
        <v/>
      </c>
      <c r="E483" s="166" t="str">
        <f>Form!J478</f>
        <v/>
      </c>
      <c r="F483" s="166" t="str">
        <f>Form!K478</f>
        <v/>
      </c>
      <c r="G483" s="166"/>
      <c r="H483" s="166" t="str">
        <f>Form!O479</f>
        <v/>
      </c>
    </row>
    <row r="484">
      <c r="A484" s="248" t="str">
        <f>Form!C479</f>
        <v/>
      </c>
      <c r="B484" s="4" t="str">
        <f>Form!D479</f>
        <v/>
      </c>
      <c r="C484" s="166" t="str">
        <f>Form!M479</f>
        <v/>
      </c>
      <c r="D484" s="166" t="str">
        <f>Form!N479</f>
        <v/>
      </c>
      <c r="E484" s="166" t="str">
        <f>Form!J479</f>
        <v/>
      </c>
      <c r="F484" s="166" t="str">
        <f>Form!K479</f>
        <v/>
      </c>
      <c r="G484" s="166"/>
      <c r="H484" s="166" t="str">
        <f>Form!O480</f>
        <v/>
      </c>
    </row>
    <row r="485">
      <c r="A485" s="248" t="str">
        <f>Form!C480</f>
        <v/>
      </c>
      <c r="B485" s="4" t="str">
        <f>Form!D480</f>
        <v/>
      </c>
      <c r="C485" s="166" t="str">
        <f>Form!M480</f>
        <v/>
      </c>
      <c r="D485" s="166" t="str">
        <f>Form!N480</f>
        <v/>
      </c>
      <c r="E485" s="166" t="str">
        <f>Form!J480</f>
        <v/>
      </c>
      <c r="F485" s="166" t="str">
        <f>Form!K480</f>
        <v/>
      </c>
      <c r="G485" s="166"/>
      <c r="H485" s="166" t="str">
        <f>Form!O481</f>
        <v/>
      </c>
    </row>
    <row r="486">
      <c r="A486" s="248" t="str">
        <f>Form!C481</f>
        <v/>
      </c>
      <c r="B486" s="4" t="str">
        <f>Form!D481</f>
        <v/>
      </c>
      <c r="C486" s="166" t="str">
        <f>Form!M481</f>
        <v/>
      </c>
      <c r="D486" s="166" t="str">
        <f>Form!N481</f>
        <v/>
      </c>
      <c r="E486" s="166" t="str">
        <f>Form!J481</f>
        <v/>
      </c>
      <c r="F486" s="166" t="str">
        <f>Form!K481</f>
        <v/>
      </c>
      <c r="G486" s="166"/>
      <c r="H486" s="166" t="str">
        <f>Form!O482</f>
        <v/>
      </c>
    </row>
    <row r="487">
      <c r="A487" s="248" t="str">
        <f>Form!C482</f>
        <v/>
      </c>
      <c r="B487" s="4" t="str">
        <f>Form!D482</f>
        <v/>
      </c>
      <c r="C487" s="166" t="str">
        <f>Form!M482</f>
        <v/>
      </c>
      <c r="D487" s="166" t="str">
        <f>Form!N482</f>
        <v/>
      </c>
      <c r="E487" s="166" t="str">
        <f>Form!J482</f>
        <v/>
      </c>
      <c r="F487" s="166" t="str">
        <f>Form!K482</f>
        <v/>
      </c>
      <c r="G487" s="166"/>
      <c r="H487" s="166" t="str">
        <f>Form!O483</f>
        <v/>
      </c>
    </row>
    <row r="488">
      <c r="A488" s="248" t="str">
        <f>Form!C483</f>
        <v/>
      </c>
      <c r="B488" s="4" t="str">
        <f>Form!D483</f>
        <v/>
      </c>
      <c r="C488" s="166" t="str">
        <f>Form!M483</f>
        <v/>
      </c>
      <c r="D488" s="166" t="str">
        <f>Form!N483</f>
        <v/>
      </c>
      <c r="E488" s="166" t="str">
        <f>Form!J483</f>
        <v/>
      </c>
      <c r="F488" s="166" t="str">
        <f>Form!K483</f>
        <v/>
      </c>
      <c r="G488" s="166"/>
      <c r="H488" s="166" t="str">
        <f>Form!O484</f>
        <v/>
      </c>
    </row>
    <row r="489">
      <c r="A489" s="248" t="str">
        <f>Form!C484</f>
        <v/>
      </c>
      <c r="B489" s="4" t="str">
        <f>Form!D484</f>
        <v/>
      </c>
      <c r="C489" s="166" t="str">
        <f>Form!M484</f>
        <v/>
      </c>
      <c r="D489" s="166" t="str">
        <f>Form!N484</f>
        <v/>
      </c>
      <c r="E489" s="166" t="str">
        <f>Form!J484</f>
        <v/>
      </c>
      <c r="F489" s="166" t="str">
        <f>Form!K484</f>
        <v/>
      </c>
      <c r="G489" s="166"/>
      <c r="H489" s="166" t="str">
        <f>Form!O485</f>
        <v/>
      </c>
    </row>
    <row r="490">
      <c r="A490" s="248" t="str">
        <f>Form!C485</f>
        <v/>
      </c>
      <c r="B490" s="4" t="str">
        <f>Form!D485</f>
        <v/>
      </c>
      <c r="C490" s="166" t="str">
        <f>Form!M485</f>
        <v/>
      </c>
      <c r="D490" s="166" t="str">
        <f>Form!N485</f>
        <v/>
      </c>
      <c r="E490" s="166" t="str">
        <f>Form!J485</f>
        <v/>
      </c>
      <c r="F490" s="166" t="str">
        <f>Form!K485</f>
        <v/>
      </c>
      <c r="G490" s="166"/>
      <c r="H490" s="166" t="str">
        <f>Form!O486</f>
        <v/>
      </c>
    </row>
    <row r="491">
      <c r="A491" s="248" t="str">
        <f>Form!C486</f>
        <v/>
      </c>
      <c r="B491" s="4" t="str">
        <f>Form!D486</f>
        <v/>
      </c>
      <c r="C491" s="166" t="str">
        <f>Form!M486</f>
        <v/>
      </c>
      <c r="D491" s="166" t="str">
        <f>Form!N486</f>
        <v/>
      </c>
      <c r="E491" s="166" t="str">
        <f>Form!J486</f>
        <v/>
      </c>
      <c r="F491" s="166" t="str">
        <f>Form!K486</f>
        <v/>
      </c>
      <c r="G491" s="166"/>
      <c r="H491" s="166" t="str">
        <f>Form!O487</f>
        <v/>
      </c>
    </row>
    <row r="492">
      <c r="A492" s="248" t="str">
        <f>Form!C487</f>
        <v/>
      </c>
      <c r="B492" s="4" t="str">
        <f>Form!D487</f>
        <v/>
      </c>
      <c r="C492" s="166" t="str">
        <f>Form!M487</f>
        <v/>
      </c>
      <c r="D492" s="166" t="str">
        <f>Form!N487</f>
        <v/>
      </c>
      <c r="E492" s="166" t="str">
        <f>Form!J487</f>
        <v/>
      </c>
      <c r="F492" s="166" t="str">
        <f>Form!K487</f>
        <v/>
      </c>
      <c r="G492" s="166"/>
      <c r="H492" s="166" t="str">
        <f>Form!O488</f>
        <v/>
      </c>
    </row>
    <row r="493">
      <c r="A493" s="248" t="str">
        <f>Form!C488</f>
        <v/>
      </c>
      <c r="B493" s="4" t="str">
        <f>Form!D488</f>
        <v/>
      </c>
      <c r="C493" s="166" t="str">
        <f>Form!M488</f>
        <v/>
      </c>
      <c r="D493" s="166" t="str">
        <f>Form!N488</f>
        <v/>
      </c>
      <c r="E493" s="166" t="str">
        <f>Form!J488</f>
        <v/>
      </c>
      <c r="F493" s="166" t="str">
        <f>Form!K488</f>
        <v/>
      </c>
      <c r="G493" s="166"/>
      <c r="H493" s="166" t="str">
        <f>Form!O489</f>
        <v/>
      </c>
    </row>
    <row r="494">
      <c r="A494" s="248" t="str">
        <f>Form!C489</f>
        <v/>
      </c>
      <c r="B494" s="4" t="str">
        <f>Form!D489</f>
        <v/>
      </c>
      <c r="C494" s="166" t="str">
        <f>Form!M489</f>
        <v/>
      </c>
      <c r="D494" s="166" t="str">
        <f>Form!N489</f>
        <v/>
      </c>
      <c r="E494" s="166" t="str">
        <f>Form!J489</f>
        <v/>
      </c>
      <c r="F494" s="166" t="str">
        <f>Form!K489</f>
        <v/>
      </c>
      <c r="G494" s="166"/>
      <c r="H494" s="166" t="str">
        <f>Form!O490</f>
        <v/>
      </c>
    </row>
    <row r="495">
      <c r="A495" s="248" t="str">
        <f>Form!C490</f>
        <v/>
      </c>
      <c r="B495" s="4" t="str">
        <f>Form!D490</f>
        <v/>
      </c>
      <c r="C495" s="166" t="str">
        <f>Form!M490</f>
        <v/>
      </c>
      <c r="D495" s="166" t="str">
        <f>Form!N490</f>
        <v/>
      </c>
      <c r="E495" s="166" t="str">
        <f>Form!J490</f>
        <v/>
      </c>
      <c r="F495" s="166" t="str">
        <f>Form!K490</f>
        <v/>
      </c>
      <c r="G495" s="166"/>
      <c r="H495" s="166" t="str">
        <f>Form!O491</f>
        <v/>
      </c>
    </row>
    <row r="496">
      <c r="A496" s="248" t="str">
        <f>Form!C491</f>
        <v/>
      </c>
      <c r="B496" s="4" t="str">
        <f>Form!D491</f>
        <v/>
      </c>
      <c r="C496" s="166" t="str">
        <f>Form!M491</f>
        <v/>
      </c>
      <c r="D496" s="166" t="str">
        <f>Form!N491</f>
        <v/>
      </c>
      <c r="E496" s="166" t="str">
        <f>Form!J491</f>
        <v/>
      </c>
      <c r="F496" s="166" t="str">
        <f>Form!K491</f>
        <v/>
      </c>
      <c r="G496" s="166"/>
      <c r="H496" s="166" t="str">
        <f>Form!O492</f>
        <v/>
      </c>
    </row>
    <row r="497">
      <c r="A497" s="248" t="str">
        <f>Form!C492</f>
        <v/>
      </c>
      <c r="B497" s="4" t="str">
        <f>Form!D492</f>
        <v/>
      </c>
      <c r="C497" s="166" t="str">
        <f>Form!M492</f>
        <v/>
      </c>
      <c r="D497" s="166" t="str">
        <f>Form!N492</f>
        <v/>
      </c>
      <c r="E497" s="166" t="str">
        <f>Form!J492</f>
        <v/>
      </c>
      <c r="F497" s="166" t="str">
        <f>Form!K492</f>
        <v/>
      </c>
      <c r="G497" s="166"/>
      <c r="H497" s="166" t="str">
        <f>Form!O493</f>
        <v/>
      </c>
    </row>
    <row r="498">
      <c r="A498" s="248" t="str">
        <f>Form!C493</f>
        <v/>
      </c>
      <c r="B498" s="4" t="str">
        <f>Form!D493</f>
        <v/>
      </c>
      <c r="C498" s="166" t="str">
        <f>Form!M493</f>
        <v/>
      </c>
      <c r="D498" s="166" t="str">
        <f>Form!N493</f>
        <v/>
      </c>
      <c r="E498" s="166" t="str">
        <f>Form!J493</f>
        <v/>
      </c>
      <c r="F498" s="166" t="str">
        <f>Form!K493</f>
        <v/>
      </c>
      <c r="G498" s="166"/>
      <c r="H498" s="166" t="str">
        <f>Form!O494</f>
        <v/>
      </c>
    </row>
    <row r="499">
      <c r="A499" s="248" t="str">
        <f>Form!C494</f>
        <v/>
      </c>
      <c r="B499" s="4" t="str">
        <f>Form!D494</f>
        <v/>
      </c>
      <c r="C499" s="166" t="str">
        <f>Form!M494</f>
        <v/>
      </c>
      <c r="D499" s="166" t="str">
        <f>Form!N494</f>
        <v/>
      </c>
      <c r="E499" s="166" t="str">
        <f>Form!J494</f>
        <v/>
      </c>
      <c r="F499" s="166" t="str">
        <f>Form!K494</f>
        <v/>
      </c>
      <c r="G499" s="166"/>
      <c r="H499" s="166" t="str">
        <f>Form!O495</f>
        <v/>
      </c>
    </row>
    <row r="500">
      <c r="A500" s="248" t="str">
        <f>Form!C495</f>
        <v/>
      </c>
      <c r="B500" s="4" t="str">
        <f>Form!D495</f>
        <v/>
      </c>
      <c r="C500" s="166" t="str">
        <f>Form!M495</f>
        <v/>
      </c>
      <c r="D500" s="166" t="str">
        <f>Form!N495</f>
        <v/>
      </c>
      <c r="E500" s="166" t="str">
        <f>Form!J495</f>
        <v/>
      </c>
      <c r="F500" s="166" t="str">
        <f>Form!K495</f>
        <v/>
      </c>
      <c r="G500" s="166"/>
      <c r="H500" s="166" t="str">
        <f>Form!O496</f>
        <v/>
      </c>
    </row>
    <row r="501">
      <c r="A501" s="248" t="str">
        <f>Form!C496</f>
        <v/>
      </c>
      <c r="B501" s="4" t="str">
        <f>Form!D496</f>
        <v/>
      </c>
      <c r="C501" s="166" t="str">
        <f>Form!M496</f>
        <v/>
      </c>
      <c r="D501" s="166" t="str">
        <f>Form!N496</f>
        <v/>
      </c>
      <c r="E501" s="166" t="str">
        <f>Form!J496</f>
        <v/>
      </c>
      <c r="F501" s="166" t="str">
        <f>Form!K496</f>
        <v/>
      </c>
      <c r="G501" s="166"/>
      <c r="H501" s="166" t="str">
        <f>Form!O497</f>
        <v/>
      </c>
    </row>
    <row r="502">
      <c r="A502" s="248" t="str">
        <f>Form!C497</f>
        <v/>
      </c>
      <c r="B502" s="4" t="str">
        <f>Form!D497</f>
        <v/>
      </c>
      <c r="C502" s="166" t="str">
        <f>Form!M497</f>
        <v/>
      </c>
      <c r="D502" s="166" t="str">
        <f>Form!N497</f>
        <v/>
      </c>
      <c r="E502" s="166" t="str">
        <f>Form!J497</f>
        <v/>
      </c>
      <c r="F502" s="166" t="str">
        <f>Form!K497</f>
        <v/>
      </c>
      <c r="G502" s="166"/>
      <c r="H502" s="166" t="str">
        <f>Form!O498</f>
        <v/>
      </c>
    </row>
    <row r="503">
      <c r="A503" s="248" t="str">
        <f>Form!C498</f>
        <v/>
      </c>
      <c r="B503" s="4" t="str">
        <f>Form!D498</f>
        <v/>
      </c>
      <c r="C503" s="166" t="str">
        <f>Form!M498</f>
        <v/>
      </c>
      <c r="D503" s="166" t="str">
        <f>Form!N498</f>
        <v/>
      </c>
      <c r="E503" s="166" t="str">
        <f>Form!J498</f>
        <v/>
      </c>
      <c r="F503" s="166" t="str">
        <f>Form!K498</f>
        <v/>
      </c>
      <c r="G503" s="166"/>
      <c r="H503" s="166" t="str">
        <f>Form!O499</f>
        <v/>
      </c>
    </row>
    <row r="504">
      <c r="A504" s="248" t="str">
        <f>Form!C499</f>
        <v/>
      </c>
      <c r="B504" s="4" t="str">
        <f>Form!D499</f>
        <v/>
      </c>
      <c r="C504" s="166" t="str">
        <f>Form!M499</f>
        <v/>
      </c>
      <c r="D504" s="166" t="str">
        <f>Form!N499</f>
        <v/>
      </c>
      <c r="E504" s="166" t="str">
        <f>Form!J499</f>
        <v/>
      </c>
      <c r="F504" s="166" t="str">
        <f>Form!K499</f>
        <v/>
      </c>
      <c r="G504" s="166"/>
      <c r="H504" s="166" t="str">
        <f>Form!O500</f>
        <v/>
      </c>
    </row>
    <row r="505">
      <c r="A505" s="248" t="str">
        <f>Form!C500</f>
        <v/>
      </c>
      <c r="B505" s="4" t="str">
        <f>Form!D500</f>
        <v/>
      </c>
      <c r="C505" s="166" t="str">
        <f>Form!M500</f>
        <v/>
      </c>
      <c r="D505" s="166" t="str">
        <f>Form!N500</f>
        <v/>
      </c>
      <c r="E505" s="166" t="str">
        <f>Form!J500</f>
        <v/>
      </c>
      <c r="F505" s="166" t="str">
        <f>Form!K500</f>
        <v/>
      </c>
      <c r="G505" s="166"/>
      <c r="H505" s="166" t="str">
        <f>Form!O501</f>
        <v/>
      </c>
    </row>
    <row r="506">
      <c r="A506" s="248" t="str">
        <f>Form!C501</f>
        <v/>
      </c>
      <c r="B506" s="4" t="str">
        <f>Form!D501</f>
        <v/>
      </c>
      <c r="C506" s="166" t="str">
        <f>Form!M501</f>
        <v/>
      </c>
      <c r="D506" s="166" t="str">
        <f>Form!N501</f>
        <v/>
      </c>
      <c r="E506" s="166" t="str">
        <f>Form!J501</f>
        <v/>
      </c>
      <c r="F506" s="166" t="str">
        <f>Form!K501</f>
        <v/>
      </c>
      <c r="G506" s="166"/>
      <c r="H506" s="166" t="str">
        <f>Form!O502</f>
        <v/>
      </c>
    </row>
    <row r="507">
      <c r="A507" s="248" t="str">
        <f>Form!C502</f>
        <v/>
      </c>
      <c r="B507" s="4" t="str">
        <f>Form!D502</f>
        <v/>
      </c>
      <c r="C507" s="166" t="str">
        <f>Form!M502</f>
        <v/>
      </c>
      <c r="D507" s="166" t="str">
        <f>Form!N502</f>
        <v/>
      </c>
      <c r="E507" s="166" t="str">
        <f>Form!J502</f>
        <v/>
      </c>
      <c r="F507" s="166" t="str">
        <f>Form!K502</f>
        <v/>
      </c>
      <c r="G507" s="166"/>
      <c r="H507" s="166" t="str">
        <f>Form!O503</f>
        <v/>
      </c>
    </row>
    <row r="508">
      <c r="A508" s="248" t="str">
        <f>Form!C503</f>
        <v/>
      </c>
      <c r="B508" s="4" t="str">
        <f>Form!D503</f>
        <v/>
      </c>
      <c r="C508" s="166" t="str">
        <f>Form!M503</f>
        <v/>
      </c>
      <c r="D508" s="166" t="str">
        <f>Form!N503</f>
        <v/>
      </c>
      <c r="E508" s="166" t="str">
        <f>Form!J503</f>
        <v/>
      </c>
      <c r="F508" s="166" t="str">
        <f>Form!K503</f>
        <v/>
      </c>
      <c r="G508" s="166"/>
      <c r="H508" s="166" t="str">
        <f>Form!O504</f>
        <v/>
      </c>
    </row>
    <row r="509">
      <c r="A509" s="248" t="str">
        <f>Form!C504</f>
        <v/>
      </c>
      <c r="B509" s="4" t="str">
        <f>Form!D504</f>
        <v/>
      </c>
      <c r="C509" s="166" t="str">
        <f>Form!M504</f>
        <v/>
      </c>
      <c r="D509" s="166" t="str">
        <f>Form!N504</f>
        <v/>
      </c>
      <c r="E509" s="166" t="str">
        <f>Form!J504</f>
        <v/>
      </c>
      <c r="F509" s="166" t="str">
        <f>Form!K504</f>
        <v/>
      </c>
      <c r="G509" s="166"/>
      <c r="H509" s="166" t="str">
        <f>Form!O505</f>
        <v/>
      </c>
    </row>
    <row r="510">
      <c r="A510" s="248" t="str">
        <f>Form!C505</f>
        <v/>
      </c>
      <c r="B510" s="4" t="str">
        <f>Form!D505</f>
        <v/>
      </c>
      <c r="C510" s="166" t="str">
        <f>Form!M505</f>
        <v/>
      </c>
      <c r="D510" s="166" t="str">
        <f>Form!N505</f>
        <v/>
      </c>
      <c r="E510" s="166" t="str">
        <f>Form!J505</f>
        <v/>
      </c>
      <c r="F510" s="166" t="str">
        <f>Form!K505</f>
        <v/>
      </c>
      <c r="G510" s="166"/>
      <c r="H510" s="166" t="str">
        <f>Form!O506</f>
        <v/>
      </c>
    </row>
    <row r="511">
      <c r="A511" s="248" t="str">
        <f>Form!C506</f>
        <v/>
      </c>
      <c r="B511" s="4" t="str">
        <f>Form!D506</f>
        <v/>
      </c>
      <c r="C511" s="166" t="str">
        <f>Form!M506</f>
        <v/>
      </c>
      <c r="D511" s="166" t="str">
        <f>Form!N506</f>
        <v/>
      </c>
      <c r="E511" s="166" t="str">
        <f>Form!J506</f>
        <v/>
      </c>
      <c r="F511" s="166" t="str">
        <f>Form!K506</f>
        <v/>
      </c>
      <c r="G511" s="166"/>
      <c r="H511" s="166" t="str">
        <f>Form!O507</f>
        <v/>
      </c>
    </row>
    <row r="512">
      <c r="A512" s="248" t="str">
        <f>Form!C507</f>
        <v/>
      </c>
      <c r="B512" s="4" t="str">
        <f>Form!D507</f>
        <v/>
      </c>
      <c r="C512" s="166" t="str">
        <f>Form!M507</f>
        <v/>
      </c>
      <c r="D512" s="166" t="str">
        <f>Form!N507</f>
        <v/>
      </c>
      <c r="E512" s="166" t="str">
        <f>Form!J507</f>
        <v/>
      </c>
      <c r="F512" s="166" t="str">
        <f>Form!K507</f>
        <v/>
      </c>
      <c r="G512" s="166"/>
      <c r="H512" s="166" t="str">
        <f>Form!O508</f>
        <v/>
      </c>
    </row>
    <row r="513">
      <c r="A513" s="248" t="str">
        <f>Form!C508</f>
        <v/>
      </c>
      <c r="B513" s="4" t="str">
        <f>Form!D508</f>
        <v/>
      </c>
      <c r="C513" s="166" t="str">
        <f>Form!M508</f>
        <v/>
      </c>
      <c r="D513" s="166" t="str">
        <f>Form!N508</f>
        <v/>
      </c>
      <c r="E513" s="166" t="str">
        <f>Form!J508</f>
        <v/>
      </c>
      <c r="F513" s="166" t="str">
        <f>Form!K508</f>
        <v/>
      </c>
      <c r="G513" s="166"/>
      <c r="H513" s="166" t="str">
        <f>Form!O509</f>
        <v/>
      </c>
    </row>
    <row r="514">
      <c r="A514" s="248" t="str">
        <f>Form!C509</f>
        <v/>
      </c>
      <c r="B514" s="4" t="str">
        <f>Form!D509</f>
        <v/>
      </c>
      <c r="C514" s="166" t="str">
        <f>Form!M509</f>
        <v/>
      </c>
      <c r="D514" s="166" t="str">
        <f>Form!N509</f>
        <v/>
      </c>
      <c r="E514" s="166" t="str">
        <f>Form!J509</f>
        <v/>
      </c>
      <c r="F514" s="166" t="str">
        <f>Form!K509</f>
        <v/>
      </c>
      <c r="G514" s="166"/>
      <c r="H514" s="166" t="str">
        <f>Form!O510</f>
        <v/>
      </c>
    </row>
    <row r="515">
      <c r="A515" s="248" t="str">
        <f>Form!C510</f>
        <v/>
      </c>
      <c r="B515" s="4" t="str">
        <f>Form!D510</f>
        <v/>
      </c>
      <c r="C515" s="166" t="str">
        <f>Form!M510</f>
        <v/>
      </c>
      <c r="D515" s="166" t="str">
        <f>Form!N510</f>
        <v/>
      </c>
      <c r="E515" s="166" t="str">
        <f>Form!J510</f>
        <v/>
      </c>
      <c r="F515" s="166" t="str">
        <f>Form!K510</f>
        <v/>
      </c>
      <c r="G515" s="166"/>
      <c r="H515" s="166" t="str">
        <f>Form!O511</f>
        <v/>
      </c>
    </row>
    <row r="516">
      <c r="A516" s="248" t="str">
        <f>Form!C511</f>
        <v/>
      </c>
      <c r="B516" s="4" t="str">
        <f>Form!D511</f>
        <v/>
      </c>
      <c r="C516" s="166" t="str">
        <f>Form!M511</f>
        <v/>
      </c>
      <c r="D516" s="166" t="str">
        <f>Form!N511</f>
        <v/>
      </c>
      <c r="E516" s="166" t="str">
        <f>Form!J511</f>
        <v/>
      </c>
      <c r="F516" s="166" t="str">
        <f>Form!K511</f>
        <v/>
      </c>
      <c r="G516" s="166"/>
      <c r="H516" s="166" t="str">
        <f>Form!O512</f>
        <v/>
      </c>
    </row>
    <row r="517">
      <c r="A517" s="248" t="str">
        <f>Form!C512</f>
        <v/>
      </c>
      <c r="B517" s="4" t="str">
        <f>Form!D512</f>
        <v/>
      </c>
      <c r="C517" s="166" t="str">
        <f>Form!M512</f>
        <v/>
      </c>
      <c r="D517" s="166" t="str">
        <f>Form!N512</f>
        <v/>
      </c>
      <c r="E517" s="166" t="str">
        <f>Form!J512</f>
        <v/>
      </c>
      <c r="F517" s="166" t="str">
        <f>Form!K512</f>
        <v/>
      </c>
      <c r="G517" s="166"/>
      <c r="H517" s="166" t="str">
        <f>Form!O513</f>
        <v/>
      </c>
    </row>
    <row r="518">
      <c r="A518" s="248" t="str">
        <f>Form!C513</f>
        <v/>
      </c>
      <c r="B518" s="4" t="str">
        <f>Form!D513</f>
        <v/>
      </c>
      <c r="C518" s="166" t="str">
        <f>Form!M513</f>
        <v/>
      </c>
      <c r="D518" s="166" t="str">
        <f>Form!N513</f>
        <v/>
      </c>
      <c r="E518" s="166" t="str">
        <f>Form!J513</f>
        <v/>
      </c>
      <c r="F518" s="166" t="str">
        <f>Form!K513</f>
        <v/>
      </c>
      <c r="G518" s="166"/>
      <c r="H518" s="166" t="str">
        <f>Form!O514</f>
        <v/>
      </c>
    </row>
    <row r="519">
      <c r="A519" s="248" t="str">
        <f>Form!C514</f>
        <v/>
      </c>
      <c r="B519" s="4" t="str">
        <f>Form!D514</f>
        <v/>
      </c>
      <c r="C519" s="166" t="str">
        <f>Form!M514</f>
        <v/>
      </c>
      <c r="D519" s="166" t="str">
        <f>Form!N514</f>
        <v/>
      </c>
      <c r="E519" s="166" t="str">
        <f>Form!J514</f>
        <v/>
      </c>
      <c r="F519" s="166" t="str">
        <f>Form!K514</f>
        <v/>
      </c>
      <c r="G519" s="166"/>
      <c r="H519" s="166" t="str">
        <f>Form!O515</f>
        <v/>
      </c>
    </row>
    <row r="520">
      <c r="A520" s="248" t="str">
        <f>Form!C515</f>
        <v/>
      </c>
      <c r="B520" s="4" t="str">
        <f>Form!D515</f>
        <v/>
      </c>
      <c r="C520" s="166" t="str">
        <f>Form!M515</f>
        <v/>
      </c>
      <c r="D520" s="166" t="str">
        <f>Form!N515</f>
        <v/>
      </c>
      <c r="E520" s="166" t="str">
        <f>Form!J515</f>
        <v/>
      </c>
      <c r="F520" s="166" t="str">
        <f>Form!K515</f>
        <v/>
      </c>
      <c r="G520" s="166"/>
      <c r="H520" s="166" t="str">
        <f>Form!O516</f>
        <v/>
      </c>
    </row>
    <row r="521">
      <c r="A521" s="248" t="str">
        <f>Form!C516</f>
        <v/>
      </c>
      <c r="B521" s="4" t="str">
        <f>Form!D516</f>
        <v/>
      </c>
      <c r="C521" s="166" t="str">
        <f>Form!M516</f>
        <v/>
      </c>
      <c r="D521" s="166" t="str">
        <f>Form!N516</f>
        <v/>
      </c>
      <c r="E521" s="166" t="str">
        <f>Form!J516</f>
        <v/>
      </c>
      <c r="F521" s="166" t="str">
        <f>Form!K516</f>
        <v/>
      </c>
      <c r="G521" s="166"/>
      <c r="H521" s="166" t="str">
        <f>Form!O517</f>
        <v/>
      </c>
    </row>
    <row r="522">
      <c r="A522" s="248" t="str">
        <f>Form!C517</f>
        <v/>
      </c>
      <c r="B522" s="4" t="str">
        <f>Form!D517</f>
        <v/>
      </c>
      <c r="C522" s="166" t="str">
        <f>Form!M517</f>
        <v/>
      </c>
      <c r="D522" s="166" t="str">
        <f>Form!N517</f>
        <v/>
      </c>
      <c r="E522" s="166" t="str">
        <f>Form!J517</f>
        <v/>
      </c>
      <c r="F522" s="166" t="str">
        <f>Form!K517</f>
        <v/>
      </c>
      <c r="G522" s="166"/>
      <c r="H522" s="166" t="str">
        <f>Form!O518</f>
        <v/>
      </c>
    </row>
    <row r="523">
      <c r="A523" s="248" t="str">
        <f>Form!C518</f>
        <v/>
      </c>
      <c r="B523" s="4" t="str">
        <f>Form!D518</f>
        <v/>
      </c>
      <c r="C523" s="166" t="str">
        <f>Form!M518</f>
        <v/>
      </c>
      <c r="D523" s="166" t="str">
        <f>Form!N518</f>
        <v/>
      </c>
      <c r="E523" s="166" t="str">
        <f>Form!J518</f>
        <v/>
      </c>
      <c r="F523" s="166" t="str">
        <f>Form!K518</f>
        <v/>
      </c>
      <c r="G523" s="166"/>
      <c r="H523" s="166" t="str">
        <f>Form!O519</f>
        <v/>
      </c>
    </row>
    <row r="524">
      <c r="A524" s="248" t="str">
        <f>Form!C519</f>
        <v/>
      </c>
      <c r="B524" s="4" t="str">
        <f>Form!D519</f>
        <v/>
      </c>
      <c r="C524" s="166" t="str">
        <f>Form!M519</f>
        <v/>
      </c>
      <c r="D524" s="166" t="str">
        <f>Form!N519</f>
        <v/>
      </c>
      <c r="E524" s="166" t="str">
        <f>Form!J519</f>
        <v/>
      </c>
      <c r="F524" s="166" t="str">
        <f>Form!K519</f>
        <v/>
      </c>
      <c r="G524" s="166"/>
      <c r="H524" s="166" t="str">
        <f>Form!O520</f>
        <v/>
      </c>
    </row>
    <row r="525">
      <c r="A525" s="248" t="str">
        <f>Form!C520</f>
        <v/>
      </c>
      <c r="B525" s="4" t="str">
        <f>Form!D520</f>
        <v/>
      </c>
      <c r="C525" s="166" t="str">
        <f>Form!M520</f>
        <v/>
      </c>
      <c r="D525" s="166" t="str">
        <f>Form!N520</f>
        <v/>
      </c>
      <c r="E525" s="166" t="str">
        <f>Form!J520</f>
        <v/>
      </c>
      <c r="F525" s="166" t="str">
        <f>Form!K520</f>
        <v/>
      </c>
      <c r="G525" s="166"/>
      <c r="H525" s="166" t="str">
        <f>Form!O521</f>
        <v/>
      </c>
    </row>
    <row r="526">
      <c r="A526" s="248" t="str">
        <f>Form!C521</f>
        <v/>
      </c>
      <c r="B526" s="4" t="str">
        <f>Form!D521</f>
        <v/>
      </c>
      <c r="C526" s="166" t="str">
        <f>Form!M521</f>
        <v/>
      </c>
      <c r="D526" s="166" t="str">
        <f>Form!N521</f>
        <v/>
      </c>
      <c r="E526" s="166" t="str">
        <f>Form!J521</f>
        <v/>
      </c>
      <c r="F526" s="166" t="str">
        <f>Form!K521</f>
        <v/>
      </c>
      <c r="G526" s="166"/>
      <c r="H526" s="166" t="str">
        <f>Form!O522</f>
        <v/>
      </c>
    </row>
    <row r="527">
      <c r="A527" s="248" t="str">
        <f>Form!C522</f>
        <v/>
      </c>
      <c r="B527" s="4" t="str">
        <f>Form!D522</f>
        <v/>
      </c>
      <c r="C527" s="166" t="str">
        <f>Form!M522</f>
        <v/>
      </c>
      <c r="D527" s="166" t="str">
        <f>Form!N522</f>
        <v/>
      </c>
      <c r="E527" s="166" t="str">
        <f>Form!J522</f>
        <v/>
      </c>
      <c r="F527" s="166" t="str">
        <f>Form!K522</f>
        <v/>
      </c>
      <c r="G527" s="166"/>
      <c r="H527" s="166" t="str">
        <f>Form!O523</f>
        <v/>
      </c>
    </row>
    <row r="528">
      <c r="A528" s="248" t="str">
        <f>Form!C523</f>
        <v/>
      </c>
      <c r="B528" s="4" t="str">
        <f>Form!D523</f>
        <v/>
      </c>
      <c r="C528" s="166" t="str">
        <f>Form!M523</f>
        <v/>
      </c>
      <c r="D528" s="166" t="str">
        <f>Form!N523</f>
        <v/>
      </c>
      <c r="E528" s="166" t="str">
        <f>Form!J523</f>
        <v/>
      </c>
      <c r="F528" s="166" t="str">
        <f>Form!K523</f>
        <v/>
      </c>
      <c r="G528" s="166"/>
      <c r="H528" s="166" t="str">
        <f>Form!O524</f>
        <v/>
      </c>
    </row>
    <row r="529">
      <c r="A529" s="248" t="str">
        <f>Form!C524</f>
        <v/>
      </c>
      <c r="B529" s="4" t="str">
        <f>Form!D524</f>
        <v/>
      </c>
      <c r="C529" s="166" t="str">
        <f>Form!M524</f>
        <v/>
      </c>
      <c r="D529" s="166" t="str">
        <f>Form!N524</f>
        <v/>
      </c>
      <c r="E529" s="166" t="str">
        <f>Form!J524</f>
        <v/>
      </c>
      <c r="F529" s="166" t="str">
        <f>Form!K524</f>
        <v/>
      </c>
      <c r="G529" s="166"/>
      <c r="H529" s="166" t="str">
        <f>Form!O525</f>
        <v/>
      </c>
    </row>
    <row r="530">
      <c r="A530" s="248" t="str">
        <f>Form!C525</f>
        <v/>
      </c>
      <c r="B530" s="4" t="str">
        <f>Form!D525</f>
        <v/>
      </c>
      <c r="C530" s="166" t="str">
        <f>Form!M525</f>
        <v/>
      </c>
      <c r="D530" s="166" t="str">
        <f>Form!N525</f>
        <v/>
      </c>
      <c r="E530" s="166" t="str">
        <f>Form!J525</f>
        <v/>
      </c>
      <c r="F530" s="166" t="str">
        <f>Form!K525</f>
        <v/>
      </c>
      <c r="G530" s="166"/>
      <c r="H530" s="166" t="str">
        <f>Form!O526</f>
        <v/>
      </c>
    </row>
    <row r="531">
      <c r="A531" s="248" t="str">
        <f>Form!C526</f>
        <v/>
      </c>
      <c r="B531" s="4" t="str">
        <f>Form!D526</f>
        <v/>
      </c>
      <c r="C531" s="166" t="str">
        <f>Form!M526</f>
        <v/>
      </c>
      <c r="D531" s="166" t="str">
        <f>Form!N526</f>
        <v/>
      </c>
      <c r="E531" s="166" t="str">
        <f>Form!J526</f>
        <v/>
      </c>
      <c r="F531" s="166" t="str">
        <f>Form!K526</f>
        <v/>
      </c>
      <c r="G531" s="166"/>
      <c r="H531" s="166" t="str">
        <f>Form!O527</f>
        <v/>
      </c>
    </row>
    <row r="532">
      <c r="A532" s="248" t="str">
        <f>Form!C527</f>
        <v/>
      </c>
      <c r="B532" s="4" t="str">
        <f>Form!D527</f>
        <v/>
      </c>
      <c r="C532" s="166" t="str">
        <f>Form!M527</f>
        <v/>
      </c>
      <c r="D532" s="166" t="str">
        <f>Form!N527</f>
        <v/>
      </c>
      <c r="E532" s="166" t="str">
        <f>Form!J527</f>
        <v/>
      </c>
      <c r="F532" s="166" t="str">
        <f>Form!K527</f>
        <v/>
      </c>
      <c r="G532" s="166"/>
      <c r="H532" s="166" t="str">
        <f>Form!O528</f>
        <v/>
      </c>
    </row>
    <row r="533">
      <c r="A533" s="248" t="str">
        <f>Form!C528</f>
        <v/>
      </c>
      <c r="B533" s="4" t="str">
        <f>Form!D528</f>
        <v/>
      </c>
      <c r="C533" s="166" t="str">
        <f>Form!M528</f>
        <v/>
      </c>
      <c r="D533" s="166" t="str">
        <f>Form!N528</f>
        <v/>
      </c>
      <c r="E533" s="166" t="str">
        <f>Form!J528</f>
        <v/>
      </c>
      <c r="F533" s="166" t="str">
        <f>Form!K528</f>
        <v/>
      </c>
      <c r="G533" s="166"/>
      <c r="H533" s="166" t="str">
        <f>Form!O529</f>
        <v/>
      </c>
    </row>
    <row r="534">
      <c r="A534" s="248" t="str">
        <f>Form!C529</f>
        <v/>
      </c>
      <c r="B534" s="4" t="str">
        <f>Form!D529</f>
        <v/>
      </c>
      <c r="C534" s="166" t="str">
        <f>Form!M529</f>
        <v/>
      </c>
      <c r="D534" s="166" t="str">
        <f>Form!N529</f>
        <v/>
      </c>
      <c r="E534" s="166" t="str">
        <f>Form!J529</f>
        <v/>
      </c>
      <c r="F534" s="166" t="str">
        <f>Form!K529</f>
        <v/>
      </c>
      <c r="G534" s="166"/>
      <c r="H534" s="166" t="str">
        <f>Form!O530</f>
        <v/>
      </c>
    </row>
    <row r="535">
      <c r="A535" s="248" t="str">
        <f>Form!C530</f>
        <v/>
      </c>
      <c r="B535" s="4" t="str">
        <f>Form!D530</f>
        <v/>
      </c>
      <c r="C535" s="166" t="str">
        <f>Form!M530</f>
        <v/>
      </c>
      <c r="D535" s="166" t="str">
        <f>Form!N530</f>
        <v/>
      </c>
      <c r="E535" s="166" t="str">
        <f>Form!J530</f>
        <v/>
      </c>
      <c r="F535" s="166" t="str">
        <f>Form!K530</f>
        <v/>
      </c>
      <c r="G535" s="166"/>
      <c r="H535" s="166" t="str">
        <f>Form!O531</f>
        <v/>
      </c>
    </row>
    <row r="536">
      <c r="A536" s="248" t="str">
        <f>Form!C531</f>
        <v/>
      </c>
      <c r="B536" s="4" t="str">
        <f>Form!D531</f>
        <v/>
      </c>
      <c r="C536" s="166" t="str">
        <f>Form!M531</f>
        <v/>
      </c>
      <c r="D536" s="166" t="str">
        <f>Form!N531</f>
        <v/>
      </c>
      <c r="E536" s="166" t="str">
        <f>Form!J531</f>
        <v/>
      </c>
      <c r="F536" s="166" t="str">
        <f>Form!K531</f>
        <v/>
      </c>
      <c r="G536" s="166"/>
      <c r="H536" s="166" t="str">
        <f>Form!O532</f>
        <v/>
      </c>
    </row>
    <row r="537">
      <c r="A537" s="248" t="str">
        <f>Form!C532</f>
        <v/>
      </c>
      <c r="B537" s="4" t="str">
        <f>Form!D532</f>
        <v/>
      </c>
      <c r="C537" s="166" t="str">
        <f>Form!M532</f>
        <v/>
      </c>
      <c r="D537" s="166" t="str">
        <f>Form!N532</f>
        <v/>
      </c>
      <c r="E537" s="166" t="str">
        <f>Form!J532</f>
        <v/>
      </c>
      <c r="F537" s="166" t="str">
        <f>Form!K532</f>
        <v/>
      </c>
      <c r="G537" s="166"/>
      <c r="H537" s="166" t="str">
        <f>Form!O533</f>
        <v/>
      </c>
    </row>
    <row r="538">
      <c r="A538" s="248" t="str">
        <f>Form!C533</f>
        <v/>
      </c>
      <c r="B538" s="4" t="str">
        <f>Form!D533</f>
        <v/>
      </c>
      <c r="C538" s="166" t="str">
        <f>Form!M533</f>
        <v/>
      </c>
      <c r="D538" s="166" t="str">
        <f>Form!N533</f>
        <v/>
      </c>
      <c r="E538" s="166" t="str">
        <f>Form!J533</f>
        <v/>
      </c>
      <c r="F538" s="166" t="str">
        <f>Form!K533</f>
        <v/>
      </c>
      <c r="G538" s="166"/>
      <c r="H538" s="166" t="str">
        <f>Form!O534</f>
        <v/>
      </c>
    </row>
    <row r="539">
      <c r="A539" s="248" t="str">
        <f>Form!C534</f>
        <v/>
      </c>
      <c r="B539" s="4" t="str">
        <f>Form!D534</f>
        <v/>
      </c>
      <c r="C539" s="166" t="str">
        <f>Form!M534</f>
        <v/>
      </c>
      <c r="D539" s="166" t="str">
        <f>Form!N534</f>
        <v/>
      </c>
      <c r="E539" s="166" t="str">
        <f>Form!J534</f>
        <v/>
      </c>
      <c r="F539" s="166" t="str">
        <f>Form!K534</f>
        <v/>
      </c>
      <c r="G539" s="166"/>
      <c r="H539" s="166" t="str">
        <f>Form!O535</f>
        <v/>
      </c>
    </row>
    <row r="540">
      <c r="A540" s="248" t="str">
        <f>Form!C535</f>
        <v/>
      </c>
      <c r="B540" s="4" t="str">
        <f>Form!D535</f>
        <v/>
      </c>
      <c r="C540" s="166" t="str">
        <f>Form!M535</f>
        <v/>
      </c>
      <c r="D540" s="166" t="str">
        <f>Form!N535</f>
        <v/>
      </c>
      <c r="E540" s="166" t="str">
        <f>Form!J535</f>
        <v/>
      </c>
      <c r="F540" s="166" t="str">
        <f>Form!K535</f>
        <v/>
      </c>
      <c r="G540" s="166"/>
      <c r="H540" s="166" t="str">
        <f>Form!O536</f>
        <v/>
      </c>
    </row>
    <row r="541">
      <c r="A541" s="248" t="str">
        <f>Form!C536</f>
        <v/>
      </c>
      <c r="B541" s="4" t="str">
        <f>Form!D536</f>
        <v/>
      </c>
      <c r="C541" s="166" t="str">
        <f>Form!M536</f>
        <v/>
      </c>
      <c r="D541" s="166" t="str">
        <f>Form!N536</f>
        <v/>
      </c>
      <c r="E541" s="166" t="str">
        <f>Form!J536</f>
        <v/>
      </c>
      <c r="F541" s="166" t="str">
        <f>Form!K536</f>
        <v/>
      </c>
      <c r="G541" s="166"/>
      <c r="H541" s="166" t="str">
        <f>Form!O537</f>
        <v/>
      </c>
    </row>
    <row r="542">
      <c r="A542" s="248" t="str">
        <f>Form!C537</f>
        <v/>
      </c>
      <c r="B542" s="4" t="str">
        <f>Form!D537</f>
        <v/>
      </c>
      <c r="C542" s="166" t="str">
        <f>Form!M537</f>
        <v/>
      </c>
      <c r="D542" s="166" t="str">
        <f>Form!N537</f>
        <v/>
      </c>
      <c r="E542" s="166" t="str">
        <f>Form!J537</f>
        <v/>
      </c>
      <c r="F542" s="166" t="str">
        <f>Form!K537</f>
        <v/>
      </c>
      <c r="G542" s="166"/>
      <c r="H542" s="166" t="str">
        <f>Form!O538</f>
        <v/>
      </c>
    </row>
    <row r="543">
      <c r="A543" s="248" t="str">
        <f>Form!C538</f>
        <v/>
      </c>
      <c r="B543" s="4" t="str">
        <f>Form!D538</f>
        <v/>
      </c>
      <c r="C543" s="166" t="str">
        <f>Form!M538</f>
        <v/>
      </c>
      <c r="D543" s="166" t="str">
        <f>Form!N538</f>
        <v/>
      </c>
      <c r="E543" s="166" t="str">
        <f>Form!J538</f>
        <v/>
      </c>
      <c r="F543" s="166" t="str">
        <f>Form!K538</f>
        <v/>
      </c>
      <c r="G543" s="166"/>
      <c r="H543" s="166" t="str">
        <f>Form!O539</f>
        <v/>
      </c>
    </row>
    <row r="544">
      <c r="A544" s="248" t="str">
        <f>Form!C539</f>
        <v/>
      </c>
      <c r="B544" s="4" t="str">
        <f>Form!D539</f>
        <v/>
      </c>
      <c r="C544" s="166" t="str">
        <f>Form!M539</f>
        <v/>
      </c>
      <c r="D544" s="166" t="str">
        <f>Form!N539</f>
        <v/>
      </c>
      <c r="E544" s="166" t="str">
        <f>Form!J539</f>
        <v/>
      </c>
      <c r="F544" s="166" t="str">
        <f>Form!K539</f>
        <v/>
      </c>
      <c r="G544" s="166"/>
      <c r="H544" s="166" t="str">
        <f>Form!O540</f>
        <v/>
      </c>
    </row>
    <row r="545">
      <c r="A545" s="248" t="str">
        <f>Form!C540</f>
        <v/>
      </c>
      <c r="B545" s="4" t="str">
        <f>Form!D540</f>
        <v/>
      </c>
      <c r="C545" s="166" t="str">
        <f>Form!M540</f>
        <v/>
      </c>
      <c r="D545" s="166" t="str">
        <f>Form!N540</f>
        <v/>
      </c>
      <c r="E545" s="166" t="str">
        <f>Form!J540</f>
        <v/>
      </c>
      <c r="F545" s="166" t="str">
        <f>Form!K540</f>
        <v/>
      </c>
      <c r="G545" s="166"/>
      <c r="H545" s="166" t="str">
        <f>Form!O541</f>
        <v/>
      </c>
    </row>
    <row r="546">
      <c r="A546" s="248" t="str">
        <f>Form!C541</f>
        <v/>
      </c>
      <c r="B546" s="4" t="str">
        <f>Form!D541</f>
        <v/>
      </c>
      <c r="C546" s="166" t="str">
        <f>Form!M541</f>
        <v/>
      </c>
      <c r="D546" s="166" t="str">
        <f>Form!N541</f>
        <v/>
      </c>
      <c r="E546" s="166" t="str">
        <f>Form!J541</f>
        <v/>
      </c>
      <c r="F546" s="166" t="str">
        <f>Form!K541</f>
        <v/>
      </c>
      <c r="G546" s="166"/>
      <c r="H546" s="166" t="str">
        <f>Form!O542</f>
        <v/>
      </c>
    </row>
    <row r="547">
      <c r="A547" s="248" t="str">
        <f>Form!C542</f>
        <v/>
      </c>
      <c r="B547" s="4" t="str">
        <f>Form!D542</f>
        <v/>
      </c>
      <c r="C547" s="166" t="str">
        <f>Form!M542</f>
        <v/>
      </c>
      <c r="D547" s="166" t="str">
        <f>Form!N542</f>
        <v/>
      </c>
      <c r="E547" s="166" t="str">
        <f>Form!J542</f>
        <v/>
      </c>
      <c r="F547" s="166" t="str">
        <f>Form!K542</f>
        <v/>
      </c>
      <c r="G547" s="166"/>
      <c r="H547" s="166" t="str">
        <f>Form!O543</f>
        <v/>
      </c>
    </row>
    <row r="548">
      <c r="A548" s="248" t="str">
        <f>Form!C543</f>
        <v/>
      </c>
      <c r="B548" s="4" t="str">
        <f>Form!D543</f>
        <v/>
      </c>
      <c r="C548" s="166" t="str">
        <f>Form!M543</f>
        <v/>
      </c>
      <c r="D548" s="166" t="str">
        <f>Form!N543</f>
        <v/>
      </c>
      <c r="E548" s="166" t="str">
        <f>Form!J543</f>
        <v/>
      </c>
      <c r="F548" s="166" t="str">
        <f>Form!K543</f>
        <v/>
      </c>
      <c r="G548" s="166"/>
      <c r="H548" s="166" t="str">
        <f>Form!O544</f>
        <v/>
      </c>
    </row>
    <row r="549">
      <c r="A549" s="248" t="str">
        <f>Form!C544</f>
        <v/>
      </c>
      <c r="B549" s="4" t="str">
        <f>Form!D544</f>
        <v/>
      </c>
      <c r="C549" s="166" t="str">
        <f>Form!M544</f>
        <v/>
      </c>
      <c r="D549" s="166" t="str">
        <f>Form!N544</f>
        <v/>
      </c>
      <c r="E549" s="166" t="str">
        <f>Form!J544</f>
        <v/>
      </c>
      <c r="F549" s="166" t="str">
        <f>Form!K544</f>
        <v/>
      </c>
      <c r="G549" s="166"/>
      <c r="H549" s="166" t="str">
        <f>Form!O545</f>
        <v/>
      </c>
    </row>
    <row r="550">
      <c r="A550" s="248" t="str">
        <f>Form!C545</f>
        <v/>
      </c>
      <c r="B550" s="4" t="str">
        <f>Form!D545</f>
        <v/>
      </c>
      <c r="C550" s="166" t="str">
        <f>Form!M545</f>
        <v/>
      </c>
      <c r="D550" s="166" t="str">
        <f>Form!N545</f>
        <v/>
      </c>
      <c r="E550" s="166" t="str">
        <f>Form!J545</f>
        <v/>
      </c>
      <c r="F550" s="166" t="str">
        <f>Form!K545</f>
        <v/>
      </c>
      <c r="G550" s="166"/>
      <c r="H550" s="166" t="str">
        <f>Form!O546</f>
        <v/>
      </c>
    </row>
    <row r="551">
      <c r="A551" s="248" t="str">
        <f>Form!C546</f>
        <v/>
      </c>
      <c r="B551" s="4" t="str">
        <f>Form!D546</f>
        <v/>
      </c>
      <c r="C551" s="166" t="str">
        <f>Form!M546</f>
        <v/>
      </c>
      <c r="D551" s="166" t="str">
        <f>Form!N546</f>
        <v/>
      </c>
      <c r="E551" s="166" t="str">
        <f>Form!J546</f>
        <v/>
      </c>
      <c r="F551" s="166" t="str">
        <f>Form!K546</f>
        <v/>
      </c>
      <c r="G551" s="166"/>
      <c r="H551" s="166" t="str">
        <f>Form!O547</f>
        <v/>
      </c>
    </row>
    <row r="552">
      <c r="A552" s="248" t="str">
        <f>Form!C547</f>
        <v/>
      </c>
      <c r="B552" s="4" t="str">
        <f>Form!D547</f>
        <v/>
      </c>
      <c r="C552" s="166" t="str">
        <f>Form!M547</f>
        <v/>
      </c>
      <c r="D552" s="166" t="str">
        <f>Form!N547</f>
        <v/>
      </c>
      <c r="E552" s="166" t="str">
        <f>Form!J547</f>
        <v/>
      </c>
      <c r="F552" s="166" t="str">
        <f>Form!K547</f>
        <v/>
      </c>
      <c r="G552" s="166"/>
      <c r="H552" s="166" t="str">
        <f>Form!O548</f>
        <v/>
      </c>
    </row>
    <row r="553">
      <c r="A553" s="248" t="str">
        <f>Form!C548</f>
        <v/>
      </c>
      <c r="B553" s="4" t="str">
        <f>Form!D548</f>
        <v/>
      </c>
      <c r="C553" s="166" t="str">
        <f>Form!M548</f>
        <v/>
      </c>
      <c r="D553" s="166" t="str">
        <f>Form!N548</f>
        <v/>
      </c>
      <c r="E553" s="166" t="str">
        <f>Form!J548</f>
        <v/>
      </c>
      <c r="F553" s="166" t="str">
        <f>Form!K548</f>
        <v/>
      </c>
      <c r="G553" s="166"/>
      <c r="H553" s="166" t="str">
        <f>Form!O549</f>
        <v/>
      </c>
    </row>
    <row r="554">
      <c r="A554" s="248" t="str">
        <f>Form!C549</f>
        <v/>
      </c>
      <c r="B554" s="4" t="str">
        <f>Form!D549</f>
        <v/>
      </c>
      <c r="C554" s="166" t="str">
        <f>Form!M549</f>
        <v/>
      </c>
      <c r="D554" s="166" t="str">
        <f>Form!N549</f>
        <v/>
      </c>
      <c r="E554" s="166" t="str">
        <f>Form!J549</f>
        <v/>
      </c>
      <c r="F554" s="166" t="str">
        <f>Form!K549</f>
        <v/>
      </c>
      <c r="G554" s="166"/>
      <c r="H554" s="166" t="str">
        <f>Form!O550</f>
        <v/>
      </c>
    </row>
    <row r="555">
      <c r="A555" s="248" t="str">
        <f>Form!C550</f>
        <v/>
      </c>
      <c r="B555" s="4" t="str">
        <f>Form!D550</f>
        <v/>
      </c>
      <c r="C555" s="166" t="str">
        <f>Form!M550</f>
        <v/>
      </c>
      <c r="D555" s="166" t="str">
        <f>Form!N550</f>
        <v/>
      </c>
      <c r="E555" s="166" t="str">
        <f>Form!J550</f>
        <v/>
      </c>
      <c r="F555" s="166" t="str">
        <f>Form!K550</f>
        <v/>
      </c>
      <c r="G555" s="166"/>
      <c r="H555" s="166" t="str">
        <f>Form!O551</f>
        <v/>
      </c>
    </row>
    <row r="556">
      <c r="A556" s="248" t="str">
        <f>Form!C551</f>
        <v/>
      </c>
      <c r="B556" s="4" t="str">
        <f>Form!D551</f>
        <v/>
      </c>
      <c r="C556" s="166" t="str">
        <f>Form!M551</f>
        <v/>
      </c>
      <c r="D556" s="166" t="str">
        <f>Form!N551</f>
        <v/>
      </c>
      <c r="E556" s="166" t="str">
        <f>Form!J551</f>
        <v/>
      </c>
      <c r="F556" s="166" t="str">
        <f>Form!K551</f>
        <v/>
      </c>
      <c r="G556" s="166"/>
      <c r="H556" s="166" t="str">
        <f>Form!O552</f>
        <v/>
      </c>
    </row>
    <row r="557">
      <c r="A557" s="248" t="str">
        <f>Form!C552</f>
        <v/>
      </c>
      <c r="B557" s="4" t="str">
        <f>Form!D552</f>
        <v/>
      </c>
      <c r="C557" s="166" t="str">
        <f>Form!M552</f>
        <v/>
      </c>
      <c r="D557" s="166" t="str">
        <f>Form!N552</f>
        <v/>
      </c>
      <c r="E557" s="166" t="str">
        <f>Form!J552</f>
        <v/>
      </c>
      <c r="F557" s="166" t="str">
        <f>Form!K552</f>
        <v/>
      </c>
      <c r="G557" s="166"/>
      <c r="H557" s="166" t="str">
        <f>Form!O553</f>
        <v/>
      </c>
    </row>
    <row r="558">
      <c r="A558" s="248" t="str">
        <f>Form!C553</f>
        <v/>
      </c>
      <c r="B558" s="4" t="str">
        <f>Form!D553</f>
        <v/>
      </c>
      <c r="C558" s="166" t="str">
        <f>Form!M553</f>
        <v/>
      </c>
      <c r="D558" s="166" t="str">
        <f>Form!N553</f>
        <v/>
      </c>
      <c r="E558" s="166" t="str">
        <f>Form!J553</f>
        <v/>
      </c>
      <c r="F558" s="166" t="str">
        <f>Form!K553</f>
        <v/>
      </c>
      <c r="G558" s="166"/>
      <c r="H558" s="166" t="str">
        <f>Form!O554</f>
        <v/>
      </c>
    </row>
    <row r="559">
      <c r="A559" s="248" t="str">
        <f>Form!C554</f>
        <v/>
      </c>
      <c r="B559" s="4" t="str">
        <f>Form!D554</f>
        <v/>
      </c>
      <c r="C559" s="166" t="str">
        <f>Form!M554</f>
        <v/>
      </c>
      <c r="D559" s="166" t="str">
        <f>Form!N554</f>
        <v/>
      </c>
      <c r="E559" s="166" t="str">
        <f>Form!J554</f>
        <v/>
      </c>
      <c r="F559" s="166" t="str">
        <f>Form!K554</f>
        <v/>
      </c>
      <c r="G559" s="166"/>
      <c r="H559" s="166" t="str">
        <f>Form!O555</f>
        <v/>
      </c>
    </row>
    <row r="560">
      <c r="A560" s="248" t="str">
        <f>Form!C555</f>
        <v/>
      </c>
      <c r="B560" s="4" t="str">
        <f>Form!D555</f>
        <v/>
      </c>
      <c r="C560" s="166" t="str">
        <f>Form!M555</f>
        <v/>
      </c>
      <c r="D560" s="166" t="str">
        <f>Form!N555</f>
        <v/>
      </c>
      <c r="E560" s="166" t="str">
        <f>Form!J555</f>
        <v/>
      </c>
      <c r="F560" s="166" t="str">
        <f>Form!K555</f>
        <v/>
      </c>
      <c r="G560" s="166"/>
      <c r="H560" s="166" t="str">
        <f>Form!O556</f>
        <v/>
      </c>
    </row>
    <row r="561">
      <c r="A561" s="248" t="str">
        <f>Form!C556</f>
        <v/>
      </c>
      <c r="B561" s="4" t="str">
        <f>Form!D556</f>
        <v/>
      </c>
      <c r="C561" s="166" t="str">
        <f>Form!M556</f>
        <v/>
      </c>
      <c r="D561" s="166" t="str">
        <f>Form!N556</f>
        <v/>
      </c>
      <c r="E561" s="166" t="str">
        <f>Form!J556</f>
        <v/>
      </c>
      <c r="F561" s="166" t="str">
        <f>Form!K556</f>
        <v/>
      </c>
      <c r="G561" s="166"/>
      <c r="H561" s="166" t="str">
        <f>Form!O557</f>
        <v/>
      </c>
    </row>
    <row r="562">
      <c r="A562" s="248" t="str">
        <f>Form!C557</f>
        <v/>
      </c>
      <c r="B562" s="4" t="str">
        <f>Form!D557</f>
        <v/>
      </c>
      <c r="C562" s="166" t="str">
        <f>Form!M557</f>
        <v/>
      </c>
      <c r="D562" s="166" t="str">
        <f>Form!N557</f>
        <v/>
      </c>
      <c r="E562" s="166" t="str">
        <f>Form!J557</f>
        <v/>
      </c>
      <c r="F562" s="166" t="str">
        <f>Form!K557</f>
        <v/>
      </c>
      <c r="G562" s="166"/>
      <c r="H562" s="166" t="str">
        <f>Form!O558</f>
        <v/>
      </c>
    </row>
    <row r="563">
      <c r="A563" s="248" t="str">
        <f>Form!C558</f>
        <v/>
      </c>
      <c r="B563" s="4" t="str">
        <f>Form!D558</f>
        <v/>
      </c>
      <c r="C563" s="166" t="str">
        <f>Form!M558</f>
        <v/>
      </c>
      <c r="D563" s="166" t="str">
        <f>Form!N558</f>
        <v/>
      </c>
      <c r="E563" s="166" t="str">
        <f>Form!J558</f>
        <v/>
      </c>
      <c r="F563" s="166" t="str">
        <f>Form!K558</f>
        <v/>
      </c>
      <c r="G563" s="166"/>
      <c r="H563" s="166" t="str">
        <f>Form!O559</f>
        <v/>
      </c>
    </row>
    <row r="564">
      <c r="A564" s="248" t="str">
        <f>Form!C559</f>
        <v/>
      </c>
      <c r="B564" s="4" t="str">
        <f>Form!D559</f>
        <v/>
      </c>
      <c r="C564" s="166" t="str">
        <f>Form!M559</f>
        <v/>
      </c>
      <c r="D564" s="166" t="str">
        <f>Form!N559</f>
        <v/>
      </c>
      <c r="E564" s="166" t="str">
        <f>Form!J559</f>
        <v/>
      </c>
      <c r="F564" s="166" t="str">
        <f>Form!K559</f>
        <v/>
      </c>
      <c r="G564" s="166"/>
      <c r="H564" s="166" t="str">
        <f>Form!O560</f>
        <v/>
      </c>
    </row>
    <row r="565">
      <c r="A565" s="248" t="str">
        <f>Form!C560</f>
        <v/>
      </c>
      <c r="B565" s="4" t="str">
        <f>Form!D560</f>
        <v/>
      </c>
      <c r="C565" s="166" t="str">
        <f>Form!M560</f>
        <v/>
      </c>
      <c r="D565" s="166" t="str">
        <f>Form!N560</f>
        <v/>
      </c>
      <c r="E565" s="166" t="str">
        <f>Form!J560</f>
        <v/>
      </c>
      <c r="F565" s="166" t="str">
        <f>Form!K560</f>
        <v/>
      </c>
      <c r="G565" s="166"/>
      <c r="H565" s="166" t="str">
        <f>Form!O561</f>
        <v/>
      </c>
    </row>
    <row r="566">
      <c r="A566" s="248" t="str">
        <f>Form!C561</f>
        <v/>
      </c>
      <c r="B566" s="4" t="str">
        <f>Form!D561</f>
        <v/>
      </c>
      <c r="C566" s="166" t="str">
        <f>Form!M561</f>
        <v/>
      </c>
      <c r="D566" s="166" t="str">
        <f>Form!N561</f>
        <v/>
      </c>
      <c r="E566" s="166" t="str">
        <f>Form!J561</f>
        <v/>
      </c>
      <c r="F566" s="166" t="str">
        <f>Form!K561</f>
        <v/>
      </c>
      <c r="G566" s="166"/>
      <c r="H566" s="166" t="str">
        <f>Form!O562</f>
        <v/>
      </c>
    </row>
    <row r="567">
      <c r="A567" s="248" t="str">
        <f>Form!C562</f>
        <v/>
      </c>
      <c r="B567" s="4" t="str">
        <f>Form!D562</f>
        <v/>
      </c>
      <c r="C567" s="166" t="str">
        <f>Form!M562</f>
        <v/>
      </c>
      <c r="D567" s="166" t="str">
        <f>Form!N562</f>
        <v/>
      </c>
      <c r="E567" s="166" t="str">
        <f>Form!J562</f>
        <v/>
      </c>
      <c r="F567" s="166" t="str">
        <f>Form!K562</f>
        <v/>
      </c>
      <c r="G567" s="166"/>
      <c r="H567" s="166" t="str">
        <f>Form!O563</f>
        <v/>
      </c>
    </row>
    <row r="568">
      <c r="A568" s="248" t="str">
        <f>Form!C563</f>
        <v/>
      </c>
      <c r="B568" s="4" t="str">
        <f>Form!D563</f>
        <v/>
      </c>
      <c r="C568" s="166" t="str">
        <f>Form!M563</f>
        <v/>
      </c>
      <c r="D568" s="166" t="str">
        <f>Form!N563</f>
        <v/>
      </c>
      <c r="E568" s="166" t="str">
        <f>Form!J563</f>
        <v/>
      </c>
      <c r="F568" s="166" t="str">
        <f>Form!K563</f>
        <v/>
      </c>
      <c r="G568" s="166"/>
      <c r="H568" s="166" t="str">
        <f>Form!O564</f>
        <v/>
      </c>
    </row>
    <row r="569">
      <c r="A569" s="248" t="str">
        <f>Form!C564</f>
        <v/>
      </c>
      <c r="B569" s="4" t="str">
        <f>Form!D564</f>
        <v/>
      </c>
      <c r="C569" s="166" t="str">
        <f>Form!M564</f>
        <v/>
      </c>
      <c r="D569" s="166" t="str">
        <f>Form!N564</f>
        <v/>
      </c>
      <c r="E569" s="166" t="str">
        <f>Form!J564</f>
        <v/>
      </c>
      <c r="F569" s="166" t="str">
        <f>Form!K564</f>
        <v/>
      </c>
      <c r="G569" s="166"/>
      <c r="H569" s="166" t="str">
        <f>Form!O565</f>
        <v/>
      </c>
    </row>
    <row r="570">
      <c r="A570" s="248" t="str">
        <f>Form!C565</f>
        <v/>
      </c>
      <c r="B570" s="4" t="str">
        <f>Form!D565</f>
        <v/>
      </c>
      <c r="C570" s="166" t="str">
        <f>Form!M565</f>
        <v/>
      </c>
      <c r="D570" s="166" t="str">
        <f>Form!N565</f>
        <v/>
      </c>
      <c r="E570" s="166" t="str">
        <f>Form!J565</f>
        <v/>
      </c>
      <c r="F570" s="166" t="str">
        <f>Form!K565</f>
        <v/>
      </c>
      <c r="G570" s="166"/>
      <c r="H570" s="166" t="str">
        <f>Form!O566</f>
        <v/>
      </c>
    </row>
    <row r="571">
      <c r="A571" s="248" t="str">
        <f>Form!C566</f>
        <v/>
      </c>
      <c r="B571" s="4" t="str">
        <f>Form!D566</f>
        <v/>
      </c>
      <c r="C571" s="166" t="str">
        <f>Form!M566</f>
        <v/>
      </c>
      <c r="D571" s="166" t="str">
        <f>Form!N566</f>
        <v/>
      </c>
      <c r="E571" s="166" t="str">
        <f>Form!J566</f>
        <v/>
      </c>
      <c r="F571" s="166" t="str">
        <f>Form!K566</f>
        <v/>
      </c>
      <c r="G571" s="166"/>
      <c r="H571" s="166" t="str">
        <f>Form!O567</f>
        <v/>
      </c>
    </row>
    <row r="572">
      <c r="A572" s="248" t="str">
        <f>Form!C567</f>
        <v/>
      </c>
      <c r="B572" s="4" t="str">
        <f>Form!D567</f>
        <v/>
      </c>
      <c r="C572" s="166" t="str">
        <f>Form!M567</f>
        <v/>
      </c>
      <c r="D572" s="166" t="str">
        <f>Form!N567</f>
        <v/>
      </c>
      <c r="E572" s="166" t="str">
        <f>Form!J567</f>
        <v/>
      </c>
      <c r="F572" s="166" t="str">
        <f>Form!K567</f>
        <v/>
      </c>
      <c r="G572" s="166"/>
      <c r="H572" s="166" t="str">
        <f>Form!O568</f>
        <v/>
      </c>
    </row>
    <row r="573">
      <c r="A573" s="248" t="str">
        <f>Form!C568</f>
        <v/>
      </c>
      <c r="B573" s="4" t="str">
        <f>Form!D568</f>
        <v/>
      </c>
      <c r="C573" s="166" t="str">
        <f>Form!M568</f>
        <v/>
      </c>
      <c r="D573" s="166" t="str">
        <f>Form!N568</f>
        <v/>
      </c>
      <c r="E573" s="166" t="str">
        <f>Form!J568</f>
        <v/>
      </c>
      <c r="F573" s="166" t="str">
        <f>Form!K568</f>
        <v/>
      </c>
      <c r="G573" s="166"/>
      <c r="H573" s="166" t="str">
        <f>Form!O569</f>
        <v/>
      </c>
    </row>
    <row r="574">
      <c r="A574" s="248" t="str">
        <f>Form!C569</f>
        <v/>
      </c>
      <c r="B574" s="4" t="str">
        <f>Form!D569</f>
        <v/>
      </c>
      <c r="C574" s="166" t="str">
        <f>Form!M569</f>
        <v/>
      </c>
      <c r="D574" s="166" t="str">
        <f>Form!N569</f>
        <v/>
      </c>
      <c r="E574" s="166" t="str">
        <f>Form!J569</f>
        <v/>
      </c>
      <c r="F574" s="166" t="str">
        <f>Form!K569</f>
        <v/>
      </c>
      <c r="G574" s="166"/>
      <c r="H574" s="166" t="str">
        <f>Form!O570</f>
        <v/>
      </c>
    </row>
    <row r="575">
      <c r="A575" s="248" t="str">
        <f>Form!C570</f>
        <v/>
      </c>
      <c r="B575" s="4" t="str">
        <f>Form!D570</f>
        <v/>
      </c>
      <c r="C575" s="166" t="str">
        <f>Form!M570</f>
        <v/>
      </c>
      <c r="D575" s="166" t="str">
        <f>Form!N570</f>
        <v/>
      </c>
      <c r="E575" s="166" t="str">
        <f>Form!J570</f>
        <v/>
      </c>
      <c r="F575" s="166" t="str">
        <f>Form!K570</f>
        <v/>
      </c>
      <c r="G575" s="166"/>
      <c r="H575" s="166" t="str">
        <f>Form!O571</f>
        <v/>
      </c>
    </row>
    <row r="576">
      <c r="A576" s="248" t="str">
        <f>Form!C571</f>
        <v/>
      </c>
      <c r="B576" s="4" t="str">
        <f>Form!D571</f>
        <v/>
      </c>
      <c r="C576" s="166" t="str">
        <f>Form!M571</f>
        <v/>
      </c>
      <c r="D576" s="166" t="str">
        <f>Form!N571</f>
        <v/>
      </c>
      <c r="E576" s="166" t="str">
        <f>Form!J571</f>
        <v/>
      </c>
      <c r="F576" s="166" t="str">
        <f>Form!K571</f>
        <v/>
      </c>
      <c r="G576" s="166"/>
      <c r="H576" s="166" t="str">
        <f>Form!O572</f>
        <v/>
      </c>
    </row>
    <row r="577">
      <c r="A577" s="248" t="str">
        <f>Form!C572</f>
        <v/>
      </c>
      <c r="B577" s="4" t="str">
        <f>Form!D572</f>
        <v/>
      </c>
      <c r="C577" s="166" t="str">
        <f>Form!M572</f>
        <v/>
      </c>
      <c r="D577" s="166" t="str">
        <f>Form!N572</f>
        <v/>
      </c>
      <c r="E577" s="166" t="str">
        <f>Form!J572</f>
        <v/>
      </c>
      <c r="F577" s="166" t="str">
        <f>Form!K572</f>
        <v/>
      </c>
      <c r="G577" s="166"/>
      <c r="H577" s="166" t="str">
        <f>Form!O573</f>
        <v/>
      </c>
    </row>
    <row r="578">
      <c r="A578" s="248" t="str">
        <f>Form!C573</f>
        <v/>
      </c>
      <c r="B578" s="4" t="str">
        <f>Form!D573</f>
        <v/>
      </c>
      <c r="C578" s="166" t="str">
        <f>Form!M573</f>
        <v/>
      </c>
      <c r="D578" s="166" t="str">
        <f>Form!N573</f>
        <v/>
      </c>
      <c r="E578" s="166" t="str">
        <f>Form!J573</f>
        <v/>
      </c>
      <c r="F578" s="166" t="str">
        <f>Form!K573</f>
        <v/>
      </c>
      <c r="G578" s="166"/>
      <c r="H578" s="166" t="str">
        <f>Form!O574</f>
        <v/>
      </c>
    </row>
    <row r="579">
      <c r="A579" s="248" t="str">
        <f>Form!C574</f>
        <v/>
      </c>
      <c r="B579" s="4" t="str">
        <f>Form!D574</f>
        <v/>
      </c>
      <c r="C579" s="166" t="str">
        <f>Form!M574</f>
        <v/>
      </c>
      <c r="D579" s="166" t="str">
        <f>Form!N574</f>
        <v/>
      </c>
      <c r="E579" s="166" t="str">
        <f>Form!J574</f>
        <v/>
      </c>
      <c r="F579" s="166" t="str">
        <f>Form!K574</f>
        <v/>
      </c>
      <c r="G579" s="166"/>
      <c r="H579" s="166" t="str">
        <f>Form!O575</f>
        <v/>
      </c>
    </row>
    <row r="580">
      <c r="A580" s="248" t="str">
        <f>Form!C575</f>
        <v/>
      </c>
      <c r="B580" s="4" t="str">
        <f>Form!D575</f>
        <v/>
      </c>
      <c r="C580" s="166" t="str">
        <f>Form!M575</f>
        <v/>
      </c>
      <c r="D580" s="166" t="str">
        <f>Form!N575</f>
        <v/>
      </c>
      <c r="E580" s="166" t="str">
        <f>Form!J575</f>
        <v/>
      </c>
      <c r="F580" s="166" t="str">
        <f>Form!K575</f>
        <v/>
      </c>
      <c r="G580" s="166"/>
      <c r="H580" s="166" t="str">
        <f>Form!O576</f>
        <v/>
      </c>
    </row>
    <row r="581">
      <c r="A581" s="248" t="str">
        <f>Form!C576</f>
        <v/>
      </c>
      <c r="B581" s="4" t="str">
        <f>Form!D576</f>
        <v/>
      </c>
      <c r="C581" s="166" t="str">
        <f>Form!M576</f>
        <v/>
      </c>
      <c r="D581" s="166" t="str">
        <f>Form!N576</f>
        <v/>
      </c>
      <c r="E581" s="166" t="str">
        <f>Form!J576</f>
        <v/>
      </c>
      <c r="F581" s="166" t="str">
        <f>Form!K576</f>
        <v/>
      </c>
      <c r="G581" s="166"/>
      <c r="H581" s="166" t="str">
        <f>Form!O577</f>
        <v/>
      </c>
    </row>
    <row r="582">
      <c r="A582" s="248" t="str">
        <f>Form!C577</f>
        <v/>
      </c>
      <c r="B582" s="4" t="str">
        <f>Form!D577</f>
        <v/>
      </c>
      <c r="C582" s="166" t="str">
        <f>Form!M577</f>
        <v/>
      </c>
      <c r="D582" s="166" t="str">
        <f>Form!N577</f>
        <v/>
      </c>
      <c r="E582" s="166" t="str">
        <f>Form!J577</f>
        <v/>
      </c>
      <c r="F582" s="166" t="str">
        <f>Form!K577</f>
        <v/>
      </c>
      <c r="G582" s="166"/>
      <c r="H582" s="166" t="str">
        <f>Form!O578</f>
        <v/>
      </c>
    </row>
    <row r="583">
      <c r="A583" s="248" t="str">
        <f>Form!C578</f>
        <v/>
      </c>
      <c r="B583" s="4" t="str">
        <f>Form!D578</f>
        <v/>
      </c>
      <c r="C583" s="166" t="str">
        <f>Form!M578</f>
        <v/>
      </c>
      <c r="D583" s="166" t="str">
        <f>Form!N578</f>
        <v/>
      </c>
      <c r="E583" s="166" t="str">
        <f>Form!J578</f>
        <v/>
      </c>
      <c r="F583" s="166" t="str">
        <f>Form!K578</f>
        <v/>
      </c>
      <c r="G583" s="166"/>
      <c r="H583" s="166" t="str">
        <f>Form!O579</f>
        <v/>
      </c>
    </row>
    <row r="584">
      <c r="A584" s="248" t="str">
        <f>Form!C579</f>
        <v/>
      </c>
      <c r="B584" s="4" t="str">
        <f>Form!D579</f>
        <v/>
      </c>
      <c r="C584" s="166" t="str">
        <f>Form!M579</f>
        <v/>
      </c>
      <c r="D584" s="166" t="str">
        <f>Form!N579</f>
        <v/>
      </c>
      <c r="E584" s="166" t="str">
        <f>Form!J579</f>
        <v/>
      </c>
      <c r="F584" s="166" t="str">
        <f>Form!K579</f>
        <v/>
      </c>
      <c r="G584" s="166"/>
      <c r="H584" s="166" t="str">
        <f>Form!O580</f>
        <v/>
      </c>
    </row>
    <row r="585">
      <c r="A585" s="248" t="str">
        <f>Form!C580</f>
        <v/>
      </c>
      <c r="B585" s="4" t="str">
        <f>Form!D580</f>
        <v/>
      </c>
      <c r="C585" s="166" t="str">
        <f>Form!M580</f>
        <v/>
      </c>
      <c r="D585" s="166" t="str">
        <f>Form!N580</f>
        <v/>
      </c>
      <c r="E585" s="166" t="str">
        <f>Form!J580</f>
        <v/>
      </c>
      <c r="F585" s="166" t="str">
        <f>Form!K580</f>
        <v/>
      </c>
      <c r="G585" s="166"/>
      <c r="H585" s="166" t="str">
        <f>Form!O581</f>
        <v/>
      </c>
    </row>
    <row r="586">
      <c r="A586" s="248" t="str">
        <f>Form!C581</f>
        <v/>
      </c>
      <c r="B586" s="4" t="str">
        <f>Form!D581</f>
        <v/>
      </c>
      <c r="C586" s="166" t="str">
        <f>Form!M581</f>
        <v/>
      </c>
      <c r="D586" s="166" t="str">
        <f>Form!N581</f>
        <v/>
      </c>
      <c r="E586" s="166" t="str">
        <f>Form!J581</f>
        <v/>
      </c>
      <c r="F586" s="166" t="str">
        <f>Form!K581</f>
        <v/>
      </c>
      <c r="G586" s="166"/>
      <c r="H586" s="166" t="str">
        <f>Form!O582</f>
        <v/>
      </c>
    </row>
    <row r="587">
      <c r="A587" s="248" t="str">
        <f>Form!C582</f>
        <v/>
      </c>
      <c r="B587" s="4" t="str">
        <f>Form!D582</f>
        <v/>
      </c>
      <c r="C587" s="166" t="str">
        <f>Form!M582</f>
        <v/>
      </c>
      <c r="D587" s="166" t="str">
        <f>Form!N582</f>
        <v/>
      </c>
      <c r="E587" s="166" t="str">
        <f>Form!J582</f>
        <v/>
      </c>
      <c r="F587" s="166" t="str">
        <f>Form!K582</f>
        <v/>
      </c>
      <c r="G587" s="166"/>
      <c r="H587" s="166" t="str">
        <f>Form!O583</f>
        <v/>
      </c>
    </row>
    <row r="588">
      <c r="A588" s="248" t="str">
        <f>Form!C583</f>
        <v/>
      </c>
      <c r="B588" s="4" t="str">
        <f>Form!D583</f>
        <v/>
      </c>
      <c r="C588" s="166" t="str">
        <f>Form!M583</f>
        <v/>
      </c>
      <c r="D588" s="166" t="str">
        <f>Form!N583</f>
        <v/>
      </c>
      <c r="E588" s="166" t="str">
        <f>Form!J583</f>
        <v/>
      </c>
      <c r="F588" s="166" t="str">
        <f>Form!K583</f>
        <v/>
      </c>
      <c r="G588" s="166"/>
      <c r="H588" s="166" t="str">
        <f>Form!O584</f>
        <v/>
      </c>
    </row>
    <row r="589">
      <c r="A589" s="248" t="str">
        <f>Form!C584</f>
        <v/>
      </c>
      <c r="B589" s="4" t="str">
        <f>Form!D584</f>
        <v/>
      </c>
      <c r="C589" s="166" t="str">
        <f>Form!M584</f>
        <v/>
      </c>
      <c r="D589" s="166" t="str">
        <f>Form!N584</f>
        <v/>
      </c>
      <c r="E589" s="166" t="str">
        <f>Form!J584</f>
        <v/>
      </c>
      <c r="F589" s="166" t="str">
        <f>Form!K584</f>
        <v/>
      </c>
      <c r="G589" s="166"/>
      <c r="H589" s="166" t="str">
        <f>Form!O585</f>
        <v/>
      </c>
    </row>
    <row r="590">
      <c r="A590" s="248" t="str">
        <f>Form!C585</f>
        <v/>
      </c>
      <c r="B590" s="4" t="str">
        <f>Form!D585</f>
        <v/>
      </c>
      <c r="C590" s="166" t="str">
        <f>Form!M585</f>
        <v/>
      </c>
      <c r="D590" s="166" t="str">
        <f>Form!N585</f>
        <v/>
      </c>
      <c r="E590" s="166" t="str">
        <f>Form!J585</f>
        <v/>
      </c>
      <c r="F590" s="166" t="str">
        <f>Form!K585</f>
        <v/>
      </c>
      <c r="G590" s="166"/>
      <c r="H590" s="166" t="str">
        <f>Form!O586</f>
        <v/>
      </c>
    </row>
    <row r="591">
      <c r="A591" s="248" t="str">
        <f>Form!C586</f>
        <v/>
      </c>
      <c r="B591" s="4" t="str">
        <f>Form!D586</f>
        <v/>
      </c>
      <c r="C591" s="166" t="str">
        <f>Form!M586</f>
        <v/>
      </c>
      <c r="D591" s="166" t="str">
        <f>Form!N586</f>
        <v/>
      </c>
      <c r="E591" s="166" t="str">
        <f>Form!J586</f>
        <v/>
      </c>
      <c r="F591" s="166" t="str">
        <f>Form!K586</f>
        <v/>
      </c>
      <c r="G591" s="166"/>
      <c r="H591" s="166" t="str">
        <f>Form!O587</f>
        <v/>
      </c>
    </row>
    <row r="592">
      <c r="A592" s="248" t="str">
        <f>Form!C587</f>
        <v/>
      </c>
      <c r="B592" s="4" t="str">
        <f>Form!D587</f>
        <v/>
      </c>
      <c r="C592" s="166" t="str">
        <f>Form!M587</f>
        <v/>
      </c>
      <c r="D592" s="166" t="str">
        <f>Form!N587</f>
        <v/>
      </c>
      <c r="E592" s="166" t="str">
        <f>Form!J587</f>
        <v/>
      </c>
      <c r="F592" s="166" t="str">
        <f>Form!K587</f>
        <v/>
      </c>
      <c r="G592" s="166"/>
      <c r="H592" s="166" t="str">
        <f>Form!O588</f>
        <v/>
      </c>
    </row>
    <row r="593">
      <c r="A593" s="248" t="str">
        <f>Form!C588</f>
        <v/>
      </c>
      <c r="B593" s="4" t="str">
        <f>Form!D588</f>
        <v/>
      </c>
      <c r="C593" s="166" t="str">
        <f>Form!M588</f>
        <v/>
      </c>
      <c r="D593" s="166" t="str">
        <f>Form!N588</f>
        <v/>
      </c>
      <c r="E593" s="166" t="str">
        <f>Form!J588</f>
        <v/>
      </c>
      <c r="F593" s="166" t="str">
        <f>Form!K588</f>
        <v/>
      </c>
      <c r="G593" s="166"/>
      <c r="H593" s="166" t="str">
        <f>Form!O589</f>
        <v/>
      </c>
    </row>
    <row r="594">
      <c r="A594" s="248" t="str">
        <f>Form!C589</f>
        <v/>
      </c>
      <c r="B594" s="4" t="str">
        <f>Form!D589</f>
        <v/>
      </c>
      <c r="C594" s="166" t="str">
        <f>Form!M589</f>
        <v/>
      </c>
      <c r="D594" s="166" t="str">
        <f>Form!N589</f>
        <v/>
      </c>
      <c r="E594" s="166" t="str">
        <f>Form!J589</f>
        <v/>
      </c>
      <c r="F594" s="166" t="str">
        <f>Form!K589</f>
        <v/>
      </c>
      <c r="G594" s="166"/>
      <c r="H594" s="166" t="str">
        <f>Form!O590</f>
        <v/>
      </c>
    </row>
    <row r="595">
      <c r="A595" s="248" t="str">
        <f>Form!C590</f>
        <v/>
      </c>
      <c r="B595" s="4" t="str">
        <f>Form!D590</f>
        <v/>
      </c>
      <c r="C595" s="166" t="str">
        <f>Form!M590</f>
        <v/>
      </c>
      <c r="D595" s="166" t="str">
        <f>Form!N590</f>
        <v/>
      </c>
      <c r="E595" s="166" t="str">
        <f>Form!J590</f>
        <v/>
      </c>
      <c r="F595" s="166" t="str">
        <f>Form!K590</f>
        <v/>
      </c>
      <c r="G595" s="166"/>
      <c r="H595" s="166" t="str">
        <f>Form!O591</f>
        <v/>
      </c>
    </row>
    <row r="596">
      <c r="A596" s="248" t="str">
        <f>Form!C591</f>
        <v/>
      </c>
      <c r="B596" s="4" t="str">
        <f>Form!D591</f>
        <v/>
      </c>
      <c r="C596" s="166" t="str">
        <f>Form!M591</f>
        <v/>
      </c>
      <c r="D596" s="166" t="str">
        <f>Form!N591</f>
        <v/>
      </c>
      <c r="E596" s="166" t="str">
        <f>Form!J591</f>
        <v/>
      </c>
      <c r="F596" s="166" t="str">
        <f>Form!K591</f>
        <v/>
      </c>
      <c r="G596" s="166"/>
      <c r="H596" s="166" t="str">
        <f>Form!O592</f>
        <v/>
      </c>
    </row>
    <row r="597">
      <c r="A597" s="248" t="str">
        <f>Form!C592</f>
        <v/>
      </c>
      <c r="B597" s="4" t="str">
        <f>Form!D592</f>
        <v/>
      </c>
      <c r="C597" s="166" t="str">
        <f>Form!M592</f>
        <v/>
      </c>
      <c r="D597" s="166" t="str">
        <f>Form!N592</f>
        <v/>
      </c>
      <c r="E597" s="166" t="str">
        <f>Form!J592</f>
        <v/>
      </c>
      <c r="F597" s="166" t="str">
        <f>Form!K592</f>
        <v/>
      </c>
      <c r="G597" s="166"/>
      <c r="H597" s="166" t="str">
        <f>Form!O593</f>
        <v/>
      </c>
    </row>
    <row r="598">
      <c r="A598" s="248" t="str">
        <f>Form!C593</f>
        <v/>
      </c>
      <c r="B598" s="4" t="str">
        <f>Form!D593</f>
        <v/>
      </c>
      <c r="C598" s="166" t="str">
        <f>Form!M593</f>
        <v/>
      </c>
      <c r="D598" s="166" t="str">
        <f>Form!N593</f>
        <v/>
      </c>
      <c r="E598" s="166" t="str">
        <f>Form!J593</f>
        <v/>
      </c>
      <c r="F598" s="166" t="str">
        <f>Form!K593</f>
        <v/>
      </c>
      <c r="G598" s="166"/>
      <c r="H598" s="166" t="str">
        <f>Form!O594</f>
        <v/>
      </c>
    </row>
    <row r="599">
      <c r="A599" s="248" t="str">
        <f>Form!C594</f>
        <v/>
      </c>
      <c r="B599" s="4" t="str">
        <f>Form!D594</f>
        <v/>
      </c>
      <c r="C599" s="166" t="str">
        <f>Form!M594</f>
        <v/>
      </c>
      <c r="D599" s="166" t="str">
        <f>Form!N594</f>
        <v/>
      </c>
      <c r="E599" s="166" t="str">
        <f>Form!J594</f>
        <v/>
      </c>
      <c r="F599" s="166" t="str">
        <f>Form!K594</f>
        <v/>
      </c>
      <c r="G599" s="166"/>
      <c r="H599" s="166" t="str">
        <f>Form!O595</f>
        <v/>
      </c>
    </row>
    <row r="600">
      <c r="A600" s="248" t="str">
        <f>Form!C595</f>
        <v/>
      </c>
      <c r="B600" s="4" t="str">
        <f>Form!D595</f>
        <v/>
      </c>
      <c r="C600" s="166" t="str">
        <f>Form!M595</f>
        <v/>
      </c>
      <c r="D600" s="166" t="str">
        <f>Form!N595</f>
        <v/>
      </c>
      <c r="E600" s="166" t="str">
        <f>Form!J595</f>
        <v/>
      </c>
      <c r="F600" s="166" t="str">
        <f>Form!K595</f>
        <v/>
      </c>
      <c r="G600" s="166"/>
      <c r="H600" s="166" t="str">
        <f>Form!O596</f>
        <v/>
      </c>
    </row>
    <row r="601">
      <c r="A601" s="248" t="str">
        <f>Form!C596</f>
        <v/>
      </c>
      <c r="B601" s="4" t="str">
        <f>Form!D596</f>
        <v/>
      </c>
      <c r="C601" s="166" t="str">
        <f>Form!M596</f>
        <v/>
      </c>
      <c r="D601" s="166" t="str">
        <f>Form!N596</f>
        <v/>
      </c>
      <c r="E601" s="166" t="str">
        <f>Form!J596</f>
        <v/>
      </c>
      <c r="F601" s="166" t="str">
        <f>Form!K596</f>
        <v/>
      </c>
      <c r="G601" s="166"/>
      <c r="H601" s="166" t="str">
        <f>Form!O597</f>
        <v/>
      </c>
    </row>
    <row r="602">
      <c r="A602" s="248" t="str">
        <f>Form!C597</f>
        <v/>
      </c>
      <c r="B602" s="4" t="str">
        <f>Form!D597</f>
        <v/>
      </c>
      <c r="C602" s="166" t="str">
        <f>Form!M597</f>
        <v/>
      </c>
      <c r="D602" s="166" t="str">
        <f>Form!N597</f>
        <v/>
      </c>
      <c r="E602" s="166" t="str">
        <f>Form!J597</f>
        <v/>
      </c>
      <c r="F602" s="166" t="str">
        <f>Form!K597</f>
        <v/>
      </c>
      <c r="G602" s="166"/>
      <c r="H602" s="166" t="str">
        <f>Form!O598</f>
        <v/>
      </c>
    </row>
    <row r="603">
      <c r="A603" s="248" t="str">
        <f>Form!C598</f>
        <v/>
      </c>
      <c r="B603" s="4" t="str">
        <f>Form!D598</f>
        <v/>
      </c>
      <c r="C603" s="166" t="str">
        <f>Form!M598</f>
        <v/>
      </c>
      <c r="D603" s="166" t="str">
        <f>Form!N598</f>
        <v/>
      </c>
      <c r="E603" s="166" t="str">
        <f>Form!J598</f>
        <v/>
      </c>
      <c r="F603" s="166" t="str">
        <f>Form!K598</f>
        <v/>
      </c>
      <c r="G603" s="166"/>
      <c r="H603" s="166" t="str">
        <f>Form!O599</f>
        <v/>
      </c>
    </row>
    <row r="604">
      <c r="A604" s="248" t="str">
        <f>Form!C599</f>
        <v/>
      </c>
      <c r="B604" s="4" t="str">
        <f>Form!D599</f>
        <v/>
      </c>
      <c r="C604" s="166" t="str">
        <f>Form!M599</f>
        <v/>
      </c>
      <c r="D604" s="166" t="str">
        <f>Form!N599</f>
        <v/>
      </c>
      <c r="E604" s="166" t="str">
        <f>Form!J599</f>
        <v/>
      </c>
      <c r="F604" s="166" t="str">
        <f>Form!K599</f>
        <v/>
      </c>
      <c r="G604" s="166"/>
      <c r="H604" s="166" t="str">
        <f>Form!O600</f>
        <v/>
      </c>
    </row>
    <row r="605">
      <c r="A605" s="248" t="str">
        <f>Form!C600</f>
        <v/>
      </c>
      <c r="B605" s="4" t="str">
        <f>Form!D600</f>
        <v/>
      </c>
      <c r="C605" s="166" t="str">
        <f>Form!M600</f>
        <v/>
      </c>
      <c r="D605" s="166" t="str">
        <f>Form!N600</f>
        <v/>
      </c>
      <c r="E605" s="166" t="str">
        <f>Form!J600</f>
        <v/>
      </c>
      <c r="F605" s="166" t="str">
        <f>Form!K600</f>
        <v/>
      </c>
      <c r="G605" s="166"/>
      <c r="H605" s="166" t="str">
        <f>Form!O601</f>
        <v/>
      </c>
    </row>
    <row r="606">
      <c r="A606" s="248" t="str">
        <f>Form!C601</f>
        <v/>
      </c>
      <c r="B606" s="4" t="str">
        <f>Form!D601</f>
        <v/>
      </c>
      <c r="C606" s="166" t="str">
        <f>Form!M601</f>
        <v/>
      </c>
      <c r="D606" s="166" t="str">
        <f>Form!N601</f>
        <v/>
      </c>
      <c r="E606" s="166" t="str">
        <f>Form!J601</f>
        <v/>
      </c>
      <c r="F606" s="166" t="str">
        <f>Form!K601</f>
        <v/>
      </c>
      <c r="G606" s="166"/>
      <c r="H606" s="166" t="str">
        <f>Form!O602</f>
        <v/>
      </c>
    </row>
    <row r="607">
      <c r="A607" s="248" t="str">
        <f>Form!C602</f>
        <v/>
      </c>
      <c r="B607" s="4" t="str">
        <f>Form!D602</f>
        <v/>
      </c>
      <c r="C607" s="166" t="str">
        <f>Form!M602</f>
        <v/>
      </c>
      <c r="D607" s="166" t="str">
        <f>Form!N602</f>
        <v/>
      </c>
      <c r="E607" s="166" t="str">
        <f>Form!J602</f>
        <v/>
      </c>
      <c r="F607" s="166" t="str">
        <f>Form!K602</f>
        <v/>
      </c>
      <c r="G607" s="166"/>
      <c r="H607" s="166" t="str">
        <f>Form!O603</f>
        <v/>
      </c>
    </row>
    <row r="608">
      <c r="A608" s="248" t="str">
        <f>Form!C603</f>
        <v/>
      </c>
      <c r="B608" s="4" t="str">
        <f>Form!D603</f>
        <v/>
      </c>
      <c r="C608" s="166" t="str">
        <f>Form!M603</f>
        <v/>
      </c>
      <c r="D608" s="166" t="str">
        <f>Form!N603</f>
        <v/>
      </c>
      <c r="E608" s="166" t="str">
        <f>Form!J603</f>
        <v/>
      </c>
      <c r="F608" s="166" t="str">
        <f>Form!K603</f>
        <v/>
      </c>
      <c r="G608" s="166"/>
      <c r="H608" s="166" t="str">
        <f>Form!O604</f>
        <v/>
      </c>
    </row>
    <row r="609">
      <c r="A609" s="248" t="str">
        <f>Form!C604</f>
        <v/>
      </c>
      <c r="B609" s="4" t="str">
        <f>Form!D604</f>
        <v/>
      </c>
      <c r="C609" s="166" t="str">
        <f>Form!M604</f>
        <v/>
      </c>
      <c r="D609" s="166" t="str">
        <f>Form!N604</f>
        <v/>
      </c>
      <c r="E609" s="166" t="str">
        <f>Form!J604</f>
        <v/>
      </c>
      <c r="F609" s="166" t="str">
        <f>Form!K604</f>
        <v/>
      </c>
      <c r="G609" s="166"/>
      <c r="H609" s="166" t="str">
        <f>Form!O605</f>
        <v/>
      </c>
    </row>
    <row r="610">
      <c r="A610" s="248" t="str">
        <f>Form!C605</f>
        <v/>
      </c>
      <c r="B610" s="4" t="str">
        <f>Form!D605</f>
        <v/>
      </c>
      <c r="C610" s="166" t="str">
        <f>Form!M605</f>
        <v/>
      </c>
      <c r="D610" s="166" t="str">
        <f>Form!N605</f>
        <v/>
      </c>
      <c r="E610" s="166" t="str">
        <f>Form!J605</f>
        <v/>
      </c>
      <c r="F610" s="166" t="str">
        <f>Form!K605</f>
        <v/>
      </c>
      <c r="G610" s="166"/>
      <c r="H610" s="166" t="str">
        <f>Form!O606</f>
        <v/>
      </c>
    </row>
    <row r="611">
      <c r="A611" s="248" t="str">
        <f>Form!C606</f>
        <v/>
      </c>
      <c r="B611" s="4" t="str">
        <f>Form!D606</f>
        <v/>
      </c>
      <c r="C611" s="166" t="str">
        <f>Form!M606</f>
        <v/>
      </c>
      <c r="D611" s="166" t="str">
        <f>Form!N606</f>
        <v/>
      </c>
      <c r="E611" s="166" t="str">
        <f>Form!J606</f>
        <v/>
      </c>
      <c r="F611" s="166" t="str">
        <f>Form!K606</f>
        <v/>
      </c>
      <c r="G611" s="166"/>
      <c r="H611" s="166" t="str">
        <f>Form!O607</f>
        <v/>
      </c>
    </row>
    <row r="612">
      <c r="A612" s="248" t="str">
        <f>Form!C607</f>
        <v/>
      </c>
      <c r="B612" s="4" t="str">
        <f>Form!D607</f>
        <v/>
      </c>
      <c r="C612" s="166" t="str">
        <f>Form!M607</f>
        <v/>
      </c>
      <c r="D612" s="166" t="str">
        <f>Form!N607</f>
        <v/>
      </c>
      <c r="E612" s="166" t="str">
        <f>Form!J607</f>
        <v/>
      </c>
      <c r="F612" s="166" t="str">
        <f>Form!K607</f>
        <v/>
      </c>
      <c r="G612" s="166"/>
      <c r="H612" s="166" t="str">
        <f>Form!O608</f>
        <v/>
      </c>
    </row>
    <row r="613">
      <c r="A613" s="248" t="str">
        <f>Form!C608</f>
        <v/>
      </c>
      <c r="B613" s="4" t="str">
        <f>Form!D608</f>
        <v/>
      </c>
      <c r="C613" s="166" t="str">
        <f>Form!M608</f>
        <v/>
      </c>
      <c r="D613" s="166" t="str">
        <f>Form!N608</f>
        <v/>
      </c>
      <c r="E613" s="166" t="str">
        <f>Form!J608</f>
        <v/>
      </c>
      <c r="F613" s="166" t="str">
        <f>Form!K608</f>
        <v/>
      </c>
      <c r="G613" s="166"/>
      <c r="H613" s="166" t="str">
        <f>Form!O609</f>
        <v/>
      </c>
    </row>
    <row r="614">
      <c r="A614" s="248" t="str">
        <f>Form!C609</f>
        <v/>
      </c>
      <c r="B614" s="4" t="str">
        <f>Form!D609</f>
        <v/>
      </c>
      <c r="C614" s="166" t="str">
        <f>Form!M609</f>
        <v/>
      </c>
      <c r="D614" s="166" t="str">
        <f>Form!N609</f>
        <v/>
      </c>
      <c r="E614" s="166" t="str">
        <f>Form!J609</f>
        <v/>
      </c>
      <c r="F614" s="166" t="str">
        <f>Form!K609</f>
        <v/>
      </c>
      <c r="G614" s="166"/>
      <c r="H614" s="166" t="str">
        <f>Form!O610</f>
        <v/>
      </c>
    </row>
    <row r="615">
      <c r="A615" s="248" t="str">
        <f>Form!C610</f>
        <v/>
      </c>
      <c r="B615" s="4" t="str">
        <f>Form!D610</f>
        <v/>
      </c>
      <c r="C615" s="166" t="str">
        <f>Form!M610</f>
        <v/>
      </c>
      <c r="D615" s="166" t="str">
        <f>Form!N610</f>
        <v/>
      </c>
      <c r="E615" s="166" t="str">
        <f>Form!J610</f>
        <v/>
      </c>
      <c r="F615" s="166" t="str">
        <f>Form!K610</f>
        <v/>
      </c>
      <c r="G615" s="166"/>
      <c r="H615" s="166" t="str">
        <f>Form!O611</f>
        <v/>
      </c>
    </row>
    <row r="616">
      <c r="A616" s="248" t="str">
        <f>Form!C611</f>
        <v/>
      </c>
      <c r="B616" s="4" t="str">
        <f>Form!D611</f>
        <v/>
      </c>
      <c r="C616" s="166" t="str">
        <f>Form!M611</f>
        <v/>
      </c>
      <c r="D616" s="166" t="str">
        <f>Form!N611</f>
        <v/>
      </c>
      <c r="E616" s="166" t="str">
        <f>Form!J611</f>
        <v/>
      </c>
      <c r="F616" s="166" t="str">
        <f>Form!K611</f>
        <v/>
      </c>
      <c r="G616" s="166"/>
      <c r="H616" s="166" t="str">
        <f>Form!O612</f>
        <v/>
      </c>
    </row>
    <row r="617">
      <c r="A617" s="248" t="str">
        <f>Form!C612</f>
        <v/>
      </c>
      <c r="B617" s="4" t="str">
        <f>Form!D612</f>
        <v/>
      </c>
      <c r="C617" s="166" t="str">
        <f>Form!M612</f>
        <v/>
      </c>
      <c r="D617" s="166" t="str">
        <f>Form!N612</f>
        <v/>
      </c>
      <c r="E617" s="166" t="str">
        <f>Form!J612</f>
        <v/>
      </c>
      <c r="F617" s="166" t="str">
        <f>Form!K612</f>
        <v/>
      </c>
      <c r="G617" s="166"/>
      <c r="H617" s="166" t="str">
        <f>Form!O613</f>
        <v/>
      </c>
    </row>
    <row r="618">
      <c r="A618" s="248" t="str">
        <f>Form!C613</f>
        <v/>
      </c>
      <c r="B618" s="4" t="str">
        <f>Form!D613</f>
        <v/>
      </c>
      <c r="C618" s="166" t="str">
        <f>Form!M613</f>
        <v/>
      </c>
      <c r="D618" s="166" t="str">
        <f>Form!N613</f>
        <v/>
      </c>
      <c r="E618" s="166" t="str">
        <f>Form!J613</f>
        <v/>
      </c>
      <c r="F618" s="166" t="str">
        <f>Form!K613</f>
        <v/>
      </c>
      <c r="G618" s="166"/>
      <c r="H618" s="166" t="str">
        <f>Form!O614</f>
        <v/>
      </c>
    </row>
    <row r="619">
      <c r="A619" s="248" t="str">
        <f>Form!C614</f>
        <v/>
      </c>
      <c r="B619" s="4" t="str">
        <f>Form!D614</f>
        <v/>
      </c>
      <c r="C619" s="166" t="str">
        <f>Form!M614</f>
        <v/>
      </c>
      <c r="D619" s="166" t="str">
        <f>Form!N614</f>
        <v/>
      </c>
      <c r="E619" s="166" t="str">
        <f>Form!J614</f>
        <v/>
      </c>
      <c r="F619" s="166" t="str">
        <f>Form!K614</f>
        <v/>
      </c>
      <c r="G619" s="166"/>
      <c r="H619" s="166" t="str">
        <f>Form!O615</f>
        <v/>
      </c>
    </row>
    <row r="620">
      <c r="A620" s="248" t="str">
        <f>Form!C615</f>
        <v/>
      </c>
      <c r="B620" s="4" t="str">
        <f>Form!D615</f>
        <v/>
      </c>
      <c r="C620" s="166" t="str">
        <f>Form!M615</f>
        <v/>
      </c>
      <c r="D620" s="166" t="str">
        <f>Form!N615</f>
        <v/>
      </c>
      <c r="E620" s="166" t="str">
        <f>Form!J615</f>
        <v/>
      </c>
      <c r="F620" s="166" t="str">
        <f>Form!K615</f>
        <v/>
      </c>
      <c r="G620" s="166"/>
      <c r="H620" s="166" t="str">
        <f>Form!O616</f>
        <v/>
      </c>
    </row>
    <row r="621">
      <c r="A621" s="248" t="str">
        <f>Form!C616</f>
        <v/>
      </c>
      <c r="B621" s="4" t="str">
        <f>Form!D616</f>
        <v/>
      </c>
      <c r="C621" s="166" t="str">
        <f>Form!M616</f>
        <v/>
      </c>
      <c r="D621" s="166" t="str">
        <f>Form!N616</f>
        <v/>
      </c>
      <c r="E621" s="166" t="str">
        <f>Form!J616</f>
        <v/>
      </c>
      <c r="F621" s="166" t="str">
        <f>Form!K616</f>
        <v/>
      </c>
      <c r="G621" s="166"/>
      <c r="H621" s="166" t="str">
        <f>Form!O617</f>
        <v/>
      </c>
    </row>
    <row r="622">
      <c r="A622" s="248" t="str">
        <f>Form!C617</f>
        <v/>
      </c>
      <c r="B622" s="4" t="str">
        <f>Form!D617</f>
        <v/>
      </c>
      <c r="C622" s="166" t="str">
        <f>Form!M617</f>
        <v/>
      </c>
      <c r="D622" s="166" t="str">
        <f>Form!N617</f>
        <v/>
      </c>
      <c r="E622" s="166" t="str">
        <f>Form!J617</f>
        <v/>
      </c>
      <c r="F622" s="166" t="str">
        <f>Form!K617</f>
        <v/>
      </c>
      <c r="G622" s="166"/>
      <c r="H622" s="166" t="str">
        <f>Form!O618</f>
        <v/>
      </c>
    </row>
    <row r="623">
      <c r="A623" s="248" t="str">
        <f>Form!C618</f>
        <v/>
      </c>
      <c r="B623" s="4" t="str">
        <f>Form!D618</f>
        <v/>
      </c>
      <c r="C623" s="166" t="str">
        <f>Form!M618</f>
        <v/>
      </c>
      <c r="D623" s="166" t="str">
        <f>Form!N618</f>
        <v/>
      </c>
      <c r="E623" s="166" t="str">
        <f>Form!J618</f>
        <v/>
      </c>
      <c r="F623" s="166" t="str">
        <f>Form!K618</f>
        <v/>
      </c>
      <c r="G623" s="166"/>
      <c r="H623" s="166" t="str">
        <f>Form!O619</f>
        <v/>
      </c>
    </row>
    <row r="624">
      <c r="A624" s="248" t="str">
        <f>Form!C619</f>
        <v/>
      </c>
      <c r="B624" s="4" t="str">
        <f>Form!D619</f>
        <v/>
      </c>
      <c r="C624" s="166" t="str">
        <f>Form!M619</f>
        <v/>
      </c>
      <c r="D624" s="166" t="str">
        <f>Form!N619</f>
        <v/>
      </c>
      <c r="E624" s="166" t="str">
        <f>Form!J619</f>
        <v/>
      </c>
      <c r="F624" s="166" t="str">
        <f>Form!K619</f>
        <v/>
      </c>
      <c r="G624" s="166"/>
      <c r="H624" s="166" t="str">
        <f>Form!O620</f>
        <v/>
      </c>
    </row>
    <row r="625">
      <c r="A625" s="248" t="str">
        <f>Form!C620</f>
        <v/>
      </c>
      <c r="B625" s="4" t="str">
        <f>Form!D620</f>
        <v/>
      </c>
      <c r="C625" s="166" t="str">
        <f>Form!M620</f>
        <v/>
      </c>
      <c r="D625" s="166" t="str">
        <f>Form!N620</f>
        <v/>
      </c>
      <c r="E625" s="166" t="str">
        <f>Form!J620</f>
        <v/>
      </c>
      <c r="F625" s="166" t="str">
        <f>Form!K620</f>
        <v/>
      </c>
      <c r="G625" s="166"/>
      <c r="H625" s="166" t="str">
        <f>Form!O621</f>
        <v/>
      </c>
    </row>
    <row r="626">
      <c r="A626" s="248" t="str">
        <f>Form!C621</f>
        <v/>
      </c>
      <c r="B626" s="4" t="str">
        <f>Form!D621</f>
        <v/>
      </c>
      <c r="C626" s="166" t="str">
        <f>Form!M621</f>
        <v/>
      </c>
      <c r="D626" s="166" t="str">
        <f>Form!N621</f>
        <v/>
      </c>
      <c r="E626" s="166" t="str">
        <f>Form!J621</f>
        <v/>
      </c>
      <c r="F626" s="166" t="str">
        <f>Form!K621</f>
        <v/>
      </c>
      <c r="G626" s="166"/>
      <c r="H626" s="166" t="str">
        <f>Form!O622</f>
        <v/>
      </c>
    </row>
    <row r="627">
      <c r="A627" s="248" t="str">
        <f>Form!C622</f>
        <v/>
      </c>
      <c r="B627" s="4" t="str">
        <f>Form!D622</f>
        <v/>
      </c>
      <c r="C627" s="166" t="str">
        <f>Form!M622</f>
        <v/>
      </c>
      <c r="D627" s="166" t="str">
        <f>Form!N622</f>
        <v/>
      </c>
      <c r="E627" s="166" t="str">
        <f>Form!J622</f>
        <v/>
      </c>
      <c r="F627" s="166" t="str">
        <f>Form!K622</f>
        <v/>
      </c>
      <c r="G627" s="166"/>
      <c r="H627" s="166" t="str">
        <f>Form!O623</f>
        <v/>
      </c>
    </row>
    <row r="628">
      <c r="A628" s="248" t="str">
        <f>Form!C623</f>
        <v/>
      </c>
      <c r="B628" s="4" t="str">
        <f>Form!D623</f>
        <v/>
      </c>
      <c r="C628" s="166" t="str">
        <f>Form!M623</f>
        <v/>
      </c>
      <c r="D628" s="166" t="str">
        <f>Form!N623</f>
        <v/>
      </c>
      <c r="E628" s="166" t="str">
        <f>Form!J623</f>
        <v/>
      </c>
      <c r="F628" s="166" t="str">
        <f>Form!K623</f>
        <v/>
      </c>
      <c r="G628" s="166"/>
      <c r="H628" s="166" t="str">
        <f>Form!O624</f>
        <v/>
      </c>
    </row>
    <row r="629">
      <c r="A629" s="248" t="str">
        <f>Form!C624</f>
        <v/>
      </c>
      <c r="B629" s="4" t="str">
        <f>Form!D624</f>
        <v/>
      </c>
      <c r="C629" s="166" t="str">
        <f>Form!M624</f>
        <v/>
      </c>
      <c r="D629" s="166" t="str">
        <f>Form!N624</f>
        <v/>
      </c>
      <c r="E629" s="166" t="str">
        <f>Form!J624</f>
        <v/>
      </c>
      <c r="F629" s="166" t="str">
        <f>Form!K624</f>
        <v/>
      </c>
      <c r="G629" s="166"/>
      <c r="H629" s="166" t="str">
        <f>Form!O625</f>
        <v/>
      </c>
    </row>
    <row r="630">
      <c r="A630" s="248" t="str">
        <f>Form!C625</f>
        <v/>
      </c>
      <c r="B630" s="4" t="str">
        <f>Form!D625</f>
        <v/>
      </c>
      <c r="C630" s="166" t="str">
        <f>Form!M625</f>
        <v/>
      </c>
      <c r="D630" s="166" t="str">
        <f>Form!N625</f>
        <v/>
      </c>
      <c r="E630" s="166" t="str">
        <f>Form!J625</f>
        <v/>
      </c>
      <c r="F630" s="166" t="str">
        <f>Form!K625</f>
        <v/>
      </c>
      <c r="G630" s="166"/>
      <c r="H630" s="166" t="str">
        <f>Form!O626</f>
        <v/>
      </c>
    </row>
    <row r="631">
      <c r="A631" s="248" t="str">
        <f>Form!C626</f>
        <v/>
      </c>
      <c r="B631" s="4" t="str">
        <f>Form!D626</f>
        <v/>
      </c>
      <c r="C631" s="166" t="str">
        <f>Form!M626</f>
        <v/>
      </c>
      <c r="D631" s="166" t="str">
        <f>Form!N626</f>
        <v/>
      </c>
      <c r="E631" s="166" t="str">
        <f>Form!J626</f>
        <v/>
      </c>
      <c r="F631" s="166" t="str">
        <f>Form!K626</f>
        <v/>
      </c>
      <c r="G631" s="166"/>
      <c r="H631" s="166" t="str">
        <f>Form!O627</f>
        <v/>
      </c>
    </row>
    <row r="632">
      <c r="A632" s="248" t="str">
        <f>Form!C627</f>
        <v/>
      </c>
      <c r="B632" s="4" t="str">
        <f>Form!D627</f>
        <v/>
      </c>
      <c r="C632" s="166" t="str">
        <f>Form!M627</f>
        <v/>
      </c>
      <c r="D632" s="166" t="str">
        <f>Form!N627</f>
        <v/>
      </c>
      <c r="E632" s="166" t="str">
        <f>Form!J627</f>
        <v/>
      </c>
      <c r="F632" s="166" t="str">
        <f>Form!K627</f>
        <v/>
      </c>
      <c r="G632" s="166"/>
      <c r="H632" s="166" t="str">
        <f>Form!O628</f>
        <v/>
      </c>
    </row>
    <row r="633">
      <c r="A633" s="248" t="str">
        <f>Form!C628</f>
        <v/>
      </c>
      <c r="B633" s="4" t="str">
        <f>Form!D628</f>
        <v/>
      </c>
      <c r="C633" s="166" t="str">
        <f>Form!M628</f>
        <v/>
      </c>
      <c r="D633" s="166" t="str">
        <f>Form!N628</f>
        <v/>
      </c>
      <c r="E633" s="166" t="str">
        <f>Form!J628</f>
        <v/>
      </c>
      <c r="F633" s="166" t="str">
        <f>Form!K628</f>
        <v/>
      </c>
      <c r="G633" s="166"/>
      <c r="H633" s="166" t="str">
        <f>Form!O629</f>
        <v/>
      </c>
    </row>
    <row r="634">
      <c r="A634" s="248" t="str">
        <f>Form!C629</f>
        <v/>
      </c>
      <c r="B634" s="4" t="str">
        <f>Form!D629</f>
        <v/>
      </c>
      <c r="C634" s="166" t="str">
        <f>Form!M629</f>
        <v/>
      </c>
      <c r="D634" s="166" t="str">
        <f>Form!N629</f>
        <v/>
      </c>
      <c r="E634" s="166" t="str">
        <f>Form!J629</f>
        <v/>
      </c>
      <c r="F634" s="166" t="str">
        <f>Form!K629</f>
        <v/>
      </c>
      <c r="G634" s="166"/>
      <c r="H634" s="166" t="str">
        <f>Form!O630</f>
        <v/>
      </c>
    </row>
    <row r="635">
      <c r="A635" s="248" t="str">
        <f>Form!C630</f>
        <v/>
      </c>
      <c r="B635" s="4" t="str">
        <f>Form!D630</f>
        <v/>
      </c>
      <c r="C635" s="166" t="str">
        <f>Form!M630</f>
        <v/>
      </c>
      <c r="D635" s="166" t="str">
        <f>Form!N630</f>
        <v/>
      </c>
      <c r="E635" s="166" t="str">
        <f>Form!J630</f>
        <v/>
      </c>
      <c r="F635" s="166" t="str">
        <f>Form!K630</f>
        <v/>
      </c>
      <c r="G635" s="166"/>
      <c r="H635" s="166" t="str">
        <f>Form!O631</f>
        <v/>
      </c>
    </row>
    <row r="636">
      <c r="A636" s="248" t="str">
        <f>Form!C631</f>
        <v/>
      </c>
      <c r="B636" s="4" t="str">
        <f>Form!D631</f>
        <v/>
      </c>
      <c r="C636" s="166" t="str">
        <f>Form!M631</f>
        <v/>
      </c>
      <c r="D636" s="166" t="str">
        <f>Form!N631</f>
        <v/>
      </c>
      <c r="E636" s="166" t="str">
        <f>Form!J631</f>
        <v/>
      </c>
      <c r="F636" s="166" t="str">
        <f>Form!K631</f>
        <v/>
      </c>
      <c r="G636" s="166"/>
      <c r="H636" s="166" t="str">
        <f>Form!O632</f>
        <v/>
      </c>
    </row>
    <row r="637">
      <c r="A637" s="248" t="str">
        <f>Form!C632</f>
        <v/>
      </c>
      <c r="B637" s="4" t="str">
        <f>Form!D632</f>
        <v/>
      </c>
      <c r="C637" s="166" t="str">
        <f>Form!M632</f>
        <v/>
      </c>
      <c r="D637" s="166" t="str">
        <f>Form!N632</f>
        <v/>
      </c>
      <c r="E637" s="166" t="str">
        <f>Form!J632</f>
        <v/>
      </c>
      <c r="F637" s="166" t="str">
        <f>Form!K632</f>
        <v/>
      </c>
      <c r="G637" s="166"/>
      <c r="H637" s="166" t="str">
        <f>Form!O633</f>
        <v/>
      </c>
    </row>
    <row r="638">
      <c r="A638" s="248" t="str">
        <f>Form!C633</f>
        <v/>
      </c>
      <c r="B638" s="4" t="str">
        <f>Form!D633</f>
        <v/>
      </c>
      <c r="C638" s="166" t="str">
        <f>Form!M633</f>
        <v/>
      </c>
      <c r="D638" s="166" t="str">
        <f>Form!N633</f>
        <v/>
      </c>
      <c r="E638" s="166" t="str">
        <f>Form!J633</f>
        <v/>
      </c>
      <c r="F638" s="166" t="str">
        <f>Form!K633</f>
        <v/>
      </c>
      <c r="G638" s="166"/>
      <c r="H638" s="166" t="str">
        <f>Form!O634</f>
        <v/>
      </c>
    </row>
    <row r="639">
      <c r="A639" s="248" t="str">
        <f>Form!C634</f>
        <v/>
      </c>
      <c r="B639" s="4" t="str">
        <f>Form!D634</f>
        <v/>
      </c>
      <c r="C639" s="166" t="str">
        <f>Form!M634</f>
        <v/>
      </c>
      <c r="D639" s="166" t="str">
        <f>Form!N634</f>
        <v/>
      </c>
      <c r="E639" s="166" t="str">
        <f>Form!J634</f>
        <v/>
      </c>
      <c r="F639" s="166" t="str">
        <f>Form!K634</f>
        <v/>
      </c>
      <c r="G639" s="166"/>
      <c r="H639" s="166" t="str">
        <f>Form!O635</f>
        <v/>
      </c>
    </row>
    <row r="640">
      <c r="A640" s="248" t="str">
        <f>Form!C635</f>
        <v/>
      </c>
      <c r="B640" s="4" t="str">
        <f>Form!D635</f>
        <v/>
      </c>
      <c r="C640" s="166" t="str">
        <f>Form!M635</f>
        <v/>
      </c>
      <c r="D640" s="166" t="str">
        <f>Form!N635</f>
        <v/>
      </c>
      <c r="E640" s="166" t="str">
        <f>Form!J635</f>
        <v/>
      </c>
      <c r="F640" s="166" t="str">
        <f>Form!K635</f>
        <v/>
      </c>
      <c r="G640" s="166"/>
      <c r="H640" s="166" t="str">
        <f>Form!O636</f>
        <v/>
      </c>
    </row>
    <row r="641">
      <c r="A641" s="248" t="str">
        <f>Form!C636</f>
        <v/>
      </c>
      <c r="B641" s="4" t="str">
        <f>Form!D636</f>
        <v/>
      </c>
      <c r="C641" s="166" t="str">
        <f>Form!M636</f>
        <v/>
      </c>
      <c r="D641" s="166" t="str">
        <f>Form!N636</f>
        <v/>
      </c>
      <c r="E641" s="166" t="str">
        <f>Form!J636</f>
        <v/>
      </c>
      <c r="F641" s="166" t="str">
        <f>Form!K636</f>
        <v/>
      </c>
      <c r="G641" s="166"/>
      <c r="H641" s="166" t="str">
        <f>Form!O637</f>
        <v/>
      </c>
    </row>
    <row r="642">
      <c r="A642" s="248" t="str">
        <f>Form!C637</f>
        <v/>
      </c>
      <c r="B642" s="4" t="str">
        <f>Form!D637</f>
        <v/>
      </c>
      <c r="C642" s="166" t="str">
        <f>Form!M637</f>
        <v/>
      </c>
      <c r="D642" s="166" t="str">
        <f>Form!N637</f>
        <v/>
      </c>
      <c r="E642" s="166" t="str">
        <f>Form!J637</f>
        <v/>
      </c>
      <c r="F642" s="166" t="str">
        <f>Form!K637</f>
        <v/>
      </c>
      <c r="G642" s="166"/>
      <c r="H642" s="166" t="str">
        <f>Form!O638</f>
        <v/>
      </c>
    </row>
    <row r="643">
      <c r="A643" s="248" t="str">
        <f>Form!C638</f>
        <v/>
      </c>
      <c r="B643" s="4" t="str">
        <f>Form!D638</f>
        <v/>
      </c>
      <c r="C643" s="166" t="str">
        <f>Form!M638</f>
        <v/>
      </c>
      <c r="D643" s="166" t="str">
        <f>Form!N638</f>
        <v/>
      </c>
      <c r="E643" s="166" t="str">
        <f>Form!J638</f>
        <v/>
      </c>
      <c r="F643" s="166" t="str">
        <f>Form!K638</f>
        <v/>
      </c>
      <c r="G643" s="166"/>
      <c r="H643" s="166" t="str">
        <f>Form!O639</f>
        <v/>
      </c>
    </row>
    <row r="644">
      <c r="A644" s="248" t="str">
        <f>Form!C639</f>
        <v/>
      </c>
      <c r="B644" s="4" t="str">
        <f>Form!D639</f>
        <v/>
      </c>
      <c r="C644" s="166" t="str">
        <f>Form!M639</f>
        <v/>
      </c>
      <c r="D644" s="166" t="str">
        <f>Form!N639</f>
        <v/>
      </c>
      <c r="E644" s="166" t="str">
        <f>Form!J639</f>
        <v/>
      </c>
      <c r="F644" s="166" t="str">
        <f>Form!K639</f>
        <v/>
      </c>
      <c r="G644" s="166"/>
      <c r="H644" s="166" t="str">
        <f>Form!O640</f>
        <v/>
      </c>
    </row>
    <row r="645">
      <c r="A645" s="248" t="str">
        <f>Form!C640</f>
        <v/>
      </c>
      <c r="B645" s="4" t="str">
        <f>Form!D640</f>
        <v/>
      </c>
      <c r="C645" s="166" t="str">
        <f>Form!M640</f>
        <v/>
      </c>
      <c r="D645" s="166" t="str">
        <f>Form!N640</f>
        <v/>
      </c>
      <c r="E645" s="166" t="str">
        <f>Form!J640</f>
        <v/>
      </c>
      <c r="F645" s="166" t="str">
        <f>Form!K640</f>
        <v/>
      </c>
      <c r="G645" s="166"/>
      <c r="H645" s="166" t="str">
        <f>Form!O641</f>
        <v/>
      </c>
    </row>
    <row r="646">
      <c r="A646" s="248" t="str">
        <f>Form!C641</f>
        <v/>
      </c>
      <c r="B646" s="4" t="str">
        <f>Form!D641</f>
        <v/>
      </c>
      <c r="C646" s="166" t="str">
        <f>Form!M641</f>
        <v/>
      </c>
      <c r="D646" s="166" t="str">
        <f>Form!N641</f>
        <v/>
      </c>
      <c r="E646" s="166" t="str">
        <f>Form!J641</f>
        <v/>
      </c>
      <c r="F646" s="166" t="str">
        <f>Form!K641</f>
        <v/>
      </c>
      <c r="G646" s="166"/>
      <c r="H646" s="166" t="str">
        <f>Form!O642</f>
        <v/>
      </c>
    </row>
    <row r="647">
      <c r="A647" s="248" t="str">
        <f>Form!C642</f>
        <v/>
      </c>
      <c r="B647" s="4" t="str">
        <f>Form!D642</f>
        <v/>
      </c>
      <c r="C647" s="166" t="str">
        <f>Form!M642</f>
        <v/>
      </c>
      <c r="D647" s="166" t="str">
        <f>Form!N642</f>
        <v/>
      </c>
      <c r="E647" s="166" t="str">
        <f>Form!J642</f>
        <v/>
      </c>
      <c r="F647" s="166" t="str">
        <f>Form!K642</f>
        <v/>
      </c>
      <c r="G647" s="166"/>
      <c r="H647" s="166" t="str">
        <f>Form!O643</f>
        <v/>
      </c>
    </row>
    <row r="648">
      <c r="A648" s="248" t="str">
        <f>Form!C643</f>
        <v/>
      </c>
      <c r="B648" s="4" t="str">
        <f>Form!D643</f>
        <v/>
      </c>
      <c r="C648" s="166" t="str">
        <f>Form!M643</f>
        <v/>
      </c>
      <c r="D648" s="166" t="str">
        <f>Form!N643</f>
        <v/>
      </c>
      <c r="E648" s="166" t="str">
        <f>Form!J643</f>
        <v/>
      </c>
      <c r="F648" s="166" t="str">
        <f>Form!K643</f>
        <v/>
      </c>
      <c r="G648" s="166"/>
      <c r="H648" s="166" t="str">
        <f>Form!O644</f>
        <v/>
      </c>
    </row>
    <row r="649">
      <c r="A649" s="248" t="str">
        <f>Form!C644</f>
        <v/>
      </c>
      <c r="B649" s="4" t="str">
        <f>Form!D644</f>
        <v/>
      </c>
      <c r="C649" s="166" t="str">
        <f>Form!M644</f>
        <v/>
      </c>
      <c r="D649" s="166" t="str">
        <f>Form!N644</f>
        <v/>
      </c>
      <c r="E649" s="166" t="str">
        <f>Form!J644</f>
        <v/>
      </c>
      <c r="F649" s="166" t="str">
        <f>Form!K644</f>
        <v/>
      </c>
      <c r="G649" s="166"/>
      <c r="H649" s="166" t="str">
        <f>Form!O645</f>
        <v/>
      </c>
    </row>
    <row r="650">
      <c r="A650" s="248" t="str">
        <f>Form!C645</f>
        <v/>
      </c>
      <c r="B650" s="4" t="str">
        <f>Form!D645</f>
        <v/>
      </c>
      <c r="C650" s="166" t="str">
        <f>Form!M645</f>
        <v/>
      </c>
      <c r="D650" s="166" t="str">
        <f>Form!N645</f>
        <v/>
      </c>
      <c r="E650" s="166" t="str">
        <f>Form!J645</f>
        <v/>
      </c>
      <c r="F650" s="166" t="str">
        <f>Form!K645</f>
        <v/>
      </c>
      <c r="G650" s="166"/>
      <c r="H650" s="166" t="str">
        <f>Form!O646</f>
        <v/>
      </c>
    </row>
    <row r="651">
      <c r="A651" s="248" t="str">
        <f>Form!C646</f>
        <v/>
      </c>
      <c r="B651" s="4" t="str">
        <f>Form!D646</f>
        <v/>
      </c>
      <c r="C651" s="166" t="str">
        <f>Form!M646</f>
        <v/>
      </c>
      <c r="D651" s="166" t="str">
        <f>Form!N646</f>
        <v/>
      </c>
      <c r="E651" s="166" t="str">
        <f>Form!J646</f>
        <v/>
      </c>
      <c r="F651" s="166" t="str">
        <f>Form!K646</f>
        <v/>
      </c>
      <c r="G651" s="166"/>
      <c r="H651" s="166" t="str">
        <f>Form!O647</f>
        <v/>
      </c>
    </row>
    <row r="652">
      <c r="A652" s="248" t="str">
        <f>Form!C647</f>
        <v/>
      </c>
      <c r="B652" s="4" t="str">
        <f>Form!D647</f>
        <v/>
      </c>
      <c r="C652" s="166" t="str">
        <f>Form!M647</f>
        <v/>
      </c>
      <c r="D652" s="166" t="str">
        <f>Form!N647</f>
        <v/>
      </c>
      <c r="E652" s="166" t="str">
        <f>Form!J647</f>
        <v/>
      </c>
      <c r="F652" s="166" t="str">
        <f>Form!K647</f>
        <v/>
      </c>
      <c r="G652" s="166"/>
      <c r="H652" s="166" t="str">
        <f>Form!O648</f>
        <v/>
      </c>
    </row>
    <row r="653">
      <c r="A653" s="248" t="str">
        <f>Form!C648</f>
        <v/>
      </c>
      <c r="B653" s="4" t="str">
        <f>Form!D648</f>
        <v/>
      </c>
      <c r="C653" s="166" t="str">
        <f>Form!M648</f>
        <v/>
      </c>
      <c r="D653" s="166" t="str">
        <f>Form!N648</f>
        <v/>
      </c>
      <c r="E653" s="166" t="str">
        <f>Form!J648</f>
        <v/>
      </c>
      <c r="F653" s="166" t="str">
        <f>Form!K648</f>
        <v/>
      </c>
      <c r="G653" s="166"/>
      <c r="H653" s="166" t="str">
        <f>Form!O649</f>
        <v/>
      </c>
    </row>
    <row r="654">
      <c r="A654" s="248" t="str">
        <f>Form!C649</f>
        <v/>
      </c>
      <c r="B654" s="4" t="str">
        <f>Form!D649</f>
        <v/>
      </c>
      <c r="C654" s="166" t="str">
        <f>Form!M649</f>
        <v/>
      </c>
      <c r="D654" s="166" t="str">
        <f>Form!N649</f>
        <v/>
      </c>
      <c r="E654" s="166" t="str">
        <f>Form!J649</f>
        <v/>
      </c>
      <c r="F654" s="166" t="str">
        <f>Form!K649</f>
        <v/>
      </c>
      <c r="G654" s="166"/>
      <c r="H654" s="166" t="str">
        <f>Form!O650</f>
        <v/>
      </c>
    </row>
    <row r="655">
      <c r="A655" s="248" t="str">
        <f>Form!C650</f>
        <v/>
      </c>
      <c r="B655" s="4" t="str">
        <f>Form!D650</f>
        <v/>
      </c>
      <c r="C655" s="166" t="str">
        <f>Form!M650</f>
        <v/>
      </c>
      <c r="D655" s="166" t="str">
        <f>Form!N650</f>
        <v/>
      </c>
      <c r="E655" s="166" t="str">
        <f>Form!J650</f>
        <v/>
      </c>
      <c r="F655" s="166" t="str">
        <f>Form!K650</f>
        <v/>
      </c>
      <c r="G655" s="166"/>
      <c r="H655" s="166" t="str">
        <f>Form!O651</f>
        <v/>
      </c>
    </row>
    <row r="656">
      <c r="A656" s="248" t="str">
        <f>Form!C651</f>
        <v/>
      </c>
      <c r="B656" s="4" t="str">
        <f>Form!D651</f>
        <v/>
      </c>
      <c r="C656" s="166" t="str">
        <f>Form!M651</f>
        <v/>
      </c>
      <c r="D656" s="166" t="str">
        <f>Form!N651</f>
        <v/>
      </c>
      <c r="E656" s="166" t="str">
        <f>Form!J651</f>
        <v/>
      </c>
      <c r="F656" s="166" t="str">
        <f>Form!K651</f>
        <v/>
      </c>
      <c r="G656" s="166"/>
      <c r="H656" s="166" t="str">
        <f>Form!O652</f>
        <v/>
      </c>
    </row>
    <row r="657">
      <c r="A657" s="248" t="str">
        <f>Form!C652</f>
        <v/>
      </c>
      <c r="B657" s="4" t="str">
        <f>Form!D652</f>
        <v/>
      </c>
      <c r="C657" s="166" t="str">
        <f>Form!M652</f>
        <v/>
      </c>
      <c r="D657" s="166" t="str">
        <f>Form!N652</f>
        <v/>
      </c>
      <c r="E657" s="166" t="str">
        <f>Form!J652</f>
        <v/>
      </c>
      <c r="F657" s="166" t="str">
        <f>Form!K652</f>
        <v/>
      </c>
      <c r="G657" s="166"/>
      <c r="H657" s="166" t="str">
        <f>Form!O653</f>
        <v/>
      </c>
    </row>
    <row r="658">
      <c r="A658" s="248" t="str">
        <f>Form!C653</f>
        <v/>
      </c>
      <c r="B658" s="4" t="str">
        <f>Form!D653</f>
        <v/>
      </c>
      <c r="C658" s="166" t="str">
        <f>Form!M653</f>
        <v/>
      </c>
      <c r="D658" s="166" t="str">
        <f>Form!N653</f>
        <v/>
      </c>
      <c r="E658" s="166" t="str">
        <f>Form!J653</f>
        <v/>
      </c>
      <c r="F658" s="166" t="str">
        <f>Form!K653</f>
        <v/>
      </c>
      <c r="G658" s="166"/>
      <c r="H658" s="166" t="str">
        <f>Form!O654</f>
        <v/>
      </c>
    </row>
    <row r="659">
      <c r="A659" s="248" t="str">
        <f>Form!C654</f>
        <v/>
      </c>
      <c r="B659" s="4" t="str">
        <f>Form!D654</f>
        <v/>
      </c>
      <c r="C659" s="166" t="str">
        <f>Form!M654</f>
        <v/>
      </c>
      <c r="D659" s="166" t="str">
        <f>Form!N654</f>
        <v/>
      </c>
      <c r="E659" s="166" t="str">
        <f>Form!J654</f>
        <v/>
      </c>
      <c r="F659" s="166" t="str">
        <f>Form!K654</f>
        <v/>
      </c>
      <c r="G659" s="166"/>
      <c r="H659" s="166" t="str">
        <f>Form!O655</f>
        <v/>
      </c>
    </row>
    <row r="660">
      <c r="A660" s="248" t="str">
        <f>Form!C655</f>
        <v/>
      </c>
      <c r="B660" s="4" t="str">
        <f>Form!D655</f>
        <v/>
      </c>
      <c r="C660" s="166" t="str">
        <f>Form!M655</f>
        <v/>
      </c>
      <c r="D660" s="166" t="str">
        <f>Form!N655</f>
        <v/>
      </c>
      <c r="E660" s="166" t="str">
        <f>Form!J655</f>
        <v/>
      </c>
      <c r="F660" s="166" t="str">
        <f>Form!K655</f>
        <v/>
      </c>
      <c r="G660" s="166"/>
      <c r="H660" s="166" t="str">
        <f>Form!O656</f>
        <v/>
      </c>
    </row>
    <row r="661">
      <c r="A661" s="248" t="str">
        <f>Form!C656</f>
        <v/>
      </c>
      <c r="B661" s="4" t="str">
        <f>Form!D656</f>
        <v/>
      </c>
      <c r="C661" s="166" t="str">
        <f>Form!M656</f>
        <v/>
      </c>
      <c r="D661" s="166" t="str">
        <f>Form!N656</f>
        <v/>
      </c>
      <c r="E661" s="166" t="str">
        <f>Form!J656</f>
        <v/>
      </c>
      <c r="F661" s="166" t="str">
        <f>Form!K656</f>
        <v/>
      </c>
      <c r="G661" s="166"/>
      <c r="H661" s="166" t="str">
        <f>Form!O657</f>
        <v/>
      </c>
    </row>
    <row r="662">
      <c r="A662" s="248" t="str">
        <f>Form!C657</f>
        <v/>
      </c>
      <c r="B662" s="4" t="str">
        <f>Form!D657</f>
        <v/>
      </c>
      <c r="C662" s="166" t="str">
        <f>Form!M657</f>
        <v/>
      </c>
      <c r="D662" s="166" t="str">
        <f>Form!N657</f>
        <v/>
      </c>
      <c r="E662" s="166" t="str">
        <f>Form!J657</f>
        <v/>
      </c>
      <c r="F662" s="166" t="str">
        <f>Form!K657</f>
        <v/>
      </c>
      <c r="G662" s="166"/>
      <c r="H662" s="166" t="str">
        <f>Form!O658</f>
        <v/>
      </c>
    </row>
    <row r="663">
      <c r="A663" s="248" t="str">
        <f>Form!C658</f>
        <v/>
      </c>
      <c r="B663" s="4" t="str">
        <f>Form!D658</f>
        <v/>
      </c>
      <c r="C663" s="166" t="str">
        <f>Form!M658</f>
        <v/>
      </c>
      <c r="D663" s="166" t="str">
        <f>Form!N658</f>
        <v/>
      </c>
      <c r="E663" s="166" t="str">
        <f>Form!J658</f>
        <v/>
      </c>
      <c r="F663" s="166" t="str">
        <f>Form!K658</f>
        <v/>
      </c>
      <c r="G663" s="166"/>
      <c r="H663" s="166" t="str">
        <f>Form!O659</f>
        <v/>
      </c>
    </row>
    <row r="664">
      <c r="A664" s="248" t="str">
        <f>Form!C659</f>
        <v/>
      </c>
      <c r="B664" s="4" t="str">
        <f>Form!D659</f>
        <v/>
      </c>
      <c r="C664" s="166" t="str">
        <f>Form!M659</f>
        <v/>
      </c>
      <c r="D664" s="166" t="str">
        <f>Form!N659</f>
        <v/>
      </c>
      <c r="E664" s="166" t="str">
        <f>Form!J659</f>
        <v/>
      </c>
      <c r="F664" s="166" t="str">
        <f>Form!K659</f>
        <v/>
      </c>
      <c r="G664" s="166"/>
      <c r="H664" s="166" t="str">
        <f>Form!O660</f>
        <v/>
      </c>
    </row>
    <row r="665">
      <c r="A665" s="248" t="str">
        <f>Form!C660</f>
        <v/>
      </c>
      <c r="B665" s="4" t="str">
        <f>Form!D660</f>
        <v/>
      </c>
      <c r="C665" s="166" t="str">
        <f>Form!M660</f>
        <v/>
      </c>
      <c r="D665" s="166" t="str">
        <f>Form!N660</f>
        <v/>
      </c>
      <c r="E665" s="166" t="str">
        <f>Form!J660</f>
        <v/>
      </c>
      <c r="F665" s="166" t="str">
        <f>Form!K660</f>
        <v/>
      </c>
      <c r="G665" s="166"/>
      <c r="H665" s="166" t="str">
        <f>Form!O661</f>
        <v/>
      </c>
    </row>
    <row r="666">
      <c r="A666" s="248" t="str">
        <f>Form!C661</f>
        <v/>
      </c>
      <c r="B666" s="4" t="str">
        <f>Form!D661</f>
        <v/>
      </c>
      <c r="C666" s="166" t="str">
        <f>Form!M661</f>
        <v/>
      </c>
      <c r="D666" s="166" t="str">
        <f>Form!N661</f>
        <v/>
      </c>
      <c r="E666" s="166" t="str">
        <f>Form!J661</f>
        <v/>
      </c>
      <c r="F666" s="166" t="str">
        <f>Form!K661</f>
        <v/>
      </c>
      <c r="G666" s="166"/>
      <c r="H666" s="166" t="str">
        <f>Form!O662</f>
        <v/>
      </c>
    </row>
    <row r="667">
      <c r="A667" s="248" t="str">
        <f>Form!C662</f>
        <v/>
      </c>
      <c r="B667" s="4" t="str">
        <f>Form!D662</f>
        <v/>
      </c>
      <c r="C667" s="166" t="str">
        <f>Form!M662</f>
        <v/>
      </c>
      <c r="D667" s="166" t="str">
        <f>Form!N662</f>
        <v/>
      </c>
      <c r="E667" s="166" t="str">
        <f>Form!J662</f>
        <v/>
      </c>
      <c r="F667" s="166" t="str">
        <f>Form!K662</f>
        <v/>
      </c>
      <c r="G667" s="166"/>
      <c r="H667" s="166" t="str">
        <f>Form!O663</f>
        <v/>
      </c>
    </row>
    <row r="668">
      <c r="A668" s="248" t="str">
        <f>Form!C663</f>
        <v/>
      </c>
      <c r="B668" s="4" t="str">
        <f>Form!D663</f>
        <v/>
      </c>
      <c r="C668" s="166" t="str">
        <f>Form!M663</f>
        <v/>
      </c>
      <c r="D668" s="166" t="str">
        <f>Form!N663</f>
        <v/>
      </c>
      <c r="E668" s="166" t="str">
        <f>Form!J663</f>
        <v/>
      </c>
      <c r="F668" s="166" t="str">
        <f>Form!K663</f>
        <v/>
      </c>
      <c r="G668" s="166"/>
      <c r="H668" s="166" t="str">
        <f>Form!O664</f>
        <v/>
      </c>
    </row>
    <row r="669">
      <c r="A669" s="248" t="str">
        <f>Form!C664</f>
        <v/>
      </c>
      <c r="B669" s="4" t="str">
        <f>Form!D664</f>
        <v/>
      </c>
      <c r="C669" s="166" t="str">
        <f>Form!M664</f>
        <v/>
      </c>
      <c r="D669" s="166" t="str">
        <f>Form!N664</f>
        <v/>
      </c>
      <c r="E669" s="166" t="str">
        <f>Form!J664</f>
        <v/>
      </c>
      <c r="F669" s="166" t="str">
        <f>Form!K664</f>
        <v/>
      </c>
      <c r="G669" s="166"/>
      <c r="H669" s="166" t="str">
        <f>Form!O665</f>
        <v/>
      </c>
    </row>
    <row r="670">
      <c r="A670" s="248" t="str">
        <f>Form!C665</f>
        <v/>
      </c>
      <c r="B670" s="4" t="str">
        <f>Form!D665</f>
        <v/>
      </c>
      <c r="C670" s="166" t="str">
        <f>Form!M665</f>
        <v/>
      </c>
      <c r="D670" s="166" t="str">
        <f>Form!N665</f>
        <v/>
      </c>
      <c r="E670" s="166" t="str">
        <f>Form!J665</f>
        <v/>
      </c>
      <c r="F670" s="166" t="str">
        <f>Form!K665</f>
        <v/>
      </c>
      <c r="G670" s="166"/>
      <c r="H670" s="166" t="str">
        <f>Form!O666</f>
        <v/>
      </c>
    </row>
    <row r="671">
      <c r="A671" s="248" t="str">
        <f>Form!C666</f>
        <v/>
      </c>
      <c r="B671" s="4" t="str">
        <f>Form!D666</f>
        <v/>
      </c>
      <c r="C671" s="166" t="str">
        <f>Form!M666</f>
        <v/>
      </c>
      <c r="D671" s="166" t="str">
        <f>Form!N666</f>
        <v/>
      </c>
      <c r="E671" s="166" t="str">
        <f>Form!J666</f>
        <v/>
      </c>
      <c r="F671" s="166" t="str">
        <f>Form!K666</f>
        <v/>
      </c>
      <c r="G671" s="166"/>
      <c r="H671" s="166" t="str">
        <f>Form!O667</f>
        <v/>
      </c>
    </row>
    <row r="672">
      <c r="A672" s="248" t="str">
        <f>Form!C667</f>
        <v/>
      </c>
      <c r="B672" s="4" t="str">
        <f>Form!D667</f>
        <v/>
      </c>
      <c r="C672" s="166" t="str">
        <f>Form!M667</f>
        <v/>
      </c>
      <c r="D672" s="166" t="str">
        <f>Form!N667</f>
        <v/>
      </c>
      <c r="E672" s="166" t="str">
        <f>Form!J667</f>
        <v/>
      </c>
      <c r="F672" s="166" t="str">
        <f>Form!K667</f>
        <v/>
      </c>
      <c r="G672" s="166"/>
      <c r="H672" s="166" t="str">
        <f>Form!O668</f>
        <v/>
      </c>
    </row>
    <row r="673">
      <c r="A673" s="248" t="str">
        <f>Form!C668</f>
        <v/>
      </c>
      <c r="B673" s="4" t="str">
        <f>Form!D668</f>
        <v/>
      </c>
      <c r="C673" s="166" t="str">
        <f>Form!M668</f>
        <v/>
      </c>
      <c r="D673" s="166" t="str">
        <f>Form!N668</f>
        <v/>
      </c>
      <c r="E673" s="166" t="str">
        <f>Form!J668</f>
        <v/>
      </c>
      <c r="F673" s="166" t="str">
        <f>Form!K668</f>
        <v/>
      </c>
      <c r="G673" s="166"/>
      <c r="H673" s="166" t="str">
        <f>Form!O669</f>
        <v/>
      </c>
    </row>
    <row r="674">
      <c r="A674" s="248" t="str">
        <f>Form!C669</f>
        <v/>
      </c>
      <c r="B674" s="4" t="str">
        <f>Form!D669</f>
        <v/>
      </c>
      <c r="C674" s="166" t="str">
        <f>Form!M669</f>
        <v/>
      </c>
      <c r="D674" s="166" t="str">
        <f>Form!N669</f>
        <v/>
      </c>
      <c r="E674" s="166" t="str">
        <f>Form!J669</f>
        <v/>
      </c>
      <c r="F674" s="166" t="str">
        <f>Form!K669</f>
        <v/>
      </c>
      <c r="G674" s="166"/>
      <c r="H674" s="166" t="str">
        <f>Form!O670</f>
        <v/>
      </c>
    </row>
    <row r="675">
      <c r="A675" s="248" t="str">
        <f>Form!C670</f>
        <v/>
      </c>
      <c r="B675" s="4" t="str">
        <f>Form!D670</f>
        <v/>
      </c>
      <c r="C675" s="166" t="str">
        <f>Form!M670</f>
        <v/>
      </c>
      <c r="D675" s="166" t="str">
        <f>Form!N670</f>
        <v/>
      </c>
      <c r="E675" s="166" t="str">
        <f>Form!J670</f>
        <v/>
      </c>
      <c r="F675" s="166" t="str">
        <f>Form!K670</f>
        <v/>
      </c>
      <c r="G675" s="166"/>
      <c r="H675" s="166" t="str">
        <f>Form!O671</f>
        <v/>
      </c>
    </row>
    <row r="676">
      <c r="A676" s="248" t="str">
        <f>Form!C671</f>
        <v/>
      </c>
      <c r="B676" s="4" t="str">
        <f>Form!D671</f>
        <v/>
      </c>
      <c r="C676" s="166" t="str">
        <f>Form!M671</f>
        <v/>
      </c>
      <c r="D676" s="166" t="str">
        <f>Form!N671</f>
        <v/>
      </c>
      <c r="E676" s="166" t="str">
        <f>Form!J671</f>
        <v/>
      </c>
      <c r="F676" s="166" t="str">
        <f>Form!K671</f>
        <v/>
      </c>
      <c r="G676" s="166"/>
      <c r="H676" s="166" t="str">
        <f>Form!O672</f>
        <v/>
      </c>
    </row>
    <row r="677">
      <c r="A677" s="248" t="str">
        <f>Form!C672</f>
        <v/>
      </c>
      <c r="B677" s="4" t="str">
        <f>Form!D672</f>
        <v/>
      </c>
      <c r="C677" s="166" t="str">
        <f>Form!M672</f>
        <v/>
      </c>
      <c r="D677" s="166" t="str">
        <f>Form!N672</f>
        <v/>
      </c>
      <c r="E677" s="166" t="str">
        <f>Form!J672</f>
        <v/>
      </c>
      <c r="F677" s="166" t="str">
        <f>Form!K672</f>
        <v/>
      </c>
      <c r="G677" s="166"/>
      <c r="H677" s="166" t="str">
        <f>Form!O673</f>
        <v/>
      </c>
    </row>
    <row r="678">
      <c r="A678" s="248" t="str">
        <f>Form!C673</f>
        <v/>
      </c>
      <c r="B678" s="4" t="str">
        <f>Form!D673</f>
        <v/>
      </c>
      <c r="C678" s="166" t="str">
        <f>Form!M673</f>
        <v/>
      </c>
      <c r="D678" s="166" t="str">
        <f>Form!N673</f>
        <v/>
      </c>
      <c r="E678" s="166" t="str">
        <f>Form!J673</f>
        <v/>
      </c>
      <c r="F678" s="166" t="str">
        <f>Form!K673</f>
        <v/>
      </c>
      <c r="G678" s="166"/>
      <c r="H678" s="166" t="str">
        <f>Form!O674</f>
        <v/>
      </c>
    </row>
    <row r="679">
      <c r="A679" s="248" t="str">
        <f>Form!C674</f>
        <v/>
      </c>
      <c r="B679" s="4" t="str">
        <f>Form!D674</f>
        <v/>
      </c>
      <c r="C679" s="166" t="str">
        <f>Form!M674</f>
        <v/>
      </c>
      <c r="D679" s="166" t="str">
        <f>Form!N674</f>
        <v/>
      </c>
      <c r="E679" s="166" t="str">
        <f>Form!J674</f>
        <v/>
      </c>
      <c r="F679" s="166" t="str">
        <f>Form!K674</f>
        <v/>
      </c>
      <c r="G679" s="166"/>
      <c r="H679" s="166" t="str">
        <f>Form!O675</f>
        <v/>
      </c>
    </row>
    <row r="680">
      <c r="A680" s="248" t="str">
        <f>Form!C675</f>
        <v/>
      </c>
      <c r="B680" s="4" t="str">
        <f>Form!D675</f>
        <v/>
      </c>
      <c r="C680" s="166" t="str">
        <f>Form!M675</f>
        <v/>
      </c>
      <c r="D680" s="166" t="str">
        <f>Form!N675</f>
        <v/>
      </c>
      <c r="E680" s="166" t="str">
        <f>Form!J675</f>
        <v/>
      </c>
      <c r="F680" s="166" t="str">
        <f>Form!K675</f>
        <v/>
      </c>
      <c r="G680" s="166"/>
      <c r="H680" s="166" t="str">
        <f>Form!O676</f>
        <v/>
      </c>
    </row>
    <row r="681">
      <c r="A681" s="248" t="str">
        <f>Form!C676</f>
        <v/>
      </c>
      <c r="B681" s="4" t="str">
        <f>Form!D676</f>
        <v/>
      </c>
      <c r="C681" s="166" t="str">
        <f>Form!M676</f>
        <v/>
      </c>
      <c r="D681" s="166" t="str">
        <f>Form!N676</f>
        <v/>
      </c>
      <c r="E681" s="166" t="str">
        <f>Form!J676</f>
        <v/>
      </c>
      <c r="F681" s="166" t="str">
        <f>Form!K676</f>
        <v/>
      </c>
      <c r="G681" s="166"/>
      <c r="H681" s="166" t="str">
        <f>Form!O677</f>
        <v/>
      </c>
    </row>
    <row r="682">
      <c r="A682" s="248" t="str">
        <f>Form!C677</f>
        <v/>
      </c>
      <c r="B682" s="4" t="str">
        <f>Form!D677</f>
        <v/>
      </c>
      <c r="C682" s="166" t="str">
        <f>Form!M677</f>
        <v/>
      </c>
      <c r="D682" s="166" t="str">
        <f>Form!N677</f>
        <v/>
      </c>
      <c r="E682" s="166" t="str">
        <f>Form!J677</f>
        <v/>
      </c>
      <c r="F682" s="166" t="str">
        <f>Form!K677</f>
        <v/>
      </c>
      <c r="G682" s="166"/>
      <c r="H682" s="166" t="str">
        <f>Form!O678</f>
        <v/>
      </c>
    </row>
    <row r="683">
      <c r="A683" s="248" t="str">
        <f>Form!C678</f>
        <v/>
      </c>
      <c r="B683" s="4" t="str">
        <f>Form!D678</f>
        <v/>
      </c>
      <c r="C683" s="166" t="str">
        <f>Form!M678</f>
        <v/>
      </c>
      <c r="D683" s="166" t="str">
        <f>Form!N678</f>
        <v/>
      </c>
      <c r="E683" s="166" t="str">
        <f>Form!J678</f>
        <v/>
      </c>
      <c r="F683" s="166" t="str">
        <f>Form!K678</f>
        <v/>
      </c>
      <c r="G683" s="166"/>
      <c r="H683" s="166" t="str">
        <f>Form!O679</f>
        <v/>
      </c>
    </row>
    <row r="684">
      <c r="A684" s="248" t="str">
        <f>Form!C679</f>
        <v/>
      </c>
      <c r="B684" s="4" t="str">
        <f>Form!D679</f>
        <v/>
      </c>
      <c r="C684" s="166" t="str">
        <f>Form!M679</f>
        <v/>
      </c>
      <c r="D684" s="166" t="str">
        <f>Form!N679</f>
        <v/>
      </c>
      <c r="E684" s="166" t="str">
        <f>Form!J679</f>
        <v/>
      </c>
      <c r="F684" s="166" t="str">
        <f>Form!K679</f>
        <v/>
      </c>
      <c r="G684" s="166"/>
      <c r="H684" s="166" t="str">
        <f>Form!O680</f>
        <v/>
      </c>
    </row>
    <row r="685">
      <c r="A685" s="248" t="str">
        <f>Form!C680</f>
        <v/>
      </c>
      <c r="B685" s="4" t="str">
        <f>Form!D680</f>
        <v/>
      </c>
      <c r="C685" s="166" t="str">
        <f>Form!M680</f>
        <v/>
      </c>
      <c r="D685" s="166" t="str">
        <f>Form!N680</f>
        <v/>
      </c>
      <c r="E685" s="166" t="str">
        <f>Form!J680</f>
        <v/>
      </c>
      <c r="F685" s="166" t="str">
        <f>Form!K680</f>
        <v/>
      </c>
      <c r="G685" s="166"/>
      <c r="H685" s="166" t="str">
        <f>Form!O681</f>
        <v/>
      </c>
    </row>
    <row r="686">
      <c r="A686" s="248" t="str">
        <f>Form!C681</f>
        <v/>
      </c>
      <c r="B686" s="4" t="str">
        <f>Form!D681</f>
        <v/>
      </c>
      <c r="C686" s="166" t="str">
        <f>Form!M681</f>
        <v/>
      </c>
      <c r="D686" s="166" t="str">
        <f>Form!N681</f>
        <v/>
      </c>
      <c r="E686" s="166" t="str">
        <f>Form!J681</f>
        <v/>
      </c>
      <c r="F686" s="166" t="str">
        <f>Form!K681</f>
        <v/>
      </c>
      <c r="G686" s="166"/>
      <c r="H686" s="166" t="str">
        <f>Form!O682</f>
        <v/>
      </c>
    </row>
    <row r="687">
      <c r="A687" s="248" t="str">
        <f>Form!C682</f>
        <v/>
      </c>
      <c r="B687" s="4" t="str">
        <f>Form!D682</f>
        <v/>
      </c>
      <c r="C687" s="166" t="str">
        <f>Form!M682</f>
        <v/>
      </c>
      <c r="D687" s="166" t="str">
        <f>Form!N682</f>
        <v/>
      </c>
      <c r="E687" s="166" t="str">
        <f>Form!J682</f>
        <v/>
      </c>
      <c r="F687" s="166" t="str">
        <f>Form!K682</f>
        <v/>
      </c>
      <c r="G687" s="166"/>
      <c r="H687" s="166" t="str">
        <f>Form!O683</f>
        <v/>
      </c>
    </row>
    <row r="688">
      <c r="A688" s="248" t="str">
        <f>Form!C683</f>
        <v/>
      </c>
      <c r="B688" s="4" t="str">
        <f>Form!D683</f>
        <v/>
      </c>
      <c r="C688" s="166" t="str">
        <f>Form!M683</f>
        <v/>
      </c>
      <c r="D688" s="166" t="str">
        <f>Form!N683</f>
        <v/>
      </c>
      <c r="E688" s="166" t="str">
        <f>Form!J683</f>
        <v/>
      </c>
      <c r="F688" s="166" t="str">
        <f>Form!K683</f>
        <v/>
      </c>
      <c r="G688" s="166"/>
      <c r="H688" s="166" t="str">
        <f>Form!O684</f>
        <v/>
      </c>
    </row>
    <row r="689">
      <c r="A689" s="248" t="str">
        <f>Form!C684</f>
        <v/>
      </c>
      <c r="B689" s="4" t="str">
        <f>Form!D684</f>
        <v/>
      </c>
      <c r="C689" s="166" t="str">
        <f>Form!M684</f>
        <v/>
      </c>
      <c r="D689" s="166" t="str">
        <f>Form!N684</f>
        <v/>
      </c>
      <c r="E689" s="166" t="str">
        <f>Form!J684</f>
        <v/>
      </c>
      <c r="F689" s="166" t="str">
        <f>Form!K684</f>
        <v/>
      </c>
      <c r="G689" s="166"/>
      <c r="H689" s="166" t="str">
        <f>Form!O685</f>
        <v/>
      </c>
    </row>
    <row r="690">
      <c r="A690" s="248" t="str">
        <f>Form!C685</f>
        <v/>
      </c>
      <c r="B690" s="4" t="str">
        <f>Form!D685</f>
        <v/>
      </c>
      <c r="C690" s="166" t="str">
        <f>Form!M685</f>
        <v/>
      </c>
      <c r="D690" s="166" t="str">
        <f>Form!N685</f>
        <v/>
      </c>
      <c r="E690" s="166" t="str">
        <f>Form!J685</f>
        <v/>
      </c>
      <c r="F690" s="166" t="str">
        <f>Form!K685</f>
        <v/>
      </c>
      <c r="G690" s="166"/>
      <c r="H690" s="166" t="str">
        <f>Form!O686</f>
        <v/>
      </c>
    </row>
    <row r="691">
      <c r="A691" s="248" t="str">
        <f>Form!C686</f>
        <v/>
      </c>
      <c r="B691" s="4" t="str">
        <f>Form!D686</f>
        <v/>
      </c>
      <c r="C691" s="166" t="str">
        <f>Form!M686</f>
        <v/>
      </c>
      <c r="D691" s="166" t="str">
        <f>Form!N686</f>
        <v/>
      </c>
      <c r="E691" s="166" t="str">
        <f>Form!J686</f>
        <v/>
      </c>
      <c r="F691" s="166" t="str">
        <f>Form!K686</f>
        <v/>
      </c>
      <c r="G691" s="166"/>
      <c r="H691" s="166" t="str">
        <f>Form!O687</f>
        <v/>
      </c>
    </row>
    <row r="692">
      <c r="A692" s="248" t="str">
        <f>Form!C687</f>
        <v/>
      </c>
      <c r="B692" s="4" t="str">
        <f>Form!D687</f>
        <v/>
      </c>
      <c r="C692" s="166" t="str">
        <f>Form!M687</f>
        <v/>
      </c>
      <c r="D692" s="166" t="str">
        <f>Form!N687</f>
        <v/>
      </c>
      <c r="E692" s="166" t="str">
        <f>Form!J687</f>
        <v/>
      </c>
      <c r="F692" s="166" t="str">
        <f>Form!K687</f>
        <v/>
      </c>
      <c r="G692" s="166"/>
      <c r="H692" s="166" t="str">
        <f>Form!O688</f>
        <v/>
      </c>
    </row>
    <row r="693">
      <c r="A693" s="248" t="str">
        <f>Form!C688</f>
        <v/>
      </c>
      <c r="B693" s="4" t="str">
        <f>Form!D688</f>
        <v/>
      </c>
      <c r="C693" s="166" t="str">
        <f>Form!M688</f>
        <v/>
      </c>
      <c r="D693" s="166" t="str">
        <f>Form!N688</f>
        <v/>
      </c>
      <c r="E693" s="166" t="str">
        <f>Form!J688</f>
        <v/>
      </c>
      <c r="F693" s="166" t="str">
        <f>Form!K688</f>
        <v/>
      </c>
      <c r="G693" s="166"/>
      <c r="H693" s="166" t="str">
        <f>Form!O689</f>
        <v/>
      </c>
    </row>
    <row r="694">
      <c r="A694" s="248" t="str">
        <f>Form!C689</f>
        <v/>
      </c>
      <c r="B694" s="4" t="str">
        <f>Form!D689</f>
        <v/>
      </c>
      <c r="C694" s="166" t="str">
        <f>Form!M689</f>
        <v/>
      </c>
      <c r="D694" s="166" t="str">
        <f>Form!N689</f>
        <v/>
      </c>
      <c r="E694" s="166" t="str">
        <f>Form!J689</f>
        <v/>
      </c>
      <c r="F694" s="166" t="str">
        <f>Form!K689</f>
        <v/>
      </c>
      <c r="G694" s="166"/>
      <c r="H694" s="166" t="str">
        <f>Form!O690</f>
        <v/>
      </c>
    </row>
    <row r="695">
      <c r="A695" s="248" t="str">
        <f>Form!C690</f>
        <v/>
      </c>
      <c r="B695" s="4" t="str">
        <f>Form!D690</f>
        <v/>
      </c>
      <c r="C695" s="166" t="str">
        <f>Form!M690</f>
        <v/>
      </c>
      <c r="D695" s="166" t="str">
        <f>Form!N690</f>
        <v/>
      </c>
      <c r="E695" s="166" t="str">
        <f>Form!J690</f>
        <v/>
      </c>
      <c r="F695" s="166" t="str">
        <f>Form!K690</f>
        <v/>
      </c>
      <c r="G695" s="166"/>
      <c r="H695" s="166" t="str">
        <f>Form!O691</f>
        <v/>
      </c>
    </row>
    <row r="696">
      <c r="A696" s="248" t="str">
        <f>Form!C691</f>
        <v/>
      </c>
      <c r="B696" s="4" t="str">
        <f>Form!D691</f>
        <v/>
      </c>
      <c r="C696" s="166" t="str">
        <f>Form!M691</f>
        <v/>
      </c>
      <c r="D696" s="166" t="str">
        <f>Form!N691</f>
        <v/>
      </c>
      <c r="E696" s="166" t="str">
        <f>Form!J691</f>
        <v/>
      </c>
      <c r="F696" s="166" t="str">
        <f>Form!K691</f>
        <v/>
      </c>
      <c r="G696" s="166"/>
      <c r="H696" s="166" t="str">
        <f>Form!O692</f>
        <v/>
      </c>
    </row>
    <row r="697">
      <c r="A697" s="248" t="str">
        <f>Form!C692</f>
        <v/>
      </c>
      <c r="B697" s="4" t="str">
        <f>Form!D692</f>
        <v/>
      </c>
      <c r="C697" s="166" t="str">
        <f>Form!M692</f>
        <v/>
      </c>
      <c r="D697" s="166" t="str">
        <f>Form!N692</f>
        <v/>
      </c>
      <c r="E697" s="166" t="str">
        <f>Form!J692</f>
        <v/>
      </c>
      <c r="F697" s="166" t="str">
        <f>Form!K692</f>
        <v/>
      </c>
      <c r="G697" s="166"/>
      <c r="H697" s="166" t="str">
        <f>Form!O693</f>
        <v/>
      </c>
    </row>
    <row r="698">
      <c r="A698" s="248" t="str">
        <f>Form!C693</f>
        <v/>
      </c>
      <c r="B698" s="4" t="str">
        <f>Form!D693</f>
        <v/>
      </c>
      <c r="C698" s="166" t="str">
        <f>Form!M693</f>
        <v/>
      </c>
      <c r="D698" s="166" t="str">
        <f>Form!N693</f>
        <v/>
      </c>
      <c r="E698" s="166" t="str">
        <f>Form!J693</f>
        <v/>
      </c>
      <c r="F698" s="166" t="str">
        <f>Form!K693</f>
        <v/>
      </c>
      <c r="G698" s="166"/>
      <c r="H698" s="166" t="str">
        <f>Form!O694</f>
        <v/>
      </c>
    </row>
    <row r="699">
      <c r="A699" s="248" t="str">
        <f>Form!C694</f>
        <v/>
      </c>
      <c r="B699" s="4" t="str">
        <f>Form!D694</f>
        <v/>
      </c>
      <c r="C699" s="166" t="str">
        <f>Form!M694</f>
        <v/>
      </c>
      <c r="D699" s="166" t="str">
        <f>Form!N694</f>
        <v/>
      </c>
      <c r="E699" s="166" t="str">
        <f>Form!J694</f>
        <v/>
      </c>
      <c r="F699" s="166" t="str">
        <f>Form!K694</f>
        <v/>
      </c>
      <c r="G699" s="166"/>
      <c r="H699" s="166" t="str">
        <f>Form!O695</f>
        <v/>
      </c>
    </row>
    <row r="700">
      <c r="A700" s="248" t="str">
        <f>Form!C695</f>
        <v/>
      </c>
      <c r="B700" s="4" t="str">
        <f>Form!D695</f>
        <v/>
      </c>
      <c r="C700" s="166" t="str">
        <f>Form!M695</f>
        <v/>
      </c>
      <c r="D700" s="166" t="str">
        <f>Form!N695</f>
        <v/>
      </c>
      <c r="E700" s="166" t="str">
        <f>Form!J695</f>
        <v/>
      </c>
      <c r="F700" s="166" t="str">
        <f>Form!K695</f>
        <v/>
      </c>
      <c r="G700" s="166"/>
      <c r="H700" s="166" t="str">
        <f>Form!O696</f>
        <v/>
      </c>
    </row>
    <row r="701">
      <c r="A701" s="248" t="str">
        <f>Form!C696</f>
        <v/>
      </c>
      <c r="B701" s="4" t="str">
        <f>Form!D696</f>
        <v/>
      </c>
      <c r="C701" s="166" t="str">
        <f>Form!M696</f>
        <v/>
      </c>
      <c r="D701" s="166" t="str">
        <f>Form!N696</f>
        <v/>
      </c>
      <c r="E701" s="166" t="str">
        <f>Form!J696</f>
        <v/>
      </c>
      <c r="F701" s="166" t="str">
        <f>Form!K696</f>
        <v/>
      </c>
      <c r="G701" s="166"/>
      <c r="H701" s="166" t="str">
        <f>Form!O697</f>
        <v/>
      </c>
    </row>
    <row r="702">
      <c r="A702" s="248" t="str">
        <f>Form!C697</f>
        <v/>
      </c>
      <c r="B702" s="4" t="str">
        <f>Form!D697</f>
        <v/>
      </c>
      <c r="C702" s="166" t="str">
        <f>Form!M697</f>
        <v/>
      </c>
      <c r="D702" s="166" t="str">
        <f>Form!N697</f>
        <v/>
      </c>
      <c r="E702" s="166" t="str">
        <f>Form!J697</f>
        <v/>
      </c>
      <c r="F702" s="166" t="str">
        <f>Form!K697</f>
        <v/>
      </c>
      <c r="G702" s="166"/>
      <c r="H702" s="166" t="str">
        <f>Form!O698</f>
        <v/>
      </c>
    </row>
    <row r="703">
      <c r="A703" s="248" t="str">
        <f>Form!C698</f>
        <v/>
      </c>
      <c r="B703" s="4" t="str">
        <f>Form!D698</f>
        <v/>
      </c>
      <c r="C703" s="166" t="str">
        <f>Form!M698</f>
        <v/>
      </c>
      <c r="D703" s="166" t="str">
        <f>Form!N698</f>
        <v/>
      </c>
      <c r="E703" s="166" t="str">
        <f>Form!J698</f>
        <v/>
      </c>
      <c r="F703" s="166" t="str">
        <f>Form!K698</f>
        <v/>
      </c>
      <c r="G703" s="166"/>
      <c r="H703" s="166" t="str">
        <f>Form!O699</f>
        <v/>
      </c>
    </row>
    <row r="704">
      <c r="A704" s="248" t="str">
        <f>Form!C699</f>
        <v/>
      </c>
      <c r="B704" s="4" t="str">
        <f>Form!D699</f>
        <v/>
      </c>
      <c r="C704" s="166" t="str">
        <f>Form!M699</f>
        <v/>
      </c>
      <c r="D704" s="166" t="str">
        <f>Form!N699</f>
        <v/>
      </c>
      <c r="E704" s="166" t="str">
        <f>Form!J699</f>
        <v/>
      </c>
      <c r="F704" s="166" t="str">
        <f>Form!K699</f>
        <v/>
      </c>
      <c r="G704" s="166"/>
      <c r="H704" s="166" t="str">
        <f>Form!O700</f>
        <v/>
      </c>
    </row>
    <row r="705">
      <c r="A705" s="248" t="str">
        <f>Form!C700</f>
        <v/>
      </c>
      <c r="B705" s="4" t="str">
        <f>Form!D700</f>
        <v/>
      </c>
      <c r="C705" s="166" t="str">
        <f>Form!M700</f>
        <v/>
      </c>
      <c r="D705" s="166" t="str">
        <f>Form!N700</f>
        <v/>
      </c>
      <c r="E705" s="166" t="str">
        <f>Form!J700</f>
        <v/>
      </c>
      <c r="F705" s="166" t="str">
        <f>Form!K700</f>
        <v/>
      </c>
      <c r="G705" s="166"/>
      <c r="H705" s="166" t="str">
        <f>Form!O701</f>
        <v/>
      </c>
    </row>
    <row r="706">
      <c r="A706" s="248" t="str">
        <f>Form!C701</f>
        <v/>
      </c>
      <c r="B706" s="4" t="str">
        <f>Form!D701</f>
        <v/>
      </c>
      <c r="C706" s="166" t="str">
        <f>Form!M701</f>
        <v/>
      </c>
      <c r="D706" s="166" t="str">
        <f>Form!N701</f>
        <v/>
      </c>
      <c r="E706" s="166" t="str">
        <f>Form!J701</f>
        <v/>
      </c>
      <c r="F706" s="166" t="str">
        <f>Form!K701</f>
        <v/>
      </c>
      <c r="G706" s="166"/>
      <c r="H706" s="166" t="str">
        <f>Form!O702</f>
        <v/>
      </c>
    </row>
    <row r="707">
      <c r="A707" s="248" t="str">
        <f>Form!C702</f>
        <v/>
      </c>
      <c r="B707" s="4" t="str">
        <f>Form!D702</f>
        <v/>
      </c>
      <c r="C707" s="166" t="str">
        <f>Form!M702</f>
        <v/>
      </c>
      <c r="D707" s="166" t="str">
        <f>Form!N702</f>
        <v/>
      </c>
      <c r="E707" s="166" t="str">
        <f>Form!J702</f>
        <v/>
      </c>
      <c r="F707" s="166" t="str">
        <f>Form!K702</f>
        <v/>
      </c>
      <c r="G707" s="166"/>
      <c r="H707" s="166" t="str">
        <f>Form!O703</f>
        <v/>
      </c>
    </row>
    <row r="708">
      <c r="A708" s="248" t="str">
        <f>Form!C703</f>
        <v/>
      </c>
      <c r="B708" s="4" t="str">
        <f>Form!D703</f>
        <v/>
      </c>
      <c r="C708" s="166" t="str">
        <f>Form!M703</f>
        <v/>
      </c>
      <c r="D708" s="166" t="str">
        <f>Form!N703</f>
        <v/>
      </c>
      <c r="E708" s="166" t="str">
        <f>Form!J703</f>
        <v/>
      </c>
      <c r="F708" s="166" t="str">
        <f>Form!K703</f>
        <v/>
      </c>
      <c r="G708" s="166"/>
      <c r="H708" s="166" t="str">
        <f>Form!O704</f>
        <v/>
      </c>
    </row>
    <row r="709">
      <c r="A709" s="248" t="str">
        <f>Form!C704</f>
        <v/>
      </c>
      <c r="B709" s="4" t="str">
        <f>Form!D704</f>
        <v/>
      </c>
      <c r="C709" s="166" t="str">
        <f>Form!M704</f>
        <v/>
      </c>
      <c r="D709" s="166" t="str">
        <f>Form!N704</f>
        <v/>
      </c>
      <c r="E709" s="166" t="str">
        <f>Form!J704</f>
        <v/>
      </c>
      <c r="F709" s="166" t="str">
        <f>Form!K704</f>
        <v/>
      </c>
      <c r="G709" s="166"/>
      <c r="H709" s="166" t="str">
        <f>Form!O705</f>
        <v/>
      </c>
    </row>
    <row r="710">
      <c r="A710" s="248" t="str">
        <f>Form!C705</f>
        <v/>
      </c>
      <c r="B710" s="4" t="str">
        <f>Form!D705</f>
        <v/>
      </c>
      <c r="C710" s="166" t="str">
        <f>Form!M705</f>
        <v/>
      </c>
      <c r="D710" s="166" t="str">
        <f>Form!N705</f>
        <v/>
      </c>
      <c r="E710" s="166" t="str">
        <f>Form!J705</f>
        <v/>
      </c>
      <c r="F710" s="166" t="str">
        <f>Form!K705</f>
        <v/>
      </c>
      <c r="G710" s="166"/>
      <c r="H710" s="166" t="str">
        <f>Form!O706</f>
        <v/>
      </c>
    </row>
    <row r="711">
      <c r="A711" s="248" t="str">
        <f>Form!C706</f>
        <v/>
      </c>
      <c r="B711" s="4" t="str">
        <f>Form!D706</f>
        <v/>
      </c>
      <c r="C711" s="166" t="str">
        <f>Form!M706</f>
        <v/>
      </c>
      <c r="D711" s="166" t="str">
        <f>Form!N706</f>
        <v/>
      </c>
      <c r="E711" s="166" t="str">
        <f>Form!J706</f>
        <v/>
      </c>
      <c r="F711" s="166" t="str">
        <f>Form!K706</f>
        <v/>
      </c>
      <c r="G711" s="166"/>
      <c r="H711" s="166" t="str">
        <f>Form!O707</f>
        <v/>
      </c>
    </row>
    <row r="712">
      <c r="A712" s="248" t="str">
        <f>Form!C707</f>
        <v/>
      </c>
      <c r="B712" s="4" t="str">
        <f>Form!D707</f>
        <v/>
      </c>
      <c r="C712" s="166" t="str">
        <f>Form!M707</f>
        <v/>
      </c>
      <c r="D712" s="166" t="str">
        <f>Form!N707</f>
        <v/>
      </c>
      <c r="E712" s="166" t="str">
        <f>Form!J707</f>
        <v/>
      </c>
      <c r="F712" s="166" t="str">
        <f>Form!K707</f>
        <v/>
      </c>
      <c r="G712" s="166"/>
      <c r="H712" s="166" t="str">
        <f>Form!O708</f>
        <v/>
      </c>
    </row>
    <row r="713">
      <c r="A713" s="248" t="str">
        <f>Form!C708</f>
        <v/>
      </c>
      <c r="B713" s="4" t="str">
        <f>Form!D708</f>
        <v/>
      </c>
      <c r="C713" s="166" t="str">
        <f>Form!M708</f>
        <v/>
      </c>
      <c r="D713" s="166" t="str">
        <f>Form!N708</f>
        <v/>
      </c>
      <c r="E713" s="166" t="str">
        <f>Form!J708</f>
        <v/>
      </c>
      <c r="F713" s="166" t="str">
        <f>Form!K708</f>
        <v/>
      </c>
      <c r="G713" s="166"/>
      <c r="H713" s="166" t="str">
        <f>Form!O709</f>
        <v/>
      </c>
    </row>
    <row r="714">
      <c r="A714" s="248" t="str">
        <f>Form!C709</f>
        <v/>
      </c>
      <c r="B714" s="4" t="str">
        <f>Form!D709</f>
        <v/>
      </c>
      <c r="C714" s="166" t="str">
        <f>Form!M709</f>
        <v/>
      </c>
      <c r="D714" s="166" t="str">
        <f>Form!N709</f>
        <v/>
      </c>
      <c r="E714" s="166" t="str">
        <f>Form!J709</f>
        <v/>
      </c>
      <c r="F714" s="166" t="str">
        <f>Form!K709</f>
        <v/>
      </c>
      <c r="G714" s="166"/>
      <c r="H714" s="166" t="str">
        <f>Form!O710</f>
        <v/>
      </c>
    </row>
    <row r="715">
      <c r="A715" s="248" t="str">
        <f>Form!C710</f>
        <v/>
      </c>
      <c r="B715" s="4" t="str">
        <f>Form!D710</f>
        <v/>
      </c>
      <c r="C715" s="166" t="str">
        <f>Form!M710</f>
        <v/>
      </c>
      <c r="D715" s="166" t="str">
        <f>Form!N710</f>
        <v/>
      </c>
      <c r="E715" s="166" t="str">
        <f>Form!J710</f>
        <v/>
      </c>
      <c r="F715" s="166" t="str">
        <f>Form!K710</f>
        <v/>
      </c>
      <c r="G715" s="166"/>
      <c r="H715" s="166" t="str">
        <f>Form!O711</f>
        <v/>
      </c>
    </row>
    <row r="716">
      <c r="A716" s="248" t="str">
        <f>Form!C711</f>
        <v/>
      </c>
      <c r="B716" s="4" t="str">
        <f>Form!D711</f>
        <v/>
      </c>
      <c r="C716" s="166" t="str">
        <f>Form!M711</f>
        <v/>
      </c>
      <c r="D716" s="166" t="str">
        <f>Form!N711</f>
        <v/>
      </c>
      <c r="E716" s="166" t="str">
        <f>Form!J711</f>
        <v/>
      </c>
      <c r="F716" s="166" t="str">
        <f>Form!K711</f>
        <v/>
      </c>
      <c r="G716" s="166"/>
      <c r="H716" s="166" t="str">
        <f>Form!O712</f>
        <v/>
      </c>
    </row>
    <row r="717">
      <c r="A717" s="248" t="str">
        <f>Form!C712</f>
        <v/>
      </c>
      <c r="B717" s="4" t="str">
        <f>Form!D712</f>
        <v/>
      </c>
      <c r="C717" s="166" t="str">
        <f>Form!M712</f>
        <v/>
      </c>
      <c r="D717" s="166" t="str">
        <f>Form!N712</f>
        <v/>
      </c>
      <c r="E717" s="166" t="str">
        <f>Form!J712</f>
        <v/>
      </c>
      <c r="F717" s="166" t="str">
        <f>Form!K712</f>
        <v/>
      </c>
      <c r="G717" s="166"/>
      <c r="H717" s="166" t="str">
        <f>Form!O713</f>
        <v/>
      </c>
    </row>
    <row r="718">
      <c r="A718" s="248" t="str">
        <f>Form!C713</f>
        <v/>
      </c>
      <c r="B718" s="4" t="str">
        <f>Form!D713</f>
        <v/>
      </c>
      <c r="C718" s="166" t="str">
        <f>Form!M713</f>
        <v/>
      </c>
      <c r="D718" s="166" t="str">
        <f>Form!N713</f>
        <v/>
      </c>
      <c r="E718" s="166" t="str">
        <f>Form!J713</f>
        <v/>
      </c>
      <c r="F718" s="166" t="str">
        <f>Form!K713</f>
        <v/>
      </c>
      <c r="G718" s="166"/>
      <c r="H718" s="166" t="str">
        <f>Form!O714</f>
        <v/>
      </c>
    </row>
    <row r="719">
      <c r="A719" s="248" t="str">
        <f>Form!C714</f>
        <v/>
      </c>
      <c r="B719" s="4" t="str">
        <f>Form!D714</f>
        <v/>
      </c>
      <c r="C719" s="166" t="str">
        <f>Form!M714</f>
        <v/>
      </c>
      <c r="D719" s="166" t="str">
        <f>Form!N714</f>
        <v/>
      </c>
      <c r="E719" s="166" t="str">
        <f>Form!J714</f>
        <v/>
      </c>
      <c r="F719" s="166" t="str">
        <f>Form!K714</f>
        <v/>
      </c>
      <c r="G719" s="166"/>
      <c r="H719" s="166" t="str">
        <f>Form!O715</f>
        <v/>
      </c>
    </row>
    <row r="720">
      <c r="A720" s="248" t="str">
        <f>Form!C715</f>
        <v/>
      </c>
      <c r="B720" s="4" t="str">
        <f>Form!D715</f>
        <v/>
      </c>
      <c r="C720" s="166" t="str">
        <f>Form!M715</f>
        <v/>
      </c>
      <c r="D720" s="166" t="str">
        <f>Form!N715</f>
        <v/>
      </c>
      <c r="E720" s="166" t="str">
        <f>Form!J715</f>
        <v/>
      </c>
      <c r="F720" s="166" t="str">
        <f>Form!K715</f>
        <v/>
      </c>
      <c r="G720" s="166"/>
      <c r="H720" s="166" t="str">
        <f>Form!O716</f>
        <v/>
      </c>
    </row>
    <row r="721">
      <c r="A721" s="248" t="str">
        <f>Form!C716</f>
        <v/>
      </c>
      <c r="B721" s="4" t="str">
        <f>Form!D716</f>
        <v/>
      </c>
      <c r="C721" s="166" t="str">
        <f>Form!M716</f>
        <v/>
      </c>
      <c r="D721" s="166" t="str">
        <f>Form!N716</f>
        <v/>
      </c>
      <c r="E721" s="166" t="str">
        <f>Form!J716</f>
        <v/>
      </c>
      <c r="F721" s="166" t="str">
        <f>Form!K716</f>
        <v/>
      </c>
      <c r="G721" s="166"/>
      <c r="H721" s="166" t="str">
        <f>Form!O717</f>
        <v/>
      </c>
    </row>
    <row r="722">
      <c r="A722" s="248" t="str">
        <f>Form!C717</f>
        <v/>
      </c>
      <c r="B722" s="4" t="str">
        <f>Form!D717</f>
        <v/>
      </c>
      <c r="C722" s="166" t="str">
        <f>Form!M717</f>
        <v/>
      </c>
      <c r="D722" s="166" t="str">
        <f>Form!N717</f>
        <v/>
      </c>
      <c r="E722" s="166" t="str">
        <f>Form!J717</f>
        <v/>
      </c>
      <c r="F722" s="166" t="str">
        <f>Form!K717</f>
        <v/>
      </c>
      <c r="G722" s="166"/>
      <c r="H722" s="166" t="str">
        <f>Form!O718</f>
        <v/>
      </c>
    </row>
    <row r="723">
      <c r="A723" s="248" t="str">
        <f>Form!C718</f>
        <v/>
      </c>
      <c r="B723" s="4" t="str">
        <f>Form!D718</f>
        <v/>
      </c>
      <c r="C723" s="166" t="str">
        <f>Form!M718</f>
        <v/>
      </c>
      <c r="D723" s="166" t="str">
        <f>Form!N718</f>
        <v/>
      </c>
      <c r="E723" s="166" t="str">
        <f>Form!J718</f>
        <v/>
      </c>
      <c r="F723" s="166" t="str">
        <f>Form!K718</f>
        <v/>
      </c>
      <c r="G723" s="166"/>
      <c r="H723" s="166" t="str">
        <f>Form!O719</f>
        <v/>
      </c>
    </row>
    <row r="724">
      <c r="A724" s="248" t="str">
        <f>Form!C719</f>
        <v/>
      </c>
      <c r="B724" s="4" t="str">
        <f>Form!D719</f>
        <v/>
      </c>
      <c r="C724" s="166" t="str">
        <f>Form!M719</f>
        <v/>
      </c>
      <c r="D724" s="166" t="str">
        <f>Form!N719</f>
        <v/>
      </c>
      <c r="E724" s="166" t="str">
        <f>Form!J719</f>
        <v/>
      </c>
      <c r="F724" s="166" t="str">
        <f>Form!K719</f>
        <v/>
      </c>
      <c r="G724" s="166"/>
      <c r="H724" s="166" t="str">
        <f>Form!O720</f>
        <v/>
      </c>
    </row>
    <row r="725">
      <c r="A725" s="248" t="str">
        <f>Form!C720</f>
        <v/>
      </c>
      <c r="B725" s="4" t="str">
        <f>Form!D720</f>
        <v/>
      </c>
      <c r="C725" s="166" t="str">
        <f>Form!M720</f>
        <v/>
      </c>
      <c r="D725" s="166" t="str">
        <f>Form!N720</f>
        <v/>
      </c>
      <c r="E725" s="166" t="str">
        <f>Form!J720</f>
        <v/>
      </c>
      <c r="F725" s="166" t="str">
        <f>Form!K720</f>
        <v/>
      </c>
      <c r="G725" s="166"/>
      <c r="H725" s="166" t="str">
        <f>Form!O721</f>
        <v/>
      </c>
    </row>
    <row r="726">
      <c r="A726" s="248" t="str">
        <f>Form!C721</f>
        <v/>
      </c>
      <c r="B726" s="4" t="str">
        <f>Form!D721</f>
        <v/>
      </c>
      <c r="C726" s="166" t="str">
        <f>Form!M721</f>
        <v/>
      </c>
      <c r="D726" s="166" t="str">
        <f>Form!N721</f>
        <v/>
      </c>
      <c r="E726" s="166" t="str">
        <f>Form!J721</f>
        <v/>
      </c>
      <c r="F726" s="166" t="str">
        <f>Form!K721</f>
        <v/>
      </c>
      <c r="G726" s="166"/>
      <c r="H726" s="166" t="str">
        <f>Form!O722</f>
        <v/>
      </c>
    </row>
    <row r="727">
      <c r="A727" s="248" t="str">
        <f>Form!C722</f>
        <v/>
      </c>
      <c r="B727" s="4" t="str">
        <f>Form!D722</f>
        <v/>
      </c>
      <c r="C727" s="166" t="str">
        <f>Form!M722</f>
        <v/>
      </c>
      <c r="D727" s="166" t="str">
        <f>Form!N722</f>
        <v/>
      </c>
      <c r="E727" s="166" t="str">
        <f>Form!J722</f>
        <v/>
      </c>
      <c r="F727" s="166" t="str">
        <f>Form!K722</f>
        <v/>
      </c>
      <c r="G727" s="166"/>
      <c r="H727" s="166" t="str">
        <f>Form!O723</f>
        <v/>
      </c>
    </row>
    <row r="728">
      <c r="A728" s="248" t="str">
        <f>Form!C723</f>
        <v/>
      </c>
      <c r="B728" s="4" t="str">
        <f>Form!D723</f>
        <v/>
      </c>
      <c r="C728" s="166" t="str">
        <f>Form!M723</f>
        <v/>
      </c>
      <c r="D728" s="166" t="str">
        <f>Form!N723</f>
        <v/>
      </c>
      <c r="E728" s="166" t="str">
        <f>Form!J723</f>
        <v/>
      </c>
      <c r="F728" s="166" t="str">
        <f>Form!K723</f>
        <v/>
      </c>
      <c r="G728" s="166"/>
      <c r="H728" s="166" t="str">
        <f>Form!O724</f>
        <v/>
      </c>
    </row>
    <row r="729">
      <c r="A729" s="248" t="str">
        <f>Form!C724</f>
        <v/>
      </c>
      <c r="B729" s="4" t="str">
        <f>Form!D724</f>
        <v/>
      </c>
      <c r="C729" s="166" t="str">
        <f>Form!M724</f>
        <v/>
      </c>
      <c r="D729" s="166" t="str">
        <f>Form!N724</f>
        <v/>
      </c>
      <c r="E729" s="166" t="str">
        <f>Form!J724</f>
        <v/>
      </c>
      <c r="F729" s="166" t="str">
        <f>Form!K724</f>
        <v/>
      </c>
      <c r="G729" s="166"/>
      <c r="H729" s="166" t="str">
        <f>Form!O725</f>
        <v/>
      </c>
    </row>
    <row r="730">
      <c r="A730" s="248" t="str">
        <f>Form!C725</f>
        <v/>
      </c>
      <c r="B730" s="4" t="str">
        <f>Form!D725</f>
        <v/>
      </c>
      <c r="C730" s="166" t="str">
        <f>Form!M725</f>
        <v/>
      </c>
      <c r="D730" s="166" t="str">
        <f>Form!N725</f>
        <v/>
      </c>
      <c r="E730" s="166" t="str">
        <f>Form!J725</f>
        <v/>
      </c>
      <c r="F730" s="166" t="str">
        <f>Form!K725</f>
        <v/>
      </c>
      <c r="G730" s="166"/>
      <c r="H730" s="166" t="str">
        <f>Form!O726</f>
        <v/>
      </c>
    </row>
    <row r="731">
      <c r="A731" s="248" t="str">
        <f>Form!C726</f>
        <v/>
      </c>
      <c r="B731" s="4" t="str">
        <f>Form!D726</f>
        <v/>
      </c>
      <c r="C731" s="166" t="str">
        <f>Form!M726</f>
        <v/>
      </c>
      <c r="D731" s="166" t="str">
        <f>Form!N726</f>
        <v/>
      </c>
      <c r="E731" s="166" t="str">
        <f>Form!J726</f>
        <v/>
      </c>
      <c r="F731" s="166" t="str">
        <f>Form!K726</f>
        <v/>
      </c>
      <c r="G731" s="166"/>
      <c r="H731" s="166" t="str">
        <f>Form!O727</f>
        <v/>
      </c>
    </row>
    <row r="732">
      <c r="A732" s="248" t="str">
        <f>Form!C727</f>
        <v/>
      </c>
      <c r="B732" s="4" t="str">
        <f>Form!D727</f>
        <v/>
      </c>
      <c r="C732" s="166" t="str">
        <f>Form!M727</f>
        <v/>
      </c>
      <c r="D732" s="166" t="str">
        <f>Form!N727</f>
        <v/>
      </c>
      <c r="E732" s="166" t="str">
        <f>Form!J727</f>
        <v/>
      </c>
      <c r="F732" s="166" t="str">
        <f>Form!K727</f>
        <v/>
      </c>
      <c r="G732" s="166"/>
      <c r="H732" s="166" t="str">
        <f>Form!O728</f>
        <v/>
      </c>
    </row>
    <row r="733">
      <c r="A733" s="248" t="str">
        <f>Form!C728</f>
        <v/>
      </c>
      <c r="B733" s="4" t="str">
        <f>Form!D728</f>
        <v/>
      </c>
      <c r="C733" s="166" t="str">
        <f>Form!M728</f>
        <v/>
      </c>
      <c r="D733" s="166" t="str">
        <f>Form!N728</f>
        <v/>
      </c>
      <c r="E733" s="166" t="str">
        <f>Form!J728</f>
        <v/>
      </c>
      <c r="F733" s="166" t="str">
        <f>Form!K728</f>
        <v/>
      </c>
      <c r="G733" s="166"/>
      <c r="H733" s="166" t="str">
        <f>Form!O729</f>
        <v/>
      </c>
    </row>
    <row r="734">
      <c r="A734" s="248" t="str">
        <f>Form!C729</f>
        <v/>
      </c>
      <c r="B734" s="4" t="str">
        <f>Form!D729</f>
        <v/>
      </c>
      <c r="C734" s="166" t="str">
        <f>Form!M729</f>
        <v/>
      </c>
      <c r="D734" s="166" t="str">
        <f>Form!N729</f>
        <v/>
      </c>
      <c r="E734" s="166" t="str">
        <f>Form!J729</f>
        <v/>
      </c>
      <c r="F734" s="166" t="str">
        <f>Form!K729</f>
        <v/>
      </c>
      <c r="G734" s="166"/>
      <c r="H734" s="166" t="str">
        <f>Form!O730</f>
        <v/>
      </c>
    </row>
    <row r="735">
      <c r="A735" s="248" t="str">
        <f>Form!C730</f>
        <v/>
      </c>
      <c r="B735" s="4" t="str">
        <f>Form!D730</f>
        <v/>
      </c>
      <c r="C735" s="166" t="str">
        <f>Form!M730</f>
        <v/>
      </c>
      <c r="D735" s="166" t="str">
        <f>Form!N730</f>
        <v/>
      </c>
      <c r="E735" s="166" t="str">
        <f>Form!J730</f>
        <v/>
      </c>
      <c r="F735" s="166" t="str">
        <f>Form!K730</f>
        <v/>
      </c>
      <c r="G735" s="166"/>
      <c r="H735" s="166" t="str">
        <f>Form!O731</f>
        <v/>
      </c>
    </row>
    <row r="736">
      <c r="A736" s="248" t="str">
        <f>Form!C731</f>
        <v/>
      </c>
      <c r="B736" s="4" t="str">
        <f>Form!D731</f>
        <v/>
      </c>
      <c r="C736" s="166" t="str">
        <f>Form!M731</f>
        <v/>
      </c>
      <c r="D736" s="166" t="str">
        <f>Form!N731</f>
        <v/>
      </c>
      <c r="E736" s="166" t="str">
        <f>Form!J731</f>
        <v/>
      </c>
      <c r="F736" s="166" t="str">
        <f>Form!K731</f>
        <v/>
      </c>
      <c r="G736" s="166"/>
      <c r="H736" s="166" t="str">
        <f>Form!O732</f>
        <v/>
      </c>
    </row>
    <row r="737">
      <c r="A737" s="248" t="str">
        <f>Form!C732</f>
        <v/>
      </c>
      <c r="B737" s="4" t="str">
        <f>Form!D732</f>
        <v/>
      </c>
      <c r="C737" s="166" t="str">
        <f>Form!M732</f>
        <v/>
      </c>
      <c r="D737" s="166" t="str">
        <f>Form!N732</f>
        <v/>
      </c>
      <c r="E737" s="166" t="str">
        <f>Form!J732</f>
        <v/>
      </c>
      <c r="F737" s="166" t="str">
        <f>Form!K732</f>
        <v/>
      </c>
      <c r="G737" s="166"/>
      <c r="H737" s="166" t="str">
        <f>Form!O733</f>
        <v/>
      </c>
    </row>
    <row r="738">
      <c r="A738" s="248" t="str">
        <f>Form!C733</f>
        <v/>
      </c>
      <c r="B738" s="4" t="str">
        <f>Form!D733</f>
        <v/>
      </c>
      <c r="C738" s="166" t="str">
        <f>Form!M733</f>
        <v/>
      </c>
      <c r="D738" s="166" t="str">
        <f>Form!N733</f>
        <v/>
      </c>
      <c r="E738" s="166" t="str">
        <f>Form!J733</f>
        <v/>
      </c>
      <c r="F738" s="166" t="str">
        <f>Form!K733</f>
        <v/>
      </c>
      <c r="G738" s="166"/>
      <c r="H738" s="166" t="str">
        <f>Form!O734</f>
        <v/>
      </c>
    </row>
    <row r="739">
      <c r="A739" s="248" t="str">
        <f>Form!C734</f>
        <v/>
      </c>
      <c r="B739" s="4" t="str">
        <f>Form!D734</f>
        <v/>
      </c>
      <c r="C739" s="166" t="str">
        <f>Form!M734</f>
        <v/>
      </c>
      <c r="D739" s="166" t="str">
        <f>Form!N734</f>
        <v/>
      </c>
      <c r="E739" s="166" t="str">
        <f>Form!J734</f>
        <v/>
      </c>
      <c r="F739" s="166" t="str">
        <f>Form!K734</f>
        <v/>
      </c>
      <c r="G739" s="166"/>
      <c r="H739" s="166" t="str">
        <f>Form!O735</f>
        <v/>
      </c>
    </row>
    <row r="740">
      <c r="A740" s="248" t="str">
        <f>Form!C735</f>
        <v/>
      </c>
      <c r="B740" s="4" t="str">
        <f>Form!D735</f>
        <v/>
      </c>
      <c r="C740" s="166" t="str">
        <f>Form!M735</f>
        <v/>
      </c>
      <c r="D740" s="166" t="str">
        <f>Form!N735</f>
        <v/>
      </c>
      <c r="E740" s="166" t="str">
        <f>Form!J735</f>
        <v/>
      </c>
      <c r="F740" s="166" t="str">
        <f>Form!K735</f>
        <v/>
      </c>
      <c r="G740" s="166"/>
      <c r="H740" s="166" t="str">
        <f>Form!O736</f>
        <v/>
      </c>
    </row>
    <row r="741">
      <c r="A741" s="248" t="str">
        <f>Form!C736</f>
        <v/>
      </c>
      <c r="B741" s="4" t="str">
        <f>Form!D736</f>
        <v/>
      </c>
      <c r="C741" s="166" t="str">
        <f>Form!M736</f>
        <v/>
      </c>
      <c r="D741" s="166" t="str">
        <f>Form!N736</f>
        <v/>
      </c>
      <c r="E741" s="166" t="str">
        <f>Form!J736</f>
        <v/>
      </c>
      <c r="F741" s="166" t="str">
        <f>Form!K736</f>
        <v/>
      </c>
      <c r="G741" s="166"/>
      <c r="H741" s="166" t="str">
        <f>Form!O737</f>
        <v/>
      </c>
    </row>
    <row r="742">
      <c r="A742" s="248" t="str">
        <f>Form!C737</f>
        <v/>
      </c>
      <c r="B742" s="4" t="str">
        <f>Form!D737</f>
        <v/>
      </c>
      <c r="C742" s="166" t="str">
        <f>Form!M737</f>
        <v/>
      </c>
      <c r="D742" s="166" t="str">
        <f>Form!N737</f>
        <v/>
      </c>
      <c r="E742" s="166" t="str">
        <f>Form!J737</f>
        <v/>
      </c>
      <c r="F742" s="166" t="str">
        <f>Form!K737</f>
        <v/>
      </c>
      <c r="G742" s="166"/>
      <c r="H742" s="166" t="str">
        <f>Form!O738</f>
        <v/>
      </c>
    </row>
    <row r="743">
      <c r="A743" s="248" t="str">
        <f>Form!C738</f>
        <v/>
      </c>
      <c r="B743" s="4" t="str">
        <f>Form!D738</f>
        <v/>
      </c>
      <c r="C743" s="166" t="str">
        <f>Form!M738</f>
        <v/>
      </c>
      <c r="D743" s="166" t="str">
        <f>Form!N738</f>
        <v/>
      </c>
      <c r="E743" s="166" t="str">
        <f>Form!J738</f>
        <v/>
      </c>
      <c r="F743" s="166" t="str">
        <f>Form!K738</f>
        <v/>
      </c>
      <c r="G743" s="166"/>
      <c r="H743" s="166" t="str">
        <f>Form!O739</f>
        <v/>
      </c>
    </row>
    <row r="744">
      <c r="A744" s="248" t="str">
        <f>Form!C739</f>
        <v/>
      </c>
      <c r="B744" s="4" t="str">
        <f>Form!D739</f>
        <v/>
      </c>
      <c r="C744" s="166" t="str">
        <f>Form!M739</f>
        <v/>
      </c>
      <c r="D744" s="166" t="str">
        <f>Form!N739</f>
        <v/>
      </c>
      <c r="E744" s="166" t="str">
        <f>Form!J739</f>
        <v/>
      </c>
      <c r="F744" s="166" t="str">
        <f>Form!K739</f>
        <v/>
      </c>
      <c r="G744" s="166"/>
      <c r="H744" s="166" t="str">
        <f>Form!O740</f>
        <v/>
      </c>
    </row>
    <row r="745">
      <c r="A745" s="248" t="str">
        <f>Form!C740</f>
        <v/>
      </c>
      <c r="B745" s="4" t="str">
        <f>Form!D740</f>
        <v/>
      </c>
      <c r="C745" s="166" t="str">
        <f>Form!M740</f>
        <v/>
      </c>
      <c r="D745" s="166" t="str">
        <f>Form!N740</f>
        <v/>
      </c>
      <c r="E745" s="166" t="str">
        <f>Form!J740</f>
        <v/>
      </c>
      <c r="F745" s="166" t="str">
        <f>Form!K740</f>
        <v/>
      </c>
      <c r="G745" s="166"/>
      <c r="H745" s="166" t="str">
        <f>Form!O741</f>
        <v/>
      </c>
    </row>
    <row r="746">
      <c r="A746" s="248" t="str">
        <f>Form!C741</f>
        <v/>
      </c>
      <c r="B746" s="4" t="str">
        <f>Form!D741</f>
        <v/>
      </c>
      <c r="C746" s="166" t="str">
        <f>Form!M741</f>
        <v/>
      </c>
      <c r="D746" s="166" t="str">
        <f>Form!N741</f>
        <v/>
      </c>
      <c r="E746" s="166" t="str">
        <f>Form!J741</f>
        <v/>
      </c>
      <c r="F746" s="166" t="str">
        <f>Form!K741</f>
        <v/>
      </c>
      <c r="G746" s="166"/>
      <c r="H746" s="166" t="str">
        <f>Form!O742</f>
        <v/>
      </c>
    </row>
    <row r="747">
      <c r="A747" s="248" t="str">
        <f>Form!C742</f>
        <v/>
      </c>
      <c r="B747" s="4" t="str">
        <f>Form!D742</f>
        <v/>
      </c>
      <c r="C747" s="166" t="str">
        <f>Form!M742</f>
        <v/>
      </c>
      <c r="D747" s="166" t="str">
        <f>Form!N742</f>
        <v/>
      </c>
      <c r="E747" s="166" t="str">
        <f>Form!J742</f>
        <v/>
      </c>
      <c r="F747" s="166" t="str">
        <f>Form!K742</f>
        <v/>
      </c>
      <c r="G747" s="166"/>
      <c r="H747" s="166" t="str">
        <f>Form!O743</f>
        <v/>
      </c>
    </row>
    <row r="748">
      <c r="A748" s="248" t="str">
        <f>Form!C743</f>
        <v/>
      </c>
      <c r="B748" s="4" t="str">
        <f>Form!D743</f>
        <v/>
      </c>
      <c r="C748" s="166" t="str">
        <f>Form!M743</f>
        <v/>
      </c>
      <c r="D748" s="166" t="str">
        <f>Form!N743</f>
        <v/>
      </c>
      <c r="E748" s="166" t="str">
        <f>Form!J743</f>
        <v/>
      </c>
      <c r="F748" s="166" t="str">
        <f>Form!K743</f>
        <v/>
      </c>
      <c r="G748" s="166"/>
      <c r="H748" s="166" t="str">
        <f>Form!O744</f>
        <v/>
      </c>
    </row>
    <row r="749">
      <c r="A749" s="248" t="str">
        <f>Form!C744</f>
        <v/>
      </c>
      <c r="B749" s="4" t="str">
        <f>Form!D744</f>
        <v/>
      </c>
      <c r="C749" s="166" t="str">
        <f>Form!M744</f>
        <v/>
      </c>
      <c r="D749" s="166" t="str">
        <f>Form!N744</f>
        <v/>
      </c>
      <c r="E749" s="166" t="str">
        <f>Form!J744</f>
        <v/>
      </c>
      <c r="F749" s="166" t="str">
        <f>Form!K744</f>
        <v/>
      </c>
      <c r="G749" s="166"/>
      <c r="H749" s="166" t="str">
        <f>Form!O745</f>
        <v/>
      </c>
    </row>
    <row r="750">
      <c r="A750" s="248" t="str">
        <f>Form!C745</f>
        <v/>
      </c>
      <c r="B750" s="4" t="str">
        <f>Form!D745</f>
        <v/>
      </c>
      <c r="C750" s="166" t="str">
        <f>Form!M745</f>
        <v/>
      </c>
      <c r="D750" s="166" t="str">
        <f>Form!N745</f>
        <v/>
      </c>
      <c r="E750" s="166" t="str">
        <f>Form!J745</f>
        <v/>
      </c>
      <c r="F750" s="166" t="str">
        <f>Form!K745</f>
        <v/>
      </c>
      <c r="G750" s="166"/>
      <c r="H750" s="166" t="str">
        <f>Form!O746</f>
        <v/>
      </c>
    </row>
    <row r="751">
      <c r="A751" s="248" t="str">
        <f>Form!C746</f>
        <v/>
      </c>
      <c r="B751" s="4" t="str">
        <f>Form!D746</f>
        <v/>
      </c>
      <c r="C751" s="166" t="str">
        <f>Form!M746</f>
        <v/>
      </c>
      <c r="D751" s="166" t="str">
        <f>Form!N746</f>
        <v/>
      </c>
      <c r="E751" s="166" t="str">
        <f>Form!J746</f>
        <v/>
      </c>
      <c r="F751" s="166" t="str">
        <f>Form!K746</f>
        <v/>
      </c>
      <c r="G751" s="166"/>
      <c r="H751" s="166" t="str">
        <f>Form!O747</f>
        <v/>
      </c>
    </row>
    <row r="752">
      <c r="A752" s="248" t="str">
        <f>Form!C747</f>
        <v/>
      </c>
      <c r="B752" s="4" t="str">
        <f>Form!D747</f>
        <v/>
      </c>
      <c r="C752" s="166" t="str">
        <f>Form!M747</f>
        <v/>
      </c>
      <c r="D752" s="166" t="str">
        <f>Form!N747</f>
        <v/>
      </c>
      <c r="E752" s="166" t="str">
        <f>Form!J747</f>
        <v/>
      </c>
      <c r="F752" s="166" t="str">
        <f>Form!K747</f>
        <v/>
      </c>
      <c r="G752" s="166"/>
      <c r="H752" s="166" t="str">
        <f>Form!O748</f>
        <v/>
      </c>
    </row>
    <row r="753">
      <c r="A753" s="248" t="str">
        <f>Form!C748</f>
        <v/>
      </c>
      <c r="B753" s="4" t="str">
        <f>Form!D748</f>
        <v/>
      </c>
      <c r="C753" s="166" t="str">
        <f>Form!M748</f>
        <v/>
      </c>
      <c r="D753" s="166" t="str">
        <f>Form!N748</f>
        <v/>
      </c>
      <c r="E753" s="166" t="str">
        <f>Form!J748</f>
        <v/>
      </c>
      <c r="F753" s="166" t="str">
        <f>Form!K748</f>
        <v/>
      </c>
      <c r="G753" s="166"/>
      <c r="H753" s="166" t="str">
        <f>Form!O749</f>
        <v/>
      </c>
    </row>
    <row r="754">
      <c r="A754" s="248" t="str">
        <f>Form!C749</f>
        <v/>
      </c>
      <c r="B754" s="4" t="str">
        <f>Form!D749</f>
        <v/>
      </c>
      <c r="C754" s="166" t="str">
        <f>Form!M749</f>
        <v/>
      </c>
      <c r="D754" s="166" t="str">
        <f>Form!N749</f>
        <v/>
      </c>
      <c r="E754" s="166" t="str">
        <f>Form!J749</f>
        <v/>
      </c>
      <c r="F754" s="166" t="str">
        <f>Form!K749</f>
        <v/>
      </c>
      <c r="G754" s="166"/>
      <c r="H754" s="166" t="str">
        <f>Form!O750</f>
        <v/>
      </c>
    </row>
    <row r="755">
      <c r="A755" s="248" t="str">
        <f>Form!C750</f>
        <v/>
      </c>
      <c r="B755" s="4" t="str">
        <f>Form!D750</f>
        <v/>
      </c>
      <c r="C755" s="166" t="str">
        <f>Form!M750</f>
        <v/>
      </c>
      <c r="D755" s="166" t="str">
        <f>Form!N750</f>
        <v/>
      </c>
      <c r="E755" s="166" t="str">
        <f>Form!J750</f>
        <v/>
      </c>
      <c r="F755" s="166" t="str">
        <f>Form!K750</f>
        <v/>
      </c>
      <c r="G755" s="166"/>
      <c r="H755" s="166" t="str">
        <f>Form!O751</f>
        <v/>
      </c>
    </row>
    <row r="756">
      <c r="A756" s="248" t="str">
        <f>Form!C751</f>
        <v/>
      </c>
      <c r="B756" s="4" t="str">
        <f>Form!D751</f>
        <v/>
      </c>
      <c r="C756" s="166" t="str">
        <f>Form!M751</f>
        <v/>
      </c>
      <c r="D756" s="166" t="str">
        <f>Form!N751</f>
        <v/>
      </c>
      <c r="E756" s="166" t="str">
        <f>Form!J751</f>
        <v/>
      </c>
      <c r="F756" s="166" t="str">
        <f>Form!K751</f>
        <v/>
      </c>
      <c r="G756" s="166"/>
      <c r="H756" s="166" t="str">
        <f>Form!O752</f>
        <v/>
      </c>
    </row>
    <row r="757">
      <c r="A757" s="248" t="str">
        <f>Form!C752</f>
        <v/>
      </c>
      <c r="B757" s="4" t="str">
        <f>Form!D752</f>
        <v/>
      </c>
      <c r="C757" s="166" t="str">
        <f>Form!M752</f>
        <v/>
      </c>
      <c r="D757" s="166" t="str">
        <f>Form!N752</f>
        <v/>
      </c>
      <c r="E757" s="166" t="str">
        <f>Form!J752</f>
        <v/>
      </c>
      <c r="F757" s="166" t="str">
        <f>Form!K752</f>
        <v/>
      </c>
      <c r="G757" s="166"/>
      <c r="H757" s="166" t="str">
        <f>Form!O753</f>
        <v/>
      </c>
    </row>
    <row r="758">
      <c r="A758" s="248" t="str">
        <f>Form!C753</f>
        <v/>
      </c>
      <c r="B758" s="4" t="str">
        <f>Form!D753</f>
        <v/>
      </c>
      <c r="C758" s="166" t="str">
        <f>Form!M753</f>
        <v/>
      </c>
      <c r="D758" s="166" t="str">
        <f>Form!N753</f>
        <v/>
      </c>
      <c r="E758" s="166" t="str">
        <f>Form!J753</f>
        <v/>
      </c>
      <c r="F758" s="166" t="str">
        <f>Form!K753</f>
        <v/>
      </c>
      <c r="G758" s="166"/>
      <c r="H758" s="166" t="str">
        <f>Form!O754</f>
        <v/>
      </c>
    </row>
    <row r="759">
      <c r="A759" s="248" t="str">
        <f>Form!C754</f>
        <v/>
      </c>
      <c r="B759" s="4" t="str">
        <f>Form!D754</f>
        <v/>
      </c>
      <c r="C759" s="166" t="str">
        <f>Form!M754</f>
        <v/>
      </c>
      <c r="D759" s="166" t="str">
        <f>Form!N754</f>
        <v/>
      </c>
      <c r="E759" s="166" t="str">
        <f>Form!J754</f>
        <v/>
      </c>
      <c r="F759" s="166" t="str">
        <f>Form!K754</f>
        <v/>
      </c>
      <c r="G759" s="166"/>
      <c r="H759" s="166" t="str">
        <f>Form!O755</f>
        <v/>
      </c>
    </row>
    <row r="760">
      <c r="A760" s="248" t="str">
        <f>Form!C755</f>
        <v/>
      </c>
      <c r="B760" s="4" t="str">
        <f>Form!D755</f>
        <v/>
      </c>
      <c r="C760" s="166" t="str">
        <f>Form!M755</f>
        <v/>
      </c>
      <c r="D760" s="166" t="str">
        <f>Form!N755</f>
        <v/>
      </c>
      <c r="E760" s="166" t="str">
        <f>Form!J755</f>
        <v/>
      </c>
      <c r="F760" s="166" t="str">
        <f>Form!K755</f>
        <v/>
      </c>
      <c r="G760" s="166"/>
      <c r="H760" s="166" t="str">
        <f>Form!O756</f>
        <v/>
      </c>
    </row>
    <row r="761">
      <c r="A761" s="248" t="str">
        <f>Form!C756</f>
        <v/>
      </c>
      <c r="B761" s="4" t="str">
        <f>Form!D756</f>
        <v/>
      </c>
      <c r="C761" s="166" t="str">
        <f>Form!M756</f>
        <v/>
      </c>
      <c r="D761" s="166" t="str">
        <f>Form!N756</f>
        <v/>
      </c>
      <c r="E761" s="166" t="str">
        <f>Form!J756</f>
        <v/>
      </c>
      <c r="F761" s="166" t="str">
        <f>Form!K756</f>
        <v/>
      </c>
      <c r="G761" s="166"/>
      <c r="H761" s="166" t="str">
        <f>Form!O757</f>
        <v/>
      </c>
    </row>
    <row r="762">
      <c r="A762" s="248" t="str">
        <f>Form!C757</f>
        <v/>
      </c>
      <c r="B762" s="4" t="str">
        <f>Form!D757</f>
        <v/>
      </c>
      <c r="C762" s="166" t="str">
        <f>Form!M757</f>
        <v/>
      </c>
      <c r="D762" s="166" t="str">
        <f>Form!N757</f>
        <v/>
      </c>
      <c r="E762" s="166" t="str">
        <f>Form!J757</f>
        <v/>
      </c>
      <c r="F762" s="166" t="str">
        <f>Form!K757</f>
        <v/>
      </c>
      <c r="G762" s="166"/>
      <c r="H762" s="166" t="str">
        <f>Form!O758</f>
        <v/>
      </c>
    </row>
    <row r="763">
      <c r="A763" s="248" t="str">
        <f>Form!C758</f>
        <v/>
      </c>
      <c r="B763" s="4" t="str">
        <f>Form!D758</f>
        <v/>
      </c>
      <c r="C763" s="166" t="str">
        <f>Form!M758</f>
        <v/>
      </c>
      <c r="D763" s="166" t="str">
        <f>Form!N758</f>
        <v/>
      </c>
      <c r="E763" s="166" t="str">
        <f>Form!J758</f>
        <v/>
      </c>
      <c r="F763" s="166" t="str">
        <f>Form!K758</f>
        <v/>
      </c>
      <c r="G763" s="166"/>
      <c r="H763" s="166" t="str">
        <f>Form!O759</f>
        <v/>
      </c>
    </row>
    <row r="764">
      <c r="A764" s="248" t="str">
        <f>Form!C759</f>
        <v/>
      </c>
      <c r="B764" s="4" t="str">
        <f>Form!D759</f>
        <v/>
      </c>
      <c r="C764" s="166" t="str">
        <f>Form!M759</f>
        <v/>
      </c>
      <c r="D764" s="166" t="str">
        <f>Form!N759</f>
        <v/>
      </c>
      <c r="E764" s="166" t="str">
        <f>Form!J759</f>
        <v/>
      </c>
      <c r="F764" s="166" t="str">
        <f>Form!K759</f>
        <v/>
      </c>
      <c r="G764" s="166"/>
      <c r="H764" s="166" t="str">
        <f>Form!O760</f>
        <v/>
      </c>
    </row>
    <row r="765">
      <c r="A765" s="248" t="str">
        <f>Form!C760</f>
        <v/>
      </c>
      <c r="B765" s="4" t="str">
        <f>Form!D760</f>
        <v/>
      </c>
      <c r="C765" s="166" t="str">
        <f>Form!M760</f>
        <v/>
      </c>
      <c r="D765" s="166" t="str">
        <f>Form!N760</f>
        <v/>
      </c>
      <c r="E765" s="166" t="str">
        <f>Form!J760</f>
        <v/>
      </c>
      <c r="F765" s="166" t="str">
        <f>Form!K760</f>
        <v/>
      </c>
      <c r="G765" s="166"/>
      <c r="H765" s="166" t="str">
        <f>Form!O761</f>
        <v/>
      </c>
    </row>
    <row r="766">
      <c r="A766" s="248" t="str">
        <f>Form!C761</f>
        <v/>
      </c>
      <c r="B766" s="4" t="str">
        <f>Form!D761</f>
        <v/>
      </c>
      <c r="C766" s="166" t="str">
        <f>Form!M761</f>
        <v/>
      </c>
      <c r="D766" s="166" t="str">
        <f>Form!N761</f>
        <v/>
      </c>
      <c r="E766" s="166" t="str">
        <f>Form!J761</f>
        <v/>
      </c>
      <c r="F766" s="166" t="str">
        <f>Form!K761</f>
        <v/>
      </c>
      <c r="G766" s="166"/>
      <c r="H766" s="166" t="str">
        <f>Form!O762</f>
        <v/>
      </c>
    </row>
    <row r="767">
      <c r="A767" s="248" t="str">
        <f>Form!C762</f>
        <v/>
      </c>
      <c r="B767" s="4" t="str">
        <f>Form!D762</f>
        <v/>
      </c>
      <c r="C767" s="166" t="str">
        <f>Form!M762</f>
        <v/>
      </c>
      <c r="D767" s="166" t="str">
        <f>Form!N762</f>
        <v/>
      </c>
      <c r="E767" s="166" t="str">
        <f>Form!J762</f>
        <v/>
      </c>
      <c r="F767" s="166" t="str">
        <f>Form!K762</f>
        <v/>
      </c>
      <c r="G767" s="166"/>
      <c r="H767" s="166" t="str">
        <f>Form!O763</f>
        <v/>
      </c>
    </row>
    <row r="768">
      <c r="A768" s="248" t="str">
        <f>Form!C763</f>
        <v/>
      </c>
      <c r="B768" s="4" t="str">
        <f>Form!D763</f>
        <v/>
      </c>
      <c r="C768" s="166" t="str">
        <f>Form!M763</f>
        <v/>
      </c>
      <c r="D768" s="166" t="str">
        <f>Form!N763</f>
        <v/>
      </c>
      <c r="E768" s="166" t="str">
        <f>Form!J763</f>
        <v/>
      </c>
      <c r="F768" s="166" t="str">
        <f>Form!K763</f>
        <v/>
      </c>
      <c r="G768" s="166"/>
      <c r="H768" s="166" t="str">
        <f>Form!O764</f>
        <v/>
      </c>
    </row>
    <row r="769">
      <c r="A769" s="248" t="str">
        <f>Form!C764</f>
        <v/>
      </c>
      <c r="B769" s="4" t="str">
        <f>Form!D764</f>
        <v/>
      </c>
      <c r="C769" s="166" t="str">
        <f>Form!M764</f>
        <v/>
      </c>
      <c r="D769" s="166" t="str">
        <f>Form!N764</f>
        <v/>
      </c>
      <c r="E769" s="166" t="str">
        <f>Form!J764</f>
        <v/>
      </c>
      <c r="F769" s="166" t="str">
        <f>Form!K764</f>
        <v/>
      </c>
      <c r="G769" s="166"/>
      <c r="H769" s="166" t="str">
        <f>Form!O765</f>
        <v/>
      </c>
    </row>
    <row r="770">
      <c r="A770" s="248" t="str">
        <f>Form!C765</f>
        <v/>
      </c>
      <c r="B770" s="4" t="str">
        <f>Form!D765</f>
        <v/>
      </c>
      <c r="C770" s="166" t="str">
        <f>Form!M765</f>
        <v/>
      </c>
      <c r="D770" s="166" t="str">
        <f>Form!N765</f>
        <v/>
      </c>
      <c r="E770" s="166" t="str">
        <f>Form!J765</f>
        <v/>
      </c>
      <c r="F770" s="166" t="str">
        <f>Form!K765</f>
        <v/>
      </c>
      <c r="G770" s="166"/>
      <c r="H770" s="166" t="str">
        <f>Form!O766</f>
        <v/>
      </c>
    </row>
    <row r="771">
      <c r="A771" s="248" t="str">
        <f>Form!C766</f>
        <v/>
      </c>
      <c r="B771" s="4" t="str">
        <f>Form!D766</f>
        <v/>
      </c>
      <c r="C771" s="166" t="str">
        <f>Form!M766</f>
        <v/>
      </c>
      <c r="D771" s="166" t="str">
        <f>Form!N766</f>
        <v/>
      </c>
      <c r="E771" s="166" t="str">
        <f>Form!J766</f>
        <v/>
      </c>
      <c r="F771" s="166" t="str">
        <f>Form!K766</f>
        <v/>
      </c>
      <c r="G771" s="166"/>
      <c r="H771" s="166" t="str">
        <f>Form!O767</f>
        <v/>
      </c>
    </row>
    <row r="772">
      <c r="A772" s="248" t="str">
        <f>Form!C767</f>
        <v/>
      </c>
      <c r="B772" s="4" t="str">
        <f>Form!D767</f>
        <v/>
      </c>
      <c r="C772" s="166" t="str">
        <f>Form!M767</f>
        <v/>
      </c>
      <c r="D772" s="166" t="str">
        <f>Form!N767</f>
        <v/>
      </c>
      <c r="E772" s="166" t="str">
        <f>Form!J767</f>
        <v/>
      </c>
      <c r="F772" s="166" t="str">
        <f>Form!K767</f>
        <v/>
      </c>
      <c r="G772" s="166"/>
      <c r="H772" s="166" t="str">
        <f>Form!O768</f>
        <v/>
      </c>
    </row>
    <row r="773">
      <c r="A773" s="248" t="str">
        <f>Form!C768</f>
        <v/>
      </c>
      <c r="B773" s="4" t="str">
        <f>Form!D768</f>
        <v/>
      </c>
      <c r="C773" s="166" t="str">
        <f>Form!M768</f>
        <v/>
      </c>
      <c r="D773" s="166" t="str">
        <f>Form!N768</f>
        <v/>
      </c>
      <c r="E773" s="166" t="str">
        <f>Form!J768</f>
        <v/>
      </c>
      <c r="F773" s="166" t="str">
        <f>Form!K768</f>
        <v/>
      </c>
      <c r="G773" s="166"/>
      <c r="H773" s="166" t="str">
        <f>Form!O769</f>
        <v/>
      </c>
    </row>
    <row r="774">
      <c r="A774" s="248" t="str">
        <f>Form!C769</f>
        <v/>
      </c>
      <c r="B774" s="4" t="str">
        <f>Form!D769</f>
        <v/>
      </c>
      <c r="C774" s="166" t="str">
        <f>Form!M769</f>
        <v/>
      </c>
      <c r="D774" s="166" t="str">
        <f>Form!N769</f>
        <v/>
      </c>
      <c r="E774" s="166" t="str">
        <f>Form!J769</f>
        <v/>
      </c>
      <c r="F774" s="166" t="str">
        <f>Form!K769</f>
        <v/>
      </c>
      <c r="G774" s="166"/>
      <c r="H774" s="166" t="str">
        <f>Form!O770</f>
        <v/>
      </c>
    </row>
    <row r="775">
      <c r="A775" s="248" t="str">
        <f>Form!C770</f>
        <v/>
      </c>
      <c r="B775" s="4" t="str">
        <f>Form!D770</f>
        <v/>
      </c>
      <c r="C775" s="166" t="str">
        <f>Form!M770</f>
        <v/>
      </c>
      <c r="D775" s="166" t="str">
        <f>Form!N770</f>
        <v/>
      </c>
      <c r="E775" s="166" t="str">
        <f>Form!J770</f>
        <v/>
      </c>
      <c r="F775" s="166" t="str">
        <f>Form!K770</f>
        <v/>
      </c>
      <c r="G775" s="166"/>
      <c r="H775" s="166" t="str">
        <f>Form!O771</f>
        <v/>
      </c>
    </row>
    <row r="776">
      <c r="A776" s="248" t="str">
        <f>Form!C771</f>
        <v/>
      </c>
      <c r="B776" s="4" t="str">
        <f>Form!D771</f>
        <v/>
      </c>
      <c r="C776" s="166" t="str">
        <f>Form!M771</f>
        <v/>
      </c>
      <c r="D776" s="166" t="str">
        <f>Form!N771</f>
        <v/>
      </c>
      <c r="E776" s="166" t="str">
        <f>Form!J771</f>
        <v/>
      </c>
      <c r="F776" s="166" t="str">
        <f>Form!K771</f>
        <v/>
      </c>
      <c r="G776" s="166"/>
      <c r="H776" s="166" t="str">
        <f>Form!O772</f>
        <v/>
      </c>
    </row>
    <row r="777">
      <c r="A777" s="248" t="str">
        <f>Form!C772</f>
        <v/>
      </c>
      <c r="B777" s="4" t="str">
        <f>Form!D772</f>
        <v/>
      </c>
      <c r="C777" s="166" t="str">
        <f>Form!M772</f>
        <v/>
      </c>
      <c r="D777" s="166" t="str">
        <f>Form!N772</f>
        <v/>
      </c>
      <c r="E777" s="166" t="str">
        <f>Form!J772</f>
        <v/>
      </c>
      <c r="F777" s="166" t="str">
        <f>Form!K772</f>
        <v/>
      </c>
      <c r="G777" s="166"/>
      <c r="H777" s="166" t="str">
        <f>Form!O773</f>
        <v/>
      </c>
    </row>
    <row r="778">
      <c r="A778" s="248" t="str">
        <f>Form!C773</f>
        <v/>
      </c>
      <c r="B778" s="4" t="str">
        <f>Form!D773</f>
        <v/>
      </c>
      <c r="C778" s="166" t="str">
        <f>Form!M773</f>
        <v/>
      </c>
      <c r="D778" s="166" t="str">
        <f>Form!N773</f>
        <v/>
      </c>
      <c r="E778" s="166" t="str">
        <f>Form!J773</f>
        <v/>
      </c>
      <c r="F778" s="166" t="str">
        <f>Form!K773</f>
        <v/>
      </c>
      <c r="G778" s="166"/>
      <c r="H778" s="166" t="str">
        <f>Form!O774</f>
        <v/>
      </c>
    </row>
    <row r="779">
      <c r="A779" s="248" t="str">
        <f>Form!C774</f>
        <v/>
      </c>
      <c r="B779" s="4" t="str">
        <f>Form!D774</f>
        <v/>
      </c>
      <c r="C779" s="166" t="str">
        <f>Form!M774</f>
        <v/>
      </c>
      <c r="D779" s="166" t="str">
        <f>Form!N774</f>
        <v/>
      </c>
      <c r="E779" s="166" t="str">
        <f>Form!J774</f>
        <v/>
      </c>
      <c r="F779" s="166" t="str">
        <f>Form!K774</f>
        <v/>
      </c>
      <c r="G779" s="166"/>
      <c r="H779" s="166" t="str">
        <f>Form!O775</f>
        <v/>
      </c>
    </row>
    <row r="780">
      <c r="A780" s="248" t="str">
        <f>Form!C775</f>
        <v/>
      </c>
      <c r="B780" s="4" t="str">
        <f>Form!D775</f>
        <v/>
      </c>
      <c r="C780" s="166" t="str">
        <f>Form!M775</f>
        <v/>
      </c>
      <c r="D780" s="166" t="str">
        <f>Form!N775</f>
        <v/>
      </c>
      <c r="E780" s="166" t="str">
        <f>Form!J775</f>
        <v/>
      </c>
      <c r="F780" s="166" t="str">
        <f>Form!K775</f>
        <v/>
      </c>
      <c r="G780" s="166"/>
      <c r="H780" s="166" t="str">
        <f>Form!O776</f>
        <v/>
      </c>
    </row>
    <row r="781">
      <c r="A781" s="248" t="str">
        <f>Form!C776</f>
        <v/>
      </c>
      <c r="B781" s="4" t="str">
        <f>Form!D776</f>
        <v/>
      </c>
      <c r="C781" s="166" t="str">
        <f>Form!M776</f>
        <v/>
      </c>
      <c r="D781" s="166" t="str">
        <f>Form!N776</f>
        <v/>
      </c>
      <c r="E781" s="166" t="str">
        <f>Form!J776</f>
        <v/>
      </c>
      <c r="F781" s="166" t="str">
        <f>Form!K776</f>
        <v/>
      </c>
      <c r="G781" s="166"/>
      <c r="H781" s="166" t="str">
        <f>Form!O777</f>
        <v/>
      </c>
    </row>
    <row r="782">
      <c r="A782" s="248" t="str">
        <f>Form!C777</f>
        <v/>
      </c>
      <c r="B782" s="4" t="str">
        <f>Form!D777</f>
        <v/>
      </c>
      <c r="C782" s="166" t="str">
        <f>Form!M777</f>
        <v/>
      </c>
      <c r="D782" s="166" t="str">
        <f>Form!N777</f>
        <v/>
      </c>
      <c r="E782" s="166" t="str">
        <f>Form!J777</f>
        <v/>
      </c>
      <c r="F782" s="166" t="str">
        <f>Form!K777</f>
        <v/>
      </c>
      <c r="G782" s="166"/>
      <c r="H782" s="166" t="str">
        <f>Form!O778</f>
        <v/>
      </c>
    </row>
    <row r="783">
      <c r="A783" s="248" t="str">
        <f>Form!C778</f>
        <v/>
      </c>
      <c r="B783" s="4" t="str">
        <f>Form!D778</f>
        <v/>
      </c>
      <c r="C783" s="166" t="str">
        <f>Form!M778</f>
        <v/>
      </c>
      <c r="D783" s="166" t="str">
        <f>Form!N778</f>
        <v/>
      </c>
      <c r="E783" s="166" t="str">
        <f>Form!J778</f>
        <v/>
      </c>
      <c r="F783" s="166" t="str">
        <f>Form!K778</f>
        <v/>
      </c>
      <c r="G783" s="166"/>
      <c r="H783" s="166" t="str">
        <f>Form!O779</f>
        <v/>
      </c>
    </row>
    <row r="784">
      <c r="A784" s="248" t="str">
        <f>Form!C779</f>
        <v/>
      </c>
      <c r="B784" s="4" t="str">
        <f>Form!D779</f>
        <v/>
      </c>
      <c r="C784" s="166" t="str">
        <f>Form!M779</f>
        <v/>
      </c>
      <c r="D784" s="166" t="str">
        <f>Form!N779</f>
        <v/>
      </c>
      <c r="E784" s="166" t="str">
        <f>Form!J779</f>
        <v/>
      </c>
      <c r="F784" s="166" t="str">
        <f>Form!K779</f>
        <v/>
      </c>
      <c r="G784" s="166"/>
      <c r="H784" s="166" t="str">
        <f>Form!O780</f>
        <v/>
      </c>
    </row>
    <row r="785">
      <c r="A785" s="248" t="str">
        <f>Form!C780</f>
        <v/>
      </c>
      <c r="B785" s="4" t="str">
        <f>Form!D780</f>
        <v/>
      </c>
      <c r="C785" s="166" t="str">
        <f>Form!M780</f>
        <v/>
      </c>
      <c r="D785" s="166" t="str">
        <f>Form!N780</f>
        <v/>
      </c>
      <c r="E785" s="166" t="str">
        <f>Form!J780</f>
        <v/>
      </c>
      <c r="F785" s="166" t="str">
        <f>Form!K780</f>
        <v/>
      </c>
      <c r="G785" s="166"/>
      <c r="H785" s="166" t="str">
        <f>Form!O781</f>
        <v/>
      </c>
    </row>
    <row r="786">
      <c r="A786" s="248" t="str">
        <f>Form!C781</f>
        <v/>
      </c>
      <c r="B786" s="4" t="str">
        <f>Form!D781</f>
        <v/>
      </c>
      <c r="C786" s="166" t="str">
        <f>Form!M781</f>
        <v/>
      </c>
      <c r="D786" s="166" t="str">
        <f>Form!N781</f>
        <v/>
      </c>
      <c r="E786" s="166" t="str">
        <f>Form!J781</f>
        <v/>
      </c>
      <c r="F786" s="166" t="str">
        <f>Form!K781</f>
        <v/>
      </c>
      <c r="G786" s="166"/>
      <c r="H786" s="166" t="str">
        <f>Form!O782</f>
        <v/>
      </c>
    </row>
    <row r="787">
      <c r="A787" s="248" t="str">
        <f>Form!C782</f>
        <v/>
      </c>
      <c r="B787" s="4" t="str">
        <f>Form!D782</f>
        <v/>
      </c>
      <c r="C787" s="166" t="str">
        <f>Form!M782</f>
        <v/>
      </c>
      <c r="D787" s="166" t="str">
        <f>Form!N782</f>
        <v/>
      </c>
      <c r="E787" s="166" t="str">
        <f>Form!J782</f>
        <v/>
      </c>
      <c r="F787" s="166" t="str">
        <f>Form!K782</f>
        <v/>
      </c>
      <c r="G787" s="166"/>
      <c r="H787" s="166" t="str">
        <f>Form!O783</f>
        <v/>
      </c>
    </row>
    <row r="788">
      <c r="A788" s="248" t="str">
        <f>Form!C783</f>
        <v/>
      </c>
      <c r="B788" s="4" t="str">
        <f>Form!D783</f>
        <v/>
      </c>
      <c r="C788" s="166" t="str">
        <f>Form!M783</f>
        <v/>
      </c>
      <c r="D788" s="166" t="str">
        <f>Form!N783</f>
        <v/>
      </c>
      <c r="E788" s="166" t="str">
        <f>Form!J783</f>
        <v/>
      </c>
      <c r="F788" s="166" t="str">
        <f>Form!K783</f>
        <v/>
      </c>
      <c r="G788" s="166"/>
      <c r="H788" s="166" t="str">
        <f>Form!O784</f>
        <v/>
      </c>
    </row>
    <row r="789">
      <c r="A789" s="248" t="str">
        <f>Form!C784</f>
        <v/>
      </c>
      <c r="B789" s="4" t="str">
        <f>Form!D784</f>
        <v/>
      </c>
      <c r="C789" s="166" t="str">
        <f>Form!M784</f>
        <v/>
      </c>
      <c r="D789" s="166" t="str">
        <f>Form!N784</f>
        <v/>
      </c>
      <c r="E789" s="166" t="str">
        <f>Form!J784</f>
        <v/>
      </c>
      <c r="F789" s="166" t="str">
        <f>Form!K784</f>
        <v/>
      </c>
      <c r="G789" s="166"/>
      <c r="H789" s="166" t="str">
        <f>Form!O785</f>
        <v/>
      </c>
    </row>
    <row r="790">
      <c r="A790" s="248" t="str">
        <f>Form!C785</f>
        <v/>
      </c>
      <c r="B790" s="4" t="str">
        <f>Form!D785</f>
        <v/>
      </c>
      <c r="C790" s="166" t="str">
        <f>Form!M785</f>
        <v/>
      </c>
      <c r="D790" s="166" t="str">
        <f>Form!N785</f>
        <v/>
      </c>
      <c r="E790" s="166" t="str">
        <f>Form!J785</f>
        <v/>
      </c>
      <c r="F790" s="166" t="str">
        <f>Form!K785</f>
        <v/>
      </c>
      <c r="G790" s="166"/>
      <c r="H790" s="166" t="str">
        <f>Form!O786</f>
        <v/>
      </c>
    </row>
    <row r="791">
      <c r="A791" s="248" t="str">
        <f>Form!C786</f>
        <v/>
      </c>
      <c r="B791" s="4" t="str">
        <f>Form!D786</f>
        <v/>
      </c>
      <c r="C791" s="166" t="str">
        <f>Form!M786</f>
        <v/>
      </c>
      <c r="D791" s="166" t="str">
        <f>Form!N786</f>
        <v/>
      </c>
      <c r="E791" s="166" t="str">
        <f>Form!J786</f>
        <v/>
      </c>
      <c r="F791" s="166" t="str">
        <f>Form!K786</f>
        <v/>
      </c>
      <c r="G791" s="166"/>
      <c r="H791" s="166" t="str">
        <f>Form!O787</f>
        <v/>
      </c>
    </row>
    <row r="792">
      <c r="A792" s="248" t="str">
        <f>Form!C787</f>
        <v/>
      </c>
      <c r="B792" s="4" t="str">
        <f>Form!D787</f>
        <v/>
      </c>
      <c r="C792" s="166" t="str">
        <f>Form!M787</f>
        <v/>
      </c>
      <c r="D792" s="166" t="str">
        <f>Form!N787</f>
        <v/>
      </c>
      <c r="E792" s="166" t="str">
        <f>Form!J787</f>
        <v/>
      </c>
      <c r="F792" s="166" t="str">
        <f>Form!K787</f>
        <v/>
      </c>
      <c r="G792" s="166"/>
      <c r="H792" s="166" t="str">
        <f>Form!O788</f>
        <v/>
      </c>
    </row>
    <row r="793">
      <c r="A793" s="248" t="str">
        <f>Form!C788</f>
        <v/>
      </c>
      <c r="B793" s="4" t="str">
        <f>Form!D788</f>
        <v/>
      </c>
      <c r="C793" s="166" t="str">
        <f>Form!M788</f>
        <v/>
      </c>
      <c r="D793" s="166" t="str">
        <f>Form!N788</f>
        <v/>
      </c>
      <c r="E793" s="166" t="str">
        <f>Form!J788</f>
        <v/>
      </c>
      <c r="F793" s="166" t="str">
        <f>Form!K788</f>
        <v/>
      </c>
      <c r="G793" s="166"/>
      <c r="H793" s="166" t="str">
        <f>Form!O789</f>
        <v/>
      </c>
    </row>
    <row r="794">
      <c r="A794" s="248" t="str">
        <f>Form!C789</f>
        <v/>
      </c>
      <c r="B794" s="4" t="str">
        <f>Form!D789</f>
        <v/>
      </c>
      <c r="C794" s="166" t="str">
        <f>Form!M789</f>
        <v/>
      </c>
      <c r="D794" s="166" t="str">
        <f>Form!N789</f>
        <v/>
      </c>
      <c r="E794" s="166" t="str">
        <f>Form!J789</f>
        <v/>
      </c>
      <c r="F794" s="166" t="str">
        <f>Form!K789</f>
        <v/>
      </c>
      <c r="G794" s="166"/>
      <c r="H794" s="166" t="str">
        <f>Form!O790</f>
        <v/>
      </c>
    </row>
    <row r="795">
      <c r="A795" s="248" t="str">
        <f>Form!C790</f>
        <v/>
      </c>
      <c r="B795" s="4" t="str">
        <f>Form!D790</f>
        <v/>
      </c>
      <c r="C795" s="166" t="str">
        <f>Form!M790</f>
        <v/>
      </c>
      <c r="D795" s="166" t="str">
        <f>Form!N790</f>
        <v/>
      </c>
      <c r="E795" s="166" t="str">
        <f>Form!J790</f>
        <v/>
      </c>
      <c r="F795" s="166" t="str">
        <f>Form!K790</f>
        <v/>
      </c>
      <c r="G795" s="166"/>
      <c r="H795" s="166" t="str">
        <f>Form!O791</f>
        <v/>
      </c>
    </row>
    <row r="796">
      <c r="A796" s="248" t="str">
        <f>Form!C791</f>
        <v/>
      </c>
      <c r="B796" s="4" t="str">
        <f>Form!D791</f>
        <v/>
      </c>
      <c r="C796" s="166" t="str">
        <f>Form!M791</f>
        <v/>
      </c>
      <c r="D796" s="166" t="str">
        <f>Form!N791</f>
        <v/>
      </c>
      <c r="E796" s="166" t="str">
        <f>Form!J791</f>
        <v/>
      </c>
      <c r="F796" s="166" t="str">
        <f>Form!K791</f>
        <v/>
      </c>
      <c r="G796" s="166"/>
      <c r="H796" s="166" t="str">
        <f>Form!O792</f>
        <v/>
      </c>
    </row>
    <row r="797">
      <c r="A797" s="248" t="str">
        <f>Form!C792</f>
        <v/>
      </c>
      <c r="B797" s="4" t="str">
        <f>Form!D792</f>
        <v/>
      </c>
      <c r="C797" s="166" t="str">
        <f>Form!M792</f>
        <v/>
      </c>
      <c r="D797" s="166" t="str">
        <f>Form!N792</f>
        <v/>
      </c>
      <c r="E797" s="166" t="str">
        <f>Form!J792</f>
        <v/>
      </c>
      <c r="F797" s="166" t="str">
        <f>Form!K792</f>
        <v/>
      </c>
      <c r="G797" s="166"/>
      <c r="H797" s="166" t="str">
        <f>Form!O793</f>
        <v/>
      </c>
    </row>
    <row r="798">
      <c r="A798" s="248" t="str">
        <f>Form!C793</f>
        <v/>
      </c>
      <c r="B798" s="4" t="str">
        <f>Form!D793</f>
        <v/>
      </c>
      <c r="C798" s="166" t="str">
        <f>Form!M793</f>
        <v/>
      </c>
      <c r="D798" s="166" t="str">
        <f>Form!N793</f>
        <v/>
      </c>
      <c r="E798" s="166" t="str">
        <f>Form!J793</f>
        <v/>
      </c>
      <c r="F798" s="166" t="str">
        <f>Form!K793</f>
        <v/>
      </c>
      <c r="G798" s="166"/>
      <c r="H798" s="166" t="str">
        <f>Form!O794</f>
        <v/>
      </c>
    </row>
    <row r="799">
      <c r="A799" s="248" t="str">
        <f>Form!C794</f>
        <v/>
      </c>
      <c r="B799" s="4" t="str">
        <f>Form!D794</f>
        <v/>
      </c>
      <c r="C799" s="166" t="str">
        <f>Form!M794</f>
        <v/>
      </c>
      <c r="D799" s="166" t="str">
        <f>Form!N794</f>
        <v/>
      </c>
      <c r="E799" s="166" t="str">
        <f>Form!J794</f>
        <v/>
      </c>
      <c r="F799" s="166" t="str">
        <f>Form!K794</f>
        <v/>
      </c>
      <c r="G799" s="166"/>
      <c r="H799" s="166" t="str">
        <f>Form!O795</f>
        <v/>
      </c>
    </row>
    <row r="800">
      <c r="A800" s="248" t="str">
        <f>Form!C795</f>
        <v/>
      </c>
      <c r="B800" s="4" t="str">
        <f>Form!D795</f>
        <v/>
      </c>
      <c r="C800" s="166" t="str">
        <f>Form!M795</f>
        <v/>
      </c>
      <c r="D800" s="166" t="str">
        <f>Form!N795</f>
        <v/>
      </c>
      <c r="E800" s="166" t="str">
        <f>Form!J795</f>
        <v/>
      </c>
      <c r="F800" s="166" t="str">
        <f>Form!K795</f>
        <v/>
      </c>
      <c r="G800" s="166"/>
      <c r="H800" s="166" t="str">
        <f>Form!O796</f>
        <v/>
      </c>
    </row>
    <row r="801">
      <c r="A801" s="248" t="str">
        <f>Form!C796</f>
        <v/>
      </c>
      <c r="B801" s="4" t="str">
        <f>Form!D796</f>
        <v/>
      </c>
      <c r="C801" s="166" t="str">
        <f>Form!M796</f>
        <v/>
      </c>
      <c r="D801" s="166" t="str">
        <f>Form!N796</f>
        <v/>
      </c>
      <c r="E801" s="166" t="str">
        <f>Form!J796</f>
        <v/>
      </c>
      <c r="F801" s="166" t="str">
        <f>Form!K796</f>
        <v/>
      </c>
      <c r="G801" s="166"/>
      <c r="H801" s="166" t="str">
        <f>Form!O797</f>
        <v/>
      </c>
    </row>
    <row r="802">
      <c r="A802" s="248" t="str">
        <f>Form!C797</f>
        <v/>
      </c>
      <c r="B802" s="4" t="str">
        <f>Form!D797</f>
        <v/>
      </c>
      <c r="C802" s="166" t="str">
        <f>Form!M797</f>
        <v/>
      </c>
      <c r="D802" s="166" t="str">
        <f>Form!N797</f>
        <v/>
      </c>
      <c r="E802" s="166" t="str">
        <f>Form!J797</f>
        <v/>
      </c>
      <c r="F802" s="166" t="str">
        <f>Form!K797</f>
        <v/>
      </c>
      <c r="G802" s="166"/>
      <c r="H802" s="166" t="str">
        <f>Form!O798</f>
        <v/>
      </c>
    </row>
    <row r="803">
      <c r="A803" s="248" t="str">
        <f>Form!C798</f>
        <v/>
      </c>
      <c r="B803" s="4" t="str">
        <f>Form!D798</f>
        <v/>
      </c>
      <c r="C803" s="166" t="str">
        <f>Form!M798</f>
        <v/>
      </c>
      <c r="D803" s="166" t="str">
        <f>Form!N798</f>
        <v/>
      </c>
      <c r="E803" s="166" t="str">
        <f>Form!J798</f>
        <v/>
      </c>
      <c r="F803" s="166" t="str">
        <f>Form!K798</f>
        <v/>
      </c>
      <c r="G803" s="166"/>
      <c r="H803" s="166" t="str">
        <f>Form!O799</f>
        <v/>
      </c>
    </row>
    <row r="804">
      <c r="A804" s="248" t="str">
        <f>Form!C799</f>
        <v/>
      </c>
      <c r="B804" s="4" t="str">
        <f>Form!D799</f>
        <v/>
      </c>
      <c r="C804" s="166" t="str">
        <f>Form!M799</f>
        <v/>
      </c>
      <c r="D804" s="166" t="str">
        <f>Form!N799</f>
        <v/>
      </c>
      <c r="E804" s="166" t="str">
        <f>Form!J799</f>
        <v/>
      </c>
      <c r="F804" s="166" t="str">
        <f>Form!K799</f>
        <v/>
      </c>
      <c r="G804" s="166"/>
      <c r="H804" s="166" t="str">
        <f>Form!O800</f>
        <v/>
      </c>
    </row>
    <row r="805">
      <c r="A805" s="248" t="str">
        <f>Form!C800</f>
        <v/>
      </c>
      <c r="B805" s="4" t="str">
        <f>Form!D800</f>
        <v/>
      </c>
      <c r="C805" s="166" t="str">
        <f>Form!M800</f>
        <v/>
      </c>
      <c r="D805" s="166" t="str">
        <f>Form!N800</f>
        <v/>
      </c>
      <c r="E805" s="166" t="str">
        <f>Form!J800</f>
        <v/>
      </c>
      <c r="F805" s="166" t="str">
        <f>Form!K800</f>
        <v/>
      </c>
      <c r="G805" s="166"/>
      <c r="H805" s="166" t="str">
        <f>Form!O801</f>
        <v/>
      </c>
    </row>
    <row r="806">
      <c r="A806" s="248" t="str">
        <f>Form!C801</f>
        <v/>
      </c>
      <c r="B806" s="4" t="str">
        <f>Form!D801</f>
        <v/>
      </c>
      <c r="C806" s="166" t="str">
        <f>Form!M801</f>
        <v/>
      </c>
      <c r="D806" s="166" t="str">
        <f>Form!N801</f>
        <v/>
      </c>
      <c r="E806" s="166" t="str">
        <f>Form!J801</f>
        <v/>
      </c>
      <c r="F806" s="166" t="str">
        <f>Form!K801</f>
        <v/>
      </c>
      <c r="G806" s="166"/>
      <c r="H806" s="166" t="str">
        <f>Form!O802</f>
        <v/>
      </c>
    </row>
    <row r="807">
      <c r="A807" s="248" t="str">
        <f>Form!C802</f>
        <v/>
      </c>
      <c r="B807" s="4" t="str">
        <f>Form!D802</f>
        <v/>
      </c>
      <c r="C807" s="166" t="str">
        <f>Form!M802</f>
        <v/>
      </c>
      <c r="D807" s="166" t="str">
        <f>Form!N802</f>
        <v/>
      </c>
      <c r="E807" s="166" t="str">
        <f>Form!J802</f>
        <v/>
      </c>
      <c r="F807" s="166" t="str">
        <f>Form!K802</f>
        <v/>
      </c>
      <c r="G807" s="166"/>
      <c r="H807" s="166" t="str">
        <f>Form!O803</f>
        <v/>
      </c>
    </row>
    <row r="808">
      <c r="A808" s="248" t="str">
        <f>Form!C803</f>
        <v/>
      </c>
      <c r="B808" s="4" t="str">
        <f>Form!D803</f>
        <v/>
      </c>
      <c r="C808" s="166" t="str">
        <f>Form!M803</f>
        <v/>
      </c>
      <c r="D808" s="166" t="str">
        <f>Form!N803</f>
        <v/>
      </c>
      <c r="E808" s="166" t="str">
        <f>Form!J803</f>
        <v/>
      </c>
      <c r="F808" s="166" t="str">
        <f>Form!K803</f>
        <v/>
      </c>
      <c r="G808" s="166"/>
      <c r="H808" s="166" t="str">
        <f>Form!O804</f>
        <v/>
      </c>
    </row>
    <row r="809">
      <c r="A809" s="248" t="str">
        <f>Form!C804</f>
        <v/>
      </c>
      <c r="B809" s="4" t="str">
        <f>Form!D804</f>
        <v/>
      </c>
      <c r="C809" s="166" t="str">
        <f>Form!M804</f>
        <v/>
      </c>
      <c r="D809" s="166" t="str">
        <f>Form!N804</f>
        <v/>
      </c>
      <c r="E809" s="166" t="str">
        <f>Form!J804</f>
        <v/>
      </c>
      <c r="F809" s="166" t="str">
        <f>Form!K804</f>
        <v/>
      </c>
      <c r="G809" s="166"/>
      <c r="H809" s="166" t="str">
        <f>Form!O805</f>
        <v/>
      </c>
    </row>
    <row r="810">
      <c r="A810" s="248" t="str">
        <f>Form!C805</f>
        <v/>
      </c>
      <c r="B810" s="4" t="str">
        <f>Form!D805</f>
        <v/>
      </c>
      <c r="C810" s="166" t="str">
        <f>Form!M805</f>
        <v/>
      </c>
      <c r="D810" s="166" t="str">
        <f>Form!N805</f>
        <v/>
      </c>
      <c r="E810" s="166" t="str">
        <f>Form!J805</f>
        <v/>
      </c>
      <c r="F810" s="166" t="str">
        <f>Form!K805</f>
        <v/>
      </c>
      <c r="G810" s="166"/>
      <c r="H810" s="166" t="str">
        <f>Form!O806</f>
        <v/>
      </c>
    </row>
    <row r="811">
      <c r="A811" s="248" t="str">
        <f>Form!C806</f>
        <v/>
      </c>
      <c r="B811" s="4" t="str">
        <f>Form!D806</f>
        <v/>
      </c>
      <c r="C811" s="166" t="str">
        <f>Form!M806</f>
        <v/>
      </c>
      <c r="D811" s="166" t="str">
        <f>Form!N806</f>
        <v/>
      </c>
      <c r="E811" s="166" t="str">
        <f>Form!J806</f>
        <v/>
      </c>
      <c r="F811" s="166" t="str">
        <f>Form!K806</f>
        <v/>
      </c>
      <c r="G811" s="166"/>
      <c r="H811" s="166" t="str">
        <f>Form!O807</f>
        <v/>
      </c>
    </row>
    <row r="812">
      <c r="A812" s="248" t="str">
        <f>Form!C807</f>
        <v/>
      </c>
      <c r="B812" s="4" t="str">
        <f>Form!D807</f>
        <v/>
      </c>
      <c r="C812" s="166" t="str">
        <f>Form!M807</f>
        <v/>
      </c>
      <c r="D812" s="166" t="str">
        <f>Form!N807</f>
        <v/>
      </c>
      <c r="E812" s="166" t="str">
        <f>Form!J807</f>
        <v/>
      </c>
      <c r="F812" s="166" t="str">
        <f>Form!K807</f>
        <v/>
      </c>
      <c r="G812" s="166"/>
      <c r="H812" s="166" t="str">
        <f>Form!O808</f>
        <v/>
      </c>
    </row>
    <row r="813">
      <c r="A813" s="248" t="str">
        <f>Form!C808</f>
        <v/>
      </c>
      <c r="B813" s="4" t="str">
        <f>Form!D808</f>
        <v/>
      </c>
      <c r="C813" s="166" t="str">
        <f>Form!M808</f>
        <v/>
      </c>
      <c r="D813" s="166" t="str">
        <f>Form!N808</f>
        <v/>
      </c>
      <c r="E813" s="166" t="str">
        <f>Form!J808</f>
        <v/>
      </c>
      <c r="F813" s="166" t="str">
        <f>Form!K808</f>
        <v/>
      </c>
      <c r="G813" s="166"/>
      <c r="H813" s="166" t="str">
        <f>Form!O809</f>
        <v/>
      </c>
    </row>
    <row r="814">
      <c r="A814" s="248" t="str">
        <f>Form!C809</f>
        <v/>
      </c>
      <c r="B814" s="4" t="str">
        <f>Form!D809</f>
        <v/>
      </c>
      <c r="C814" s="166" t="str">
        <f>Form!M809</f>
        <v/>
      </c>
      <c r="D814" s="166" t="str">
        <f>Form!N809</f>
        <v/>
      </c>
      <c r="E814" s="166" t="str">
        <f>Form!J809</f>
        <v/>
      </c>
      <c r="F814" s="166" t="str">
        <f>Form!K809</f>
        <v/>
      </c>
      <c r="G814" s="166"/>
      <c r="H814" s="166" t="str">
        <f>Form!O810</f>
        <v/>
      </c>
    </row>
    <row r="815">
      <c r="A815" s="248" t="str">
        <f>Form!C810</f>
        <v/>
      </c>
      <c r="B815" s="4" t="str">
        <f>Form!D810</f>
        <v/>
      </c>
      <c r="C815" s="166" t="str">
        <f>Form!M810</f>
        <v/>
      </c>
      <c r="D815" s="166" t="str">
        <f>Form!N810</f>
        <v/>
      </c>
      <c r="E815" s="166" t="str">
        <f>Form!J810</f>
        <v/>
      </c>
      <c r="F815" s="166" t="str">
        <f>Form!K810</f>
        <v/>
      </c>
      <c r="G815" s="166"/>
      <c r="H815" s="166" t="str">
        <f>Form!O811</f>
        <v/>
      </c>
    </row>
    <row r="816">
      <c r="A816" s="248" t="str">
        <f>Form!C811</f>
        <v/>
      </c>
      <c r="B816" s="4" t="str">
        <f>Form!D811</f>
        <v/>
      </c>
      <c r="C816" s="166" t="str">
        <f>Form!M811</f>
        <v/>
      </c>
      <c r="D816" s="166" t="str">
        <f>Form!N811</f>
        <v/>
      </c>
      <c r="E816" s="166" t="str">
        <f>Form!J811</f>
        <v/>
      </c>
      <c r="F816" s="166" t="str">
        <f>Form!K811</f>
        <v/>
      </c>
      <c r="G816" s="166"/>
      <c r="H816" s="166" t="str">
        <f>Form!O812</f>
        <v/>
      </c>
    </row>
    <row r="817">
      <c r="A817" s="248" t="str">
        <f>Form!C812</f>
        <v/>
      </c>
      <c r="B817" s="4" t="str">
        <f>Form!D812</f>
        <v/>
      </c>
      <c r="C817" s="166" t="str">
        <f>Form!M812</f>
        <v/>
      </c>
      <c r="D817" s="166" t="str">
        <f>Form!N812</f>
        <v/>
      </c>
      <c r="E817" s="166" t="str">
        <f>Form!J812</f>
        <v/>
      </c>
      <c r="F817" s="166" t="str">
        <f>Form!K812</f>
        <v/>
      </c>
      <c r="G817" s="166"/>
      <c r="H817" s="166" t="str">
        <f>Form!O813</f>
        <v/>
      </c>
    </row>
    <row r="818">
      <c r="A818" s="248" t="str">
        <f>Form!C813</f>
        <v/>
      </c>
      <c r="B818" s="4" t="str">
        <f>Form!D813</f>
        <v/>
      </c>
      <c r="C818" s="166" t="str">
        <f>Form!M813</f>
        <v/>
      </c>
      <c r="D818" s="166" t="str">
        <f>Form!N813</f>
        <v/>
      </c>
      <c r="E818" s="166" t="str">
        <f>Form!J813</f>
        <v/>
      </c>
      <c r="F818" s="166" t="str">
        <f>Form!K813</f>
        <v/>
      </c>
      <c r="G818" s="166"/>
      <c r="H818" s="166" t="str">
        <f>Form!O814</f>
        <v/>
      </c>
    </row>
    <row r="819">
      <c r="A819" s="248" t="str">
        <f>Form!C814</f>
        <v/>
      </c>
      <c r="B819" s="4" t="str">
        <f>Form!D814</f>
        <v/>
      </c>
      <c r="C819" s="166" t="str">
        <f>Form!M814</f>
        <v/>
      </c>
      <c r="D819" s="166" t="str">
        <f>Form!N814</f>
        <v/>
      </c>
      <c r="E819" s="166" t="str">
        <f>Form!J814</f>
        <v/>
      </c>
      <c r="F819" s="166" t="str">
        <f>Form!K814</f>
        <v/>
      </c>
      <c r="G819" s="166"/>
      <c r="H819" s="166" t="str">
        <f>Form!O815</f>
        <v/>
      </c>
    </row>
    <row r="820">
      <c r="A820" s="248" t="str">
        <f>Form!C815</f>
        <v/>
      </c>
      <c r="B820" s="4" t="str">
        <f>Form!D815</f>
        <v/>
      </c>
      <c r="C820" s="166" t="str">
        <f>Form!M815</f>
        <v/>
      </c>
      <c r="D820" s="166" t="str">
        <f>Form!N815</f>
        <v/>
      </c>
      <c r="E820" s="166" t="str">
        <f>Form!J815</f>
        <v/>
      </c>
      <c r="F820" s="166" t="str">
        <f>Form!K815</f>
        <v/>
      </c>
      <c r="G820" s="166"/>
      <c r="H820" s="166" t="str">
        <f>Form!O816</f>
        <v/>
      </c>
    </row>
    <row r="821">
      <c r="A821" s="248" t="str">
        <f>Form!C816</f>
        <v/>
      </c>
      <c r="B821" s="4" t="str">
        <f>Form!D816</f>
        <v/>
      </c>
      <c r="C821" s="166" t="str">
        <f>Form!M816</f>
        <v/>
      </c>
      <c r="D821" s="166" t="str">
        <f>Form!N816</f>
        <v/>
      </c>
      <c r="E821" s="166" t="str">
        <f>Form!J816</f>
        <v/>
      </c>
      <c r="F821" s="166" t="str">
        <f>Form!K816</f>
        <v/>
      </c>
      <c r="G821" s="166"/>
      <c r="H821" s="166" t="str">
        <f>Form!O817</f>
        <v/>
      </c>
    </row>
    <row r="822">
      <c r="A822" s="248" t="str">
        <f>Form!C817</f>
        <v/>
      </c>
      <c r="B822" s="4" t="str">
        <f>Form!D817</f>
        <v/>
      </c>
      <c r="C822" s="166" t="str">
        <f>Form!M817</f>
        <v/>
      </c>
      <c r="D822" s="166" t="str">
        <f>Form!N817</f>
        <v/>
      </c>
      <c r="E822" s="166" t="str">
        <f>Form!J817</f>
        <v/>
      </c>
      <c r="F822" s="166" t="str">
        <f>Form!K817</f>
        <v/>
      </c>
      <c r="G822" s="166"/>
      <c r="H822" s="166" t="str">
        <f>Form!O818</f>
        <v/>
      </c>
    </row>
    <row r="823">
      <c r="A823" s="248" t="str">
        <f>Form!C818</f>
        <v/>
      </c>
      <c r="B823" s="4" t="str">
        <f>Form!D818</f>
        <v/>
      </c>
      <c r="C823" s="166" t="str">
        <f>Form!M818</f>
        <v/>
      </c>
      <c r="D823" s="166" t="str">
        <f>Form!N818</f>
        <v/>
      </c>
      <c r="E823" s="166" t="str">
        <f>Form!J818</f>
        <v/>
      </c>
      <c r="F823" s="166" t="str">
        <f>Form!K818</f>
        <v/>
      </c>
      <c r="G823" s="166"/>
      <c r="H823" s="166" t="str">
        <f>Form!O819</f>
        <v/>
      </c>
    </row>
    <row r="824">
      <c r="A824" s="248" t="str">
        <f>Form!C819</f>
        <v/>
      </c>
      <c r="B824" s="4" t="str">
        <f>Form!D819</f>
        <v/>
      </c>
      <c r="C824" s="166" t="str">
        <f>Form!M819</f>
        <v/>
      </c>
      <c r="D824" s="166" t="str">
        <f>Form!N819</f>
        <v/>
      </c>
      <c r="E824" s="166" t="str">
        <f>Form!J819</f>
        <v/>
      </c>
      <c r="F824" s="166" t="str">
        <f>Form!K819</f>
        <v/>
      </c>
      <c r="G824" s="166"/>
      <c r="H824" s="166" t="str">
        <f>Form!O820</f>
        <v/>
      </c>
    </row>
    <row r="825">
      <c r="A825" s="248" t="str">
        <f>Form!C820</f>
        <v/>
      </c>
      <c r="B825" s="4" t="str">
        <f>Form!D820</f>
        <v/>
      </c>
      <c r="C825" s="166" t="str">
        <f>Form!M820</f>
        <v/>
      </c>
      <c r="D825" s="166" t="str">
        <f>Form!N820</f>
        <v/>
      </c>
      <c r="E825" s="166" t="str">
        <f>Form!J820</f>
        <v/>
      </c>
      <c r="F825" s="166" t="str">
        <f>Form!K820</f>
        <v/>
      </c>
      <c r="G825" s="166"/>
      <c r="H825" s="166" t="str">
        <f>Form!O821</f>
        <v/>
      </c>
    </row>
    <row r="826">
      <c r="A826" s="248" t="str">
        <f>Form!C821</f>
        <v/>
      </c>
      <c r="B826" s="4" t="str">
        <f>Form!D821</f>
        <v/>
      </c>
      <c r="C826" s="166" t="str">
        <f>Form!M821</f>
        <v/>
      </c>
      <c r="D826" s="166" t="str">
        <f>Form!N821</f>
        <v/>
      </c>
      <c r="E826" s="166" t="str">
        <f>Form!J821</f>
        <v/>
      </c>
      <c r="F826" s="166" t="str">
        <f>Form!K821</f>
        <v/>
      </c>
      <c r="G826" s="166"/>
      <c r="H826" s="166" t="str">
        <f>Form!O822</f>
        <v/>
      </c>
    </row>
    <row r="827">
      <c r="A827" s="248" t="str">
        <f>Form!C822</f>
        <v/>
      </c>
      <c r="B827" s="4" t="str">
        <f>Form!D822</f>
        <v/>
      </c>
      <c r="C827" s="166" t="str">
        <f>Form!M822</f>
        <v/>
      </c>
      <c r="D827" s="166" t="str">
        <f>Form!N822</f>
        <v/>
      </c>
      <c r="E827" s="166" t="str">
        <f>Form!J822</f>
        <v/>
      </c>
      <c r="F827" s="166" t="str">
        <f>Form!K822</f>
        <v/>
      </c>
      <c r="G827" s="166"/>
      <c r="H827" s="166" t="str">
        <f>Form!O823</f>
        <v/>
      </c>
    </row>
    <row r="828">
      <c r="A828" s="248" t="str">
        <f>Form!C823</f>
        <v/>
      </c>
      <c r="B828" s="4" t="str">
        <f>Form!D823</f>
        <v/>
      </c>
      <c r="C828" s="166" t="str">
        <f>Form!M823</f>
        <v/>
      </c>
      <c r="D828" s="166" t="str">
        <f>Form!N823</f>
        <v/>
      </c>
      <c r="E828" s="166" t="str">
        <f>Form!J823</f>
        <v/>
      </c>
      <c r="F828" s="166" t="str">
        <f>Form!K823</f>
        <v/>
      </c>
      <c r="G828" s="166"/>
      <c r="H828" s="166" t="str">
        <f>Form!O824</f>
        <v/>
      </c>
    </row>
    <row r="829">
      <c r="A829" s="248" t="str">
        <f>Form!C824</f>
        <v/>
      </c>
      <c r="B829" s="4" t="str">
        <f>Form!D824</f>
        <v/>
      </c>
      <c r="C829" s="166" t="str">
        <f>Form!M824</f>
        <v/>
      </c>
      <c r="D829" s="166" t="str">
        <f>Form!N824</f>
        <v/>
      </c>
      <c r="E829" s="166" t="str">
        <f>Form!J824</f>
        <v/>
      </c>
      <c r="F829" s="166" t="str">
        <f>Form!K824</f>
        <v/>
      </c>
      <c r="G829" s="166"/>
      <c r="H829" s="166" t="str">
        <f>Form!O825</f>
        <v/>
      </c>
    </row>
    <row r="830">
      <c r="A830" s="248" t="str">
        <f>Form!C825</f>
        <v/>
      </c>
      <c r="B830" s="4" t="str">
        <f>Form!D825</f>
        <v/>
      </c>
      <c r="C830" s="166" t="str">
        <f>Form!M825</f>
        <v/>
      </c>
      <c r="D830" s="166" t="str">
        <f>Form!N825</f>
        <v/>
      </c>
      <c r="E830" s="166" t="str">
        <f>Form!J825</f>
        <v/>
      </c>
      <c r="F830" s="166" t="str">
        <f>Form!K825</f>
        <v/>
      </c>
      <c r="G830" s="166"/>
      <c r="H830" s="166" t="str">
        <f>Form!O826</f>
        <v/>
      </c>
    </row>
    <row r="831">
      <c r="A831" s="248" t="str">
        <f>Form!C826</f>
        <v/>
      </c>
      <c r="B831" s="4" t="str">
        <f>Form!D826</f>
        <v/>
      </c>
      <c r="C831" s="166" t="str">
        <f>Form!M826</f>
        <v/>
      </c>
      <c r="D831" s="166" t="str">
        <f>Form!N826</f>
        <v/>
      </c>
      <c r="E831" s="166" t="str">
        <f>Form!J826</f>
        <v/>
      </c>
      <c r="F831" s="166" t="str">
        <f>Form!K826</f>
        <v/>
      </c>
      <c r="G831" s="166"/>
      <c r="H831" s="166" t="str">
        <f>Form!O827</f>
        <v/>
      </c>
    </row>
    <row r="832">
      <c r="A832" s="248" t="str">
        <f>Form!C827</f>
        <v/>
      </c>
      <c r="B832" s="4" t="str">
        <f>Form!D827</f>
        <v/>
      </c>
      <c r="C832" s="166" t="str">
        <f>Form!M827</f>
        <v/>
      </c>
      <c r="D832" s="166" t="str">
        <f>Form!N827</f>
        <v/>
      </c>
      <c r="E832" s="166" t="str">
        <f>Form!J827</f>
        <v/>
      </c>
      <c r="F832" s="166" t="str">
        <f>Form!K827</f>
        <v/>
      </c>
      <c r="G832" s="166"/>
      <c r="H832" s="166" t="str">
        <f>Form!O828</f>
        <v/>
      </c>
    </row>
    <row r="833">
      <c r="A833" s="248" t="str">
        <f>Form!C828</f>
        <v/>
      </c>
      <c r="B833" s="4" t="str">
        <f>Form!D828</f>
        <v/>
      </c>
      <c r="C833" s="166" t="str">
        <f>Form!M828</f>
        <v/>
      </c>
      <c r="D833" s="166" t="str">
        <f>Form!N828</f>
        <v/>
      </c>
      <c r="E833" s="166" t="str">
        <f>Form!J828</f>
        <v/>
      </c>
      <c r="F833" s="166" t="str">
        <f>Form!K828</f>
        <v/>
      </c>
      <c r="G833" s="166"/>
      <c r="H833" s="166" t="str">
        <f>Form!O829</f>
        <v/>
      </c>
    </row>
    <row r="834">
      <c r="A834" s="248" t="str">
        <f>Form!C829</f>
        <v/>
      </c>
      <c r="B834" s="4" t="str">
        <f>Form!D829</f>
        <v/>
      </c>
      <c r="C834" s="166" t="str">
        <f>Form!M829</f>
        <v/>
      </c>
      <c r="D834" s="166" t="str">
        <f>Form!N829</f>
        <v/>
      </c>
      <c r="E834" s="166" t="str">
        <f>Form!J829</f>
        <v/>
      </c>
      <c r="F834" s="166" t="str">
        <f>Form!K829</f>
        <v/>
      </c>
      <c r="G834" s="166"/>
      <c r="H834" s="166" t="str">
        <f>Form!O830</f>
        <v/>
      </c>
    </row>
    <row r="835">
      <c r="A835" s="248" t="str">
        <f>Form!C830</f>
        <v/>
      </c>
      <c r="B835" s="4" t="str">
        <f>Form!D830</f>
        <v/>
      </c>
      <c r="C835" s="166" t="str">
        <f>Form!M830</f>
        <v/>
      </c>
      <c r="D835" s="166" t="str">
        <f>Form!N830</f>
        <v/>
      </c>
      <c r="E835" s="166" t="str">
        <f>Form!J830</f>
        <v/>
      </c>
      <c r="F835" s="166" t="str">
        <f>Form!K830</f>
        <v/>
      </c>
      <c r="G835" s="166"/>
      <c r="H835" s="166" t="str">
        <f>Form!O831</f>
        <v/>
      </c>
    </row>
    <row r="836">
      <c r="A836" s="248" t="str">
        <f>Form!C831</f>
        <v/>
      </c>
      <c r="B836" s="4" t="str">
        <f>Form!D831</f>
        <v/>
      </c>
      <c r="C836" s="166" t="str">
        <f>Form!M831</f>
        <v/>
      </c>
      <c r="D836" s="166" t="str">
        <f>Form!N831</f>
        <v/>
      </c>
      <c r="E836" s="166" t="str">
        <f>Form!J831</f>
        <v/>
      </c>
      <c r="F836" s="166" t="str">
        <f>Form!K831</f>
        <v/>
      </c>
      <c r="G836" s="166"/>
      <c r="H836" s="166" t="str">
        <f>Form!O832</f>
        <v/>
      </c>
    </row>
    <row r="837">
      <c r="A837" s="248" t="str">
        <f>Form!C832</f>
        <v/>
      </c>
      <c r="B837" s="4" t="str">
        <f>Form!D832</f>
        <v/>
      </c>
      <c r="C837" s="166" t="str">
        <f>Form!M832</f>
        <v/>
      </c>
      <c r="D837" s="166" t="str">
        <f>Form!N832</f>
        <v/>
      </c>
      <c r="E837" s="166" t="str">
        <f>Form!J832</f>
        <v/>
      </c>
      <c r="F837" s="166" t="str">
        <f>Form!K832</f>
        <v/>
      </c>
      <c r="G837" s="166"/>
      <c r="H837" s="166" t="str">
        <f>Form!O833</f>
        <v/>
      </c>
    </row>
    <row r="838">
      <c r="A838" s="248" t="str">
        <f>Form!C833</f>
        <v/>
      </c>
      <c r="B838" s="4" t="str">
        <f>Form!D833</f>
        <v/>
      </c>
      <c r="C838" s="166" t="str">
        <f>Form!M833</f>
        <v/>
      </c>
      <c r="D838" s="166" t="str">
        <f>Form!N833</f>
        <v/>
      </c>
      <c r="E838" s="166" t="str">
        <f>Form!J833</f>
        <v/>
      </c>
      <c r="F838" s="166" t="str">
        <f>Form!K833</f>
        <v/>
      </c>
      <c r="G838" s="166"/>
      <c r="H838" s="166" t="str">
        <f>Form!O834</f>
        <v/>
      </c>
    </row>
    <row r="839">
      <c r="A839" s="248" t="str">
        <f>Form!C834</f>
        <v/>
      </c>
      <c r="B839" s="4" t="str">
        <f>Form!D834</f>
        <v/>
      </c>
      <c r="C839" s="166" t="str">
        <f>Form!M834</f>
        <v/>
      </c>
      <c r="D839" s="166" t="str">
        <f>Form!N834</f>
        <v/>
      </c>
      <c r="E839" s="166" t="str">
        <f>Form!J834</f>
        <v/>
      </c>
      <c r="F839" s="166" t="str">
        <f>Form!K834</f>
        <v/>
      </c>
      <c r="G839" s="166"/>
      <c r="H839" s="166" t="str">
        <f>Form!O835</f>
        <v/>
      </c>
    </row>
    <row r="840">
      <c r="A840" s="248" t="str">
        <f>Form!C835</f>
        <v/>
      </c>
      <c r="B840" s="4" t="str">
        <f>Form!D835</f>
        <v/>
      </c>
      <c r="C840" s="166" t="str">
        <f>Form!M835</f>
        <v/>
      </c>
      <c r="D840" s="166" t="str">
        <f>Form!N835</f>
        <v/>
      </c>
      <c r="E840" s="166" t="str">
        <f>Form!J835</f>
        <v/>
      </c>
      <c r="F840" s="166" t="str">
        <f>Form!K835</f>
        <v/>
      </c>
      <c r="G840" s="166"/>
      <c r="H840" s="166" t="str">
        <f>Form!O836</f>
        <v/>
      </c>
    </row>
    <row r="841">
      <c r="A841" s="248" t="str">
        <f>Form!C836</f>
        <v/>
      </c>
      <c r="B841" s="4" t="str">
        <f>Form!D836</f>
        <v/>
      </c>
      <c r="C841" s="166" t="str">
        <f>Form!M836</f>
        <v/>
      </c>
      <c r="D841" s="166" t="str">
        <f>Form!N836</f>
        <v/>
      </c>
      <c r="E841" s="166" t="str">
        <f>Form!J836</f>
        <v/>
      </c>
      <c r="F841" s="166" t="str">
        <f>Form!K836</f>
        <v/>
      </c>
      <c r="G841" s="166"/>
      <c r="H841" s="166" t="str">
        <f>Form!O837</f>
        <v/>
      </c>
    </row>
    <row r="842">
      <c r="A842" s="248" t="str">
        <f>Form!C837</f>
        <v/>
      </c>
      <c r="B842" s="4" t="str">
        <f>Form!D837</f>
        <v/>
      </c>
      <c r="C842" s="166" t="str">
        <f>Form!M837</f>
        <v/>
      </c>
      <c r="D842" s="166" t="str">
        <f>Form!N837</f>
        <v/>
      </c>
      <c r="E842" s="166" t="str">
        <f>Form!J837</f>
        <v/>
      </c>
      <c r="F842" s="166" t="str">
        <f>Form!K837</f>
        <v/>
      </c>
      <c r="G842" s="166"/>
      <c r="H842" s="166" t="str">
        <f>Form!O838</f>
        <v/>
      </c>
    </row>
    <row r="843">
      <c r="A843" s="248" t="str">
        <f>Form!C838</f>
        <v/>
      </c>
      <c r="B843" s="4" t="str">
        <f>Form!D838</f>
        <v/>
      </c>
      <c r="C843" s="166" t="str">
        <f>Form!M838</f>
        <v/>
      </c>
      <c r="D843" s="166" t="str">
        <f>Form!N838</f>
        <v/>
      </c>
      <c r="E843" s="166" t="str">
        <f>Form!J838</f>
        <v/>
      </c>
      <c r="F843" s="166" t="str">
        <f>Form!K838</f>
        <v/>
      </c>
      <c r="G843" s="166"/>
      <c r="H843" s="166" t="str">
        <f>Form!O839</f>
        <v/>
      </c>
    </row>
    <row r="844">
      <c r="A844" s="248" t="str">
        <f>Form!C839</f>
        <v/>
      </c>
      <c r="B844" s="4" t="str">
        <f>Form!D839</f>
        <v/>
      </c>
      <c r="C844" s="166" t="str">
        <f>Form!M839</f>
        <v/>
      </c>
      <c r="D844" s="166" t="str">
        <f>Form!N839</f>
        <v/>
      </c>
      <c r="E844" s="166" t="str">
        <f>Form!J839</f>
        <v/>
      </c>
      <c r="F844" s="166" t="str">
        <f>Form!K839</f>
        <v/>
      </c>
      <c r="G844" s="166"/>
      <c r="H844" s="166" t="str">
        <f>Form!O840</f>
        <v/>
      </c>
    </row>
    <row r="845">
      <c r="A845" s="248" t="str">
        <f>Form!C840</f>
        <v/>
      </c>
      <c r="B845" s="4" t="str">
        <f>Form!D840</f>
        <v/>
      </c>
      <c r="C845" s="166" t="str">
        <f>Form!M840</f>
        <v/>
      </c>
      <c r="D845" s="166" t="str">
        <f>Form!N840</f>
        <v/>
      </c>
      <c r="E845" s="166" t="str">
        <f>Form!J840</f>
        <v/>
      </c>
      <c r="F845" s="166" t="str">
        <f>Form!K840</f>
        <v/>
      </c>
      <c r="G845" s="166"/>
      <c r="H845" s="166" t="str">
        <f>Form!O841</f>
        <v/>
      </c>
    </row>
    <row r="846">
      <c r="A846" s="248" t="str">
        <f>Form!C841</f>
        <v/>
      </c>
      <c r="B846" s="4" t="str">
        <f>Form!D841</f>
        <v/>
      </c>
      <c r="C846" s="166" t="str">
        <f>Form!M841</f>
        <v/>
      </c>
      <c r="D846" s="166" t="str">
        <f>Form!N841</f>
        <v/>
      </c>
      <c r="E846" s="166" t="str">
        <f>Form!J841</f>
        <v/>
      </c>
      <c r="F846" s="166" t="str">
        <f>Form!K841</f>
        <v/>
      </c>
      <c r="G846" s="166"/>
      <c r="H846" s="166" t="str">
        <f>Form!O842</f>
        <v/>
      </c>
    </row>
    <row r="847">
      <c r="A847" s="248" t="str">
        <f>Form!C842</f>
        <v/>
      </c>
      <c r="B847" s="4" t="str">
        <f>Form!D842</f>
        <v/>
      </c>
      <c r="C847" s="166" t="str">
        <f>Form!M842</f>
        <v/>
      </c>
      <c r="D847" s="166" t="str">
        <f>Form!N842</f>
        <v/>
      </c>
      <c r="E847" s="166" t="str">
        <f>Form!J842</f>
        <v/>
      </c>
      <c r="F847" s="166" t="str">
        <f>Form!K842</f>
        <v/>
      </c>
      <c r="G847" s="166"/>
      <c r="H847" s="166" t="str">
        <f>Form!O843</f>
        <v/>
      </c>
    </row>
    <row r="848">
      <c r="A848" s="248" t="str">
        <f>Form!C843</f>
        <v/>
      </c>
      <c r="B848" s="4" t="str">
        <f>Form!D843</f>
        <v/>
      </c>
      <c r="C848" s="166" t="str">
        <f>Form!M843</f>
        <v/>
      </c>
      <c r="D848" s="166" t="str">
        <f>Form!N843</f>
        <v/>
      </c>
      <c r="E848" s="166" t="str">
        <f>Form!J843</f>
        <v/>
      </c>
      <c r="F848" s="166" t="str">
        <f>Form!K843</f>
        <v/>
      </c>
      <c r="G848" s="166"/>
      <c r="H848" s="166" t="str">
        <f>Form!O844</f>
        <v/>
      </c>
    </row>
    <row r="849">
      <c r="A849" s="248" t="str">
        <f>Form!C844</f>
        <v/>
      </c>
      <c r="B849" s="4" t="str">
        <f>Form!D844</f>
        <v/>
      </c>
      <c r="C849" s="166" t="str">
        <f>Form!M844</f>
        <v/>
      </c>
      <c r="D849" s="166" t="str">
        <f>Form!N844</f>
        <v/>
      </c>
      <c r="E849" s="166" t="str">
        <f>Form!J844</f>
        <v/>
      </c>
      <c r="F849" s="166" t="str">
        <f>Form!K844</f>
        <v/>
      </c>
      <c r="G849" s="166"/>
      <c r="H849" s="166" t="str">
        <f>Form!O845</f>
        <v/>
      </c>
    </row>
    <row r="850">
      <c r="A850" s="248" t="str">
        <f>Form!C845</f>
        <v/>
      </c>
      <c r="B850" s="4" t="str">
        <f>Form!D845</f>
        <v/>
      </c>
      <c r="C850" s="166" t="str">
        <f>Form!M845</f>
        <v/>
      </c>
      <c r="D850" s="166" t="str">
        <f>Form!N845</f>
        <v/>
      </c>
      <c r="E850" s="166" t="str">
        <f>Form!J845</f>
        <v/>
      </c>
      <c r="F850" s="166" t="str">
        <f>Form!K845</f>
        <v/>
      </c>
      <c r="G850" s="166"/>
      <c r="H850" s="166" t="str">
        <f>Form!O846</f>
        <v/>
      </c>
    </row>
    <row r="851">
      <c r="A851" s="248" t="str">
        <f>Form!C846</f>
        <v/>
      </c>
      <c r="B851" s="4" t="str">
        <f>Form!D846</f>
        <v/>
      </c>
      <c r="C851" s="166" t="str">
        <f>Form!M846</f>
        <v/>
      </c>
      <c r="D851" s="166" t="str">
        <f>Form!N846</f>
        <v/>
      </c>
      <c r="E851" s="166" t="str">
        <f>Form!J846</f>
        <v/>
      </c>
      <c r="F851" s="166" t="str">
        <f>Form!K846</f>
        <v/>
      </c>
      <c r="G851" s="166"/>
      <c r="H851" s="166" t="str">
        <f>Form!O847</f>
        <v/>
      </c>
    </row>
    <row r="852">
      <c r="A852" s="248" t="str">
        <f>Form!C847</f>
        <v/>
      </c>
      <c r="B852" s="4" t="str">
        <f>Form!D847</f>
        <v/>
      </c>
      <c r="C852" s="166" t="str">
        <f>Form!M847</f>
        <v/>
      </c>
      <c r="D852" s="166" t="str">
        <f>Form!N847</f>
        <v/>
      </c>
      <c r="E852" s="166" t="str">
        <f>Form!J847</f>
        <v/>
      </c>
      <c r="F852" s="166" t="str">
        <f>Form!K847</f>
        <v/>
      </c>
      <c r="G852" s="166"/>
      <c r="H852" s="166" t="str">
        <f>Form!O848</f>
        <v/>
      </c>
    </row>
    <row r="853">
      <c r="A853" s="248" t="str">
        <f>Form!C848</f>
        <v/>
      </c>
      <c r="B853" s="4" t="str">
        <f>Form!D848</f>
        <v/>
      </c>
      <c r="C853" s="166" t="str">
        <f>Form!M848</f>
        <v/>
      </c>
      <c r="D853" s="166" t="str">
        <f>Form!N848</f>
        <v/>
      </c>
      <c r="E853" s="166" t="str">
        <f>Form!J848</f>
        <v/>
      </c>
      <c r="F853" s="166" t="str">
        <f>Form!K848</f>
        <v/>
      </c>
      <c r="G853" s="166"/>
      <c r="H853" s="166" t="str">
        <f>Form!O849</f>
        <v/>
      </c>
    </row>
    <row r="854">
      <c r="A854" s="248" t="str">
        <f>Form!C849</f>
        <v/>
      </c>
      <c r="B854" s="4" t="str">
        <f>Form!D849</f>
        <v/>
      </c>
      <c r="C854" s="166" t="str">
        <f>Form!M849</f>
        <v/>
      </c>
      <c r="D854" s="166" t="str">
        <f>Form!N849</f>
        <v/>
      </c>
      <c r="E854" s="166" t="str">
        <f>Form!J849</f>
        <v/>
      </c>
      <c r="F854" s="166" t="str">
        <f>Form!K849</f>
        <v/>
      </c>
      <c r="G854" s="166"/>
      <c r="H854" s="166" t="str">
        <f>Form!O850</f>
        <v/>
      </c>
    </row>
    <row r="855">
      <c r="A855" s="248" t="str">
        <f>Form!C850</f>
        <v/>
      </c>
      <c r="B855" s="4" t="str">
        <f>Form!D850</f>
        <v/>
      </c>
      <c r="C855" s="166" t="str">
        <f>Form!M850</f>
        <v/>
      </c>
      <c r="D855" s="166" t="str">
        <f>Form!N850</f>
        <v/>
      </c>
      <c r="E855" s="166" t="str">
        <f>Form!J850</f>
        <v/>
      </c>
      <c r="F855" s="166" t="str">
        <f>Form!K850</f>
        <v/>
      </c>
      <c r="G855" s="166"/>
      <c r="H855" s="166" t="str">
        <f>Form!O851</f>
        <v/>
      </c>
    </row>
    <row r="856">
      <c r="A856" s="248" t="str">
        <f>Form!C851</f>
        <v/>
      </c>
      <c r="B856" s="4" t="str">
        <f>Form!D851</f>
        <v/>
      </c>
      <c r="C856" s="166" t="str">
        <f>Form!M851</f>
        <v/>
      </c>
      <c r="D856" s="166" t="str">
        <f>Form!N851</f>
        <v/>
      </c>
      <c r="E856" s="166" t="str">
        <f>Form!J851</f>
        <v/>
      </c>
      <c r="F856" s="166" t="str">
        <f>Form!K851</f>
        <v/>
      </c>
      <c r="G856" s="166"/>
      <c r="H856" s="166" t="str">
        <f>Form!O852</f>
        <v/>
      </c>
    </row>
    <row r="857">
      <c r="A857" s="248" t="str">
        <f>Form!C852</f>
        <v/>
      </c>
      <c r="B857" s="4" t="str">
        <f>Form!D852</f>
        <v/>
      </c>
      <c r="C857" s="166" t="str">
        <f>Form!M852</f>
        <v/>
      </c>
      <c r="D857" s="166" t="str">
        <f>Form!N852</f>
        <v/>
      </c>
      <c r="E857" s="166" t="str">
        <f>Form!J852</f>
        <v/>
      </c>
      <c r="F857" s="166" t="str">
        <f>Form!K852</f>
        <v/>
      </c>
      <c r="G857" s="166"/>
      <c r="H857" s="166" t="str">
        <f>Form!O853</f>
        <v/>
      </c>
    </row>
    <row r="858">
      <c r="A858" s="248" t="str">
        <f>Form!C853</f>
        <v/>
      </c>
      <c r="B858" s="4" t="str">
        <f>Form!D853</f>
        <v/>
      </c>
      <c r="C858" s="166" t="str">
        <f>Form!M853</f>
        <v/>
      </c>
      <c r="D858" s="166" t="str">
        <f>Form!N853</f>
        <v/>
      </c>
      <c r="E858" s="166" t="str">
        <f>Form!J853</f>
        <v/>
      </c>
      <c r="F858" s="166" t="str">
        <f>Form!K853</f>
        <v/>
      </c>
      <c r="G858" s="166"/>
      <c r="H858" s="166" t="str">
        <f>Form!O854</f>
        <v/>
      </c>
    </row>
    <row r="859">
      <c r="A859" s="248" t="str">
        <f>Form!C854</f>
        <v/>
      </c>
      <c r="B859" s="4" t="str">
        <f>Form!D854</f>
        <v/>
      </c>
      <c r="C859" s="166" t="str">
        <f>Form!M854</f>
        <v/>
      </c>
      <c r="D859" s="166" t="str">
        <f>Form!N854</f>
        <v/>
      </c>
      <c r="E859" s="166" t="str">
        <f>Form!J854</f>
        <v/>
      </c>
      <c r="F859" s="166" t="str">
        <f>Form!K854</f>
        <v/>
      </c>
      <c r="G859" s="166"/>
      <c r="H859" s="166" t="str">
        <f>Form!O855</f>
        <v/>
      </c>
    </row>
    <row r="860">
      <c r="A860" s="248" t="str">
        <f>Form!C855</f>
        <v/>
      </c>
      <c r="B860" s="4" t="str">
        <f>Form!D855</f>
        <v/>
      </c>
      <c r="C860" s="166" t="str">
        <f>Form!M855</f>
        <v/>
      </c>
      <c r="D860" s="166" t="str">
        <f>Form!N855</f>
        <v/>
      </c>
      <c r="E860" s="166" t="str">
        <f>Form!J855</f>
        <v/>
      </c>
      <c r="F860" s="166" t="str">
        <f>Form!K855</f>
        <v/>
      </c>
      <c r="G860" s="166"/>
      <c r="H860" s="166" t="str">
        <f>Form!O856</f>
        <v/>
      </c>
    </row>
    <row r="861">
      <c r="A861" s="248" t="str">
        <f>Form!C856</f>
        <v/>
      </c>
      <c r="B861" s="4" t="str">
        <f>Form!D856</f>
        <v/>
      </c>
      <c r="C861" s="166" t="str">
        <f>Form!M856</f>
        <v/>
      </c>
      <c r="D861" s="166" t="str">
        <f>Form!N856</f>
        <v/>
      </c>
      <c r="E861" s="166" t="str">
        <f>Form!J856</f>
        <v/>
      </c>
      <c r="F861" s="166" t="str">
        <f>Form!K856</f>
        <v/>
      </c>
      <c r="G861" s="166"/>
      <c r="H861" s="166" t="str">
        <f>Form!O857</f>
        <v/>
      </c>
    </row>
    <row r="862">
      <c r="A862" s="248" t="str">
        <f>Form!C857</f>
        <v/>
      </c>
      <c r="B862" s="4" t="str">
        <f>Form!D857</f>
        <v/>
      </c>
      <c r="C862" s="166" t="str">
        <f>Form!M857</f>
        <v/>
      </c>
      <c r="D862" s="166" t="str">
        <f>Form!N857</f>
        <v/>
      </c>
      <c r="E862" s="166" t="str">
        <f>Form!J857</f>
        <v/>
      </c>
      <c r="F862" s="166" t="str">
        <f>Form!K857</f>
        <v/>
      </c>
      <c r="G862" s="166"/>
      <c r="H862" s="166" t="str">
        <f>Form!O858</f>
        <v/>
      </c>
    </row>
    <row r="863">
      <c r="A863" s="248" t="str">
        <f>Form!C858</f>
        <v/>
      </c>
      <c r="B863" s="4" t="str">
        <f>Form!D858</f>
        <v/>
      </c>
      <c r="C863" s="166" t="str">
        <f>Form!M858</f>
        <v/>
      </c>
      <c r="D863" s="166" t="str">
        <f>Form!N858</f>
        <v/>
      </c>
      <c r="E863" s="166" t="str">
        <f>Form!J858</f>
        <v/>
      </c>
      <c r="F863" s="166" t="str">
        <f>Form!K858</f>
        <v/>
      </c>
      <c r="G863" s="166"/>
      <c r="H863" s="166" t="str">
        <f>Form!O859</f>
        <v/>
      </c>
    </row>
    <row r="864">
      <c r="A864" s="248" t="str">
        <f>Form!C859</f>
        <v/>
      </c>
      <c r="B864" s="4" t="str">
        <f>Form!D859</f>
        <v/>
      </c>
      <c r="C864" s="166" t="str">
        <f>Form!M859</f>
        <v/>
      </c>
      <c r="D864" s="166" t="str">
        <f>Form!N859</f>
        <v/>
      </c>
      <c r="E864" s="166" t="str">
        <f>Form!J859</f>
        <v/>
      </c>
      <c r="F864" s="166" t="str">
        <f>Form!K859</f>
        <v/>
      </c>
      <c r="G864" s="166"/>
      <c r="H864" s="166" t="str">
        <f>Form!O860</f>
        <v/>
      </c>
    </row>
    <row r="865">
      <c r="A865" s="248" t="str">
        <f>Form!C860</f>
        <v/>
      </c>
      <c r="B865" s="4" t="str">
        <f>Form!D860</f>
        <v/>
      </c>
      <c r="C865" s="166" t="str">
        <f>Form!M860</f>
        <v/>
      </c>
      <c r="D865" s="166" t="str">
        <f>Form!N860</f>
        <v/>
      </c>
      <c r="E865" s="166" t="str">
        <f>Form!J860</f>
        <v/>
      </c>
      <c r="F865" s="166" t="str">
        <f>Form!K860</f>
        <v/>
      </c>
      <c r="G865" s="166"/>
      <c r="H865" s="166" t="str">
        <f>Form!O861</f>
        <v/>
      </c>
    </row>
    <row r="866">
      <c r="A866" s="248" t="str">
        <f>Form!C861</f>
        <v/>
      </c>
      <c r="B866" s="4" t="str">
        <f>Form!D861</f>
        <v/>
      </c>
      <c r="C866" s="166" t="str">
        <f>Form!M861</f>
        <v/>
      </c>
      <c r="D866" s="166" t="str">
        <f>Form!N861</f>
        <v/>
      </c>
      <c r="E866" s="166" t="str">
        <f>Form!J861</f>
        <v/>
      </c>
      <c r="F866" s="166" t="str">
        <f>Form!K861</f>
        <v/>
      </c>
      <c r="G866" s="166"/>
      <c r="H866" s="166" t="str">
        <f>Form!O862</f>
        <v/>
      </c>
    </row>
    <row r="867">
      <c r="A867" s="248" t="str">
        <f>Form!C862</f>
        <v/>
      </c>
      <c r="B867" s="4" t="str">
        <f>Form!D862</f>
        <v/>
      </c>
      <c r="C867" s="166" t="str">
        <f>Form!M862</f>
        <v/>
      </c>
      <c r="D867" s="166" t="str">
        <f>Form!N862</f>
        <v/>
      </c>
      <c r="E867" s="166" t="str">
        <f>Form!J862</f>
        <v/>
      </c>
      <c r="F867" s="166" t="str">
        <f>Form!K862</f>
        <v/>
      </c>
      <c r="G867" s="166"/>
      <c r="H867" s="166" t="str">
        <f>Form!O863</f>
        <v/>
      </c>
    </row>
    <row r="868">
      <c r="A868" s="248" t="str">
        <f>Form!C863</f>
        <v/>
      </c>
      <c r="B868" s="4" t="str">
        <f>Form!D863</f>
        <v/>
      </c>
      <c r="C868" s="166" t="str">
        <f>Form!M863</f>
        <v/>
      </c>
      <c r="D868" s="166" t="str">
        <f>Form!N863</f>
        <v/>
      </c>
      <c r="E868" s="166" t="str">
        <f>Form!J863</f>
        <v/>
      </c>
      <c r="F868" s="166" t="str">
        <f>Form!K863</f>
        <v/>
      </c>
      <c r="G868" s="166"/>
      <c r="H868" s="166" t="str">
        <f>Form!O864</f>
        <v/>
      </c>
    </row>
    <row r="869">
      <c r="A869" s="248" t="str">
        <f>Form!C864</f>
        <v/>
      </c>
      <c r="B869" s="4" t="str">
        <f>Form!D864</f>
        <v/>
      </c>
      <c r="C869" s="166" t="str">
        <f>Form!M864</f>
        <v/>
      </c>
      <c r="D869" s="166" t="str">
        <f>Form!N864</f>
        <v/>
      </c>
      <c r="E869" s="166" t="str">
        <f>Form!J864</f>
        <v/>
      </c>
      <c r="F869" s="166" t="str">
        <f>Form!K864</f>
        <v/>
      </c>
      <c r="G869" s="166"/>
      <c r="H869" s="166" t="str">
        <f>Form!O865</f>
        <v/>
      </c>
    </row>
    <row r="870">
      <c r="A870" s="248" t="str">
        <f>Form!C865</f>
        <v/>
      </c>
      <c r="B870" s="4" t="str">
        <f>Form!D865</f>
        <v/>
      </c>
      <c r="C870" s="166" t="str">
        <f>Form!M865</f>
        <v/>
      </c>
      <c r="D870" s="166" t="str">
        <f>Form!N865</f>
        <v/>
      </c>
      <c r="E870" s="166" t="str">
        <f>Form!J865</f>
        <v/>
      </c>
      <c r="F870" s="166" t="str">
        <f>Form!K865</f>
        <v/>
      </c>
      <c r="G870" s="166"/>
      <c r="H870" s="166" t="str">
        <f>Form!O866</f>
        <v/>
      </c>
    </row>
    <row r="871">
      <c r="A871" s="248" t="str">
        <f>Form!C866</f>
        <v/>
      </c>
      <c r="B871" s="4" t="str">
        <f>Form!D866</f>
        <v/>
      </c>
      <c r="C871" s="166" t="str">
        <f>Form!M866</f>
        <v/>
      </c>
      <c r="D871" s="166" t="str">
        <f>Form!N866</f>
        <v/>
      </c>
      <c r="E871" s="166" t="str">
        <f>Form!J866</f>
        <v/>
      </c>
      <c r="F871" s="166" t="str">
        <f>Form!K866</f>
        <v/>
      </c>
      <c r="G871" s="166"/>
      <c r="H871" s="166" t="str">
        <f>Form!O867</f>
        <v/>
      </c>
    </row>
    <row r="872">
      <c r="A872" s="248" t="str">
        <f>Form!C867</f>
        <v/>
      </c>
      <c r="B872" s="4" t="str">
        <f>Form!D867</f>
        <v/>
      </c>
      <c r="C872" s="166" t="str">
        <f>Form!M867</f>
        <v/>
      </c>
      <c r="D872" s="166" t="str">
        <f>Form!N867</f>
        <v/>
      </c>
      <c r="E872" s="166" t="str">
        <f>Form!J867</f>
        <v/>
      </c>
      <c r="F872" s="166" t="str">
        <f>Form!K867</f>
        <v/>
      </c>
      <c r="G872" s="166"/>
      <c r="H872" s="166" t="str">
        <f>Form!O868</f>
        <v/>
      </c>
    </row>
    <row r="873">
      <c r="A873" s="248" t="str">
        <f>Form!C868</f>
        <v/>
      </c>
      <c r="B873" s="4" t="str">
        <f>Form!D868</f>
        <v/>
      </c>
      <c r="C873" s="166" t="str">
        <f>Form!M868</f>
        <v/>
      </c>
      <c r="D873" s="166" t="str">
        <f>Form!N868</f>
        <v/>
      </c>
      <c r="E873" s="166" t="str">
        <f>Form!J868</f>
        <v/>
      </c>
      <c r="F873" s="166" t="str">
        <f>Form!K868</f>
        <v/>
      </c>
      <c r="G873" s="166"/>
      <c r="H873" s="166" t="str">
        <f>Form!O869</f>
        <v/>
      </c>
    </row>
    <row r="874">
      <c r="A874" s="248" t="str">
        <f>Form!C869</f>
        <v/>
      </c>
      <c r="B874" s="4" t="str">
        <f>Form!D869</f>
        <v/>
      </c>
      <c r="C874" s="166" t="str">
        <f>Form!M869</f>
        <v/>
      </c>
      <c r="D874" s="166" t="str">
        <f>Form!N869</f>
        <v/>
      </c>
      <c r="E874" s="166" t="str">
        <f>Form!J869</f>
        <v/>
      </c>
      <c r="F874" s="166" t="str">
        <f>Form!K869</f>
        <v/>
      </c>
      <c r="G874" s="166"/>
      <c r="H874" s="166" t="str">
        <f>Form!O870</f>
        <v/>
      </c>
    </row>
    <row r="875">
      <c r="A875" s="248" t="str">
        <f>Form!C870</f>
        <v/>
      </c>
      <c r="B875" s="4" t="str">
        <f>Form!D870</f>
        <v/>
      </c>
      <c r="C875" s="166" t="str">
        <f>Form!M870</f>
        <v/>
      </c>
      <c r="D875" s="166" t="str">
        <f>Form!N870</f>
        <v/>
      </c>
      <c r="E875" s="166" t="str">
        <f>Form!J870</f>
        <v/>
      </c>
      <c r="F875" s="166" t="str">
        <f>Form!K870</f>
        <v/>
      </c>
      <c r="G875" s="166"/>
      <c r="H875" s="166" t="str">
        <f>Form!O871</f>
        <v/>
      </c>
    </row>
    <row r="876">
      <c r="A876" s="248" t="str">
        <f>Form!C871</f>
        <v/>
      </c>
      <c r="B876" s="4" t="str">
        <f>Form!D871</f>
        <v/>
      </c>
      <c r="C876" s="166" t="str">
        <f>Form!M871</f>
        <v/>
      </c>
      <c r="D876" s="166" t="str">
        <f>Form!N871</f>
        <v/>
      </c>
      <c r="E876" s="166" t="str">
        <f>Form!J871</f>
        <v/>
      </c>
      <c r="F876" s="166" t="str">
        <f>Form!K871</f>
        <v/>
      </c>
      <c r="G876" s="166"/>
      <c r="H876" s="166" t="str">
        <f>Form!O872</f>
        <v/>
      </c>
    </row>
    <row r="877">
      <c r="A877" s="248" t="str">
        <f>Form!C872</f>
        <v/>
      </c>
      <c r="B877" s="4" t="str">
        <f>Form!D872</f>
        <v/>
      </c>
      <c r="C877" s="166" t="str">
        <f>Form!M872</f>
        <v/>
      </c>
      <c r="D877" s="166" t="str">
        <f>Form!N872</f>
        <v/>
      </c>
      <c r="E877" s="166" t="str">
        <f>Form!J872</f>
        <v/>
      </c>
      <c r="F877" s="166" t="str">
        <f>Form!K872</f>
        <v/>
      </c>
      <c r="G877" s="166"/>
      <c r="H877" s="166" t="str">
        <f>Form!O873</f>
        <v/>
      </c>
    </row>
    <row r="878">
      <c r="A878" s="248" t="str">
        <f>Form!C873</f>
        <v/>
      </c>
      <c r="B878" s="4" t="str">
        <f>Form!D873</f>
        <v/>
      </c>
      <c r="C878" s="166" t="str">
        <f>Form!M873</f>
        <v/>
      </c>
      <c r="D878" s="166" t="str">
        <f>Form!N873</f>
        <v/>
      </c>
      <c r="E878" s="166" t="str">
        <f>Form!J873</f>
        <v/>
      </c>
      <c r="F878" s="166" t="str">
        <f>Form!K873</f>
        <v/>
      </c>
      <c r="G878" s="166"/>
      <c r="H878" s="166" t="str">
        <f>Form!O874</f>
        <v/>
      </c>
    </row>
    <row r="879">
      <c r="A879" s="248" t="str">
        <f>Form!C874</f>
        <v/>
      </c>
      <c r="B879" s="4" t="str">
        <f>Form!D874</f>
        <v/>
      </c>
      <c r="C879" s="166" t="str">
        <f>Form!M874</f>
        <v/>
      </c>
      <c r="D879" s="166" t="str">
        <f>Form!N874</f>
        <v/>
      </c>
      <c r="E879" s="166" t="str">
        <f>Form!J874</f>
        <v/>
      </c>
      <c r="F879" s="166" t="str">
        <f>Form!K874</f>
        <v/>
      </c>
      <c r="G879" s="166"/>
      <c r="H879" s="166" t="str">
        <f>Form!O875</f>
        <v/>
      </c>
    </row>
    <row r="880">
      <c r="A880" s="248" t="str">
        <f>Form!C875</f>
        <v/>
      </c>
      <c r="B880" s="4" t="str">
        <f>Form!D875</f>
        <v/>
      </c>
      <c r="C880" s="166" t="str">
        <f>Form!M875</f>
        <v/>
      </c>
      <c r="D880" s="166" t="str">
        <f>Form!N875</f>
        <v/>
      </c>
      <c r="E880" s="166" t="str">
        <f>Form!J875</f>
        <v/>
      </c>
      <c r="F880" s="166" t="str">
        <f>Form!K875</f>
        <v/>
      </c>
      <c r="G880" s="166"/>
      <c r="H880" s="166" t="str">
        <f>Form!O876</f>
        <v/>
      </c>
    </row>
    <row r="881">
      <c r="A881" s="248" t="str">
        <f>Form!C876</f>
        <v/>
      </c>
      <c r="B881" s="4" t="str">
        <f>Form!D876</f>
        <v/>
      </c>
      <c r="C881" s="166" t="str">
        <f>Form!M876</f>
        <v/>
      </c>
      <c r="D881" s="166" t="str">
        <f>Form!N876</f>
        <v/>
      </c>
      <c r="E881" s="166" t="str">
        <f>Form!J876</f>
        <v/>
      </c>
      <c r="F881" s="166" t="str">
        <f>Form!K876</f>
        <v/>
      </c>
      <c r="G881" s="166"/>
      <c r="H881" s="166" t="str">
        <f>Form!O877</f>
        <v/>
      </c>
    </row>
    <row r="882">
      <c r="A882" s="248" t="str">
        <f>Form!C877</f>
        <v/>
      </c>
      <c r="B882" s="4" t="str">
        <f>Form!D877</f>
        <v/>
      </c>
      <c r="C882" s="166" t="str">
        <f>Form!M877</f>
        <v/>
      </c>
      <c r="D882" s="166" t="str">
        <f>Form!N877</f>
        <v/>
      </c>
      <c r="E882" s="166" t="str">
        <f>Form!J877</f>
        <v/>
      </c>
      <c r="F882" s="166" t="str">
        <f>Form!K877</f>
        <v/>
      </c>
      <c r="G882" s="166"/>
      <c r="H882" s="166" t="str">
        <f>Form!O878</f>
        <v/>
      </c>
    </row>
    <row r="883">
      <c r="A883" s="248" t="str">
        <f>Form!C878</f>
        <v/>
      </c>
      <c r="B883" s="4" t="str">
        <f>Form!D878</f>
        <v/>
      </c>
      <c r="C883" s="166" t="str">
        <f>Form!M878</f>
        <v/>
      </c>
      <c r="D883" s="166" t="str">
        <f>Form!N878</f>
        <v/>
      </c>
      <c r="E883" s="166" t="str">
        <f>Form!J878</f>
        <v/>
      </c>
      <c r="F883" s="166" t="str">
        <f>Form!K878</f>
        <v/>
      </c>
      <c r="G883" s="166"/>
      <c r="H883" s="166" t="str">
        <f>Form!O879</f>
        <v/>
      </c>
    </row>
    <row r="884">
      <c r="A884" s="248" t="str">
        <f>Form!C879</f>
        <v/>
      </c>
      <c r="B884" s="4" t="str">
        <f>Form!D879</f>
        <v/>
      </c>
      <c r="C884" s="166" t="str">
        <f>Form!M879</f>
        <v/>
      </c>
      <c r="D884" s="166" t="str">
        <f>Form!N879</f>
        <v/>
      </c>
      <c r="E884" s="166" t="str">
        <f>Form!J879</f>
        <v/>
      </c>
      <c r="F884" s="166" t="str">
        <f>Form!K879</f>
        <v/>
      </c>
      <c r="G884" s="166"/>
      <c r="H884" s="166" t="str">
        <f>Form!O880</f>
        <v/>
      </c>
    </row>
    <row r="885">
      <c r="A885" s="248" t="str">
        <f>Form!C880</f>
        <v/>
      </c>
      <c r="B885" s="4" t="str">
        <f>Form!D880</f>
        <v/>
      </c>
      <c r="C885" s="166" t="str">
        <f>Form!M880</f>
        <v/>
      </c>
      <c r="D885" s="166" t="str">
        <f>Form!N880</f>
        <v/>
      </c>
      <c r="E885" s="166" t="str">
        <f>Form!J880</f>
        <v/>
      </c>
      <c r="F885" s="166" t="str">
        <f>Form!K880</f>
        <v/>
      </c>
      <c r="G885" s="166"/>
      <c r="H885" s="166" t="str">
        <f>Form!O881</f>
        <v/>
      </c>
    </row>
    <row r="886">
      <c r="A886" s="248" t="str">
        <f>Form!C881</f>
        <v/>
      </c>
      <c r="B886" s="4" t="str">
        <f>Form!D881</f>
        <v/>
      </c>
      <c r="C886" s="166" t="str">
        <f>Form!M881</f>
        <v/>
      </c>
      <c r="D886" s="166" t="str">
        <f>Form!N881</f>
        <v/>
      </c>
      <c r="E886" s="166" t="str">
        <f>Form!J881</f>
        <v/>
      </c>
      <c r="F886" s="166" t="str">
        <f>Form!K881</f>
        <v/>
      </c>
      <c r="G886" s="166"/>
      <c r="H886" s="166" t="str">
        <f>Form!O882</f>
        <v/>
      </c>
    </row>
    <row r="887">
      <c r="A887" s="248" t="str">
        <f>Form!C882</f>
        <v/>
      </c>
      <c r="B887" s="4" t="str">
        <f>Form!D882</f>
        <v/>
      </c>
      <c r="C887" s="166" t="str">
        <f>Form!M882</f>
        <v/>
      </c>
      <c r="D887" s="166" t="str">
        <f>Form!N882</f>
        <v/>
      </c>
      <c r="E887" s="166" t="str">
        <f>Form!J882</f>
        <v/>
      </c>
      <c r="F887" s="166" t="str">
        <f>Form!K882</f>
        <v/>
      </c>
      <c r="G887" s="166"/>
      <c r="H887" s="166" t="str">
        <f>Form!O883</f>
        <v/>
      </c>
    </row>
    <row r="888">
      <c r="A888" s="248" t="str">
        <f>Form!C883</f>
        <v/>
      </c>
      <c r="B888" s="4" t="str">
        <f>Form!D883</f>
        <v/>
      </c>
      <c r="C888" s="166" t="str">
        <f>Form!M883</f>
        <v/>
      </c>
      <c r="D888" s="166" t="str">
        <f>Form!N883</f>
        <v/>
      </c>
      <c r="E888" s="166" t="str">
        <f>Form!J883</f>
        <v/>
      </c>
      <c r="F888" s="166" t="str">
        <f>Form!K883</f>
        <v/>
      </c>
      <c r="G888" s="166"/>
      <c r="H888" s="166" t="str">
        <f>Form!O884</f>
        <v/>
      </c>
    </row>
    <row r="889">
      <c r="A889" s="248" t="str">
        <f>Form!C884</f>
        <v/>
      </c>
      <c r="B889" s="4" t="str">
        <f>Form!D884</f>
        <v/>
      </c>
      <c r="C889" s="166" t="str">
        <f>Form!M884</f>
        <v/>
      </c>
      <c r="D889" s="166" t="str">
        <f>Form!N884</f>
        <v/>
      </c>
      <c r="E889" s="166" t="str">
        <f>Form!J884</f>
        <v/>
      </c>
      <c r="F889" s="166" t="str">
        <f>Form!K884</f>
        <v/>
      </c>
      <c r="G889" s="166"/>
      <c r="H889" s="166" t="str">
        <f>Form!O885</f>
        <v/>
      </c>
    </row>
    <row r="890">
      <c r="A890" s="248" t="str">
        <f>Form!C885</f>
        <v/>
      </c>
      <c r="B890" s="4" t="str">
        <f>Form!D885</f>
        <v/>
      </c>
      <c r="C890" s="166" t="str">
        <f>Form!M885</f>
        <v/>
      </c>
      <c r="D890" s="166" t="str">
        <f>Form!N885</f>
        <v/>
      </c>
      <c r="E890" s="166" t="str">
        <f>Form!J885</f>
        <v/>
      </c>
      <c r="F890" s="166" t="str">
        <f>Form!K885</f>
        <v/>
      </c>
      <c r="G890" s="166"/>
      <c r="H890" s="166" t="str">
        <f>Form!O886</f>
        <v/>
      </c>
    </row>
    <row r="891">
      <c r="A891" s="248" t="str">
        <f>Form!C886</f>
        <v/>
      </c>
      <c r="B891" s="4" t="str">
        <f>Form!D886</f>
        <v/>
      </c>
      <c r="C891" s="166" t="str">
        <f>Form!M886</f>
        <v/>
      </c>
      <c r="D891" s="166" t="str">
        <f>Form!N886</f>
        <v/>
      </c>
      <c r="E891" s="166" t="str">
        <f>Form!J886</f>
        <v/>
      </c>
      <c r="F891" s="166" t="str">
        <f>Form!K886</f>
        <v/>
      </c>
      <c r="G891" s="166"/>
      <c r="H891" s="166" t="str">
        <f>Form!O887</f>
        <v/>
      </c>
    </row>
    <row r="892">
      <c r="A892" s="248" t="str">
        <f>Form!C887</f>
        <v/>
      </c>
      <c r="B892" s="4" t="str">
        <f>Form!D887</f>
        <v/>
      </c>
      <c r="C892" s="166" t="str">
        <f>Form!M887</f>
        <v/>
      </c>
      <c r="D892" s="166" t="str">
        <f>Form!N887</f>
        <v/>
      </c>
      <c r="E892" s="166" t="str">
        <f>Form!J887</f>
        <v/>
      </c>
      <c r="F892" s="166" t="str">
        <f>Form!K887</f>
        <v/>
      </c>
      <c r="G892" s="166"/>
      <c r="H892" s="166" t="str">
        <f>Form!O888</f>
        <v/>
      </c>
    </row>
    <row r="893">
      <c r="A893" s="248" t="str">
        <f>Form!C888</f>
        <v/>
      </c>
      <c r="B893" s="4" t="str">
        <f>Form!D888</f>
        <v/>
      </c>
      <c r="C893" s="166" t="str">
        <f>Form!M888</f>
        <v/>
      </c>
      <c r="D893" s="166" t="str">
        <f>Form!N888</f>
        <v/>
      </c>
      <c r="E893" s="166" t="str">
        <f>Form!J888</f>
        <v/>
      </c>
      <c r="F893" s="166" t="str">
        <f>Form!K888</f>
        <v/>
      </c>
      <c r="G893" s="166"/>
      <c r="H893" s="166" t="str">
        <f>Form!O889</f>
        <v/>
      </c>
    </row>
    <row r="894">
      <c r="A894" s="248" t="str">
        <f>Form!C889</f>
        <v/>
      </c>
      <c r="B894" s="4" t="str">
        <f>Form!D889</f>
        <v/>
      </c>
      <c r="C894" s="166" t="str">
        <f>Form!M889</f>
        <v/>
      </c>
      <c r="D894" s="166" t="str">
        <f>Form!N889</f>
        <v/>
      </c>
      <c r="E894" s="166" t="str">
        <f>Form!J889</f>
        <v/>
      </c>
      <c r="F894" s="166" t="str">
        <f>Form!K889</f>
        <v/>
      </c>
      <c r="G894" s="166"/>
      <c r="H894" s="166" t="str">
        <f>Form!O890</f>
        <v/>
      </c>
    </row>
    <row r="895">
      <c r="A895" s="248" t="str">
        <f>Form!C890</f>
        <v/>
      </c>
      <c r="B895" s="4" t="str">
        <f>Form!D890</f>
        <v/>
      </c>
      <c r="C895" s="166" t="str">
        <f>Form!M890</f>
        <v/>
      </c>
      <c r="D895" s="166" t="str">
        <f>Form!N890</f>
        <v/>
      </c>
      <c r="E895" s="166" t="str">
        <f>Form!J890</f>
        <v/>
      </c>
      <c r="F895" s="166" t="str">
        <f>Form!K890</f>
        <v/>
      </c>
      <c r="G895" s="166"/>
      <c r="H895" s="166" t="str">
        <f>Form!O891</f>
        <v/>
      </c>
    </row>
    <row r="896">
      <c r="A896" s="248" t="str">
        <f>Form!C891</f>
        <v/>
      </c>
      <c r="B896" s="4" t="str">
        <f>Form!D891</f>
        <v/>
      </c>
      <c r="C896" s="166" t="str">
        <f>Form!M891</f>
        <v/>
      </c>
      <c r="D896" s="166" t="str">
        <f>Form!N891</f>
        <v/>
      </c>
      <c r="E896" s="166" t="str">
        <f>Form!J891</f>
        <v/>
      </c>
      <c r="F896" s="166" t="str">
        <f>Form!K891</f>
        <v/>
      </c>
      <c r="G896" s="166"/>
      <c r="H896" s="166" t="str">
        <f>Form!O892</f>
        <v/>
      </c>
    </row>
    <row r="897">
      <c r="A897" s="248" t="str">
        <f>Form!C892</f>
        <v/>
      </c>
      <c r="B897" s="4" t="str">
        <f>Form!D892</f>
        <v/>
      </c>
      <c r="C897" s="166" t="str">
        <f>Form!M892</f>
        <v/>
      </c>
      <c r="D897" s="166" t="str">
        <f>Form!N892</f>
        <v/>
      </c>
      <c r="E897" s="166" t="str">
        <f>Form!J892</f>
        <v/>
      </c>
      <c r="F897" s="166" t="str">
        <f>Form!K892</f>
        <v/>
      </c>
      <c r="G897" s="166"/>
      <c r="H897" s="166" t="str">
        <f>Form!O893</f>
        <v/>
      </c>
    </row>
    <row r="898">
      <c r="A898" s="248" t="str">
        <f>Form!C893</f>
        <v/>
      </c>
      <c r="B898" s="4" t="str">
        <f>Form!D893</f>
        <v/>
      </c>
      <c r="C898" s="166" t="str">
        <f>Form!M893</f>
        <v/>
      </c>
      <c r="D898" s="166" t="str">
        <f>Form!N893</f>
        <v/>
      </c>
      <c r="E898" s="166" t="str">
        <f>Form!J893</f>
        <v/>
      </c>
      <c r="F898" s="166" t="str">
        <f>Form!K893</f>
        <v/>
      </c>
      <c r="G898" s="166"/>
      <c r="H898" s="166" t="str">
        <f>Form!O894</f>
        <v/>
      </c>
    </row>
    <row r="899">
      <c r="A899" s="248" t="str">
        <f>Form!C894</f>
        <v/>
      </c>
      <c r="B899" s="4" t="str">
        <f>Form!D894</f>
        <v/>
      </c>
      <c r="C899" s="166" t="str">
        <f>Form!M894</f>
        <v/>
      </c>
      <c r="D899" s="166" t="str">
        <f>Form!N894</f>
        <v/>
      </c>
      <c r="E899" s="166" t="str">
        <f>Form!J894</f>
        <v/>
      </c>
      <c r="F899" s="166" t="str">
        <f>Form!K894</f>
        <v/>
      </c>
      <c r="G899" s="166"/>
      <c r="H899" s="166" t="str">
        <f>Form!O895</f>
        <v/>
      </c>
    </row>
    <row r="900">
      <c r="A900" s="248" t="str">
        <f>Form!C895</f>
        <v/>
      </c>
      <c r="B900" s="4" t="str">
        <f>Form!D895</f>
        <v/>
      </c>
      <c r="C900" s="166" t="str">
        <f>Form!M895</f>
        <v/>
      </c>
      <c r="D900" s="166" t="str">
        <f>Form!N895</f>
        <v/>
      </c>
      <c r="E900" s="166" t="str">
        <f>Form!J895</f>
        <v/>
      </c>
      <c r="F900" s="166" t="str">
        <f>Form!K895</f>
        <v/>
      </c>
      <c r="G900" s="166"/>
      <c r="H900" s="166" t="str">
        <f>Form!O896</f>
        <v/>
      </c>
    </row>
    <row r="901">
      <c r="A901" s="248" t="str">
        <f>Form!C896</f>
        <v/>
      </c>
      <c r="B901" s="4" t="str">
        <f>Form!D896</f>
        <v/>
      </c>
      <c r="C901" s="166" t="str">
        <f>Form!M896</f>
        <v/>
      </c>
      <c r="D901" s="166" t="str">
        <f>Form!N896</f>
        <v/>
      </c>
      <c r="E901" s="166" t="str">
        <f>Form!J896</f>
        <v/>
      </c>
      <c r="F901" s="166" t="str">
        <f>Form!K896</f>
        <v/>
      </c>
      <c r="G901" s="166"/>
      <c r="H901" s="166" t="str">
        <f>Form!O897</f>
        <v/>
      </c>
    </row>
    <row r="902">
      <c r="A902" s="248" t="str">
        <f>Form!C897</f>
        <v/>
      </c>
      <c r="B902" s="4" t="str">
        <f>Form!D897</f>
        <v/>
      </c>
      <c r="C902" s="166" t="str">
        <f>Form!M897</f>
        <v/>
      </c>
      <c r="D902" s="166" t="str">
        <f>Form!N897</f>
        <v/>
      </c>
      <c r="E902" s="166" t="str">
        <f>Form!J897</f>
        <v/>
      </c>
      <c r="F902" s="166" t="str">
        <f>Form!K897</f>
        <v/>
      </c>
      <c r="G902" s="166"/>
      <c r="H902" s="166" t="str">
        <f>Form!O898</f>
        <v/>
      </c>
    </row>
    <row r="903">
      <c r="A903" s="248" t="str">
        <f>Form!C898</f>
        <v/>
      </c>
      <c r="B903" s="4" t="str">
        <f>Form!D898</f>
        <v/>
      </c>
      <c r="C903" s="166" t="str">
        <f>Form!M898</f>
        <v/>
      </c>
      <c r="D903" s="166" t="str">
        <f>Form!N898</f>
        <v/>
      </c>
      <c r="E903" s="166" t="str">
        <f>Form!J898</f>
        <v/>
      </c>
      <c r="F903" s="166" t="str">
        <f>Form!K898</f>
        <v/>
      </c>
      <c r="G903" s="166"/>
      <c r="H903" s="166" t="str">
        <f>Form!O899</f>
        <v/>
      </c>
    </row>
    <row r="904">
      <c r="A904" s="248" t="str">
        <f>Form!C899</f>
        <v/>
      </c>
      <c r="B904" s="4" t="str">
        <f>Form!D899</f>
        <v/>
      </c>
      <c r="C904" s="166" t="str">
        <f>Form!M899</f>
        <v/>
      </c>
      <c r="D904" s="166" t="str">
        <f>Form!N899</f>
        <v/>
      </c>
      <c r="E904" s="166" t="str">
        <f>Form!J899</f>
        <v/>
      </c>
      <c r="F904" s="166" t="str">
        <f>Form!K899</f>
        <v/>
      </c>
      <c r="G904" s="166"/>
      <c r="H904" s="166" t="str">
        <f>Form!O900</f>
        <v/>
      </c>
    </row>
    <row r="905">
      <c r="A905" s="248" t="str">
        <f>Form!C900</f>
        <v/>
      </c>
      <c r="B905" s="4" t="str">
        <f>Form!D900</f>
        <v/>
      </c>
      <c r="C905" s="166" t="str">
        <f>Form!M900</f>
        <v/>
      </c>
      <c r="D905" s="166" t="str">
        <f>Form!N900</f>
        <v/>
      </c>
      <c r="E905" s="166" t="str">
        <f>Form!J900</f>
        <v/>
      </c>
      <c r="F905" s="166" t="str">
        <f>Form!K900</f>
        <v/>
      </c>
      <c r="G905" s="166"/>
      <c r="H905" s="166" t="str">
        <f>Form!O901</f>
        <v/>
      </c>
    </row>
    <row r="906">
      <c r="A906" s="248" t="str">
        <f>Form!C901</f>
        <v/>
      </c>
      <c r="B906" s="4" t="str">
        <f>Form!D901</f>
        <v/>
      </c>
      <c r="C906" s="166" t="str">
        <f>Form!M901</f>
        <v/>
      </c>
      <c r="D906" s="166" t="str">
        <f>Form!N901</f>
        <v/>
      </c>
      <c r="E906" s="166" t="str">
        <f>Form!J901</f>
        <v/>
      </c>
      <c r="F906" s="166" t="str">
        <f>Form!K901</f>
        <v/>
      </c>
      <c r="G906" s="166"/>
      <c r="H906" s="166" t="str">
        <f>Form!O902</f>
        <v/>
      </c>
    </row>
    <row r="907">
      <c r="A907" s="248" t="str">
        <f>Form!C902</f>
        <v/>
      </c>
      <c r="B907" s="4" t="str">
        <f>Form!D902</f>
        <v/>
      </c>
      <c r="C907" s="166" t="str">
        <f>Form!M902</f>
        <v/>
      </c>
      <c r="D907" s="166" t="str">
        <f>Form!N902</f>
        <v/>
      </c>
      <c r="E907" s="166" t="str">
        <f>Form!J902</f>
        <v/>
      </c>
      <c r="F907" s="166" t="str">
        <f>Form!K902</f>
        <v/>
      </c>
      <c r="G907" s="166"/>
      <c r="H907" s="166" t="str">
        <f>Form!O903</f>
        <v/>
      </c>
    </row>
    <row r="908">
      <c r="A908" s="248" t="str">
        <f>Form!C903</f>
        <v/>
      </c>
      <c r="B908" s="4" t="str">
        <f>Form!D903</f>
        <v/>
      </c>
      <c r="C908" s="166" t="str">
        <f>Form!M903</f>
        <v/>
      </c>
      <c r="D908" s="166" t="str">
        <f>Form!N903</f>
        <v/>
      </c>
      <c r="E908" s="166" t="str">
        <f>Form!J903</f>
        <v/>
      </c>
      <c r="F908" s="166" t="str">
        <f>Form!K903</f>
        <v/>
      </c>
      <c r="G908" s="166"/>
      <c r="H908" s="166" t="str">
        <f>Form!O904</f>
        <v/>
      </c>
    </row>
    <row r="909">
      <c r="A909" s="248" t="str">
        <f>Form!C904</f>
        <v/>
      </c>
      <c r="B909" s="4" t="str">
        <f>Form!D904</f>
        <v/>
      </c>
      <c r="C909" s="166" t="str">
        <f>Form!M904</f>
        <v/>
      </c>
      <c r="D909" s="166" t="str">
        <f>Form!N904</f>
        <v/>
      </c>
      <c r="E909" s="166" t="str">
        <f>Form!J904</f>
        <v/>
      </c>
      <c r="F909" s="166" t="str">
        <f>Form!K904</f>
        <v/>
      </c>
      <c r="G909" s="166"/>
      <c r="H909" s="166" t="str">
        <f>Form!O905</f>
        <v/>
      </c>
    </row>
    <row r="910">
      <c r="A910" s="248" t="str">
        <f>Form!C905</f>
        <v/>
      </c>
      <c r="B910" s="4" t="str">
        <f>Form!D905</f>
        <v/>
      </c>
      <c r="C910" s="166" t="str">
        <f>Form!M905</f>
        <v/>
      </c>
      <c r="D910" s="166" t="str">
        <f>Form!N905</f>
        <v/>
      </c>
      <c r="E910" s="166" t="str">
        <f>Form!J905</f>
        <v/>
      </c>
      <c r="F910" s="166" t="str">
        <f>Form!K905</f>
        <v/>
      </c>
      <c r="G910" s="166"/>
      <c r="H910" s="166" t="str">
        <f>Form!O906</f>
        <v/>
      </c>
    </row>
    <row r="911">
      <c r="A911" s="248" t="str">
        <f>Form!C906</f>
        <v/>
      </c>
      <c r="B911" s="4" t="str">
        <f>Form!D906</f>
        <v/>
      </c>
      <c r="C911" s="166" t="str">
        <f>Form!M906</f>
        <v/>
      </c>
      <c r="D911" s="166" t="str">
        <f>Form!N906</f>
        <v/>
      </c>
      <c r="E911" s="166" t="str">
        <f>Form!J906</f>
        <v/>
      </c>
      <c r="F911" s="166" t="str">
        <f>Form!K906</f>
        <v/>
      </c>
      <c r="G911" s="166"/>
      <c r="H911" s="166" t="str">
        <f>Form!O907</f>
        <v/>
      </c>
    </row>
    <row r="912">
      <c r="A912" s="248" t="str">
        <f>Form!C907</f>
        <v/>
      </c>
      <c r="B912" s="4" t="str">
        <f>Form!D907</f>
        <v/>
      </c>
      <c r="C912" s="166" t="str">
        <f>Form!M907</f>
        <v/>
      </c>
      <c r="D912" s="166" t="str">
        <f>Form!N907</f>
        <v/>
      </c>
      <c r="E912" s="166" t="str">
        <f>Form!J907</f>
        <v/>
      </c>
      <c r="F912" s="166" t="str">
        <f>Form!K907</f>
        <v/>
      </c>
      <c r="G912" s="166"/>
      <c r="H912" s="166" t="str">
        <f>Form!O908</f>
        <v/>
      </c>
    </row>
    <row r="913">
      <c r="A913" s="248" t="str">
        <f>Form!C908</f>
        <v/>
      </c>
      <c r="B913" s="4" t="str">
        <f>Form!D908</f>
        <v/>
      </c>
      <c r="C913" s="166" t="str">
        <f>Form!M908</f>
        <v/>
      </c>
      <c r="D913" s="166" t="str">
        <f>Form!N908</f>
        <v/>
      </c>
      <c r="E913" s="166" t="str">
        <f>Form!J908</f>
        <v/>
      </c>
      <c r="F913" s="166" t="str">
        <f>Form!K908</f>
        <v/>
      </c>
      <c r="G913" s="166"/>
      <c r="H913" s="166" t="str">
        <f>Form!O909</f>
        <v/>
      </c>
    </row>
    <row r="914">
      <c r="A914" s="248" t="str">
        <f>Form!C909</f>
        <v/>
      </c>
      <c r="B914" s="4" t="str">
        <f>Form!D909</f>
        <v/>
      </c>
      <c r="C914" s="166" t="str">
        <f>Form!M909</f>
        <v/>
      </c>
      <c r="D914" s="166" t="str">
        <f>Form!N909</f>
        <v/>
      </c>
      <c r="E914" s="166" t="str">
        <f>Form!J909</f>
        <v/>
      </c>
      <c r="F914" s="166" t="str">
        <f>Form!K909</f>
        <v/>
      </c>
      <c r="G914" s="166"/>
      <c r="H914" s="166" t="str">
        <f>Form!O910</f>
        <v/>
      </c>
    </row>
    <row r="915">
      <c r="A915" s="248" t="str">
        <f>Form!C910</f>
        <v/>
      </c>
      <c r="B915" s="4" t="str">
        <f>Form!D910</f>
        <v/>
      </c>
      <c r="C915" s="166" t="str">
        <f>Form!M910</f>
        <v/>
      </c>
      <c r="D915" s="166" t="str">
        <f>Form!N910</f>
        <v/>
      </c>
      <c r="E915" s="166" t="str">
        <f>Form!J910</f>
        <v/>
      </c>
      <c r="F915" s="166" t="str">
        <f>Form!K910</f>
        <v/>
      </c>
      <c r="G915" s="166"/>
      <c r="H915" s="166" t="str">
        <f>Form!O911</f>
        <v/>
      </c>
    </row>
    <row r="916">
      <c r="A916" s="248" t="str">
        <f>Form!C911</f>
        <v/>
      </c>
      <c r="B916" s="4" t="str">
        <f>Form!D911</f>
        <v/>
      </c>
      <c r="C916" s="166" t="str">
        <f>Form!M911</f>
        <v/>
      </c>
      <c r="D916" s="166" t="str">
        <f>Form!N911</f>
        <v/>
      </c>
      <c r="E916" s="166" t="str">
        <f>Form!J911</f>
        <v/>
      </c>
      <c r="F916" s="166" t="str">
        <f>Form!K911</f>
        <v/>
      </c>
      <c r="G916" s="166"/>
      <c r="H916" s="166" t="str">
        <f>Form!O912</f>
        <v/>
      </c>
    </row>
    <row r="917">
      <c r="A917" s="248" t="str">
        <f>Form!C912</f>
        <v/>
      </c>
      <c r="B917" s="4" t="str">
        <f>Form!D912</f>
        <v/>
      </c>
      <c r="C917" s="166" t="str">
        <f>Form!M912</f>
        <v/>
      </c>
      <c r="D917" s="166" t="str">
        <f>Form!N912</f>
        <v/>
      </c>
      <c r="E917" s="166" t="str">
        <f>Form!J912</f>
        <v/>
      </c>
      <c r="F917" s="166" t="str">
        <f>Form!K912</f>
        <v/>
      </c>
      <c r="G917" s="166"/>
      <c r="H917" s="166" t="str">
        <f>Form!O913</f>
        <v/>
      </c>
    </row>
    <row r="918">
      <c r="A918" s="248" t="str">
        <f>Form!C913</f>
        <v/>
      </c>
      <c r="B918" s="4" t="str">
        <f>Form!D913</f>
        <v/>
      </c>
      <c r="C918" s="166" t="str">
        <f>Form!M913</f>
        <v/>
      </c>
      <c r="D918" s="166" t="str">
        <f>Form!N913</f>
        <v/>
      </c>
      <c r="E918" s="166" t="str">
        <f>Form!J913</f>
        <v/>
      </c>
      <c r="F918" s="166" t="str">
        <f>Form!K913</f>
        <v/>
      </c>
      <c r="G918" s="166"/>
      <c r="H918" s="166" t="str">
        <f>Form!O914</f>
        <v/>
      </c>
    </row>
    <row r="919">
      <c r="A919" s="248" t="str">
        <f>Form!C914</f>
        <v/>
      </c>
      <c r="B919" s="4" t="str">
        <f>Form!D914</f>
        <v/>
      </c>
      <c r="C919" s="166" t="str">
        <f>Form!M914</f>
        <v/>
      </c>
      <c r="D919" s="166" t="str">
        <f>Form!N914</f>
        <v/>
      </c>
      <c r="E919" s="166" t="str">
        <f>Form!J914</f>
        <v/>
      </c>
      <c r="F919" s="166" t="str">
        <f>Form!K914</f>
        <v/>
      </c>
      <c r="G919" s="166"/>
      <c r="H919" s="166" t="str">
        <f>Form!O915</f>
        <v/>
      </c>
    </row>
    <row r="920">
      <c r="A920" s="248" t="str">
        <f>Form!C915</f>
        <v/>
      </c>
      <c r="B920" s="4" t="str">
        <f>Form!D915</f>
        <v/>
      </c>
      <c r="C920" s="166" t="str">
        <f>Form!M915</f>
        <v/>
      </c>
      <c r="D920" s="166" t="str">
        <f>Form!N915</f>
        <v/>
      </c>
      <c r="E920" s="166" t="str">
        <f>Form!J915</f>
        <v/>
      </c>
      <c r="F920" s="166" t="str">
        <f>Form!K915</f>
        <v/>
      </c>
      <c r="G920" s="166"/>
      <c r="H920" s="166" t="str">
        <f>Form!O916</f>
        <v/>
      </c>
    </row>
    <row r="921">
      <c r="A921" s="248" t="str">
        <f>Form!C916</f>
        <v/>
      </c>
      <c r="B921" s="4" t="str">
        <f>Form!D916</f>
        <v/>
      </c>
      <c r="C921" s="166" t="str">
        <f>Form!M916</f>
        <v/>
      </c>
      <c r="D921" s="166" t="str">
        <f>Form!N916</f>
        <v/>
      </c>
      <c r="E921" s="166" t="str">
        <f>Form!J916</f>
        <v/>
      </c>
      <c r="F921" s="166" t="str">
        <f>Form!K916</f>
        <v/>
      </c>
      <c r="G921" s="166"/>
      <c r="H921" s="166" t="str">
        <f>Form!O917</f>
        <v/>
      </c>
    </row>
    <row r="922">
      <c r="A922" s="248" t="str">
        <f>Form!C917</f>
        <v/>
      </c>
      <c r="B922" s="4" t="str">
        <f>Form!D917</f>
        <v/>
      </c>
      <c r="C922" s="166" t="str">
        <f>Form!M917</f>
        <v/>
      </c>
      <c r="D922" s="166" t="str">
        <f>Form!N917</f>
        <v/>
      </c>
      <c r="E922" s="166" t="str">
        <f>Form!J917</f>
        <v/>
      </c>
      <c r="F922" s="166" t="str">
        <f>Form!K917</f>
        <v/>
      </c>
      <c r="G922" s="166"/>
      <c r="H922" s="166" t="str">
        <f>Form!O918</f>
        <v/>
      </c>
    </row>
    <row r="923">
      <c r="A923" s="248" t="str">
        <f>Form!C918</f>
        <v/>
      </c>
      <c r="B923" s="4" t="str">
        <f>Form!D918</f>
        <v/>
      </c>
      <c r="C923" s="166" t="str">
        <f>Form!M918</f>
        <v/>
      </c>
      <c r="D923" s="166" t="str">
        <f>Form!N918</f>
        <v/>
      </c>
      <c r="E923" s="166" t="str">
        <f>Form!J918</f>
        <v/>
      </c>
      <c r="F923" s="166" t="str">
        <f>Form!K918</f>
        <v/>
      </c>
      <c r="G923" s="166"/>
      <c r="H923" s="166" t="str">
        <f>Form!O919</f>
        <v/>
      </c>
    </row>
    <row r="924">
      <c r="A924" s="248" t="str">
        <f>Form!C919</f>
        <v/>
      </c>
      <c r="B924" s="4" t="str">
        <f>Form!D919</f>
        <v/>
      </c>
      <c r="C924" s="166" t="str">
        <f>Form!M919</f>
        <v/>
      </c>
      <c r="D924" s="166" t="str">
        <f>Form!N919</f>
        <v/>
      </c>
      <c r="E924" s="166" t="str">
        <f>Form!J919</f>
        <v/>
      </c>
      <c r="F924" s="166" t="str">
        <f>Form!K919</f>
        <v/>
      </c>
      <c r="G924" s="166"/>
      <c r="H924" s="166" t="str">
        <f>Form!O920</f>
        <v/>
      </c>
    </row>
    <row r="925">
      <c r="A925" s="248" t="str">
        <f>Form!C920</f>
        <v/>
      </c>
      <c r="B925" s="4" t="str">
        <f>Form!D920</f>
        <v/>
      </c>
      <c r="C925" s="166" t="str">
        <f>Form!M920</f>
        <v/>
      </c>
      <c r="D925" s="166" t="str">
        <f>Form!N920</f>
        <v/>
      </c>
      <c r="E925" s="166" t="str">
        <f>Form!J920</f>
        <v/>
      </c>
      <c r="F925" s="166" t="str">
        <f>Form!K920</f>
        <v/>
      </c>
      <c r="G925" s="166"/>
      <c r="H925" s="166" t="str">
        <f>Form!O921</f>
        <v/>
      </c>
    </row>
    <row r="926">
      <c r="A926" s="248" t="str">
        <f>Form!C921</f>
        <v/>
      </c>
      <c r="B926" s="4" t="str">
        <f>Form!D921</f>
        <v/>
      </c>
      <c r="C926" s="166" t="str">
        <f>Form!M921</f>
        <v/>
      </c>
      <c r="D926" s="166" t="str">
        <f>Form!N921</f>
        <v/>
      </c>
      <c r="E926" s="166" t="str">
        <f>Form!J921</f>
        <v/>
      </c>
      <c r="F926" s="166" t="str">
        <f>Form!K921</f>
        <v/>
      </c>
      <c r="G926" s="166"/>
      <c r="H926" s="166" t="str">
        <f>Form!O922</f>
        <v/>
      </c>
    </row>
    <row r="927">
      <c r="A927" s="248" t="str">
        <f>Form!C922</f>
        <v/>
      </c>
      <c r="B927" s="4" t="str">
        <f>Form!D922</f>
        <v/>
      </c>
      <c r="C927" s="166" t="str">
        <f>Form!M922</f>
        <v/>
      </c>
      <c r="D927" s="166" t="str">
        <f>Form!N922</f>
        <v/>
      </c>
      <c r="E927" s="166" t="str">
        <f>Form!J922</f>
        <v/>
      </c>
      <c r="F927" s="166" t="str">
        <f>Form!K922</f>
        <v/>
      </c>
      <c r="G927" s="166"/>
      <c r="H927" s="166" t="str">
        <f>Form!O923</f>
        <v/>
      </c>
    </row>
    <row r="928">
      <c r="A928" s="248" t="str">
        <f>Form!C923</f>
        <v/>
      </c>
      <c r="B928" s="4" t="str">
        <f>Form!D923</f>
        <v/>
      </c>
      <c r="C928" s="166" t="str">
        <f>Form!M923</f>
        <v/>
      </c>
      <c r="D928" s="166" t="str">
        <f>Form!N923</f>
        <v/>
      </c>
      <c r="E928" s="166" t="str">
        <f>Form!J923</f>
        <v/>
      </c>
      <c r="F928" s="166" t="str">
        <f>Form!K923</f>
        <v/>
      </c>
      <c r="G928" s="166"/>
      <c r="H928" s="166" t="str">
        <f>Form!O924</f>
        <v/>
      </c>
    </row>
    <row r="929">
      <c r="A929" s="248" t="str">
        <f>Form!C924</f>
        <v/>
      </c>
      <c r="B929" s="4" t="str">
        <f>Form!D924</f>
        <v/>
      </c>
      <c r="C929" s="166" t="str">
        <f>Form!M924</f>
        <v/>
      </c>
      <c r="D929" s="166" t="str">
        <f>Form!N924</f>
        <v/>
      </c>
      <c r="E929" s="166" t="str">
        <f>Form!J924</f>
        <v/>
      </c>
      <c r="F929" s="166" t="str">
        <f>Form!K924</f>
        <v/>
      </c>
      <c r="G929" s="166"/>
      <c r="H929" s="166" t="str">
        <f>Form!O925</f>
        <v/>
      </c>
    </row>
    <row r="930">
      <c r="A930" s="248" t="str">
        <f>Form!C925</f>
        <v/>
      </c>
      <c r="B930" s="4" t="str">
        <f>Form!D925</f>
        <v/>
      </c>
      <c r="C930" s="166" t="str">
        <f>Form!M925</f>
        <v/>
      </c>
      <c r="D930" s="166" t="str">
        <f>Form!N925</f>
        <v/>
      </c>
      <c r="E930" s="166" t="str">
        <f>Form!J925</f>
        <v/>
      </c>
      <c r="F930" s="166" t="str">
        <f>Form!K925</f>
        <v/>
      </c>
      <c r="G930" s="166"/>
      <c r="H930" s="166" t="str">
        <f>Form!O926</f>
        <v/>
      </c>
    </row>
    <row r="931">
      <c r="A931" s="248" t="str">
        <f>Form!C926</f>
        <v/>
      </c>
      <c r="B931" s="4" t="str">
        <f>Form!D926</f>
        <v/>
      </c>
      <c r="C931" s="166" t="str">
        <f>Form!M926</f>
        <v/>
      </c>
      <c r="D931" s="166" t="str">
        <f>Form!N926</f>
        <v/>
      </c>
      <c r="E931" s="166" t="str">
        <f>Form!J926</f>
        <v/>
      </c>
      <c r="F931" s="166" t="str">
        <f>Form!K926</f>
        <v/>
      </c>
      <c r="G931" s="166"/>
      <c r="H931" s="166" t="str">
        <f>Form!O927</f>
        <v/>
      </c>
    </row>
    <row r="932">
      <c r="A932" s="248" t="str">
        <f>Form!C927</f>
        <v/>
      </c>
      <c r="B932" s="4" t="str">
        <f>Form!D927</f>
        <v/>
      </c>
      <c r="C932" s="166" t="str">
        <f>Form!M927</f>
        <v/>
      </c>
      <c r="D932" s="166" t="str">
        <f>Form!N927</f>
        <v/>
      </c>
      <c r="E932" s="166" t="str">
        <f>Form!J927</f>
        <v/>
      </c>
      <c r="F932" s="166" t="str">
        <f>Form!K927</f>
        <v/>
      </c>
      <c r="G932" s="166"/>
      <c r="H932" s="166" t="str">
        <f>Form!O928</f>
        <v/>
      </c>
    </row>
    <row r="933">
      <c r="A933" s="248" t="str">
        <f>Form!C928</f>
        <v/>
      </c>
      <c r="B933" s="4" t="str">
        <f>Form!D928</f>
        <v/>
      </c>
      <c r="C933" s="166" t="str">
        <f>Form!M928</f>
        <v/>
      </c>
      <c r="D933" s="166" t="str">
        <f>Form!N928</f>
        <v/>
      </c>
      <c r="E933" s="166" t="str">
        <f>Form!J928</f>
        <v/>
      </c>
      <c r="F933" s="166" t="str">
        <f>Form!K928</f>
        <v/>
      </c>
      <c r="G933" s="166"/>
      <c r="H933" s="166" t="str">
        <f>Form!O929</f>
        <v/>
      </c>
    </row>
    <row r="934">
      <c r="A934" s="248" t="str">
        <f>Form!C929</f>
        <v/>
      </c>
      <c r="B934" s="4" t="str">
        <f>Form!D929</f>
        <v/>
      </c>
      <c r="C934" s="166" t="str">
        <f>Form!M929</f>
        <v/>
      </c>
      <c r="D934" s="166" t="str">
        <f>Form!N929</f>
        <v/>
      </c>
      <c r="E934" s="166" t="str">
        <f>Form!J929</f>
        <v/>
      </c>
      <c r="F934" s="166" t="str">
        <f>Form!K929</f>
        <v/>
      </c>
      <c r="G934" s="166"/>
      <c r="H934" s="166" t="str">
        <f>Form!O930</f>
        <v/>
      </c>
    </row>
    <row r="935">
      <c r="A935" s="248" t="str">
        <f>Form!C930</f>
        <v/>
      </c>
      <c r="B935" s="4" t="str">
        <f>Form!D930</f>
        <v/>
      </c>
      <c r="C935" s="166" t="str">
        <f>Form!M930</f>
        <v/>
      </c>
      <c r="D935" s="166" t="str">
        <f>Form!N930</f>
        <v/>
      </c>
      <c r="E935" s="166" t="str">
        <f>Form!J930</f>
        <v/>
      </c>
      <c r="F935" s="166" t="str">
        <f>Form!K930</f>
        <v/>
      </c>
      <c r="G935" s="166"/>
      <c r="H935" s="166" t="str">
        <f>Form!O931</f>
        <v/>
      </c>
    </row>
    <row r="936">
      <c r="A936" s="248" t="str">
        <f>Form!C931</f>
        <v/>
      </c>
      <c r="B936" s="4" t="str">
        <f>Form!D931</f>
        <v/>
      </c>
      <c r="C936" s="166" t="str">
        <f>Form!M931</f>
        <v/>
      </c>
      <c r="D936" s="166" t="str">
        <f>Form!N931</f>
        <v/>
      </c>
      <c r="E936" s="166" t="str">
        <f>Form!J931</f>
        <v/>
      </c>
      <c r="F936" s="166" t="str">
        <f>Form!K931</f>
        <v/>
      </c>
      <c r="G936" s="166"/>
      <c r="H936" s="166" t="str">
        <f>Form!O932</f>
        <v/>
      </c>
    </row>
    <row r="937">
      <c r="A937" s="248" t="str">
        <f>Form!C932</f>
        <v/>
      </c>
      <c r="B937" s="4" t="str">
        <f>Form!D932</f>
        <v/>
      </c>
      <c r="C937" s="166" t="str">
        <f>Form!M932</f>
        <v/>
      </c>
      <c r="D937" s="166" t="str">
        <f>Form!N932</f>
        <v/>
      </c>
      <c r="E937" s="166" t="str">
        <f>Form!J932</f>
        <v/>
      </c>
      <c r="F937" s="166" t="str">
        <f>Form!K932</f>
        <v/>
      </c>
      <c r="G937" s="166"/>
      <c r="H937" s="166" t="str">
        <f>Form!O933</f>
        <v/>
      </c>
    </row>
    <row r="938">
      <c r="A938" s="248" t="str">
        <f>Form!C933</f>
        <v/>
      </c>
      <c r="B938" s="4" t="str">
        <f>Form!D933</f>
        <v/>
      </c>
      <c r="C938" s="166" t="str">
        <f>Form!M933</f>
        <v/>
      </c>
      <c r="D938" s="166" t="str">
        <f>Form!N933</f>
        <v/>
      </c>
      <c r="E938" s="166" t="str">
        <f>Form!J933</f>
        <v/>
      </c>
      <c r="F938" s="166" t="str">
        <f>Form!K933</f>
        <v/>
      </c>
      <c r="G938" s="166"/>
      <c r="H938" s="166" t="str">
        <f>Form!O934</f>
        <v/>
      </c>
    </row>
    <row r="939">
      <c r="A939" s="248" t="str">
        <f>Form!C934</f>
        <v/>
      </c>
      <c r="B939" s="4" t="str">
        <f>Form!D934</f>
        <v/>
      </c>
      <c r="C939" s="166" t="str">
        <f>Form!M934</f>
        <v/>
      </c>
      <c r="D939" s="166" t="str">
        <f>Form!N934</f>
        <v/>
      </c>
      <c r="E939" s="166" t="str">
        <f>Form!J934</f>
        <v/>
      </c>
      <c r="F939" s="166" t="str">
        <f>Form!K934</f>
        <v/>
      </c>
      <c r="G939" s="166"/>
      <c r="H939" s="166" t="str">
        <f>Form!O935</f>
        <v/>
      </c>
    </row>
    <row r="940">
      <c r="A940" s="248" t="str">
        <f>Form!C935</f>
        <v/>
      </c>
      <c r="B940" s="4" t="str">
        <f>Form!D935</f>
        <v/>
      </c>
      <c r="C940" s="166" t="str">
        <f>Form!M935</f>
        <v/>
      </c>
      <c r="D940" s="166" t="str">
        <f>Form!N935</f>
        <v/>
      </c>
      <c r="E940" s="166" t="str">
        <f>Form!J935</f>
        <v/>
      </c>
      <c r="F940" s="166" t="str">
        <f>Form!K935</f>
        <v/>
      </c>
      <c r="G940" s="166"/>
      <c r="H940" s="166" t="str">
        <f>Form!O936</f>
        <v/>
      </c>
    </row>
    <row r="941">
      <c r="A941" s="248" t="str">
        <f>Form!C936</f>
        <v/>
      </c>
      <c r="B941" s="4" t="str">
        <f>Form!D936</f>
        <v/>
      </c>
      <c r="C941" s="166" t="str">
        <f>Form!M936</f>
        <v/>
      </c>
      <c r="D941" s="166" t="str">
        <f>Form!N936</f>
        <v/>
      </c>
      <c r="E941" s="166" t="str">
        <f>Form!J936</f>
        <v/>
      </c>
      <c r="F941" s="166" t="str">
        <f>Form!K936</f>
        <v/>
      </c>
      <c r="G941" s="166"/>
      <c r="H941" s="166" t="str">
        <f>Form!O937</f>
        <v/>
      </c>
    </row>
    <row r="942">
      <c r="A942" s="248" t="str">
        <f>Form!C937</f>
        <v/>
      </c>
      <c r="B942" s="4" t="str">
        <f>Form!D937</f>
        <v/>
      </c>
      <c r="C942" s="166" t="str">
        <f>Form!M937</f>
        <v/>
      </c>
      <c r="D942" s="166" t="str">
        <f>Form!N937</f>
        <v/>
      </c>
      <c r="E942" s="166" t="str">
        <f>Form!J937</f>
        <v/>
      </c>
      <c r="F942" s="166" t="str">
        <f>Form!K937</f>
        <v/>
      </c>
      <c r="G942" s="166"/>
      <c r="H942" s="166" t="str">
        <f>Form!O938</f>
        <v/>
      </c>
    </row>
    <row r="943">
      <c r="A943" s="248" t="str">
        <f>Form!C938</f>
        <v/>
      </c>
      <c r="B943" s="4" t="str">
        <f>Form!D938</f>
        <v/>
      </c>
      <c r="C943" s="166" t="str">
        <f>Form!M938</f>
        <v/>
      </c>
      <c r="D943" s="166" t="str">
        <f>Form!N938</f>
        <v/>
      </c>
      <c r="E943" s="166" t="str">
        <f>Form!J938</f>
        <v/>
      </c>
      <c r="F943" s="166" t="str">
        <f>Form!K938</f>
        <v/>
      </c>
      <c r="G943" s="166"/>
      <c r="H943" s="166" t="str">
        <f>Form!O939</f>
        <v/>
      </c>
    </row>
    <row r="944">
      <c r="A944" s="248" t="str">
        <f>Form!C939</f>
        <v/>
      </c>
      <c r="B944" s="4" t="str">
        <f>Form!D939</f>
        <v/>
      </c>
      <c r="C944" s="166" t="str">
        <f>Form!M939</f>
        <v/>
      </c>
      <c r="D944" s="166" t="str">
        <f>Form!N939</f>
        <v/>
      </c>
      <c r="E944" s="166" t="str">
        <f>Form!J939</f>
        <v/>
      </c>
      <c r="F944" s="166" t="str">
        <f>Form!K939</f>
        <v/>
      </c>
      <c r="G944" s="166"/>
      <c r="H944" s="166" t="str">
        <f>Form!O940</f>
        <v/>
      </c>
    </row>
    <row r="945">
      <c r="A945" s="248" t="str">
        <f>Form!C940</f>
        <v/>
      </c>
      <c r="B945" s="4" t="str">
        <f>Form!D940</f>
        <v/>
      </c>
      <c r="C945" s="166" t="str">
        <f>Form!M940</f>
        <v/>
      </c>
      <c r="D945" s="166" t="str">
        <f>Form!N940</f>
        <v/>
      </c>
      <c r="E945" s="166" t="str">
        <f>Form!J940</f>
        <v/>
      </c>
      <c r="F945" s="166" t="str">
        <f>Form!K940</f>
        <v/>
      </c>
      <c r="G945" s="166"/>
      <c r="H945" s="166" t="str">
        <f>Form!O941</f>
        <v/>
      </c>
    </row>
    <row r="946">
      <c r="A946" s="248" t="str">
        <f>Form!C941</f>
        <v/>
      </c>
      <c r="B946" s="4" t="str">
        <f>Form!D941</f>
        <v/>
      </c>
      <c r="C946" s="166" t="str">
        <f>Form!M941</f>
        <v/>
      </c>
      <c r="D946" s="166" t="str">
        <f>Form!N941</f>
        <v/>
      </c>
      <c r="E946" s="166" t="str">
        <f>Form!J941</f>
        <v/>
      </c>
      <c r="F946" s="166" t="str">
        <f>Form!K941</f>
        <v/>
      </c>
      <c r="G946" s="166"/>
      <c r="H946" s="166" t="str">
        <f>Form!O942</f>
        <v/>
      </c>
    </row>
    <row r="947">
      <c r="A947" s="248" t="str">
        <f>Form!C942</f>
        <v/>
      </c>
      <c r="B947" s="4" t="str">
        <f>Form!D942</f>
        <v/>
      </c>
      <c r="C947" s="166" t="str">
        <f>Form!M942</f>
        <v/>
      </c>
      <c r="D947" s="166" t="str">
        <f>Form!N942</f>
        <v/>
      </c>
      <c r="E947" s="166" t="str">
        <f>Form!J942</f>
        <v/>
      </c>
      <c r="F947" s="166" t="str">
        <f>Form!K942</f>
        <v/>
      </c>
      <c r="G947" s="166"/>
      <c r="H947" s="166" t="str">
        <f>Form!O943</f>
        <v/>
      </c>
    </row>
    <row r="948">
      <c r="A948" s="248" t="str">
        <f>Form!C943</f>
        <v/>
      </c>
      <c r="B948" s="4" t="str">
        <f>Form!D943</f>
        <v/>
      </c>
      <c r="C948" s="166" t="str">
        <f>Form!M943</f>
        <v/>
      </c>
      <c r="D948" s="166" t="str">
        <f>Form!N943</f>
        <v/>
      </c>
      <c r="E948" s="166" t="str">
        <f>Form!J943</f>
        <v/>
      </c>
      <c r="F948" s="166" t="str">
        <f>Form!K943</f>
        <v/>
      </c>
      <c r="G948" s="166"/>
      <c r="H948" s="166" t="str">
        <f>Form!O944</f>
        <v/>
      </c>
    </row>
    <row r="949">
      <c r="A949" s="248" t="str">
        <f>Form!C944</f>
        <v/>
      </c>
      <c r="B949" s="4" t="str">
        <f>Form!D944</f>
        <v/>
      </c>
      <c r="C949" s="166" t="str">
        <f>Form!M944</f>
        <v/>
      </c>
      <c r="D949" s="166" t="str">
        <f>Form!N944</f>
        <v/>
      </c>
      <c r="E949" s="166" t="str">
        <f>Form!J944</f>
        <v/>
      </c>
      <c r="F949" s="166" t="str">
        <f>Form!K944</f>
        <v/>
      </c>
      <c r="G949" s="166"/>
      <c r="H949" s="166" t="str">
        <f>Form!O945</f>
        <v/>
      </c>
    </row>
    <row r="950">
      <c r="A950" s="248" t="str">
        <f>Form!C945</f>
        <v/>
      </c>
      <c r="B950" s="4" t="str">
        <f>Form!D945</f>
        <v/>
      </c>
      <c r="C950" s="166" t="str">
        <f>Form!M945</f>
        <v/>
      </c>
      <c r="D950" s="166" t="str">
        <f>Form!N945</f>
        <v/>
      </c>
      <c r="E950" s="166" t="str">
        <f>Form!J945</f>
        <v/>
      </c>
      <c r="F950" s="166" t="str">
        <f>Form!K945</f>
        <v/>
      </c>
      <c r="G950" s="166"/>
      <c r="H950" s="166" t="str">
        <f>Form!O946</f>
        <v/>
      </c>
    </row>
    <row r="951">
      <c r="A951" s="248" t="str">
        <f>Form!C946</f>
        <v/>
      </c>
      <c r="B951" s="4" t="str">
        <f>Form!D946</f>
        <v/>
      </c>
      <c r="C951" s="166" t="str">
        <f>Form!M946</f>
        <v/>
      </c>
      <c r="D951" s="166" t="str">
        <f>Form!N946</f>
        <v/>
      </c>
      <c r="E951" s="166" t="str">
        <f>Form!J946</f>
        <v/>
      </c>
      <c r="F951" s="166" t="str">
        <f>Form!K946</f>
        <v/>
      </c>
      <c r="G951" s="166"/>
      <c r="H951" s="166" t="str">
        <f>Form!O947</f>
        <v/>
      </c>
    </row>
    <row r="952">
      <c r="A952" s="248" t="str">
        <f>Form!C947</f>
        <v/>
      </c>
      <c r="B952" s="4" t="str">
        <f>Form!D947</f>
        <v/>
      </c>
      <c r="C952" s="166" t="str">
        <f>Form!M947</f>
        <v/>
      </c>
      <c r="D952" s="166" t="str">
        <f>Form!N947</f>
        <v/>
      </c>
      <c r="E952" s="166" t="str">
        <f>Form!J947</f>
        <v/>
      </c>
      <c r="F952" s="166" t="str">
        <f>Form!K947</f>
        <v/>
      </c>
      <c r="G952" s="166"/>
      <c r="H952" s="166" t="str">
        <f>Form!O948</f>
        <v/>
      </c>
    </row>
    <row r="953">
      <c r="A953" s="248" t="str">
        <f>Form!C948</f>
        <v/>
      </c>
      <c r="B953" s="4" t="str">
        <f>Form!D948</f>
        <v/>
      </c>
      <c r="C953" s="166" t="str">
        <f>Form!M948</f>
        <v/>
      </c>
      <c r="D953" s="166" t="str">
        <f>Form!N948</f>
        <v/>
      </c>
      <c r="E953" s="166" t="str">
        <f>Form!J948</f>
        <v/>
      </c>
      <c r="F953" s="166" t="str">
        <f>Form!K948</f>
        <v/>
      </c>
      <c r="G953" s="166"/>
      <c r="H953" s="166" t="str">
        <f>Form!O949</f>
        <v/>
      </c>
    </row>
    <row r="954">
      <c r="A954" s="248" t="str">
        <f>Form!C949</f>
        <v/>
      </c>
      <c r="B954" s="4" t="str">
        <f>Form!D949</f>
        <v/>
      </c>
      <c r="C954" s="166" t="str">
        <f>Form!M949</f>
        <v/>
      </c>
      <c r="D954" s="166" t="str">
        <f>Form!N949</f>
        <v/>
      </c>
      <c r="E954" s="166" t="str">
        <f>Form!J949</f>
        <v/>
      </c>
      <c r="F954" s="166" t="str">
        <f>Form!K949</f>
        <v/>
      </c>
      <c r="G954" s="166"/>
      <c r="H954" s="166" t="str">
        <f>Form!O950</f>
        <v/>
      </c>
    </row>
    <row r="955">
      <c r="A955" s="248" t="str">
        <f>Form!C950</f>
        <v/>
      </c>
      <c r="B955" s="4" t="str">
        <f>Form!D950</f>
        <v/>
      </c>
      <c r="C955" s="166" t="str">
        <f>Form!M950</f>
        <v/>
      </c>
      <c r="D955" s="166" t="str">
        <f>Form!N950</f>
        <v/>
      </c>
      <c r="E955" s="166" t="str">
        <f>Form!J950</f>
        <v/>
      </c>
      <c r="F955" s="166" t="str">
        <f>Form!K950</f>
        <v/>
      </c>
      <c r="G955" s="166"/>
      <c r="H955" s="166" t="str">
        <f>Form!O951</f>
        <v/>
      </c>
    </row>
    <row r="956">
      <c r="A956" s="248" t="str">
        <f>Form!C951</f>
        <v/>
      </c>
      <c r="B956" s="4" t="str">
        <f>Form!D951</f>
        <v/>
      </c>
      <c r="C956" s="166" t="str">
        <f>Form!M951</f>
        <v/>
      </c>
      <c r="D956" s="166" t="str">
        <f>Form!N951</f>
        <v/>
      </c>
      <c r="E956" s="166" t="str">
        <f>Form!J951</f>
        <v/>
      </c>
      <c r="F956" s="166" t="str">
        <f>Form!K951</f>
        <v/>
      </c>
      <c r="G956" s="166"/>
      <c r="H956" s="166" t="str">
        <f>Form!O952</f>
        <v/>
      </c>
    </row>
    <row r="957">
      <c r="A957" s="248" t="str">
        <f>Form!C952</f>
        <v/>
      </c>
      <c r="B957" s="4" t="str">
        <f>Form!D952</f>
        <v/>
      </c>
      <c r="C957" s="166" t="str">
        <f>Form!M952</f>
        <v/>
      </c>
      <c r="D957" s="166" t="str">
        <f>Form!N952</f>
        <v/>
      </c>
      <c r="E957" s="166" t="str">
        <f>Form!J952</f>
        <v/>
      </c>
      <c r="F957" s="166" t="str">
        <f>Form!K952</f>
        <v/>
      </c>
      <c r="G957" s="166"/>
      <c r="H957" s="166" t="str">
        <f>Form!O953</f>
        <v/>
      </c>
    </row>
    <row r="958">
      <c r="A958" s="248" t="str">
        <f>Form!C953</f>
        <v/>
      </c>
      <c r="B958" s="4" t="str">
        <f>Form!D953</f>
        <v/>
      </c>
      <c r="C958" s="166" t="str">
        <f>Form!M953</f>
        <v/>
      </c>
      <c r="D958" s="166" t="str">
        <f>Form!N953</f>
        <v/>
      </c>
      <c r="E958" s="166" t="str">
        <f>Form!J953</f>
        <v/>
      </c>
      <c r="F958" s="166" t="str">
        <f>Form!K953</f>
        <v/>
      </c>
      <c r="G958" s="166"/>
      <c r="H958" s="166" t="str">
        <f>Form!O954</f>
        <v/>
      </c>
    </row>
    <row r="959">
      <c r="A959" s="248" t="str">
        <f>Form!C954</f>
        <v/>
      </c>
      <c r="B959" s="4" t="str">
        <f>Form!D954</f>
        <v/>
      </c>
      <c r="C959" s="166" t="str">
        <f>Form!M954</f>
        <v/>
      </c>
      <c r="D959" s="166" t="str">
        <f>Form!N954</f>
        <v/>
      </c>
      <c r="E959" s="166" t="str">
        <f>Form!J954</f>
        <v/>
      </c>
      <c r="F959" s="166" t="str">
        <f>Form!K954</f>
        <v/>
      </c>
      <c r="G959" s="166"/>
      <c r="H959" s="166" t="str">
        <f>Form!O955</f>
        <v/>
      </c>
    </row>
    <row r="960">
      <c r="A960" s="248" t="str">
        <f>Form!C955</f>
        <v/>
      </c>
      <c r="B960" s="4" t="str">
        <f>Form!D955</f>
        <v/>
      </c>
      <c r="C960" s="166" t="str">
        <f>Form!M955</f>
        <v/>
      </c>
      <c r="D960" s="166" t="str">
        <f>Form!N955</f>
        <v/>
      </c>
      <c r="E960" s="166" t="str">
        <f>Form!J955</f>
        <v/>
      </c>
      <c r="F960" s="166" t="str">
        <f>Form!K955</f>
        <v/>
      </c>
      <c r="G960" s="166"/>
      <c r="H960" s="166" t="str">
        <f>Form!O956</f>
        <v/>
      </c>
    </row>
    <row r="961">
      <c r="A961" s="248" t="str">
        <f>Form!C956</f>
        <v/>
      </c>
      <c r="B961" s="4" t="str">
        <f>Form!D956</f>
        <v/>
      </c>
      <c r="C961" s="166" t="str">
        <f>Form!M956</f>
        <v/>
      </c>
      <c r="D961" s="166" t="str">
        <f>Form!N956</f>
        <v/>
      </c>
      <c r="E961" s="166" t="str">
        <f>Form!J956</f>
        <v/>
      </c>
      <c r="F961" s="166" t="str">
        <f>Form!K956</f>
        <v/>
      </c>
      <c r="G961" s="166"/>
      <c r="H961" s="166" t="str">
        <f>Form!O957</f>
        <v/>
      </c>
    </row>
    <row r="962">
      <c r="A962" s="248" t="str">
        <f>Form!C957</f>
        <v/>
      </c>
      <c r="B962" s="4" t="str">
        <f>Form!D957</f>
        <v/>
      </c>
      <c r="C962" s="166" t="str">
        <f>Form!M957</f>
        <v/>
      </c>
      <c r="D962" s="166" t="str">
        <f>Form!N957</f>
        <v/>
      </c>
      <c r="E962" s="166" t="str">
        <f>Form!J957</f>
        <v/>
      </c>
      <c r="F962" s="166" t="str">
        <f>Form!K957</f>
        <v/>
      </c>
      <c r="G962" s="166"/>
      <c r="H962" s="166" t="str">
        <f>Form!O958</f>
        <v/>
      </c>
    </row>
    <row r="963">
      <c r="A963" s="248" t="str">
        <f>Form!C958</f>
        <v/>
      </c>
      <c r="B963" s="4" t="str">
        <f>Form!D958</f>
        <v/>
      </c>
      <c r="C963" s="166" t="str">
        <f>Form!M958</f>
        <v/>
      </c>
      <c r="D963" s="166" t="str">
        <f>Form!N958</f>
        <v/>
      </c>
      <c r="E963" s="166" t="str">
        <f>Form!J958</f>
        <v/>
      </c>
      <c r="F963" s="166" t="str">
        <f>Form!K958</f>
        <v/>
      </c>
      <c r="G963" s="166"/>
      <c r="H963" s="166" t="str">
        <f>Form!O959</f>
        <v/>
      </c>
    </row>
    <row r="964">
      <c r="A964" s="248" t="str">
        <f>Form!C959</f>
        <v/>
      </c>
      <c r="B964" s="4" t="str">
        <f>Form!D959</f>
        <v/>
      </c>
      <c r="C964" s="166" t="str">
        <f>Form!M959</f>
        <v/>
      </c>
      <c r="D964" s="166" t="str">
        <f>Form!N959</f>
        <v/>
      </c>
      <c r="E964" s="166" t="str">
        <f>Form!J959</f>
        <v/>
      </c>
      <c r="F964" s="166" t="str">
        <f>Form!K959</f>
        <v/>
      </c>
      <c r="G964" s="166"/>
      <c r="H964" s="166" t="str">
        <f>Form!O960</f>
        <v/>
      </c>
    </row>
    <row r="965">
      <c r="A965" s="248" t="str">
        <f>Form!C960</f>
        <v/>
      </c>
      <c r="B965" s="4" t="str">
        <f>Form!D960</f>
        <v/>
      </c>
      <c r="C965" s="166" t="str">
        <f>Form!M960</f>
        <v/>
      </c>
      <c r="D965" s="166" t="str">
        <f>Form!N960</f>
        <v/>
      </c>
      <c r="E965" s="166" t="str">
        <f>Form!J960</f>
        <v/>
      </c>
      <c r="F965" s="166" t="str">
        <f>Form!K960</f>
        <v/>
      </c>
      <c r="G965" s="166"/>
      <c r="H965" s="166" t="str">
        <f>Form!O961</f>
        <v/>
      </c>
    </row>
    <row r="966">
      <c r="A966" s="248" t="str">
        <f>Form!C961</f>
        <v/>
      </c>
      <c r="B966" s="4" t="str">
        <f>Form!D961</f>
        <v/>
      </c>
      <c r="C966" s="166" t="str">
        <f>Form!M961</f>
        <v/>
      </c>
      <c r="D966" s="166" t="str">
        <f>Form!N961</f>
        <v/>
      </c>
      <c r="E966" s="166" t="str">
        <f>Form!J961</f>
        <v/>
      </c>
      <c r="F966" s="166" t="str">
        <f>Form!K961</f>
        <v/>
      </c>
      <c r="G966" s="166"/>
      <c r="H966" s="166" t="str">
        <f>Form!O962</f>
        <v/>
      </c>
    </row>
    <row r="967">
      <c r="A967" s="248" t="str">
        <f>Form!C962</f>
        <v/>
      </c>
      <c r="B967" s="4" t="str">
        <f>Form!D962</f>
        <v/>
      </c>
      <c r="C967" s="166" t="str">
        <f>Form!M962</f>
        <v/>
      </c>
      <c r="D967" s="166" t="str">
        <f>Form!N962</f>
        <v/>
      </c>
      <c r="E967" s="166" t="str">
        <f>Form!J962</f>
        <v/>
      </c>
      <c r="F967" s="166" t="str">
        <f>Form!K962</f>
        <v/>
      </c>
      <c r="G967" s="166"/>
      <c r="H967" s="166" t="str">
        <f>Form!O963</f>
        <v/>
      </c>
    </row>
    <row r="968">
      <c r="A968" s="248" t="str">
        <f>Form!C963</f>
        <v/>
      </c>
      <c r="B968" s="4" t="str">
        <f>Form!D963</f>
        <v/>
      </c>
      <c r="C968" s="166" t="str">
        <f>Form!M963</f>
        <v/>
      </c>
      <c r="D968" s="166" t="str">
        <f>Form!N963</f>
        <v/>
      </c>
      <c r="E968" s="166" t="str">
        <f>Form!J963</f>
        <v/>
      </c>
      <c r="F968" s="166" t="str">
        <f>Form!K963</f>
        <v/>
      </c>
      <c r="G968" s="166"/>
      <c r="H968" s="166" t="str">
        <f>Form!O964</f>
        <v/>
      </c>
    </row>
    <row r="969">
      <c r="A969" s="248" t="str">
        <f>Form!C964</f>
        <v/>
      </c>
      <c r="B969" s="4" t="str">
        <f>Form!D964</f>
        <v/>
      </c>
      <c r="C969" s="166" t="str">
        <f>Form!M964</f>
        <v/>
      </c>
      <c r="D969" s="166" t="str">
        <f>Form!N964</f>
        <v/>
      </c>
      <c r="E969" s="166" t="str">
        <f>Form!J964</f>
        <v/>
      </c>
      <c r="F969" s="166" t="str">
        <f>Form!K964</f>
        <v/>
      </c>
      <c r="G969" s="166"/>
      <c r="H969" s="166" t="str">
        <f>Form!O965</f>
        <v/>
      </c>
    </row>
    <row r="970">
      <c r="A970" s="248" t="str">
        <f>Form!C965</f>
        <v/>
      </c>
      <c r="B970" s="4" t="str">
        <f>Form!D965</f>
        <v/>
      </c>
      <c r="C970" s="166" t="str">
        <f>Form!M965</f>
        <v/>
      </c>
      <c r="D970" s="166" t="str">
        <f>Form!N965</f>
        <v/>
      </c>
      <c r="E970" s="166" t="str">
        <f>Form!J965</f>
        <v/>
      </c>
      <c r="F970" s="166" t="str">
        <f>Form!K965</f>
        <v/>
      </c>
      <c r="G970" s="166"/>
      <c r="H970" s="166" t="str">
        <f>Form!O966</f>
        <v/>
      </c>
    </row>
    <row r="971">
      <c r="A971" s="248" t="str">
        <f>Form!C966</f>
        <v/>
      </c>
      <c r="B971" s="4" t="str">
        <f>Form!D966</f>
        <v/>
      </c>
      <c r="C971" s="166" t="str">
        <f>Form!M966</f>
        <v/>
      </c>
      <c r="D971" s="166" t="str">
        <f>Form!N966</f>
        <v/>
      </c>
      <c r="E971" s="166" t="str">
        <f>Form!J966</f>
        <v/>
      </c>
      <c r="F971" s="166" t="str">
        <f>Form!K966</f>
        <v/>
      </c>
      <c r="G971" s="166"/>
      <c r="H971" s="166" t="str">
        <f>Form!O967</f>
        <v/>
      </c>
    </row>
    <row r="972">
      <c r="A972" s="248" t="str">
        <f>Form!C967</f>
        <v/>
      </c>
      <c r="B972" s="4" t="str">
        <f>Form!D967</f>
        <v/>
      </c>
      <c r="C972" s="166" t="str">
        <f>Form!M967</f>
        <v/>
      </c>
      <c r="D972" s="166" t="str">
        <f>Form!N967</f>
        <v/>
      </c>
      <c r="E972" s="166" t="str">
        <f>Form!J967</f>
        <v/>
      </c>
      <c r="F972" s="166" t="str">
        <f>Form!K967</f>
        <v/>
      </c>
      <c r="G972" s="166"/>
      <c r="H972" s="166" t="str">
        <f>Form!O968</f>
        <v/>
      </c>
    </row>
    <row r="973">
      <c r="A973" s="248" t="str">
        <f>Form!C968</f>
        <v/>
      </c>
      <c r="B973" s="4" t="str">
        <f>Form!D968</f>
        <v/>
      </c>
      <c r="C973" s="166" t="str">
        <f>Form!M968</f>
        <v/>
      </c>
      <c r="D973" s="166" t="str">
        <f>Form!N968</f>
        <v/>
      </c>
      <c r="E973" s="166" t="str">
        <f>Form!J968</f>
        <v/>
      </c>
      <c r="F973" s="166" t="str">
        <f>Form!K968</f>
        <v/>
      </c>
      <c r="G973" s="166"/>
      <c r="H973" s="166" t="str">
        <f>Form!O969</f>
        <v/>
      </c>
    </row>
    <row r="974">
      <c r="A974" s="248" t="str">
        <f>Form!C969</f>
        <v/>
      </c>
      <c r="B974" s="4" t="str">
        <f>Form!D969</f>
        <v/>
      </c>
      <c r="C974" s="166" t="str">
        <f>Form!M969</f>
        <v/>
      </c>
      <c r="D974" s="166" t="str">
        <f>Form!N969</f>
        <v/>
      </c>
      <c r="E974" s="166" t="str">
        <f>Form!J969</f>
        <v/>
      </c>
      <c r="F974" s="166" t="str">
        <f>Form!K969</f>
        <v/>
      </c>
      <c r="G974" s="166"/>
      <c r="H974" s="166" t="str">
        <f>Form!O970</f>
        <v/>
      </c>
    </row>
    <row r="975">
      <c r="A975" s="248" t="str">
        <f>Form!C970</f>
        <v/>
      </c>
      <c r="B975" s="4" t="str">
        <f>Form!D970</f>
        <v/>
      </c>
      <c r="C975" s="166" t="str">
        <f>Form!M970</f>
        <v/>
      </c>
      <c r="D975" s="166" t="str">
        <f>Form!N970</f>
        <v/>
      </c>
      <c r="E975" s="166" t="str">
        <f>Form!J970</f>
        <v/>
      </c>
      <c r="F975" s="166" t="str">
        <f>Form!K970</f>
        <v/>
      </c>
      <c r="G975" s="166"/>
      <c r="H975" s="166" t="str">
        <f>Form!O971</f>
        <v/>
      </c>
    </row>
    <row r="976">
      <c r="A976" s="248" t="str">
        <f>Form!C971</f>
        <v/>
      </c>
      <c r="B976" s="4" t="str">
        <f>Form!D971</f>
        <v/>
      </c>
      <c r="C976" s="166" t="str">
        <f>Form!M971</f>
        <v/>
      </c>
      <c r="D976" s="166" t="str">
        <f>Form!N971</f>
        <v/>
      </c>
      <c r="E976" s="166" t="str">
        <f>Form!J971</f>
        <v/>
      </c>
      <c r="F976" s="166" t="str">
        <f>Form!K971</f>
        <v/>
      </c>
      <c r="G976" s="166"/>
      <c r="H976" s="166" t="str">
        <f>Form!O972</f>
        <v/>
      </c>
    </row>
    <row r="977">
      <c r="A977" s="248" t="str">
        <f>Form!C972</f>
        <v/>
      </c>
      <c r="B977" s="4" t="str">
        <f>Form!D972</f>
        <v/>
      </c>
      <c r="C977" s="166" t="str">
        <f>Form!M972</f>
        <v/>
      </c>
      <c r="D977" s="166" t="str">
        <f>Form!N972</f>
        <v/>
      </c>
      <c r="E977" s="166" t="str">
        <f>Form!J972</f>
        <v/>
      </c>
      <c r="F977" s="166" t="str">
        <f>Form!K972</f>
        <v/>
      </c>
      <c r="G977" s="166"/>
      <c r="H977" s="166" t="str">
        <f>Form!O973</f>
        <v/>
      </c>
    </row>
    <row r="978">
      <c r="A978" s="248" t="str">
        <f>Form!C973</f>
        <v/>
      </c>
      <c r="B978" s="4" t="str">
        <f>Form!D973</f>
        <v/>
      </c>
      <c r="C978" s="166" t="str">
        <f>Form!M973</f>
        <v/>
      </c>
      <c r="D978" s="166" t="str">
        <f>Form!N973</f>
        <v/>
      </c>
      <c r="E978" s="166" t="str">
        <f>Form!J973</f>
        <v/>
      </c>
      <c r="F978" s="166" t="str">
        <f>Form!K973</f>
        <v/>
      </c>
      <c r="G978" s="166"/>
      <c r="H978" s="166" t="str">
        <f>Form!O974</f>
        <v/>
      </c>
    </row>
    <row r="979">
      <c r="A979" s="248" t="str">
        <f>Form!C974</f>
        <v/>
      </c>
      <c r="B979" s="4" t="str">
        <f>Form!D974</f>
        <v/>
      </c>
      <c r="C979" s="166" t="str">
        <f>Form!M974</f>
        <v/>
      </c>
      <c r="D979" s="166" t="str">
        <f>Form!N974</f>
        <v/>
      </c>
      <c r="E979" s="166" t="str">
        <f>Form!J974</f>
        <v/>
      </c>
      <c r="F979" s="166" t="str">
        <f>Form!K974</f>
        <v/>
      </c>
      <c r="G979" s="166"/>
      <c r="H979" s="166" t="str">
        <f>Form!O975</f>
        <v/>
      </c>
    </row>
    <row r="980">
      <c r="A980" s="248" t="str">
        <f>Form!C975</f>
        <v/>
      </c>
      <c r="B980" s="4" t="str">
        <f>Form!D975</f>
        <v/>
      </c>
      <c r="C980" s="166" t="str">
        <f>Form!M975</f>
        <v/>
      </c>
      <c r="D980" s="166" t="str">
        <f>Form!N975</f>
        <v/>
      </c>
      <c r="E980" s="166" t="str">
        <f>Form!J975</f>
        <v/>
      </c>
      <c r="F980" s="166" t="str">
        <f>Form!K975</f>
        <v/>
      </c>
      <c r="G980" s="166"/>
      <c r="H980" s="166" t="str">
        <f>Form!O976</f>
        <v/>
      </c>
    </row>
    <row r="981">
      <c r="A981" s="248" t="str">
        <f>Form!C976</f>
        <v/>
      </c>
      <c r="B981" s="4" t="str">
        <f>Form!D976</f>
        <v/>
      </c>
      <c r="C981" s="166" t="str">
        <f>Form!M976</f>
        <v/>
      </c>
      <c r="D981" s="166" t="str">
        <f>Form!N976</f>
        <v/>
      </c>
      <c r="E981" s="166" t="str">
        <f>Form!J976</f>
        <v/>
      </c>
      <c r="F981" s="166" t="str">
        <f>Form!K976</f>
        <v/>
      </c>
      <c r="G981" s="166"/>
      <c r="H981" s="166" t="str">
        <f>Form!O977</f>
        <v/>
      </c>
    </row>
    <row r="982">
      <c r="A982" s="248" t="str">
        <f>Form!C977</f>
        <v/>
      </c>
      <c r="B982" s="4" t="str">
        <f>Form!D977</f>
        <v/>
      </c>
      <c r="C982" s="166" t="str">
        <f>Form!M977</f>
        <v/>
      </c>
      <c r="D982" s="166" t="str">
        <f>Form!N977</f>
        <v/>
      </c>
      <c r="E982" s="166" t="str">
        <f>Form!J977</f>
        <v/>
      </c>
      <c r="F982" s="166" t="str">
        <f>Form!K977</f>
        <v/>
      </c>
      <c r="G982" s="166"/>
      <c r="H982" s="166" t="str">
        <f>Form!O978</f>
        <v/>
      </c>
    </row>
    <row r="983">
      <c r="A983" s="248" t="str">
        <f>Form!C978</f>
        <v/>
      </c>
      <c r="B983" s="4" t="str">
        <f>Form!D978</f>
        <v/>
      </c>
      <c r="C983" s="166" t="str">
        <f>Form!M978</f>
        <v/>
      </c>
      <c r="D983" s="166" t="str">
        <f>Form!N978</f>
        <v/>
      </c>
      <c r="E983" s="166" t="str">
        <f>Form!J978</f>
        <v/>
      </c>
      <c r="F983" s="166" t="str">
        <f>Form!K978</f>
        <v/>
      </c>
      <c r="G983" s="166"/>
      <c r="H983" s="166" t="str">
        <f>Form!O979</f>
        <v/>
      </c>
    </row>
    <row r="984">
      <c r="A984" s="248" t="str">
        <f>Form!C979</f>
        <v/>
      </c>
      <c r="B984" s="4" t="str">
        <f>Form!D979</f>
        <v/>
      </c>
      <c r="C984" s="166" t="str">
        <f>Form!M979</f>
        <v/>
      </c>
      <c r="D984" s="166" t="str">
        <f>Form!N979</f>
        <v/>
      </c>
      <c r="E984" s="166" t="str">
        <f>Form!J979</f>
        <v/>
      </c>
      <c r="F984" s="166" t="str">
        <f>Form!K979</f>
        <v/>
      </c>
      <c r="G984" s="166"/>
      <c r="H984" s="166" t="str">
        <f>Form!O980</f>
        <v/>
      </c>
    </row>
    <row r="985">
      <c r="A985" s="248" t="str">
        <f>Form!C980</f>
        <v/>
      </c>
      <c r="B985" s="4" t="str">
        <f>Form!D980</f>
        <v/>
      </c>
      <c r="C985" s="166" t="str">
        <f>Form!M980</f>
        <v/>
      </c>
      <c r="D985" s="166" t="str">
        <f>Form!N980</f>
        <v/>
      </c>
      <c r="E985" s="166" t="str">
        <f>Form!J980</f>
        <v/>
      </c>
      <c r="F985" s="166" t="str">
        <f>Form!K980</f>
        <v/>
      </c>
      <c r="G985" s="166"/>
      <c r="H985" s="166" t="str">
        <f>Form!O981</f>
        <v/>
      </c>
    </row>
    <row r="986">
      <c r="A986" s="248" t="str">
        <f>Form!C981</f>
        <v/>
      </c>
      <c r="B986" s="4" t="str">
        <f>Form!D981</f>
        <v/>
      </c>
      <c r="C986" s="166" t="str">
        <f>Form!M981</f>
        <v/>
      </c>
      <c r="D986" s="166" t="str">
        <f>Form!N981</f>
        <v/>
      </c>
      <c r="E986" s="166" t="str">
        <f>Form!J981</f>
        <v/>
      </c>
      <c r="F986" s="166" t="str">
        <f>Form!K981</f>
        <v/>
      </c>
      <c r="G986" s="166"/>
      <c r="H986" s="166" t="str">
        <f>Form!O982</f>
        <v/>
      </c>
    </row>
    <row r="987">
      <c r="A987" s="248" t="str">
        <f>Form!C982</f>
        <v/>
      </c>
      <c r="B987" s="4" t="str">
        <f>Form!D982</f>
        <v/>
      </c>
      <c r="C987" s="166" t="str">
        <f>Form!M982</f>
        <v/>
      </c>
      <c r="D987" s="166" t="str">
        <f>Form!N982</f>
        <v/>
      </c>
      <c r="E987" s="166" t="str">
        <f>Form!J982</f>
        <v/>
      </c>
      <c r="F987" s="166" t="str">
        <f>Form!K982</f>
        <v/>
      </c>
      <c r="G987" s="166"/>
      <c r="H987" s="166" t="str">
        <f>Form!O983</f>
        <v/>
      </c>
    </row>
    <row r="988">
      <c r="A988" s="248" t="str">
        <f>Form!C983</f>
        <v/>
      </c>
      <c r="B988" s="4" t="str">
        <f>Form!D983</f>
        <v/>
      </c>
      <c r="C988" s="166" t="str">
        <f>Form!M983</f>
        <v/>
      </c>
      <c r="D988" s="166" t="str">
        <f>Form!N983</f>
        <v/>
      </c>
      <c r="E988" s="166" t="str">
        <f>Form!J983</f>
        <v/>
      </c>
      <c r="F988" s="166" t="str">
        <f>Form!K983</f>
        <v/>
      </c>
      <c r="G988" s="166"/>
      <c r="H988" s="166" t="str">
        <f>Form!O984</f>
        <v/>
      </c>
    </row>
    <row r="989">
      <c r="A989" s="248" t="str">
        <f>Form!C984</f>
        <v/>
      </c>
      <c r="B989" s="4" t="str">
        <f>Form!D984</f>
        <v/>
      </c>
      <c r="C989" s="166" t="str">
        <f>Form!M984</f>
        <v/>
      </c>
      <c r="D989" s="166" t="str">
        <f>Form!N984</f>
        <v/>
      </c>
      <c r="E989" s="166" t="str">
        <f>Form!J984</f>
        <v/>
      </c>
      <c r="F989" s="166" t="str">
        <f>Form!K984</f>
        <v/>
      </c>
      <c r="G989" s="166"/>
      <c r="H989" s="166" t="str">
        <f>Form!O985</f>
        <v/>
      </c>
    </row>
    <row r="990">
      <c r="A990" s="248" t="str">
        <f>Form!C985</f>
        <v/>
      </c>
      <c r="B990" s="4" t="str">
        <f>Form!D985</f>
        <v/>
      </c>
      <c r="C990" s="166" t="str">
        <f>Form!M985</f>
        <v/>
      </c>
      <c r="D990" s="166" t="str">
        <f>Form!N985</f>
        <v/>
      </c>
      <c r="E990" s="166" t="str">
        <f>Form!J985</f>
        <v/>
      </c>
      <c r="F990" s="166" t="str">
        <f>Form!K985</f>
        <v/>
      </c>
      <c r="G990" s="166"/>
      <c r="H990" s="166" t="str">
        <f>Form!O986</f>
        <v/>
      </c>
    </row>
    <row r="991">
      <c r="A991" s="248" t="str">
        <f>Form!C986</f>
        <v/>
      </c>
      <c r="B991" s="4" t="str">
        <f>Form!D986</f>
        <v/>
      </c>
      <c r="C991" s="166" t="str">
        <f>Form!M986</f>
        <v/>
      </c>
      <c r="D991" s="166" t="str">
        <f>Form!N986</f>
        <v/>
      </c>
      <c r="E991" s="166" t="str">
        <f>Form!J986</f>
        <v/>
      </c>
      <c r="F991" s="166" t="str">
        <f>Form!K986</f>
        <v/>
      </c>
      <c r="G991" s="166"/>
      <c r="H991" s="166" t="str">
        <f>Form!O987</f>
        <v/>
      </c>
    </row>
    <row r="992">
      <c r="A992" s="248" t="str">
        <f>Form!C987</f>
        <v/>
      </c>
      <c r="B992" s="4" t="str">
        <f>Form!D987</f>
        <v/>
      </c>
      <c r="C992" s="166" t="str">
        <f>Form!M987</f>
        <v/>
      </c>
      <c r="D992" s="166" t="str">
        <f>Form!N987</f>
        <v/>
      </c>
      <c r="E992" s="166" t="str">
        <f>Form!J987</f>
        <v/>
      </c>
      <c r="F992" s="166" t="str">
        <f>Form!K987</f>
        <v/>
      </c>
      <c r="G992" s="166"/>
      <c r="H992" s="166" t="str">
        <f>Form!O988</f>
        <v/>
      </c>
    </row>
    <row r="993">
      <c r="A993" s="248" t="str">
        <f>Form!C988</f>
        <v/>
      </c>
      <c r="B993" s="4" t="str">
        <f>Form!D988</f>
        <v/>
      </c>
      <c r="C993" s="166" t="str">
        <f>Form!M988</f>
        <v/>
      </c>
      <c r="D993" s="166" t="str">
        <f>Form!N988</f>
        <v/>
      </c>
      <c r="E993" s="166" t="str">
        <f>Form!J988</f>
        <v/>
      </c>
      <c r="F993" s="166" t="str">
        <f>Form!K988</f>
        <v/>
      </c>
      <c r="G993" s="166"/>
      <c r="H993" s="166" t="str">
        <f>Form!O989</f>
        <v/>
      </c>
    </row>
    <row r="994">
      <c r="A994" s="248" t="str">
        <f>Form!C989</f>
        <v/>
      </c>
      <c r="B994" s="4" t="str">
        <f>Form!D989</f>
        <v/>
      </c>
      <c r="C994" s="166" t="str">
        <f>Form!M989</f>
        <v/>
      </c>
      <c r="D994" s="166" t="str">
        <f>Form!N989</f>
        <v/>
      </c>
      <c r="E994" s="166" t="str">
        <f>Form!J989</f>
        <v/>
      </c>
      <c r="F994" s="166" t="str">
        <f>Form!K989</f>
        <v/>
      </c>
      <c r="G994" s="166"/>
      <c r="H994" s="166" t="str">
        <f>Form!O990</f>
        <v/>
      </c>
    </row>
    <row r="995">
      <c r="A995" s="248" t="str">
        <f>Form!C990</f>
        <v/>
      </c>
      <c r="B995" s="4" t="str">
        <f>Form!D990</f>
        <v/>
      </c>
      <c r="C995" s="166" t="str">
        <f>Form!M990</f>
        <v/>
      </c>
      <c r="D995" s="166" t="str">
        <f>Form!N990</f>
        <v/>
      </c>
      <c r="E995" s="166" t="str">
        <f>Form!J990</f>
        <v/>
      </c>
      <c r="F995" s="166" t="str">
        <f>Form!K990</f>
        <v/>
      </c>
      <c r="G995" s="166"/>
      <c r="H995" s="166" t="str">
        <f>Form!O991</f>
        <v/>
      </c>
    </row>
    <row r="996">
      <c r="A996" s="248" t="str">
        <f>Form!C991</f>
        <v/>
      </c>
      <c r="B996" s="4" t="str">
        <f>Form!D991</f>
        <v/>
      </c>
      <c r="C996" s="166" t="str">
        <f>Form!M991</f>
        <v/>
      </c>
      <c r="D996" s="166" t="str">
        <f>Form!N991</f>
        <v/>
      </c>
      <c r="E996" s="166" t="str">
        <f>Form!J991</f>
        <v/>
      </c>
      <c r="F996" s="166" t="str">
        <f>Form!K991</f>
        <v/>
      </c>
      <c r="G996" s="166"/>
      <c r="H996" s="166" t="str">
        <f>Form!O992</f>
        <v/>
      </c>
    </row>
    <row r="997">
      <c r="A997" s="275" t="str">
        <f>Form!C992</f>
        <v/>
      </c>
      <c r="B997" s="22" t="str">
        <f>Form!D992</f>
        <v/>
      </c>
      <c r="C997" s="276" t="str">
        <f>Form!M992</f>
        <v/>
      </c>
      <c r="D997" s="276" t="str">
        <f>Form!N992</f>
        <v/>
      </c>
      <c r="E997" s="276" t="str">
        <f>Form!J992</f>
        <v/>
      </c>
      <c r="F997" s="276" t="str">
        <f>Form!K992</f>
        <v/>
      </c>
      <c r="G997" s="276"/>
      <c r="H997" s="166" t="str">
        <f>Form!O993</f>
        <v/>
      </c>
    </row>
  </sheetData>
  <mergeCells count="2">
    <mergeCell ref="A1:B3"/>
    <mergeCell ref="C1:H3"/>
  </mergeCells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75"/>
  <cols>
    <col customWidth="1" min="1" max="1" width="13.57"/>
    <col customWidth="1" min="4" max="4" width="17.0"/>
    <col customWidth="1" min="13" max="13" width="16.43"/>
    <col customWidth="1" min="24" max="24" width="15.86"/>
  </cols>
  <sheetData>
    <row r="1">
      <c r="A1" s="1"/>
      <c r="B1" s="2"/>
      <c r="C1" s="3"/>
      <c r="D1" s="11" t="s">
        <v>198</v>
      </c>
      <c r="E1" s="219"/>
      <c r="F1" s="3"/>
      <c r="G1" s="154" t="s">
        <v>200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3"/>
      <c r="T1" s="155"/>
    </row>
    <row r="2">
      <c r="A2" s="13"/>
      <c r="C2" s="15"/>
      <c r="D2" s="9" t="s">
        <v>201</v>
      </c>
      <c r="E2" s="251"/>
      <c r="F2" s="15"/>
      <c r="S2" s="15"/>
      <c r="T2" s="155"/>
    </row>
    <row r="3">
      <c r="A3" s="17"/>
      <c r="B3" s="19"/>
      <c r="C3" s="21"/>
      <c r="D3" s="26" t="s">
        <v>202</v>
      </c>
      <c r="E3" s="252"/>
      <c r="F3" s="21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21"/>
      <c r="T3" s="155"/>
    </row>
    <row r="4">
      <c r="A4" s="158" t="s">
        <v>203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N4" s="30"/>
      <c r="O4" s="30"/>
      <c r="P4" s="30"/>
      <c r="Q4" s="30"/>
      <c r="R4" s="30"/>
      <c r="S4" s="30"/>
      <c r="T4" s="30"/>
      <c r="U4" s="30"/>
      <c r="V4" s="30"/>
    </row>
    <row r="5">
      <c r="A5" s="42" t="s">
        <v>204</v>
      </c>
      <c r="B5" s="45" t="s">
        <v>33</v>
      </c>
      <c r="C5" s="45" t="s">
        <v>205</v>
      </c>
      <c r="D5" s="45" t="s">
        <v>206</v>
      </c>
      <c r="E5" s="45" t="s">
        <v>207</v>
      </c>
      <c r="F5" s="45" t="s">
        <v>208</v>
      </c>
      <c r="G5" s="45" t="s">
        <v>209</v>
      </c>
      <c r="H5" s="45" t="s">
        <v>210</v>
      </c>
      <c r="I5" s="45" t="s">
        <v>211</v>
      </c>
      <c r="J5" s="45" t="s">
        <v>212</v>
      </c>
      <c r="K5" s="45" t="s">
        <v>213</v>
      </c>
      <c r="L5" s="45" t="s">
        <v>214</v>
      </c>
      <c r="M5" s="45" t="s">
        <v>215</v>
      </c>
      <c r="N5" s="45" t="s">
        <v>216</v>
      </c>
      <c r="O5" s="45" t="s">
        <v>217</v>
      </c>
      <c r="P5" s="45" t="s">
        <v>218</v>
      </c>
      <c r="Q5" s="45" t="s">
        <v>219</v>
      </c>
      <c r="R5" s="45" t="s">
        <v>220</v>
      </c>
      <c r="S5" s="159" t="s">
        <v>221</v>
      </c>
      <c r="T5" s="160"/>
    </row>
    <row r="6">
      <c r="A6" s="67" t="str">
        <f t="shared" ref="A6:A324" si="1">CHOOSE(weekday(B6),"Sun","Mon","Tue","Wed","Thu","Fri","Sat")</f>
        <v>Sat</v>
      </c>
      <c r="B6" s="69">
        <v>43512.0</v>
      </c>
      <c r="S6" s="15"/>
    </row>
    <row r="7">
      <c r="A7" s="67" t="str">
        <f t="shared" si="1"/>
        <v>Sun</v>
      </c>
      <c r="B7" s="69">
        <v>43513.0</v>
      </c>
      <c r="S7" s="15"/>
    </row>
    <row r="8">
      <c r="A8" s="67" t="str">
        <f t="shared" si="1"/>
        <v>Mon</v>
      </c>
      <c r="B8" s="69">
        <v>43514.0</v>
      </c>
      <c r="S8" s="15"/>
    </row>
    <row r="9">
      <c r="A9" s="67" t="str">
        <f t="shared" si="1"/>
        <v>Tue</v>
      </c>
      <c r="B9" s="69">
        <v>43515.0</v>
      </c>
      <c r="S9" s="15"/>
    </row>
    <row r="10">
      <c r="A10" s="67" t="str">
        <f t="shared" si="1"/>
        <v>Wed</v>
      </c>
      <c r="B10" s="69">
        <v>43516.0</v>
      </c>
      <c r="S10" s="15"/>
    </row>
    <row r="11">
      <c r="A11" s="67" t="str">
        <f t="shared" si="1"/>
        <v>Thu</v>
      </c>
      <c r="B11" s="69">
        <v>43517.0</v>
      </c>
      <c r="S11" s="15"/>
    </row>
    <row r="12">
      <c r="A12" s="67" t="str">
        <f t="shared" si="1"/>
        <v>Fri</v>
      </c>
      <c r="B12" s="69">
        <v>43518.0</v>
      </c>
      <c r="S12" s="15"/>
    </row>
    <row r="13">
      <c r="A13" s="67" t="str">
        <f t="shared" si="1"/>
        <v>Sat</v>
      </c>
      <c r="B13" s="69">
        <v>43519.0</v>
      </c>
      <c r="S13" s="15"/>
    </row>
    <row r="14">
      <c r="A14" s="67" t="str">
        <f t="shared" si="1"/>
        <v>Sun</v>
      </c>
      <c r="B14" s="69">
        <v>43520.0</v>
      </c>
      <c r="I14" s="4" t="s">
        <v>2550</v>
      </c>
      <c r="J14" s="4" t="s">
        <v>395</v>
      </c>
      <c r="S14" s="15"/>
    </row>
    <row r="15">
      <c r="A15" s="67" t="str">
        <f t="shared" si="1"/>
        <v>Mon</v>
      </c>
      <c r="B15" s="69">
        <v>43521.0</v>
      </c>
      <c r="H15" s="4">
        <v>2800.0</v>
      </c>
      <c r="I15" s="4">
        <v>2800.0</v>
      </c>
      <c r="S15" s="15"/>
    </row>
    <row r="16">
      <c r="A16" s="67" t="str">
        <f t="shared" si="1"/>
        <v>Tue</v>
      </c>
      <c r="B16" s="69">
        <v>43522.0</v>
      </c>
      <c r="H16" s="4">
        <v>1250.0</v>
      </c>
      <c r="I16" s="4">
        <v>2480.0</v>
      </c>
      <c r="S16" s="15"/>
    </row>
    <row r="17">
      <c r="A17" s="67" t="str">
        <f t="shared" si="1"/>
        <v>Wed</v>
      </c>
      <c r="B17" s="69">
        <v>43523.0</v>
      </c>
      <c r="H17" s="4">
        <v>1230.0</v>
      </c>
      <c r="S17" s="15"/>
    </row>
    <row r="18">
      <c r="A18" s="67" t="str">
        <f t="shared" si="1"/>
        <v>Thu</v>
      </c>
      <c r="B18" s="69">
        <v>43524.0</v>
      </c>
      <c r="H18" s="4">
        <v>810.0</v>
      </c>
      <c r="J18" s="4">
        <v>810.0</v>
      </c>
      <c r="S18" s="15"/>
    </row>
    <row r="19">
      <c r="A19" s="67" t="str">
        <f t="shared" si="1"/>
        <v>Fri</v>
      </c>
      <c r="B19" s="69">
        <v>43525.0</v>
      </c>
      <c r="H19" s="4">
        <v>810.0</v>
      </c>
      <c r="J19" s="4">
        <v>810.0</v>
      </c>
      <c r="S19" s="15"/>
    </row>
    <row r="20">
      <c r="A20" s="67" t="str">
        <f t="shared" si="1"/>
        <v>Sat</v>
      </c>
      <c r="B20" s="69">
        <v>43526.0</v>
      </c>
      <c r="H20" s="4">
        <v>5200.0</v>
      </c>
      <c r="J20" s="4">
        <v>5200.0</v>
      </c>
      <c r="S20" s="15"/>
    </row>
    <row r="21">
      <c r="A21" s="67" t="str">
        <f t="shared" si="1"/>
        <v>Sun</v>
      </c>
      <c r="B21" s="69">
        <v>43527.0</v>
      </c>
      <c r="H21" s="4">
        <v>1960.0</v>
      </c>
      <c r="I21" s="4">
        <v>1960.0</v>
      </c>
      <c r="S21" s="15"/>
    </row>
    <row r="22">
      <c r="A22" s="67" t="str">
        <f t="shared" si="1"/>
        <v>Mon</v>
      </c>
      <c r="B22" s="69">
        <v>43528.0</v>
      </c>
      <c r="H22" s="4">
        <v>750.0</v>
      </c>
      <c r="I22" s="4">
        <v>350.0</v>
      </c>
      <c r="J22" s="4">
        <v>400.0</v>
      </c>
      <c r="S22" s="15"/>
    </row>
    <row r="23">
      <c r="A23" s="67" t="str">
        <f t="shared" si="1"/>
        <v>Tue</v>
      </c>
      <c r="B23" s="69">
        <v>43529.0</v>
      </c>
      <c r="H23" s="4">
        <v>4186.0</v>
      </c>
      <c r="J23" s="4">
        <v>4186.0</v>
      </c>
      <c r="S23" s="15"/>
    </row>
    <row r="24">
      <c r="A24" s="67" t="str">
        <f t="shared" si="1"/>
        <v>Wed</v>
      </c>
      <c r="B24" s="69">
        <v>43530.0</v>
      </c>
      <c r="S24" s="15"/>
    </row>
    <row r="25">
      <c r="A25" s="67" t="str">
        <f t="shared" si="1"/>
        <v>Thu</v>
      </c>
      <c r="B25" s="69">
        <v>43531.0</v>
      </c>
      <c r="H25">
        <f t="shared" ref="H25:J25" si="2">SUM(H15:H23)</f>
        <v>18996</v>
      </c>
      <c r="I25">
        <f t="shared" si="2"/>
        <v>7590</v>
      </c>
      <c r="J25">
        <f t="shared" si="2"/>
        <v>11406</v>
      </c>
      <c r="S25" s="15"/>
    </row>
    <row r="26">
      <c r="A26" s="67" t="str">
        <f t="shared" si="1"/>
        <v>Fri</v>
      </c>
      <c r="B26" s="69">
        <v>43532.0</v>
      </c>
      <c r="S26" s="15"/>
    </row>
    <row r="27">
      <c r="A27" s="67" t="str">
        <f t="shared" si="1"/>
        <v>Sat</v>
      </c>
      <c r="B27" s="69">
        <v>43533.0</v>
      </c>
      <c r="I27" s="4">
        <v>6190.0</v>
      </c>
      <c r="S27" s="15"/>
    </row>
    <row r="28">
      <c r="A28" s="67" t="str">
        <f t="shared" si="1"/>
        <v>Sun</v>
      </c>
      <c r="B28" s="69">
        <v>43534.0</v>
      </c>
      <c r="I28" s="4">
        <v>1400.0</v>
      </c>
      <c r="S28" s="15"/>
    </row>
    <row r="29">
      <c r="A29" s="67" t="str">
        <f t="shared" si="1"/>
        <v>Mon</v>
      </c>
      <c r="B29" s="69">
        <v>43535.0</v>
      </c>
      <c r="S29" s="15"/>
      <c r="W29" s="253"/>
      <c r="X29" s="253"/>
      <c r="Y29" s="253"/>
      <c r="Z29" s="253"/>
    </row>
    <row r="30">
      <c r="A30" s="67" t="str">
        <f t="shared" si="1"/>
        <v>Tue</v>
      </c>
      <c r="B30" s="69">
        <v>43536.0</v>
      </c>
      <c r="S30" s="15"/>
      <c r="W30" s="253"/>
      <c r="X30" s="254"/>
      <c r="Y30" s="254"/>
      <c r="Z30" s="253"/>
    </row>
    <row r="31">
      <c r="A31" s="67" t="str">
        <f t="shared" si="1"/>
        <v>Wed</v>
      </c>
      <c r="B31" s="69">
        <v>43537.0</v>
      </c>
      <c r="S31" s="15"/>
      <c r="W31" s="255"/>
      <c r="X31" s="256" t="s">
        <v>2551</v>
      </c>
      <c r="Y31" s="257"/>
      <c r="Z31" s="258"/>
    </row>
    <row r="32">
      <c r="A32" s="67" t="str">
        <f t="shared" si="1"/>
        <v>Thu</v>
      </c>
      <c r="B32" s="69">
        <v>43538.0</v>
      </c>
      <c r="S32" s="15"/>
      <c r="W32" s="255"/>
      <c r="X32" s="259" t="s">
        <v>2552</v>
      </c>
      <c r="Y32" s="260">
        <v>400.0</v>
      </c>
      <c r="Z32" s="258"/>
    </row>
    <row r="33">
      <c r="A33" s="67" t="str">
        <f t="shared" si="1"/>
        <v>Fri</v>
      </c>
      <c r="B33" s="69">
        <v>43539.0</v>
      </c>
      <c r="S33" s="15"/>
      <c r="W33" s="255"/>
      <c r="X33" s="261" t="s">
        <v>2553</v>
      </c>
      <c r="Y33" s="262">
        <v>350.0</v>
      </c>
      <c r="Z33" s="258"/>
    </row>
    <row r="34">
      <c r="A34" s="67" t="str">
        <f t="shared" si="1"/>
        <v>Sat</v>
      </c>
      <c r="B34" s="69">
        <v>43540.0</v>
      </c>
      <c r="S34" s="15"/>
      <c r="W34" s="255"/>
      <c r="X34" s="261" t="s">
        <v>2554</v>
      </c>
      <c r="Y34" s="262">
        <v>300.0</v>
      </c>
      <c r="Z34" s="258"/>
    </row>
    <row r="35">
      <c r="A35" s="67" t="str">
        <f t="shared" si="1"/>
        <v>Sun</v>
      </c>
      <c r="B35" s="69">
        <v>43541.0</v>
      </c>
      <c r="S35" s="15"/>
      <c r="W35" s="255"/>
      <c r="X35" s="261" t="s">
        <v>2555</v>
      </c>
      <c r="Y35" s="262">
        <v>300.0</v>
      </c>
      <c r="Z35" s="258"/>
    </row>
    <row r="36">
      <c r="A36" s="67" t="str">
        <f t="shared" si="1"/>
        <v>Mon</v>
      </c>
      <c r="B36" s="69">
        <v>43542.0</v>
      </c>
      <c r="S36" s="15"/>
      <c r="W36" s="255"/>
      <c r="X36" s="261" t="s">
        <v>2556</v>
      </c>
      <c r="Y36" s="262">
        <v>355.0</v>
      </c>
      <c r="Z36" s="258"/>
    </row>
    <row r="37">
      <c r="A37" s="67" t="str">
        <f t="shared" si="1"/>
        <v>Tue</v>
      </c>
      <c r="B37" s="69">
        <v>43543.0</v>
      </c>
      <c r="S37" s="15"/>
      <c r="W37" s="255"/>
      <c r="X37" s="261" t="s">
        <v>2557</v>
      </c>
      <c r="Y37" s="262">
        <v>320.0</v>
      </c>
      <c r="Z37" s="258"/>
    </row>
    <row r="38">
      <c r="A38" s="67" t="str">
        <f t="shared" si="1"/>
        <v>Wed</v>
      </c>
      <c r="B38" s="69">
        <v>43544.0</v>
      </c>
      <c r="S38" s="15"/>
      <c r="W38" s="255"/>
      <c r="X38" s="261" t="s">
        <v>2558</v>
      </c>
      <c r="Y38" s="262">
        <v>320.0</v>
      </c>
      <c r="Z38" s="258"/>
    </row>
    <row r="39">
      <c r="A39" s="67" t="str">
        <f t="shared" si="1"/>
        <v>Thu</v>
      </c>
      <c r="B39" s="69">
        <v>43545.0</v>
      </c>
      <c r="S39" s="15"/>
      <c r="W39" s="255"/>
      <c r="X39" s="261" t="s">
        <v>2559</v>
      </c>
      <c r="Y39" s="262">
        <v>350.0</v>
      </c>
      <c r="Z39" s="258"/>
    </row>
    <row r="40">
      <c r="A40" s="67" t="str">
        <f t="shared" si="1"/>
        <v>Fri</v>
      </c>
      <c r="B40" s="69">
        <v>43546.0</v>
      </c>
      <c r="S40" s="15"/>
      <c r="W40" s="255"/>
      <c r="X40" s="261" t="s">
        <v>2560</v>
      </c>
      <c r="Y40" s="262">
        <v>435.0</v>
      </c>
      <c r="Z40" s="258"/>
    </row>
    <row r="41">
      <c r="A41" s="67" t="str">
        <f t="shared" si="1"/>
        <v>Sat</v>
      </c>
      <c r="B41" s="69">
        <v>43547.0</v>
      </c>
      <c r="S41" s="15"/>
      <c r="W41" s="255"/>
      <c r="X41" s="261" t="s">
        <v>2561</v>
      </c>
      <c r="Y41" s="262">
        <v>520.0</v>
      </c>
      <c r="Z41" s="258"/>
    </row>
    <row r="42">
      <c r="A42" s="67" t="str">
        <f t="shared" si="1"/>
        <v>Sun</v>
      </c>
      <c r="B42" s="69">
        <v>43548.0</v>
      </c>
      <c r="S42" s="15"/>
      <c r="W42" s="255"/>
      <c r="X42" s="261" t="s">
        <v>2562</v>
      </c>
      <c r="Y42" s="262">
        <v>940.0</v>
      </c>
      <c r="Z42" s="258"/>
    </row>
    <row r="43">
      <c r="A43" s="67" t="str">
        <f t="shared" si="1"/>
        <v>Mon</v>
      </c>
      <c r="B43" s="69">
        <v>43549.0</v>
      </c>
      <c r="S43" s="15"/>
      <c r="W43" s="255"/>
      <c r="X43" s="263" t="s">
        <v>2563</v>
      </c>
      <c r="Y43" s="264">
        <v>845.0</v>
      </c>
      <c r="Z43" s="258"/>
    </row>
    <row r="44">
      <c r="A44" s="67" t="str">
        <f t="shared" si="1"/>
        <v>Tue</v>
      </c>
      <c r="B44" s="69">
        <v>43550.0</v>
      </c>
      <c r="S44" s="15"/>
      <c r="W44" s="255"/>
      <c r="X44" s="265" t="s">
        <v>2564</v>
      </c>
      <c r="Y44" s="266"/>
      <c r="Z44" s="258"/>
    </row>
    <row r="45">
      <c r="A45" s="67" t="str">
        <f t="shared" si="1"/>
        <v>Wed</v>
      </c>
      <c r="B45" s="69">
        <v>43551.0</v>
      </c>
      <c r="S45" s="15"/>
      <c r="W45" s="253"/>
      <c r="X45" s="267"/>
      <c r="Y45" s="267"/>
      <c r="Z45" s="253"/>
    </row>
    <row r="46">
      <c r="A46" s="67" t="str">
        <f t="shared" si="1"/>
        <v>Thu</v>
      </c>
      <c r="B46" s="69">
        <v>43552.0</v>
      </c>
      <c r="S46" s="15"/>
      <c r="W46" s="253"/>
      <c r="X46" s="253"/>
      <c r="Y46" s="253"/>
      <c r="Z46" s="253"/>
    </row>
    <row r="47">
      <c r="A47" s="67" t="str">
        <f t="shared" si="1"/>
        <v>Fri</v>
      </c>
      <c r="B47" s="69">
        <v>43553.0</v>
      </c>
      <c r="S47" s="15"/>
      <c r="W47" s="253"/>
      <c r="X47" s="253"/>
      <c r="Y47" s="253"/>
      <c r="Z47" s="253"/>
    </row>
    <row r="48">
      <c r="A48" s="67" t="str">
        <f t="shared" si="1"/>
        <v>Sat</v>
      </c>
      <c r="B48" s="69">
        <v>43554.0</v>
      </c>
      <c r="S48" s="15"/>
    </row>
    <row r="49">
      <c r="A49" s="67" t="str">
        <f t="shared" si="1"/>
        <v>Sun</v>
      </c>
      <c r="B49" s="69">
        <v>43555.0</v>
      </c>
      <c r="S49" s="15"/>
    </row>
    <row r="50">
      <c r="A50" s="67" t="str">
        <f t="shared" si="1"/>
        <v>Mon</v>
      </c>
      <c r="B50" s="69">
        <v>43556.0</v>
      </c>
      <c r="S50" s="15"/>
    </row>
    <row r="51">
      <c r="A51" s="67" t="str">
        <f t="shared" si="1"/>
        <v>Tue</v>
      </c>
      <c r="B51" s="69">
        <v>43557.0</v>
      </c>
      <c r="S51" s="15"/>
    </row>
    <row r="52">
      <c r="A52" s="67" t="str">
        <f t="shared" si="1"/>
        <v>Wed</v>
      </c>
      <c r="B52" s="69">
        <v>43558.0</v>
      </c>
      <c r="S52" s="15"/>
    </row>
    <row r="53">
      <c r="A53" s="67" t="str">
        <f t="shared" si="1"/>
        <v>Thu</v>
      </c>
      <c r="B53" s="69">
        <v>43559.0</v>
      </c>
      <c r="S53" s="15"/>
    </row>
    <row r="54">
      <c r="A54" s="67" t="str">
        <f t="shared" si="1"/>
        <v>Fri</v>
      </c>
      <c r="B54" s="69">
        <v>43560.0</v>
      </c>
      <c r="S54" s="15"/>
    </row>
    <row r="55">
      <c r="A55" s="67" t="str">
        <f t="shared" si="1"/>
        <v>Sat</v>
      </c>
      <c r="B55" s="69">
        <v>43561.0</v>
      </c>
      <c r="S55" s="15"/>
    </row>
    <row r="56">
      <c r="A56" s="67" t="str">
        <f t="shared" si="1"/>
        <v>Sun</v>
      </c>
      <c r="B56" s="69">
        <v>43562.0</v>
      </c>
      <c r="S56" s="15"/>
    </row>
    <row r="57">
      <c r="A57" s="67" t="str">
        <f t="shared" si="1"/>
        <v>Mon</v>
      </c>
      <c r="B57" s="69">
        <v>43563.0</v>
      </c>
      <c r="S57" s="15"/>
    </row>
    <row r="58">
      <c r="A58" s="67" t="str">
        <f t="shared" si="1"/>
        <v>Tue</v>
      </c>
      <c r="B58" s="69">
        <v>43564.0</v>
      </c>
      <c r="S58" s="15"/>
    </row>
    <row r="59">
      <c r="A59" s="67" t="str">
        <f t="shared" si="1"/>
        <v>Wed</v>
      </c>
      <c r="B59" s="69">
        <v>43565.0</v>
      </c>
      <c r="S59" s="15"/>
    </row>
    <row r="60">
      <c r="A60" s="67" t="str">
        <f t="shared" si="1"/>
        <v>Thu</v>
      </c>
      <c r="B60" s="69">
        <v>43566.0</v>
      </c>
      <c r="S60" s="15"/>
    </row>
    <row r="61">
      <c r="A61" s="67" t="str">
        <f t="shared" si="1"/>
        <v>Fri</v>
      </c>
      <c r="B61" s="69">
        <v>43567.0</v>
      </c>
      <c r="S61" s="15"/>
    </row>
    <row r="62">
      <c r="A62" s="67" t="str">
        <f t="shared" si="1"/>
        <v>Sat</v>
      </c>
      <c r="B62" s="69">
        <v>43568.0</v>
      </c>
      <c r="S62" s="15"/>
    </row>
    <row r="63">
      <c r="A63" s="67" t="str">
        <f t="shared" si="1"/>
        <v>Sun</v>
      </c>
      <c r="B63" s="69">
        <v>43569.0</v>
      </c>
      <c r="S63" s="15"/>
    </row>
    <row r="64">
      <c r="A64" s="67" t="str">
        <f t="shared" si="1"/>
        <v>Mon</v>
      </c>
      <c r="B64" s="69">
        <v>43570.0</v>
      </c>
      <c r="S64" s="15"/>
    </row>
    <row r="65">
      <c r="A65" s="67" t="str">
        <f t="shared" si="1"/>
        <v>Tue</v>
      </c>
      <c r="B65" s="69">
        <v>43571.0</v>
      </c>
      <c r="S65" s="15"/>
    </row>
    <row r="66">
      <c r="A66" s="67" t="str">
        <f t="shared" si="1"/>
        <v>Wed</v>
      </c>
      <c r="B66" s="69">
        <v>43572.0</v>
      </c>
      <c r="S66" s="15"/>
    </row>
    <row r="67">
      <c r="A67" s="67" t="str">
        <f t="shared" si="1"/>
        <v>Thu</v>
      </c>
      <c r="B67" s="69">
        <v>43573.0</v>
      </c>
      <c r="S67" s="15"/>
    </row>
    <row r="68">
      <c r="A68" s="67" t="str">
        <f t="shared" si="1"/>
        <v>Fri</v>
      </c>
      <c r="B68" s="69">
        <v>43574.0</v>
      </c>
      <c r="S68" s="15"/>
    </row>
    <row r="69">
      <c r="A69" s="67" t="str">
        <f t="shared" si="1"/>
        <v>Sat</v>
      </c>
      <c r="B69" s="69">
        <v>43575.0</v>
      </c>
      <c r="S69" s="15"/>
    </row>
    <row r="70">
      <c r="A70" s="67" t="str">
        <f t="shared" si="1"/>
        <v>Sun</v>
      </c>
      <c r="B70" s="69">
        <v>43576.0</v>
      </c>
      <c r="S70" s="15"/>
    </row>
    <row r="71">
      <c r="A71" s="67" t="str">
        <f t="shared" si="1"/>
        <v>Mon</v>
      </c>
      <c r="B71" s="69">
        <v>43577.0</v>
      </c>
      <c r="S71" s="15"/>
    </row>
    <row r="72">
      <c r="A72" s="67" t="str">
        <f t="shared" si="1"/>
        <v>Tue</v>
      </c>
      <c r="B72" s="69">
        <v>43578.0</v>
      </c>
      <c r="S72" s="15"/>
    </row>
    <row r="73">
      <c r="A73" s="67" t="str">
        <f t="shared" si="1"/>
        <v>Wed</v>
      </c>
      <c r="B73" s="69">
        <v>43579.0</v>
      </c>
      <c r="S73" s="15"/>
    </row>
    <row r="74">
      <c r="A74" s="67" t="str">
        <f t="shared" si="1"/>
        <v>Thu</v>
      </c>
      <c r="B74" s="69">
        <v>43580.0</v>
      </c>
      <c r="S74" s="15"/>
    </row>
    <row r="75">
      <c r="A75" s="67" t="str">
        <f t="shared" si="1"/>
        <v>Fri</v>
      </c>
      <c r="B75" s="69">
        <v>43581.0</v>
      </c>
      <c r="S75" s="15"/>
    </row>
    <row r="76">
      <c r="A76" s="67" t="str">
        <f t="shared" si="1"/>
        <v>Sat</v>
      </c>
      <c r="B76" s="69">
        <v>43582.0</v>
      </c>
      <c r="S76" s="15"/>
    </row>
    <row r="77">
      <c r="A77" s="67" t="str">
        <f t="shared" si="1"/>
        <v>Sun</v>
      </c>
      <c r="B77" s="69">
        <v>43583.0</v>
      </c>
      <c r="S77" s="15"/>
    </row>
    <row r="78">
      <c r="A78" s="67" t="str">
        <f t="shared" si="1"/>
        <v>Mon</v>
      </c>
      <c r="B78" s="69">
        <v>43584.0</v>
      </c>
      <c r="S78" s="15"/>
    </row>
    <row r="79">
      <c r="A79" s="67" t="str">
        <f t="shared" si="1"/>
        <v>Tue</v>
      </c>
      <c r="B79" s="69">
        <v>43585.0</v>
      </c>
      <c r="S79" s="15"/>
    </row>
    <row r="80">
      <c r="A80" s="67" t="str">
        <f t="shared" si="1"/>
        <v>Wed</v>
      </c>
      <c r="B80" s="69">
        <v>43586.0</v>
      </c>
      <c r="S80" s="15"/>
    </row>
    <row r="81">
      <c r="A81" s="67" t="str">
        <f t="shared" si="1"/>
        <v>Thu</v>
      </c>
      <c r="B81" s="69">
        <v>43587.0</v>
      </c>
      <c r="S81" s="15"/>
    </row>
    <row r="82">
      <c r="A82" s="67" t="str">
        <f t="shared" si="1"/>
        <v>Fri</v>
      </c>
      <c r="B82" s="69">
        <v>43588.0</v>
      </c>
      <c r="S82" s="15"/>
    </row>
    <row r="83">
      <c r="A83" s="67" t="str">
        <f t="shared" si="1"/>
        <v>Sat</v>
      </c>
      <c r="B83" s="69">
        <v>43589.0</v>
      </c>
      <c r="S83" s="15"/>
    </row>
    <row r="84">
      <c r="A84" s="67" t="str">
        <f t="shared" si="1"/>
        <v>Sun</v>
      </c>
      <c r="B84" s="69">
        <v>43590.0</v>
      </c>
      <c r="S84" s="15"/>
    </row>
    <row r="85">
      <c r="A85" s="67" t="str">
        <f t="shared" si="1"/>
        <v>Mon</v>
      </c>
      <c r="B85" s="69">
        <v>43591.0</v>
      </c>
      <c r="S85" s="15"/>
    </row>
    <row r="86">
      <c r="A86" s="67" t="str">
        <f t="shared" si="1"/>
        <v>Tue</v>
      </c>
      <c r="B86" s="69">
        <v>43592.0</v>
      </c>
      <c r="S86" s="15"/>
    </row>
    <row r="87">
      <c r="A87" s="67" t="str">
        <f t="shared" si="1"/>
        <v>Wed</v>
      </c>
      <c r="B87" s="69">
        <v>43593.0</v>
      </c>
      <c r="S87" s="15"/>
    </row>
    <row r="88">
      <c r="A88" s="67" t="str">
        <f t="shared" si="1"/>
        <v>Thu</v>
      </c>
      <c r="B88" s="69">
        <v>43594.0</v>
      </c>
      <c r="S88" s="15"/>
    </row>
    <row r="89">
      <c r="A89" s="67" t="str">
        <f t="shared" si="1"/>
        <v>Fri</v>
      </c>
      <c r="B89" s="69">
        <v>43595.0</v>
      </c>
      <c r="S89" s="15"/>
    </row>
    <row r="90">
      <c r="A90" s="67" t="str">
        <f t="shared" si="1"/>
        <v>Sat</v>
      </c>
      <c r="B90" s="69">
        <v>43596.0</v>
      </c>
      <c r="S90" s="15"/>
    </row>
    <row r="91">
      <c r="A91" s="67" t="str">
        <f t="shared" si="1"/>
        <v>Sun</v>
      </c>
      <c r="B91" s="69">
        <v>43597.0</v>
      </c>
      <c r="S91" s="15"/>
    </row>
    <row r="92">
      <c r="A92" s="67" t="str">
        <f t="shared" si="1"/>
        <v>Mon</v>
      </c>
      <c r="B92" s="69">
        <v>43598.0</v>
      </c>
      <c r="S92" s="15"/>
    </row>
    <row r="93">
      <c r="A93" s="67" t="str">
        <f t="shared" si="1"/>
        <v>Tue</v>
      </c>
      <c r="B93" s="69">
        <v>43599.0</v>
      </c>
      <c r="S93" s="15"/>
    </row>
    <row r="94">
      <c r="A94" s="67" t="str">
        <f t="shared" si="1"/>
        <v>Wed</v>
      </c>
      <c r="B94" s="69">
        <v>43600.0</v>
      </c>
      <c r="S94" s="15"/>
    </row>
    <row r="95">
      <c r="A95" s="67" t="str">
        <f t="shared" si="1"/>
        <v>Thu</v>
      </c>
      <c r="B95" s="69">
        <v>43601.0</v>
      </c>
      <c r="S95" s="15"/>
    </row>
    <row r="96">
      <c r="A96" s="67" t="str">
        <f t="shared" si="1"/>
        <v>Fri</v>
      </c>
      <c r="B96" s="69">
        <v>43602.0</v>
      </c>
      <c r="S96" s="15"/>
    </row>
    <row r="97">
      <c r="A97" s="67" t="str">
        <f t="shared" si="1"/>
        <v>Sat</v>
      </c>
      <c r="B97" s="69">
        <v>43603.0</v>
      </c>
      <c r="S97" s="15"/>
    </row>
    <row r="98">
      <c r="A98" s="67" t="str">
        <f t="shared" si="1"/>
        <v>Sun</v>
      </c>
      <c r="B98" s="69">
        <v>43604.0</v>
      </c>
      <c r="S98" s="15"/>
    </row>
    <row r="99">
      <c r="A99" s="67" t="str">
        <f t="shared" si="1"/>
        <v>Mon</v>
      </c>
      <c r="B99" s="69">
        <v>43605.0</v>
      </c>
      <c r="S99" s="15"/>
    </row>
    <row r="100">
      <c r="A100" s="67" t="str">
        <f t="shared" si="1"/>
        <v>Tue</v>
      </c>
      <c r="B100" s="69">
        <v>43606.0</v>
      </c>
      <c r="S100" s="15"/>
    </row>
    <row r="101">
      <c r="A101" s="67" t="str">
        <f t="shared" si="1"/>
        <v>Wed</v>
      </c>
      <c r="B101" s="69">
        <v>43607.0</v>
      </c>
      <c r="S101" s="15"/>
    </row>
    <row r="102">
      <c r="A102" s="67" t="str">
        <f t="shared" si="1"/>
        <v>Thu</v>
      </c>
      <c r="B102" s="69">
        <v>43608.0</v>
      </c>
      <c r="S102" s="15"/>
    </row>
    <row r="103">
      <c r="A103" s="67" t="str">
        <f t="shared" si="1"/>
        <v>Fri</v>
      </c>
      <c r="B103" s="69">
        <v>43609.0</v>
      </c>
      <c r="S103" s="15"/>
    </row>
    <row r="104">
      <c r="A104" s="67" t="str">
        <f t="shared" si="1"/>
        <v>Sat</v>
      </c>
      <c r="B104" s="69">
        <v>43610.0</v>
      </c>
      <c r="S104" s="15"/>
    </row>
    <row r="105">
      <c r="A105" s="67" t="str">
        <f t="shared" si="1"/>
        <v>Sun</v>
      </c>
      <c r="B105" s="69">
        <v>43611.0</v>
      </c>
      <c r="S105" s="15"/>
    </row>
    <row r="106">
      <c r="A106" s="67" t="str">
        <f t="shared" si="1"/>
        <v>Mon</v>
      </c>
      <c r="B106" s="69">
        <v>43612.0</v>
      </c>
      <c r="S106" s="15"/>
    </row>
    <row r="107">
      <c r="A107" s="67" t="str">
        <f t="shared" si="1"/>
        <v>Tue</v>
      </c>
      <c r="B107" s="69">
        <v>43613.0</v>
      </c>
      <c r="S107" s="15"/>
    </row>
    <row r="108">
      <c r="A108" s="67" t="str">
        <f t="shared" si="1"/>
        <v>Wed</v>
      </c>
      <c r="B108" s="69">
        <v>43614.0</v>
      </c>
      <c r="S108" s="15"/>
    </row>
    <row r="109">
      <c r="A109" s="67" t="str">
        <f t="shared" si="1"/>
        <v>Thu</v>
      </c>
      <c r="B109" s="69">
        <v>43615.0</v>
      </c>
      <c r="S109" s="15"/>
    </row>
    <row r="110">
      <c r="A110" s="67" t="str">
        <f t="shared" si="1"/>
        <v>Fri</v>
      </c>
      <c r="B110" s="69">
        <v>43616.0</v>
      </c>
      <c r="S110" s="15"/>
    </row>
    <row r="111">
      <c r="A111" s="67" t="str">
        <f t="shared" si="1"/>
        <v>Sat</v>
      </c>
      <c r="B111" s="69">
        <v>43617.0</v>
      </c>
      <c r="S111" s="15"/>
    </row>
    <row r="112">
      <c r="A112" s="67" t="str">
        <f t="shared" si="1"/>
        <v>Sun</v>
      </c>
      <c r="B112" s="69">
        <v>43618.0</v>
      </c>
      <c r="S112" s="15"/>
    </row>
    <row r="113">
      <c r="A113" s="67" t="str">
        <f t="shared" si="1"/>
        <v>Mon</v>
      </c>
      <c r="B113" s="69">
        <v>43619.0</v>
      </c>
      <c r="S113" s="15"/>
    </row>
    <row r="114">
      <c r="A114" s="67" t="str">
        <f t="shared" si="1"/>
        <v>Tue</v>
      </c>
      <c r="B114" s="69">
        <v>43620.0</v>
      </c>
      <c r="S114" s="15"/>
    </row>
    <row r="115">
      <c r="A115" s="67" t="str">
        <f t="shared" si="1"/>
        <v>Wed</v>
      </c>
      <c r="B115" s="69">
        <v>43621.0</v>
      </c>
      <c r="S115" s="15"/>
    </row>
    <row r="116">
      <c r="A116" s="67" t="str">
        <f t="shared" si="1"/>
        <v>Thu</v>
      </c>
      <c r="B116" s="69">
        <v>43622.0</v>
      </c>
      <c r="S116" s="15"/>
    </row>
    <row r="117">
      <c r="A117" s="67" t="str">
        <f t="shared" si="1"/>
        <v>Fri</v>
      </c>
      <c r="B117" s="69">
        <v>43623.0</v>
      </c>
      <c r="S117" s="15"/>
    </row>
    <row r="118">
      <c r="A118" s="67" t="str">
        <f t="shared" si="1"/>
        <v>Sat</v>
      </c>
      <c r="B118" s="69">
        <v>43624.0</v>
      </c>
      <c r="S118" s="15"/>
    </row>
    <row r="119">
      <c r="A119" s="67" t="str">
        <f t="shared" si="1"/>
        <v>Sun</v>
      </c>
      <c r="B119" s="69">
        <v>43625.0</v>
      </c>
      <c r="S119" s="15"/>
    </row>
    <row r="120">
      <c r="A120" s="67" t="str">
        <f t="shared" si="1"/>
        <v>Mon</v>
      </c>
      <c r="B120" s="69">
        <v>43626.0</v>
      </c>
      <c r="S120" s="15"/>
    </row>
    <row r="121">
      <c r="A121" s="67" t="str">
        <f t="shared" si="1"/>
        <v>Tue</v>
      </c>
      <c r="B121" s="69">
        <v>43627.0</v>
      </c>
      <c r="S121" s="15"/>
    </row>
    <row r="122">
      <c r="A122" s="67" t="str">
        <f t="shared" si="1"/>
        <v>Wed</v>
      </c>
      <c r="B122" s="69">
        <v>43628.0</v>
      </c>
      <c r="S122" s="15"/>
    </row>
    <row r="123">
      <c r="A123" s="67" t="str">
        <f t="shared" si="1"/>
        <v>Thu</v>
      </c>
      <c r="B123" s="69">
        <v>43629.0</v>
      </c>
      <c r="S123" s="15"/>
    </row>
    <row r="124">
      <c r="A124" s="67" t="str">
        <f t="shared" si="1"/>
        <v>Fri</v>
      </c>
      <c r="B124" s="69">
        <v>43630.0</v>
      </c>
      <c r="S124" s="15"/>
    </row>
    <row r="125">
      <c r="A125" s="67" t="str">
        <f t="shared" si="1"/>
        <v>Sat</v>
      </c>
      <c r="B125" s="69">
        <v>43631.0</v>
      </c>
      <c r="S125" s="15"/>
    </row>
    <row r="126">
      <c r="A126" s="67" t="str">
        <f t="shared" si="1"/>
        <v>Sun</v>
      </c>
      <c r="B126" s="69">
        <v>43632.0</v>
      </c>
      <c r="S126" s="15"/>
    </row>
    <row r="127">
      <c r="A127" s="67" t="str">
        <f t="shared" si="1"/>
        <v>Mon</v>
      </c>
      <c r="B127" s="69">
        <v>43633.0</v>
      </c>
      <c r="S127" s="15"/>
    </row>
    <row r="128">
      <c r="A128" s="67" t="str">
        <f t="shared" si="1"/>
        <v>Tue</v>
      </c>
      <c r="B128" s="69">
        <v>43634.0</v>
      </c>
      <c r="S128" s="15"/>
    </row>
    <row r="129">
      <c r="A129" s="67" t="str">
        <f t="shared" si="1"/>
        <v>Wed</v>
      </c>
      <c r="B129" s="69">
        <v>43635.0</v>
      </c>
      <c r="S129" s="15"/>
    </row>
    <row r="130">
      <c r="A130" s="67" t="str">
        <f t="shared" si="1"/>
        <v>Thu</v>
      </c>
      <c r="B130" s="69">
        <v>43636.0</v>
      </c>
      <c r="S130" s="15"/>
    </row>
    <row r="131">
      <c r="A131" s="67" t="str">
        <f t="shared" si="1"/>
        <v>Fri</v>
      </c>
      <c r="B131" s="69">
        <v>43637.0</v>
      </c>
      <c r="S131" s="15"/>
    </row>
    <row r="132">
      <c r="A132" s="67" t="str">
        <f t="shared" si="1"/>
        <v>Sat</v>
      </c>
      <c r="B132" s="69">
        <v>43638.0</v>
      </c>
      <c r="S132" s="15"/>
    </row>
    <row r="133">
      <c r="A133" s="67" t="str">
        <f t="shared" si="1"/>
        <v>Sun</v>
      </c>
      <c r="B133" s="69">
        <v>43639.0</v>
      </c>
      <c r="S133" s="15"/>
    </row>
    <row r="134">
      <c r="A134" s="67" t="str">
        <f t="shared" si="1"/>
        <v>Mon</v>
      </c>
      <c r="B134" s="69">
        <v>43640.0</v>
      </c>
      <c r="S134" s="15"/>
    </row>
    <row r="135">
      <c r="A135" s="67" t="str">
        <f t="shared" si="1"/>
        <v>Tue</v>
      </c>
      <c r="B135" s="69">
        <v>43641.0</v>
      </c>
      <c r="S135" s="15"/>
    </row>
    <row r="136">
      <c r="A136" s="67" t="str">
        <f t="shared" si="1"/>
        <v>Wed</v>
      </c>
      <c r="B136" s="69">
        <v>43642.0</v>
      </c>
      <c r="S136" s="15"/>
    </row>
    <row r="137">
      <c r="A137" s="67" t="str">
        <f t="shared" si="1"/>
        <v>Thu</v>
      </c>
      <c r="B137" s="69">
        <v>43643.0</v>
      </c>
      <c r="S137" s="15"/>
    </row>
    <row r="138">
      <c r="A138" s="67" t="str">
        <f t="shared" si="1"/>
        <v>Fri</v>
      </c>
      <c r="B138" s="69">
        <v>43644.0</v>
      </c>
      <c r="S138" s="15"/>
    </row>
    <row r="139">
      <c r="A139" s="67" t="str">
        <f t="shared" si="1"/>
        <v>Sat</v>
      </c>
      <c r="B139" s="69">
        <v>43645.0</v>
      </c>
      <c r="S139" s="15"/>
    </row>
    <row r="140">
      <c r="A140" s="67" t="str">
        <f t="shared" si="1"/>
        <v>Sun</v>
      </c>
      <c r="B140" s="69">
        <v>43646.0</v>
      </c>
      <c r="S140" s="15"/>
    </row>
    <row r="141">
      <c r="A141" s="67" t="str">
        <f t="shared" si="1"/>
        <v>Mon</v>
      </c>
      <c r="B141" s="69">
        <v>43647.0</v>
      </c>
      <c r="S141" s="15"/>
    </row>
    <row r="142">
      <c r="A142" s="67" t="str">
        <f t="shared" si="1"/>
        <v>Tue</v>
      </c>
      <c r="B142" s="69">
        <v>43648.0</v>
      </c>
      <c r="S142" s="15"/>
    </row>
    <row r="143">
      <c r="A143" s="67" t="str">
        <f t="shared" si="1"/>
        <v>Wed</v>
      </c>
      <c r="B143" s="69">
        <v>43649.0</v>
      </c>
      <c r="S143" s="15"/>
    </row>
    <row r="144">
      <c r="A144" s="67" t="str">
        <f t="shared" si="1"/>
        <v>Thu</v>
      </c>
      <c r="B144" s="69">
        <v>43650.0</v>
      </c>
      <c r="S144" s="15"/>
    </row>
    <row r="145">
      <c r="A145" s="67" t="str">
        <f t="shared" si="1"/>
        <v>Fri</v>
      </c>
      <c r="B145" s="69">
        <v>43651.0</v>
      </c>
      <c r="S145" s="15"/>
    </row>
    <row r="146">
      <c r="A146" s="67" t="str">
        <f t="shared" si="1"/>
        <v>Sat</v>
      </c>
      <c r="B146" s="69">
        <v>43652.0</v>
      </c>
      <c r="S146" s="15"/>
    </row>
    <row r="147">
      <c r="A147" s="67" t="str">
        <f t="shared" si="1"/>
        <v>Sun</v>
      </c>
      <c r="B147" s="69">
        <v>43653.0</v>
      </c>
      <c r="S147" s="15"/>
    </row>
    <row r="148">
      <c r="A148" s="67" t="str">
        <f t="shared" si="1"/>
        <v>Mon</v>
      </c>
      <c r="B148" s="69">
        <v>43654.0</v>
      </c>
      <c r="S148" s="15"/>
    </row>
    <row r="149">
      <c r="A149" s="67" t="str">
        <f t="shared" si="1"/>
        <v>Tue</v>
      </c>
      <c r="B149" s="69">
        <v>43655.0</v>
      </c>
      <c r="S149" s="15"/>
    </row>
    <row r="150">
      <c r="A150" s="67" t="str">
        <f t="shared" si="1"/>
        <v>Wed</v>
      </c>
      <c r="B150" s="69">
        <v>43656.0</v>
      </c>
      <c r="S150" s="15"/>
    </row>
    <row r="151">
      <c r="A151" s="67" t="str">
        <f t="shared" si="1"/>
        <v>Thu</v>
      </c>
      <c r="B151" s="69">
        <v>43657.0</v>
      </c>
      <c r="S151" s="15"/>
    </row>
    <row r="152">
      <c r="A152" s="67" t="str">
        <f t="shared" si="1"/>
        <v>Fri</v>
      </c>
      <c r="B152" s="69">
        <v>43658.0</v>
      </c>
      <c r="S152" s="15"/>
    </row>
    <row r="153">
      <c r="A153" s="67" t="str">
        <f t="shared" si="1"/>
        <v>Sat</v>
      </c>
      <c r="B153" s="69">
        <v>43659.0</v>
      </c>
      <c r="S153" s="15"/>
    </row>
    <row r="154">
      <c r="A154" s="67" t="str">
        <f t="shared" si="1"/>
        <v>Sun</v>
      </c>
      <c r="B154" s="69">
        <v>43660.0</v>
      </c>
      <c r="S154" s="15"/>
    </row>
    <row r="155">
      <c r="A155" s="67" t="str">
        <f t="shared" si="1"/>
        <v>Mon</v>
      </c>
      <c r="B155" s="69">
        <v>43661.0</v>
      </c>
      <c r="S155" s="15"/>
    </row>
    <row r="156">
      <c r="A156" s="67" t="str">
        <f t="shared" si="1"/>
        <v>Tue</v>
      </c>
      <c r="B156" s="69">
        <v>43662.0</v>
      </c>
      <c r="S156" s="15"/>
    </row>
    <row r="157">
      <c r="A157" s="67" t="str">
        <f t="shared" si="1"/>
        <v>Wed</v>
      </c>
      <c r="B157" s="69">
        <v>43663.0</v>
      </c>
      <c r="S157" s="15"/>
    </row>
    <row r="158">
      <c r="A158" s="67" t="str">
        <f t="shared" si="1"/>
        <v>Thu</v>
      </c>
      <c r="B158" s="69">
        <v>43664.0</v>
      </c>
      <c r="S158" s="15"/>
    </row>
    <row r="159">
      <c r="A159" s="67" t="str">
        <f t="shared" si="1"/>
        <v>Fri</v>
      </c>
      <c r="B159" s="69">
        <v>43665.0</v>
      </c>
      <c r="S159" s="15"/>
    </row>
    <row r="160">
      <c r="A160" s="67" t="str">
        <f t="shared" si="1"/>
        <v>Sat</v>
      </c>
      <c r="B160" s="69">
        <v>43666.0</v>
      </c>
      <c r="S160" s="15"/>
    </row>
    <row r="161">
      <c r="A161" s="67" t="str">
        <f t="shared" si="1"/>
        <v>Sun</v>
      </c>
      <c r="B161" s="69">
        <v>43667.0</v>
      </c>
      <c r="S161" s="15"/>
    </row>
    <row r="162">
      <c r="A162" s="67" t="str">
        <f t="shared" si="1"/>
        <v>Mon</v>
      </c>
      <c r="B162" s="69">
        <v>43668.0</v>
      </c>
      <c r="S162" s="15"/>
    </row>
    <row r="163">
      <c r="A163" s="67" t="str">
        <f t="shared" si="1"/>
        <v>Tue</v>
      </c>
      <c r="B163" s="69">
        <v>43669.0</v>
      </c>
      <c r="S163" s="15"/>
    </row>
    <row r="164">
      <c r="A164" s="67" t="str">
        <f t="shared" si="1"/>
        <v>Wed</v>
      </c>
      <c r="B164" s="69">
        <v>43670.0</v>
      </c>
      <c r="S164" s="15"/>
    </row>
    <row r="165">
      <c r="A165" s="67" t="str">
        <f t="shared" si="1"/>
        <v>Thu</v>
      </c>
      <c r="B165" s="69">
        <v>43671.0</v>
      </c>
      <c r="S165" s="15"/>
    </row>
    <row r="166">
      <c r="A166" s="67" t="str">
        <f t="shared" si="1"/>
        <v>Fri</v>
      </c>
      <c r="B166" s="69">
        <v>43672.0</v>
      </c>
      <c r="S166" s="15"/>
    </row>
    <row r="167">
      <c r="A167" s="67" t="str">
        <f t="shared" si="1"/>
        <v>Sat</v>
      </c>
      <c r="B167" s="69">
        <v>43673.0</v>
      </c>
      <c r="S167" s="15"/>
    </row>
    <row r="168">
      <c r="A168" s="67" t="str">
        <f t="shared" si="1"/>
        <v>Sun</v>
      </c>
      <c r="B168" s="69">
        <v>43674.0</v>
      </c>
      <c r="S168" s="15"/>
    </row>
    <row r="169">
      <c r="A169" s="67" t="str">
        <f t="shared" si="1"/>
        <v>Mon</v>
      </c>
      <c r="B169" s="69">
        <v>43675.0</v>
      </c>
      <c r="S169" s="15"/>
    </row>
    <row r="170">
      <c r="A170" s="67" t="str">
        <f t="shared" si="1"/>
        <v>Tue</v>
      </c>
      <c r="B170" s="69">
        <v>43676.0</v>
      </c>
      <c r="S170" s="15"/>
    </row>
    <row r="171">
      <c r="A171" s="67" t="str">
        <f t="shared" si="1"/>
        <v>Wed</v>
      </c>
      <c r="B171" s="69">
        <v>43677.0</v>
      </c>
      <c r="S171" s="15"/>
    </row>
    <row r="172">
      <c r="A172" s="67" t="str">
        <f t="shared" si="1"/>
        <v>Thu</v>
      </c>
      <c r="B172" s="69">
        <v>43678.0</v>
      </c>
      <c r="S172" s="15"/>
    </row>
    <row r="173">
      <c r="A173" s="67" t="str">
        <f t="shared" si="1"/>
        <v>Fri</v>
      </c>
      <c r="B173" s="69">
        <v>43679.0</v>
      </c>
      <c r="S173" s="15"/>
    </row>
    <row r="174">
      <c r="A174" s="67" t="str">
        <f t="shared" si="1"/>
        <v>Sat</v>
      </c>
      <c r="B174" s="69">
        <v>43680.0</v>
      </c>
      <c r="S174" s="15"/>
    </row>
    <row r="175">
      <c r="A175" s="67" t="str">
        <f t="shared" si="1"/>
        <v>Sun</v>
      </c>
      <c r="B175" s="69">
        <v>43681.0</v>
      </c>
      <c r="S175" s="15"/>
    </row>
    <row r="176">
      <c r="A176" s="67" t="str">
        <f t="shared" si="1"/>
        <v>Mon</v>
      </c>
      <c r="B176" s="69">
        <v>43682.0</v>
      </c>
      <c r="S176" s="15"/>
    </row>
    <row r="177">
      <c r="A177" s="67" t="str">
        <f t="shared" si="1"/>
        <v>Tue</v>
      </c>
      <c r="B177" s="69">
        <v>43683.0</v>
      </c>
      <c r="S177" s="15"/>
    </row>
    <row r="178">
      <c r="A178" s="67" t="str">
        <f t="shared" si="1"/>
        <v>Wed</v>
      </c>
      <c r="B178" s="69">
        <v>43684.0</v>
      </c>
      <c r="S178" s="15"/>
    </row>
    <row r="179">
      <c r="A179" s="67" t="str">
        <f t="shared" si="1"/>
        <v>Thu</v>
      </c>
      <c r="B179" s="69">
        <v>43685.0</v>
      </c>
      <c r="S179" s="15"/>
    </row>
    <row r="180">
      <c r="A180" s="67" t="str">
        <f t="shared" si="1"/>
        <v>Fri</v>
      </c>
      <c r="B180" s="69">
        <v>43686.0</v>
      </c>
      <c r="S180" s="15"/>
    </row>
    <row r="181">
      <c r="A181" s="67" t="str">
        <f t="shared" si="1"/>
        <v>Sat</v>
      </c>
      <c r="B181" s="69">
        <v>43687.0</v>
      </c>
      <c r="S181" s="15"/>
    </row>
    <row r="182">
      <c r="A182" s="67" t="str">
        <f t="shared" si="1"/>
        <v>Sun</v>
      </c>
      <c r="B182" s="69">
        <v>43688.0</v>
      </c>
      <c r="S182" s="15"/>
    </row>
    <row r="183">
      <c r="A183" s="67" t="str">
        <f t="shared" si="1"/>
        <v>Mon</v>
      </c>
      <c r="B183" s="69">
        <v>43689.0</v>
      </c>
      <c r="S183" s="15"/>
    </row>
    <row r="184">
      <c r="A184" s="67" t="str">
        <f t="shared" si="1"/>
        <v>Tue</v>
      </c>
      <c r="B184" s="69">
        <v>43690.0</v>
      </c>
      <c r="S184" s="15"/>
    </row>
    <row r="185">
      <c r="A185" s="67" t="str">
        <f t="shared" si="1"/>
        <v>Wed</v>
      </c>
      <c r="B185" s="69">
        <v>43691.0</v>
      </c>
      <c r="S185" s="15"/>
    </row>
    <row r="186">
      <c r="A186" s="67" t="str">
        <f t="shared" si="1"/>
        <v>Thu</v>
      </c>
      <c r="B186" s="69">
        <v>43692.0</v>
      </c>
      <c r="S186" s="15"/>
    </row>
    <row r="187">
      <c r="A187" s="67" t="str">
        <f t="shared" si="1"/>
        <v>Fri</v>
      </c>
      <c r="B187" s="69">
        <v>43693.0</v>
      </c>
      <c r="S187" s="15"/>
    </row>
    <row r="188">
      <c r="A188" s="67" t="str">
        <f t="shared" si="1"/>
        <v>Sat</v>
      </c>
      <c r="B188" s="69">
        <v>43694.0</v>
      </c>
      <c r="S188" s="15"/>
    </row>
    <row r="189">
      <c r="A189" s="67" t="str">
        <f t="shared" si="1"/>
        <v>Sun</v>
      </c>
      <c r="B189" s="69">
        <v>43695.0</v>
      </c>
      <c r="S189" s="15"/>
    </row>
    <row r="190">
      <c r="A190" s="67" t="str">
        <f t="shared" si="1"/>
        <v>Mon</v>
      </c>
      <c r="B190" s="69">
        <v>43696.0</v>
      </c>
      <c r="S190" s="15"/>
    </row>
    <row r="191">
      <c r="A191" s="67" t="str">
        <f t="shared" si="1"/>
        <v>Tue</v>
      </c>
      <c r="B191" s="69">
        <v>43697.0</v>
      </c>
      <c r="S191" s="15"/>
    </row>
    <row r="192">
      <c r="A192" s="67" t="str">
        <f t="shared" si="1"/>
        <v>Wed</v>
      </c>
      <c r="B192" s="69">
        <v>43698.0</v>
      </c>
      <c r="S192" s="15"/>
    </row>
    <row r="193">
      <c r="A193" s="67" t="str">
        <f t="shared" si="1"/>
        <v>Thu</v>
      </c>
      <c r="B193" s="69">
        <v>43699.0</v>
      </c>
      <c r="S193" s="15"/>
    </row>
    <row r="194">
      <c r="A194" s="67" t="str">
        <f t="shared" si="1"/>
        <v>Fri</v>
      </c>
      <c r="B194" s="69">
        <v>43700.0</v>
      </c>
      <c r="S194" s="15"/>
    </row>
    <row r="195">
      <c r="A195" s="67" t="str">
        <f t="shared" si="1"/>
        <v>Sat</v>
      </c>
      <c r="B195" s="69">
        <v>43701.0</v>
      </c>
      <c r="S195" s="15"/>
    </row>
    <row r="196">
      <c r="A196" s="67" t="str">
        <f t="shared" si="1"/>
        <v>Sun</v>
      </c>
      <c r="B196" s="69">
        <v>43702.0</v>
      </c>
      <c r="S196" s="15"/>
    </row>
    <row r="197">
      <c r="A197" s="67" t="str">
        <f t="shared" si="1"/>
        <v>Mon</v>
      </c>
      <c r="B197" s="69">
        <v>43703.0</v>
      </c>
      <c r="S197" s="15"/>
    </row>
    <row r="198">
      <c r="A198" s="67" t="str">
        <f t="shared" si="1"/>
        <v>Tue</v>
      </c>
      <c r="B198" s="69">
        <v>43704.0</v>
      </c>
      <c r="S198" s="15"/>
    </row>
    <row r="199">
      <c r="A199" s="67" t="str">
        <f t="shared" si="1"/>
        <v>Wed</v>
      </c>
      <c r="B199" s="69">
        <v>43705.0</v>
      </c>
      <c r="S199" s="15"/>
    </row>
    <row r="200">
      <c r="A200" s="67" t="str">
        <f t="shared" si="1"/>
        <v>Thu</v>
      </c>
      <c r="B200" s="69">
        <v>43706.0</v>
      </c>
      <c r="S200" s="15"/>
    </row>
    <row r="201">
      <c r="A201" s="67" t="str">
        <f t="shared" si="1"/>
        <v>Fri</v>
      </c>
      <c r="B201" s="69">
        <v>43707.0</v>
      </c>
      <c r="S201" s="15"/>
    </row>
    <row r="202">
      <c r="A202" s="67" t="str">
        <f t="shared" si="1"/>
        <v>Sat</v>
      </c>
      <c r="B202" s="69">
        <v>43708.0</v>
      </c>
      <c r="S202" s="15"/>
    </row>
    <row r="203">
      <c r="A203" s="67" t="str">
        <f t="shared" si="1"/>
        <v>Sun</v>
      </c>
      <c r="B203" s="69">
        <v>43709.0</v>
      </c>
      <c r="S203" s="15"/>
    </row>
    <row r="204">
      <c r="A204" s="67" t="str">
        <f t="shared" si="1"/>
        <v>Mon</v>
      </c>
      <c r="B204" s="69">
        <v>43710.0</v>
      </c>
      <c r="S204" s="15"/>
    </row>
    <row r="205">
      <c r="A205" s="67" t="str">
        <f t="shared" si="1"/>
        <v>Tue</v>
      </c>
      <c r="B205" s="69">
        <v>43711.0</v>
      </c>
      <c r="S205" s="15"/>
    </row>
    <row r="206">
      <c r="A206" s="67" t="str">
        <f t="shared" si="1"/>
        <v>Wed</v>
      </c>
      <c r="B206" s="69">
        <v>43712.0</v>
      </c>
      <c r="S206" s="15"/>
    </row>
    <row r="207">
      <c r="A207" s="67" t="str">
        <f t="shared" si="1"/>
        <v>Thu</v>
      </c>
      <c r="B207" s="69">
        <v>43713.0</v>
      </c>
      <c r="S207" s="15"/>
    </row>
    <row r="208">
      <c r="A208" s="67" t="str">
        <f t="shared" si="1"/>
        <v>Fri</v>
      </c>
      <c r="B208" s="69">
        <v>43714.0</v>
      </c>
      <c r="S208" s="15"/>
    </row>
    <row r="209">
      <c r="A209" s="67" t="str">
        <f t="shared" si="1"/>
        <v>Sat</v>
      </c>
      <c r="B209" s="69">
        <v>43715.0</v>
      </c>
      <c r="S209" s="15"/>
    </row>
    <row r="210">
      <c r="A210" s="67" t="str">
        <f t="shared" si="1"/>
        <v>Sun</v>
      </c>
      <c r="B210" s="69">
        <v>43716.0</v>
      </c>
      <c r="S210" s="15"/>
    </row>
    <row r="211">
      <c r="A211" s="67" t="str">
        <f t="shared" si="1"/>
        <v>Mon</v>
      </c>
      <c r="B211" s="69">
        <v>43717.0</v>
      </c>
      <c r="S211" s="15"/>
    </row>
    <row r="212">
      <c r="A212" s="67" t="str">
        <f t="shared" si="1"/>
        <v>Tue</v>
      </c>
      <c r="B212" s="69">
        <v>43718.0</v>
      </c>
      <c r="S212" s="15"/>
    </row>
    <row r="213">
      <c r="A213" s="67" t="str">
        <f t="shared" si="1"/>
        <v>Wed</v>
      </c>
      <c r="B213" s="69">
        <v>43719.0</v>
      </c>
      <c r="S213" s="15"/>
    </row>
    <row r="214">
      <c r="A214" s="67" t="str">
        <f t="shared" si="1"/>
        <v>Thu</v>
      </c>
      <c r="B214" s="69">
        <v>43720.0</v>
      </c>
      <c r="S214" s="15"/>
    </row>
    <row r="215">
      <c r="A215" s="67" t="str">
        <f t="shared" si="1"/>
        <v>Fri</v>
      </c>
      <c r="B215" s="69">
        <v>43721.0</v>
      </c>
      <c r="S215" s="15"/>
    </row>
    <row r="216">
      <c r="A216" s="67" t="str">
        <f t="shared" si="1"/>
        <v>Sat</v>
      </c>
      <c r="B216" s="69">
        <v>43722.0</v>
      </c>
      <c r="S216" s="15"/>
    </row>
    <row r="217">
      <c r="A217" s="67" t="str">
        <f t="shared" si="1"/>
        <v>Sun</v>
      </c>
      <c r="B217" s="69">
        <v>43723.0</v>
      </c>
      <c r="S217" s="15"/>
    </row>
    <row r="218">
      <c r="A218" s="67" t="str">
        <f t="shared" si="1"/>
        <v>Mon</v>
      </c>
      <c r="B218" s="69">
        <v>43724.0</v>
      </c>
      <c r="S218" s="15"/>
    </row>
    <row r="219">
      <c r="A219" s="67" t="str">
        <f t="shared" si="1"/>
        <v>Tue</v>
      </c>
      <c r="B219" s="69">
        <v>43725.0</v>
      </c>
      <c r="S219" s="15"/>
    </row>
    <row r="220">
      <c r="A220" s="67" t="str">
        <f t="shared" si="1"/>
        <v>Wed</v>
      </c>
      <c r="B220" s="69">
        <v>43726.0</v>
      </c>
      <c r="S220" s="15"/>
    </row>
    <row r="221">
      <c r="A221" s="67" t="str">
        <f t="shared" si="1"/>
        <v>Thu</v>
      </c>
      <c r="B221" s="69">
        <v>43727.0</v>
      </c>
      <c r="S221" s="15"/>
    </row>
    <row r="222">
      <c r="A222" s="67" t="str">
        <f t="shared" si="1"/>
        <v>Fri</v>
      </c>
      <c r="B222" s="69">
        <v>43728.0</v>
      </c>
      <c r="S222" s="15"/>
    </row>
    <row r="223">
      <c r="A223" s="67" t="str">
        <f t="shared" si="1"/>
        <v>Sat</v>
      </c>
      <c r="B223" s="69">
        <v>43729.0</v>
      </c>
      <c r="S223" s="15"/>
    </row>
    <row r="224">
      <c r="A224" s="67" t="str">
        <f t="shared" si="1"/>
        <v>Sun</v>
      </c>
      <c r="B224" s="69">
        <v>43730.0</v>
      </c>
      <c r="S224" s="15"/>
    </row>
    <row r="225">
      <c r="A225" s="67" t="str">
        <f t="shared" si="1"/>
        <v>Mon</v>
      </c>
      <c r="B225" s="69">
        <v>43731.0</v>
      </c>
      <c r="S225" s="15"/>
    </row>
    <row r="226">
      <c r="A226" s="67" t="str">
        <f t="shared" si="1"/>
        <v>Tue</v>
      </c>
      <c r="B226" s="69">
        <v>43732.0</v>
      </c>
      <c r="S226" s="15"/>
    </row>
    <row r="227">
      <c r="A227" s="67" t="str">
        <f t="shared" si="1"/>
        <v>Wed</v>
      </c>
      <c r="B227" s="69">
        <v>43733.0</v>
      </c>
      <c r="S227" s="15"/>
    </row>
    <row r="228">
      <c r="A228" s="67" t="str">
        <f t="shared" si="1"/>
        <v>Thu</v>
      </c>
      <c r="B228" s="69">
        <v>43734.0</v>
      </c>
      <c r="S228" s="15"/>
    </row>
    <row r="229">
      <c r="A229" s="67" t="str">
        <f t="shared" si="1"/>
        <v>Fri</v>
      </c>
      <c r="B229" s="69">
        <v>43735.0</v>
      </c>
      <c r="S229" s="15"/>
    </row>
    <row r="230">
      <c r="A230" s="67" t="str">
        <f t="shared" si="1"/>
        <v>Sat</v>
      </c>
      <c r="B230" s="69">
        <v>43736.0</v>
      </c>
      <c r="S230" s="15"/>
    </row>
    <row r="231">
      <c r="A231" s="67" t="str">
        <f t="shared" si="1"/>
        <v>Sun</v>
      </c>
      <c r="B231" s="69">
        <v>43737.0</v>
      </c>
      <c r="S231" s="15"/>
    </row>
    <row r="232">
      <c r="A232" s="67" t="str">
        <f t="shared" si="1"/>
        <v>Mon</v>
      </c>
      <c r="B232" s="69">
        <v>43738.0</v>
      </c>
      <c r="S232" s="15"/>
    </row>
    <row r="233">
      <c r="A233" s="67" t="str">
        <f t="shared" si="1"/>
        <v>Tue</v>
      </c>
      <c r="B233" s="69">
        <v>43739.0</v>
      </c>
      <c r="S233" s="15"/>
    </row>
    <row r="234">
      <c r="A234" s="67" t="str">
        <f t="shared" si="1"/>
        <v>Wed</v>
      </c>
      <c r="B234" s="69">
        <v>43740.0</v>
      </c>
      <c r="S234" s="15"/>
    </row>
    <row r="235">
      <c r="A235" s="67" t="str">
        <f t="shared" si="1"/>
        <v>Thu</v>
      </c>
      <c r="B235" s="69">
        <v>43741.0</v>
      </c>
      <c r="S235" s="15"/>
    </row>
    <row r="236">
      <c r="A236" s="67" t="str">
        <f t="shared" si="1"/>
        <v>Fri</v>
      </c>
      <c r="B236" s="69">
        <v>43742.0</v>
      </c>
      <c r="S236" s="15"/>
    </row>
    <row r="237">
      <c r="A237" s="67" t="str">
        <f t="shared" si="1"/>
        <v>Sat</v>
      </c>
      <c r="B237" s="69">
        <v>43743.0</v>
      </c>
      <c r="S237" s="15"/>
    </row>
    <row r="238">
      <c r="A238" s="67" t="str">
        <f t="shared" si="1"/>
        <v>Sun</v>
      </c>
      <c r="B238" s="69">
        <v>43744.0</v>
      </c>
      <c r="S238" s="15"/>
    </row>
    <row r="239">
      <c r="A239" s="67" t="str">
        <f t="shared" si="1"/>
        <v>Mon</v>
      </c>
      <c r="B239" s="69">
        <v>43745.0</v>
      </c>
      <c r="S239" s="15"/>
    </row>
    <row r="240">
      <c r="A240" s="67" t="str">
        <f t="shared" si="1"/>
        <v>Tue</v>
      </c>
      <c r="B240" s="69">
        <v>43746.0</v>
      </c>
      <c r="S240" s="15"/>
    </row>
    <row r="241">
      <c r="A241" s="67" t="str">
        <f t="shared" si="1"/>
        <v>Wed</v>
      </c>
      <c r="B241" s="69">
        <v>43747.0</v>
      </c>
      <c r="S241" s="15"/>
    </row>
    <row r="242">
      <c r="A242" s="67" t="str">
        <f t="shared" si="1"/>
        <v>Thu</v>
      </c>
      <c r="B242" s="69">
        <v>43748.0</v>
      </c>
      <c r="S242" s="15"/>
    </row>
    <row r="243">
      <c r="A243" s="67" t="str">
        <f t="shared" si="1"/>
        <v>Fri</v>
      </c>
      <c r="B243" s="69">
        <v>43749.0</v>
      </c>
      <c r="S243" s="15"/>
    </row>
    <row r="244">
      <c r="A244" s="67" t="str">
        <f t="shared" si="1"/>
        <v>Sat</v>
      </c>
      <c r="B244" s="69">
        <v>43750.0</v>
      </c>
      <c r="S244" s="15"/>
    </row>
    <row r="245">
      <c r="A245" s="67" t="str">
        <f t="shared" si="1"/>
        <v>Sun</v>
      </c>
      <c r="B245" s="69">
        <v>43751.0</v>
      </c>
      <c r="S245" s="15"/>
    </row>
    <row r="246">
      <c r="A246" s="67" t="str">
        <f t="shared" si="1"/>
        <v>Mon</v>
      </c>
      <c r="B246" s="69">
        <v>43752.0</v>
      </c>
      <c r="S246" s="15"/>
    </row>
    <row r="247">
      <c r="A247" s="67" t="str">
        <f t="shared" si="1"/>
        <v>Tue</v>
      </c>
      <c r="B247" s="69">
        <v>43753.0</v>
      </c>
      <c r="S247" s="15"/>
    </row>
    <row r="248">
      <c r="A248" s="67" t="str">
        <f t="shared" si="1"/>
        <v>Wed</v>
      </c>
      <c r="B248" s="69">
        <v>43754.0</v>
      </c>
      <c r="S248" s="15"/>
    </row>
    <row r="249">
      <c r="A249" s="67" t="str">
        <f t="shared" si="1"/>
        <v>Thu</v>
      </c>
      <c r="B249" s="69">
        <v>43755.0</v>
      </c>
      <c r="S249" s="15"/>
    </row>
    <row r="250">
      <c r="A250" s="67" t="str">
        <f t="shared" si="1"/>
        <v>Fri</v>
      </c>
      <c r="B250" s="69">
        <v>43756.0</v>
      </c>
      <c r="S250" s="15"/>
    </row>
    <row r="251">
      <c r="A251" s="67" t="str">
        <f t="shared" si="1"/>
        <v>Sat</v>
      </c>
      <c r="B251" s="69">
        <v>43757.0</v>
      </c>
      <c r="S251" s="15"/>
    </row>
    <row r="252">
      <c r="A252" s="67" t="str">
        <f t="shared" si="1"/>
        <v>Sun</v>
      </c>
      <c r="B252" s="69">
        <v>43758.0</v>
      </c>
      <c r="S252" s="15"/>
    </row>
    <row r="253">
      <c r="A253" s="67" t="str">
        <f t="shared" si="1"/>
        <v>Mon</v>
      </c>
      <c r="B253" s="69">
        <v>43759.0</v>
      </c>
      <c r="S253" s="15"/>
    </row>
    <row r="254">
      <c r="A254" s="67" t="str">
        <f t="shared" si="1"/>
        <v>Tue</v>
      </c>
      <c r="B254" s="69">
        <v>43760.0</v>
      </c>
      <c r="S254" s="15"/>
    </row>
    <row r="255">
      <c r="A255" s="67" t="str">
        <f t="shared" si="1"/>
        <v>Wed</v>
      </c>
      <c r="B255" s="69">
        <v>43761.0</v>
      </c>
      <c r="S255" s="15"/>
    </row>
    <row r="256">
      <c r="A256" s="67" t="str">
        <f t="shared" si="1"/>
        <v>Thu</v>
      </c>
      <c r="B256" s="69">
        <v>43762.0</v>
      </c>
      <c r="S256" s="15"/>
    </row>
    <row r="257">
      <c r="A257" s="67" t="str">
        <f t="shared" si="1"/>
        <v>Fri</v>
      </c>
      <c r="B257" s="69">
        <v>43763.0</v>
      </c>
      <c r="S257" s="15"/>
    </row>
    <row r="258">
      <c r="A258" s="67" t="str">
        <f t="shared" si="1"/>
        <v>Sat</v>
      </c>
      <c r="B258" s="69">
        <v>43764.0</v>
      </c>
      <c r="S258" s="15"/>
    </row>
    <row r="259">
      <c r="A259" s="67" t="str">
        <f t="shared" si="1"/>
        <v>Sun</v>
      </c>
      <c r="B259" s="69">
        <v>43765.0</v>
      </c>
      <c r="S259" s="15"/>
    </row>
    <row r="260">
      <c r="A260" s="67" t="str">
        <f t="shared" si="1"/>
        <v>Mon</v>
      </c>
      <c r="B260" s="69">
        <v>43766.0</v>
      </c>
      <c r="S260" s="15"/>
    </row>
    <row r="261">
      <c r="A261" s="67" t="str">
        <f t="shared" si="1"/>
        <v>Tue</v>
      </c>
      <c r="B261" s="69">
        <v>43767.0</v>
      </c>
      <c r="S261" s="15"/>
    </row>
    <row r="262">
      <c r="A262" s="67" t="str">
        <f t="shared" si="1"/>
        <v>Wed</v>
      </c>
      <c r="B262" s="69">
        <v>43768.0</v>
      </c>
      <c r="S262" s="15"/>
    </row>
    <row r="263">
      <c r="A263" s="67" t="str">
        <f t="shared" si="1"/>
        <v>Thu</v>
      </c>
      <c r="B263" s="69">
        <v>43769.0</v>
      </c>
      <c r="S263" s="15"/>
    </row>
    <row r="264">
      <c r="A264" s="67" t="str">
        <f t="shared" si="1"/>
        <v>Fri</v>
      </c>
      <c r="B264" s="69">
        <v>43770.0</v>
      </c>
      <c r="S264" s="15"/>
    </row>
    <row r="265">
      <c r="A265" s="67" t="str">
        <f t="shared" si="1"/>
        <v>Sat</v>
      </c>
      <c r="B265" s="69">
        <v>43771.0</v>
      </c>
      <c r="S265" s="15"/>
    </row>
    <row r="266">
      <c r="A266" s="67" t="str">
        <f t="shared" si="1"/>
        <v>Sun</v>
      </c>
      <c r="B266" s="69">
        <v>43772.0</v>
      </c>
      <c r="S266" s="15"/>
    </row>
    <row r="267">
      <c r="A267" s="67" t="str">
        <f t="shared" si="1"/>
        <v>Mon</v>
      </c>
      <c r="B267" s="69">
        <v>43773.0</v>
      </c>
      <c r="S267" s="15"/>
    </row>
    <row r="268">
      <c r="A268" s="67" t="str">
        <f t="shared" si="1"/>
        <v>Tue</v>
      </c>
      <c r="B268" s="69">
        <v>43774.0</v>
      </c>
      <c r="S268" s="15"/>
    </row>
    <row r="269">
      <c r="A269" s="67" t="str">
        <f t="shared" si="1"/>
        <v>Wed</v>
      </c>
      <c r="B269" s="69">
        <v>43775.0</v>
      </c>
      <c r="S269" s="15"/>
    </row>
    <row r="270">
      <c r="A270" s="67" t="str">
        <f t="shared" si="1"/>
        <v>Thu</v>
      </c>
      <c r="B270" s="69">
        <v>43776.0</v>
      </c>
      <c r="S270" s="15"/>
    </row>
    <row r="271">
      <c r="A271" s="67" t="str">
        <f t="shared" si="1"/>
        <v>Fri</v>
      </c>
      <c r="B271" s="69">
        <v>43777.0</v>
      </c>
      <c r="S271" s="15"/>
    </row>
    <row r="272">
      <c r="A272" s="67" t="str">
        <f t="shared" si="1"/>
        <v>Sat</v>
      </c>
      <c r="B272" s="69">
        <v>43778.0</v>
      </c>
      <c r="S272" s="15"/>
    </row>
    <row r="273">
      <c r="A273" s="67" t="str">
        <f t="shared" si="1"/>
        <v>Sun</v>
      </c>
      <c r="B273" s="69">
        <v>43779.0</v>
      </c>
      <c r="S273" s="15"/>
    </row>
    <row r="274">
      <c r="A274" s="67" t="str">
        <f t="shared" si="1"/>
        <v>Mon</v>
      </c>
      <c r="B274" s="69">
        <v>43780.0</v>
      </c>
      <c r="S274" s="15"/>
    </row>
    <row r="275">
      <c r="A275" s="67" t="str">
        <f t="shared" si="1"/>
        <v>Tue</v>
      </c>
      <c r="B275" s="69">
        <v>43781.0</v>
      </c>
      <c r="S275" s="15"/>
    </row>
    <row r="276">
      <c r="A276" s="67" t="str">
        <f t="shared" si="1"/>
        <v>Wed</v>
      </c>
      <c r="B276" s="69">
        <v>43782.0</v>
      </c>
      <c r="S276" s="15"/>
    </row>
    <row r="277">
      <c r="A277" s="67" t="str">
        <f t="shared" si="1"/>
        <v>Thu</v>
      </c>
      <c r="B277" s="69">
        <v>43783.0</v>
      </c>
      <c r="S277" s="15"/>
    </row>
    <row r="278">
      <c r="A278" s="67" t="str">
        <f t="shared" si="1"/>
        <v>Fri</v>
      </c>
      <c r="B278" s="69">
        <v>43784.0</v>
      </c>
      <c r="S278" s="15"/>
    </row>
    <row r="279">
      <c r="A279" s="67" t="str">
        <f t="shared" si="1"/>
        <v>Sat</v>
      </c>
      <c r="B279" s="69">
        <v>43785.0</v>
      </c>
      <c r="S279" s="15"/>
    </row>
    <row r="280">
      <c r="A280" s="67" t="str">
        <f t="shared" si="1"/>
        <v>Sun</v>
      </c>
      <c r="B280" s="69">
        <v>43786.0</v>
      </c>
      <c r="S280" s="15"/>
    </row>
    <row r="281">
      <c r="A281" s="67" t="str">
        <f t="shared" si="1"/>
        <v>Mon</v>
      </c>
      <c r="B281" s="69">
        <v>43787.0</v>
      </c>
      <c r="S281" s="15"/>
    </row>
    <row r="282">
      <c r="A282" s="67" t="str">
        <f t="shared" si="1"/>
        <v>Tue</v>
      </c>
      <c r="B282" s="69">
        <v>43788.0</v>
      </c>
      <c r="S282" s="15"/>
    </row>
    <row r="283">
      <c r="A283" s="67" t="str">
        <f t="shared" si="1"/>
        <v>Wed</v>
      </c>
      <c r="B283" s="69">
        <v>43789.0</v>
      </c>
      <c r="S283" s="15"/>
    </row>
    <row r="284">
      <c r="A284" s="67" t="str">
        <f t="shared" si="1"/>
        <v>Thu</v>
      </c>
      <c r="B284" s="69">
        <v>43790.0</v>
      </c>
      <c r="S284" s="15"/>
    </row>
    <row r="285">
      <c r="A285" s="67" t="str">
        <f t="shared" si="1"/>
        <v>Fri</v>
      </c>
      <c r="B285" s="69">
        <v>43791.0</v>
      </c>
      <c r="S285" s="15"/>
    </row>
    <row r="286">
      <c r="A286" s="67" t="str">
        <f t="shared" si="1"/>
        <v>Sat</v>
      </c>
      <c r="B286" s="69">
        <v>43792.0</v>
      </c>
      <c r="S286" s="15"/>
    </row>
    <row r="287">
      <c r="A287" s="67" t="str">
        <f t="shared" si="1"/>
        <v>Sun</v>
      </c>
      <c r="B287" s="69">
        <v>43793.0</v>
      </c>
      <c r="S287" s="15"/>
    </row>
    <row r="288">
      <c r="A288" s="67" t="str">
        <f t="shared" si="1"/>
        <v>Mon</v>
      </c>
      <c r="B288" s="69">
        <v>43794.0</v>
      </c>
      <c r="S288" s="15"/>
    </row>
    <row r="289">
      <c r="A289" s="67" t="str">
        <f t="shared" si="1"/>
        <v>Tue</v>
      </c>
      <c r="B289" s="69">
        <v>43795.0</v>
      </c>
      <c r="S289" s="15"/>
    </row>
    <row r="290">
      <c r="A290" s="67" t="str">
        <f t="shared" si="1"/>
        <v>Wed</v>
      </c>
      <c r="B290" s="69">
        <v>43796.0</v>
      </c>
      <c r="S290" s="15"/>
    </row>
    <row r="291">
      <c r="A291" s="67" t="str">
        <f t="shared" si="1"/>
        <v>Thu</v>
      </c>
      <c r="B291" s="69">
        <v>43797.0</v>
      </c>
      <c r="S291" s="15"/>
    </row>
    <row r="292">
      <c r="A292" s="67" t="str">
        <f t="shared" si="1"/>
        <v>Fri</v>
      </c>
      <c r="B292" s="69">
        <v>43798.0</v>
      </c>
      <c r="S292" s="15"/>
    </row>
    <row r="293">
      <c r="A293" s="67" t="str">
        <f t="shared" si="1"/>
        <v>Sat</v>
      </c>
      <c r="B293" s="69">
        <v>43799.0</v>
      </c>
      <c r="S293" s="15"/>
    </row>
    <row r="294">
      <c r="A294" s="67" t="str">
        <f t="shared" si="1"/>
        <v>Sun</v>
      </c>
      <c r="B294" s="69">
        <v>43800.0</v>
      </c>
      <c r="S294" s="15"/>
    </row>
    <row r="295">
      <c r="A295" s="67" t="str">
        <f t="shared" si="1"/>
        <v>Mon</v>
      </c>
      <c r="B295" s="69">
        <v>43801.0</v>
      </c>
      <c r="S295" s="15"/>
    </row>
    <row r="296">
      <c r="A296" s="67" t="str">
        <f t="shared" si="1"/>
        <v>Tue</v>
      </c>
      <c r="B296" s="69">
        <v>43802.0</v>
      </c>
      <c r="S296" s="15"/>
    </row>
    <row r="297">
      <c r="A297" s="67" t="str">
        <f t="shared" si="1"/>
        <v>Wed</v>
      </c>
      <c r="B297" s="69">
        <v>43803.0</v>
      </c>
      <c r="S297" s="15"/>
    </row>
    <row r="298">
      <c r="A298" s="67" t="str">
        <f t="shared" si="1"/>
        <v>Thu</v>
      </c>
      <c r="B298" s="69">
        <v>43804.0</v>
      </c>
      <c r="S298" s="15"/>
    </row>
    <row r="299">
      <c r="A299" s="67" t="str">
        <f t="shared" si="1"/>
        <v>Fri</v>
      </c>
      <c r="B299" s="69">
        <v>43805.0</v>
      </c>
      <c r="S299" s="15"/>
    </row>
    <row r="300">
      <c r="A300" s="67" t="str">
        <f t="shared" si="1"/>
        <v>Sat</v>
      </c>
      <c r="B300" s="69">
        <v>43806.0</v>
      </c>
      <c r="S300" s="15"/>
    </row>
    <row r="301">
      <c r="A301" s="67" t="str">
        <f t="shared" si="1"/>
        <v>Sun</v>
      </c>
      <c r="B301" s="69">
        <v>43807.0</v>
      </c>
      <c r="S301" s="15"/>
    </row>
    <row r="302">
      <c r="A302" s="67" t="str">
        <f t="shared" si="1"/>
        <v>Mon</v>
      </c>
      <c r="B302" s="69">
        <v>43808.0</v>
      </c>
      <c r="S302" s="15"/>
    </row>
    <row r="303">
      <c r="A303" s="67" t="str">
        <f t="shared" si="1"/>
        <v>Tue</v>
      </c>
      <c r="B303" s="69">
        <v>43809.0</v>
      </c>
      <c r="S303" s="15"/>
    </row>
    <row r="304">
      <c r="A304" s="67" t="str">
        <f t="shared" si="1"/>
        <v>Wed</v>
      </c>
      <c r="B304" s="69">
        <v>43810.0</v>
      </c>
      <c r="S304" s="15"/>
    </row>
    <row r="305">
      <c r="A305" s="67" t="str">
        <f t="shared" si="1"/>
        <v>Thu</v>
      </c>
      <c r="B305" s="69">
        <v>43811.0</v>
      </c>
      <c r="S305" s="15"/>
    </row>
    <row r="306">
      <c r="A306" s="67" t="str">
        <f t="shared" si="1"/>
        <v>Fri</v>
      </c>
      <c r="B306" s="69">
        <v>43812.0</v>
      </c>
      <c r="S306" s="15"/>
    </row>
    <row r="307">
      <c r="A307" s="67" t="str">
        <f t="shared" si="1"/>
        <v>Sat</v>
      </c>
      <c r="B307" s="69">
        <v>43813.0</v>
      </c>
      <c r="S307" s="15"/>
    </row>
    <row r="308">
      <c r="A308" s="67" t="str">
        <f t="shared" si="1"/>
        <v>Sun</v>
      </c>
      <c r="B308" s="69">
        <v>43814.0</v>
      </c>
      <c r="S308" s="15"/>
    </row>
    <row r="309">
      <c r="A309" s="67" t="str">
        <f t="shared" si="1"/>
        <v>Mon</v>
      </c>
      <c r="B309" s="69">
        <v>43815.0</v>
      </c>
      <c r="S309" s="15"/>
    </row>
    <row r="310">
      <c r="A310" s="67" t="str">
        <f t="shared" si="1"/>
        <v>Tue</v>
      </c>
      <c r="B310" s="69">
        <v>43816.0</v>
      </c>
      <c r="S310" s="15"/>
    </row>
    <row r="311">
      <c r="A311" s="67" t="str">
        <f t="shared" si="1"/>
        <v>Wed</v>
      </c>
      <c r="B311" s="69">
        <v>43817.0</v>
      </c>
      <c r="S311" s="15"/>
    </row>
    <row r="312">
      <c r="A312" s="67" t="str">
        <f t="shared" si="1"/>
        <v>Thu</v>
      </c>
      <c r="B312" s="69">
        <v>43818.0</v>
      </c>
      <c r="S312" s="15"/>
    </row>
    <row r="313">
      <c r="A313" s="67" t="str">
        <f t="shared" si="1"/>
        <v>Fri</v>
      </c>
      <c r="B313" s="69">
        <v>43819.0</v>
      </c>
      <c r="S313" s="15"/>
    </row>
    <row r="314">
      <c r="A314" s="67" t="str">
        <f t="shared" si="1"/>
        <v>Sat</v>
      </c>
      <c r="B314" s="69">
        <v>43820.0</v>
      </c>
      <c r="S314" s="15"/>
    </row>
    <row r="315">
      <c r="A315" s="67" t="str">
        <f t="shared" si="1"/>
        <v>Sun</v>
      </c>
      <c r="B315" s="69">
        <v>43821.0</v>
      </c>
      <c r="S315" s="15"/>
    </row>
    <row r="316">
      <c r="A316" s="67" t="str">
        <f t="shared" si="1"/>
        <v>Mon</v>
      </c>
      <c r="B316" s="69">
        <v>43822.0</v>
      </c>
      <c r="S316" s="15"/>
    </row>
    <row r="317">
      <c r="A317" s="67" t="str">
        <f t="shared" si="1"/>
        <v>Tue</v>
      </c>
      <c r="B317" s="69">
        <v>43823.0</v>
      </c>
      <c r="S317" s="15"/>
    </row>
    <row r="318">
      <c r="A318" s="67" t="str">
        <f t="shared" si="1"/>
        <v>Wed</v>
      </c>
      <c r="B318" s="69">
        <v>43824.0</v>
      </c>
      <c r="S318" s="15"/>
    </row>
    <row r="319">
      <c r="A319" s="67" t="str">
        <f t="shared" si="1"/>
        <v>Thu</v>
      </c>
      <c r="B319" s="69">
        <v>43825.0</v>
      </c>
      <c r="S319" s="15"/>
    </row>
    <row r="320">
      <c r="A320" s="67" t="str">
        <f t="shared" si="1"/>
        <v>Fri</v>
      </c>
      <c r="B320" s="69">
        <v>43826.0</v>
      </c>
      <c r="S320" s="15"/>
    </row>
    <row r="321">
      <c r="A321" s="67" t="str">
        <f t="shared" si="1"/>
        <v>Sat</v>
      </c>
      <c r="B321" s="69">
        <v>43827.0</v>
      </c>
      <c r="S321" s="15"/>
    </row>
    <row r="322">
      <c r="A322" s="67" t="str">
        <f t="shared" si="1"/>
        <v>Sun</v>
      </c>
      <c r="B322" s="69">
        <v>43828.0</v>
      </c>
      <c r="S322" s="15"/>
    </row>
    <row r="323">
      <c r="A323" s="67" t="str">
        <f t="shared" si="1"/>
        <v>Mon</v>
      </c>
      <c r="B323" s="69">
        <v>43829.0</v>
      </c>
      <c r="S323" s="15"/>
    </row>
    <row r="324">
      <c r="A324" s="67" t="str">
        <f t="shared" si="1"/>
        <v>Tue</v>
      </c>
      <c r="B324" s="69">
        <v>43830.0</v>
      </c>
      <c r="S324" s="15"/>
    </row>
  </sheetData>
  <mergeCells count="6">
    <mergeCell ref="E1:F1"/>
    <mergeCell ref="E2:F2"/>
    <mergeCell ref="E3:F3"/>
    <mergeCell ref="A1:C3"/>
    <mergeCell ref="G1:S3"/>
    <mergeCell ref="X31:Y31"/>
  </mergeCells>
  <conditionalFormatting sqref="K1:L324">
    <cfRule type="cellIs" dxfId="0" priority="1" operator="equal">
      <formula>"Enviar email para hotel"</formula>
    </cfRule>
  </conditionalFormatting>
  <dataValidations>
    <dataValidation type="list" allowBlank="1" sqref="L6:L324">
      <formula1>"Enviar email para hotel,Enviado para o hotel,Código de reserva enviado para hóspede,Verificar dados com o hóspede,URGENTE,Fechado"</formula1>
    </dataValidation>
    <dataValidation type="list" allowBlank="1" sqref="K6:K324">
      <formula1>"A PAGAR,PARCIALMENTE PAGO,PAGO"</formula1>
    </dataValidation>
  </dataValidations>
  <hyperlinks>
    <hyperlink display="Sumario" location="Sumario!A1" ref="A4"/>
  </hyperlinks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t="str">
        <f>IFERROR(__xludf.DUMMYFUNCTION("IMPORTRANGE(""https://docs.google.com/spreadsheets/d/1cEuQjTfhd4splsErfoN8lZ3TV2i4g8idGtZBwZPBzOM/edit?usp=sharing"",""Forms!A:W"")"),"Carimbo de data/hora")</f>
        <v>Carimbo de data/hora</v>
      </c>
      <c r="B1" t="str">
        <f>IFERROR(__xludf.DUMMYFUNCTION("""COMPUTED_VALUE"""),"Responsável")</f>
        <v>Responsável</v>
      </c>
      <c r="C1" t="str">
        <f>IFERROR(__xludf.DUMMYFUNCTION("""COMPUTED_VALUE"""),"Apartamento")</f>
        <v>Apartamento</v>
      </c>
      <c r="D1" t="str">
        <f>IFERROR(__xludf.DUMMYFUNCTION("""COMPUTED_VALUE"""),"Nome hóspede")</f>
        <v>Nome hóspede</v>
      </c>
      <c r="E1" t="str">
        <f>IFERROR(__xludf.DUMMYFUNCTION("""COMPUTED_VALUE"""),"Data check in")</f>
        <v>Data check in</v>
      </c>
      <c r="F1" t="str">
        <f>IFERROR(__xludf.DUMMYFUNCTION("""COMPUTED_VALUE"""),"Data check out")</f>
        <v>Data check out</v>
      </c>
      <c r="G1" t="str">
        <f>IFERROR(__xludf.DUMMYFUNCTION("""COMPUTED_VALUE"""),"Valor total")</f>
        <v>Valor total</v>
      </c>
      <c r="H1" t="str">
        <f>IFERROR(__xludf.DUMMYFUNCTION("""COMPUTED_VALUE"""),"Comentário")</f>
        <v>Comentário</v>
      </c>
      <c r="I1" t="str">
        <f>IFERROR(__xludf.DUMMYFUNCTION("""COMPUTED_VALUE"""),"Airbnb ou Contrato?")</f>
        <v>Airbnb ou Contrato?</v>
      </c>
      <c r="J1" t="str">
        <f>IFERROR(__xludf.DUMMYFUNCTION("""COMPUTED_VALUE"""),"Hóspede 2")</f>
        <v>Hóspede 2</v>
      </c>
      <c r="K1" t="str">
        <f>IFERROR(__xludf.DUMMYFUNCTION("""COMPUTED_VALUE"""),"Hóspede 3")</f>
        <v>Hóspede 3</v>
      </c>
      <c r="L1" t="str">
        <f>IFERROR(__xludf.DUMMYFUNCTION("""COMPUTED_VALUE"""),"Hóspede 4")</f>
        <v>Hóspede 4</v>
      </c>
      <c r="M1" t="str">
        <f>IFERROR(__xludf.DUMMYFUNCTION("""COMPUTED_VALUE"""),"Email")</f>
        <v>Email</v>
      </c>
      <c r="N1" t="str">
        <f>IFERROR(__xludf.DUMMYFUNCTION("""COMPUTED_VALUE"""),"Telefone")</f>
        <v>Telefone</v>
      </c>
      <c r="O1" t="str">
        <f>IFERROR(__xludf.DUMMYFUNCTION("""COMPUTED_VALUE"""),"Hóspede 5")</f>
        <v>Hóspede 5</v>
      </c>
      <c r="P1" t="str">
        <f>IFERROR(__xludf.DUMMYFUNCTION("""COMPUTED_VALUE"""),"Informações sobre o hóspede")</f>
        <v>Informações sobre o hóspede</v>
      </c>
      <c r="Q1" t="str">
        <f>IFERROR(__xludf.DUMMYFUNCTION("""COMPUTED_VALUE"""),"Pagamento")</f>
        <v>Pagamento</v>
      </c>
      <c r="R1" t="str">
        <f>IFERROR(__xludf.DUMMYFUNCTION("""COMPUTED_VALUE"""),"CPF")</f>
        <v>CPF</v>
      </c>
      <c r="S1" t="str">
        <f>IFERROR(__xludf.DUMMYFUNCTION("""COMPUTED_VALUE"""),"Hora check in")</f>
        <v>Hora check in</v>
      </c>
      <c r="T1" t="str">
        <f>IFERROR(__xludf.DUMMYFUNCTION("""COMPUTED_VALUE"""),"Hora check out")</f>
        <v>Hora check out</v>
      </c>
      <c r="U1" t="str">
        <f>IFERROR(__xludf.DUMMYFUNCTION("""COMPUTED_VALUE"""),"Inserido na planilha?")</f>
        <v>Inserido na planilha?</v>
      </c>
      <c r="V1" t="str">
        <f>IFERROR(__xludf.DUMMYFUNCTION("""COMPUTED_VALUE"""),"")</f>
        <v/>
      </c>
      <c r="W1" t="str">
        <f>IFERROR(__xludf.DUMMYFUNCTION("""COMPUTED_VALUE"""),"")</f>
        <v/>
      </c>
    </row>
    <row r="2">
      <c r="A2" s="268">
        <f>IFERROR(__xludf.DUMMYFUNCTION("""COMPUTED_VALUE"""),43601.45047082176)</f>
        <v>43601.45047</v>
      </c>
      <c r="B2" t="str">
        <f>IFERROR(__xludf.DUMMYFUNCTION("""COMPUTED_VALUE"""),"Proprietário")</f>
        <v>Proprietário</v>
      </c>
      <c r="C2" t="str">
        <f>IFERROR(__xludf.DUMMYFUNCTION("""COMPUTED_VALUE"""),"ILC2206")</f>
        <v>ILC2206</v>
      </c>
      <c r="D2" t="str">
        <f>IFERROR(__xludf.DUMMYFUNCTION("""COMPUTED_VALUE"""),"teste")</f>
        <v>teste</v>
      </c>
      <c r="E2" s="269">
        <f>IFERROR(__xludf.DUMMYFUNCTION("""COMPUTED_VALUE"""),43602.0)</f>
        <v>43602</v>
      </c>
      <c r="F2" s="269">
        <f>IFERROR(__xludf.DUMMYFUNCTION("""COMPUTED_VALUE"""),43605.0)</f>
        <v>43605</v>
      </c>
      <c r="G2">
        <f>IFERROR(__xludf.DUMMYFUNCTION("""COMPUTED_VALUE"""),123123.0)</f>
        <v>123123</v>
      </c>
      <c r="H2" t="str">
        <f>IFERROR(__xludf.DUMMYFUNCTION("""COMPUTED_VALUE"""),"asfasdf")</f>
        <v>asfasdf</v>
      </c>
      <c r="I2" t="str">
        <f>IFERROR(__xludf.DUMMYFUNCTION("""COMPUTED_VALUE"""),"Contrato")</f>
        <v>Contrato</v>
      </c>
      <c r="J2" t="str">
        <f>IFERROR(__xludf.DUMMYFUNCTION("""COMPUTED_VALUE"""),"asfas")</f>
        <v>asfas</v>
      </c>
      <c r="K2" t="str">
        <f>IFERROR(__xludf.DUMMYFUNCTION("""COMPUTED_VALUE"""),"asfas")</f>
        <v>asfas</v>
      </c>
      <c r="L2" t="str">
        <f>IFERROR(__xludf.DUMMYFUNCTION("""COMPUTED_VALUE"""),"asfdas")</f>
        <v>asfdas</v>
      </c>
      <c r="M2" t="str">
        <f>IFERROR(__xludf.DUMMYFUNCTION("""COMPUTED_VALUE"""),"asfdasfd")</f>
        <v>asfdasfd</v>
      </c>
      <c r="N2">
        <f>IFERROR(__xludf.DUMMYFUNCTION("""COMPUTED_VALUE"""),24234.0)</f>
        <v>24234</v>
      </c>
      <c r="O2" t="str">
        <f>IFERROR(__xludf.DUMMYFUNCTION("""COMPUTED_VALUE"""),"asfasdf")</f>
        <v>asfasdf</v>
      </c>
      <c r="P2" t="str">
        <f>IFERROR(__xludf.DUMMYFUNCTION("""COMPUTED_VALUE"""),"COMPLETO")</f>
        <v>COMPLETO</v>
      </c>
      <c r="Q2" t="str">
        <f>IFERROR(__xludf.DUMMYFUNCTION("""COMPUTED_VALUE"""),"PAGO")</f>
        <v>PAGO</v>
      </c>
      <c r="R2" t="str">
        <f>IFERROR(__xludf.DUMMYFUNCTION("""COMPUTED_VALUE"""),"00000000000")</f>
        <v>00000000000</v>
      </c>
      <c r="S2" t="str">
        <f>IFERROR(__xludf.DUMMYFUNCTION("""COMPUTED_VALUE"""),"")</f>
        <v/>
      </c>
      <c r="T2" t="str">
        <f>IFERROR(__xludf.DUMMYFUNCTION("""COMPUTED_VALUE"""),"")</f>
        <v/>
      </c>
      <c r="U2" t="str">
        <f>IFERROR(__xludf.DUMMYFUNCTION("""COMPUTED_VALUE"""),"Sim")</f>
        <v>Sim</v>
      </c>
      <c r="V2" t="str">
        <f>IFERROR(__xludf.DUMMYFUNCTION("""COMPUTED_VALUE"""),"")</f>
        <v/>
      </c>
      <c r="W2" t="str">
        <f>IFERROR(__xludf.DUMMYFUNCTION("""COMPUTED_VALUE"""),"")</f>
        <v/>
      </c>
    </row>
    <row r="3">
      <c r="A3" s="268">
        <f>IFERROR(__xludf.DUMMYFUNCTION("""COMPUTED_VALUE"""),43601.98548662037)</f>
        <v>43601.98549</v>
      </c>
      <c r="B3" t="str">
        <f>IFERROR(__xludf.DUMMYFUNCTION("""COMPUTED_VALUE"""),"Kremer")</f>
        <v>Kremer</v>
      </c>
      <c r="C3" t="str">
        <f>IFERROR(__xludf.DUMMYFUNCTION("""COMPUTED_VALUE"""),"ILC2413")</f>
        <v>ILC2413</v>
      </c>
      <c r="D3" t="str">
        <f>IFERROR(__xludf.DUMMYFUNCTION("""COMPUTED_VALUE"""),"Gustavo Kremer")</f>
        <v>Gustavo Kremer</v>
      </c>
      <c r="E3" s="269">
        <f>IFERROR(__xludf.DUMMYFUNCTION("""COMPUTED_VALUE"""),43647.0)</f>
        <v>43647</v>
      </c>
      <c r="F3" s="269">
        <f>IFERROR(__xludf.DUMMYFUNCTION("""COMPUTED_VALUE"""),43648.0)</f>
        <v>43648</v>
      </c>
      <c r="G3">
        <f>IFERROR(__xludf.DUMMYFUNCTION("""COMPUTED_VALUE"""),0.0)</f>
        <v>0</v>
      </c>
      <c r="H3" t="str">
        <f>IFERROR(__xludf.DUMMYFUNCTION("""COMPUTED_VALUE"""),"")</f>
        <v/>
      </c>
      <c r="I3" t="str">
        <f>IFERROR(__xludf.DUMMYFUNCTION("""COMPUTED_VALUE"""),"Airbnb")</f>
        <v>Airbnb</v>
      </c>
      <c r="J3" t="str">
        <f>IFERROR(__xludf.DUMMYFUNCTION("""COMPUTED_VALUE"""),"")</f>
        <v/>
      </c>
      <c r="K3" t="str">
        <f>IFERROR(__xludf.DUMMYFUNCTION("""COMPUTED_VALUE"""),"")</f>
        <v/>
      </c>
      <c r="L3" t="str">
        <f>IFERROR(__xludf.DUMMYFUNCTION("""COMPUTED_VALUE"""),"")</f>
        <v/>
      </c>
      <c r="M3" t="str">
        <f>IFERROR(__xludf.DUMMYFUNCTION("""COMPUTED_VALUE"""),"")</f>
        <v/>
      </c>
      <c r="N3" t="str">
        <f>IFERROR(__xludf.DUMMYFUNCTION("""COMPUTED_VALUE"""),"")</f>
        <v/>
      </c>
      <c r="O3" t="str">
        <f>IFERROR(__xludf.DUMMYFUNCTION("""COMPUTED_VALUE"""),"")</f>
        <v/>
      </c>
      <c r="P3" t="str">
        <f>IFERROR(__xludf.DUMMYFUNCTION("""COMPUTED_VALUE"""),"COMPLETO")</f>
        <v>COMPLETO</v>
      </c>
      <c r="Q3" t="str">
        <f>IFERROR(__xludf.DUMMYFUNCTION("""COMPUTED_VALUE"""),"PAGO")</f>
        <v>PAGO</v>
      </c>
      <c r="R3" t="str">
        <f>IFERROR(__xludf.DUMMYFUNCTION("""COMPUTED_VALUE"""),"")</f>
        <v/>
      </c>
      <c r="S3" t="str">
        <f>IFERROR(__xludf.DUMMYFUNCTION("""COMPUTED_VALUE"""),"")</f>
        <v/>
      </c>
      <c r="T3" t="str">
        <f>IFERROR(__xludf.DUMMYFUNCTION("""COMPUTED_VALUE"""),"")</f>
        <v/>
      </c>
      <c r="U3" t="str">
        <f>IFERROR(__xludf.DUMMYFUNCTION("""COMPUTED_VALUE"""),"Sim")</f>
        <v>Sim</v>
      </c>
      <c r="V3" t="str">
        <f>IFERROR(__xludf.DUMMYFUNCTION("""COMPUTED_VALUE"""),"")</f>
        <v/>
      </c>
      <c r="W3" t="str">
        <f>IFERROR(__xludf.DUMMYFUNCTION("""COMPUTED_VALUE"""),"")</f>
        <v/>
      </c>
    </row>
    <row r="4">
      <c r="A4" s="270">
        <f>IFERROR(__xludf.DUMMYFUNCTION("""COMPUTED_VALUE"""),43605.41291666667)</f>
        <v>43605.41292</v>
      </c>
      <c r="B4" t="str">
        <f>IFERROR(__xludf.DUMMYFUNCTION("""COMPUTED_VALUE"""),"Fer")</f>
        <v>Fer</v>
      </c>
      <c r="C4" t="str">
        <f>IFERROR(__xludf.DUMMYFUNCTION("""COMPUTED_VALUE"""),"ILC1404")</f>
        <v>ILC1404</v>
      </c>
      <c r="D4" t="str">
        <f>IFERROR(__xludf.DUMMYFUNCTION("""COMPUTED_VALUE"""),"Bruna DallAgnol")</f>
        <v>Bruna DallAgnol</v>
      </c>
      <c r="E4" s="187">
        <f>IFERROR(__xludf.DUMMYFUNCTION("""COMPUTED_VALUE"""),43720.0)</f>
        <v>43720</v>
      </c>
      <c r="F4" s="187">
        <f>IFERROR(__xludf.DUMMYFUNCTION("""COMPUTED_VALUE"""),43725.0)</f>
        <v>43725</v>
      </c>
      <c r="G4" t="str">
        <f>IFERROR(__xludf.DUMMYFUNCTION("""COMPUTED_VALUE"""),"1111.62")</f>
        <v>1111.62</v>
      </c>
      <c r="H4" t="str">
        <f>IFERROR(__xludf.DUMMYFUNCTION("""COMPUTED_VALUE"""),"")</f>
        <v/>
      </c>
      <c r="I4" t="str">
        <f>IFERROR(__xludf.DUMMYFUNCTION("""COMPUTED_VALUE"""),"Airbnb")</f>
        <v>Airbnb</v>
      </c>
      <c r="J4" t="str">
        <f>IFERROR(__xludf.DUMMYFUNCTION("""COMPUTED_VALUE"""),"")</f>
        <v/>
      </c>
      <c r="K4" t="str">
        <f>IFERROR(__xludf.DUMMYFUNCTION("""COMPUTED_VALUE"""),"")</f>
        <v/>
      </c>
      <c r="L4" t="str">
        <f>IFERROR(__xludf.DUMMYFUNCTION("""COMPUTED_VALUE"""),"")</f>
        <v/>
      </c>
      <c r="M4" t="str">
        <f>IFERROR(__xludf.DUMMYFUNCTION("""COMPUTED_VALUE"""),"")</f>
        <v/>
      </c>
      <c r="N4" t="str">
        <f>IFERROR(__xludf.DUMMYFUNCTION("""COMPUTED_VALUE"""),"13 99707 1210")</f>
        <v>13 99707 1210</v>
      </c>
      <c r="O4" t="str">
        <f>IFERROR(__xludf.DUMMYFUNCTION("""COMPUTED_VALUE"""),"")</f>
        <v/>
      </c>
      <c r="P4" t="str">
        <f>IFERROR(__xludf.DUMMYFUNCTION("""COMPUTED_VALUE"""),"INCOMPLETO")</f>
        <v>INCOMPLETO</v>
      </c>
      <c r="Q4" t="str">
        <f>IFERROR(__xludf.DUMMYFUNCTION("""COMPUTED_VALUE"""),"PAGO")</f>
        <v>PAGO</v>
      </c>
      <c r="R4" t="str">
        <f>IFERROR(__xludf.DUMMYFUNCTION("""COMPUTED_VALUE"""),"")</f>
        <v/>
      </c>
      <c r="S4" t="str">
        <f>IFERROR(__xludf.DUMMYFUNCTION("""COMPUTED_VALUE"""),"")</f>
        <v/>
      </c>
      <c r="T4" t="str">
        <f>IFERROR(__xludf.DUMMYFUNCTION("""COMPUTED_VALUE"""),"")</f>
        <v/>
      </c>
      <c r="U4" t="str">
        <f>IFERROR(__xludf.DUMMYFUNCTION("""COMPUTED_VALUE"""),"Sim")</f>
        <v>Sim</v>
      </c>
      <c r="V4" t="str">
        <f>IFERROR(__xludf.DUMMYFUNCTION("""COMPUTED_VALUE"""),"")</f>
        <v/>
      </c>
      <c r="W4" t="str">
        <f>IFERROR(__xludf.DUMMYFUNCTION("""COMPUTED_VALUE"""),"")</f>
        <v/>
      </c>
    </row>
    <row r="5">
      <c r="A5" s="270">
        <f>IFERROR(__xludf.DUMMYFUNCTION("""COMPUTED_VALUE"""),43605.414351851854)</f>
        <v>43605.41435</v>
      </c>
      <c r="B5" t="str">
        <f>IFERROR(__xludf.DUMMYFUNCTION("""COMPUTED_VALUE"""),"Fer")</f>
        <v>Fer</v>
      </c>
      <c r="C5" t="str">
        <f>IFERROR(__xludf.DUMMYFUNCTION("""COMPUTED_VALUE"""),"ILC1111")</f>
        <v>ILC1111</v>
      </c>
      <c r="D5" t="str">
        <f>IFERROR(__xludf.DUMMYFUNCTION("""COMPUTED_VALUE"""),"Roberto Bertó")</f>
        <v>Roberto Bertó</v>
      </c>
      <c r="E5" s="187">
        <f>IFERROR(__xludf.DUMMYFUNCTION("""COMPUTED_VALUE"""),43636.0)</f>
        <v>43636</v>
      </c>
      <c r="F5" s="187">
        <f>IFERROR(__xludf.DUMMYFUNCTION("""COMPUTED_VALUE"""),43640.0)</f>
        <v>43640</v>
      </c>
      <c r="G5" t="str">
        <f>IFERROR(__xludf.DUMMYFUNCTION("""COMPUTED_VALUE"""),"1719.81")</f>
        <v>1719.81</v>
      </c>
      <c r="H5" t="str">
        <f>IFERROR(__xludf.DUMMYFUNCTION("""COMPUTED_VALUE"""),"")</f>
        <v/>
      </c>
      <c r="I5" t="str">
        <f>IFERROR(__xludf.DUMMYFUNCTION("""COMPUTED_VALUE"""),"Airbnb")</f>
        <v>Airbnb</v>
      </c>
      <c r="J5" t="str">
        <f>IFERROR(__xludf.DUMMYFUNCTION("""COMPUTED_VALUE"""),"Acompanhante 1")</f>
        <v>Acompanhante 1</v>
      </c>
      <c r="K5" t="str">
        <f>IFERROR(__xludf.DUMMYFUNCTION("""COMPUTED_VALUE"""),"Acompanhante 2")</f>
        <v>Acompanhante 2</v>
      </c>
      <c r="L5" t="str">
        <f>IFERROR(__xludf.DUMMYFUNCTION("""COMPUTED_VALUE"""),"Acompanhante 3")</f>
        <v>Acompanhante 3</v>
      </c>
      <c r="M5" t="str">
        <f>IFERROR(__xludf.DUMMYFUNCTION("""COMPUTED_VALUE"""),"roberto.berto@gmail.com")</f>
        <v>roberto.berto@gmail.com</v>
      </c>
      <c r="N5" t="str">
        <f>IFERROR(__xludf.DUMMYFUNCTION("""COMPUTED_VALUE"""),"51 9 9666 1509")</f>
        <v>51 9 9666 1509</v>
      </c>
      <c r="O5" t="str">
        <f>IFERROR(__xludf.DUMMYFUNCTION("""COMPUTED_VALUE"""),"")</f>
        <v/>
      </c>
      <c r="P5" t="str">
        <f>IFERROR(__xludf.DUMMYFUNCTION("""COMPUTED_VALUE"""),"INCOMPLETO")</f>
        <v>INCOMPLETO</v>
      </c>
      <c r="Q5" t="str">
        <f>IFERROR(__xludf.DUMMYFUNCTION("""COMPUTED_VALUE"""),"PAGO")</f>
        <v>PAGO</v>
      </c>
      <c r="R5">
        <f>IFERROR(__xludf.DUMMYFUNCTION("""COMPUTED_VALUE"""),1.290703E7)</f>
        <v>12907030</v>
      </c>
      <c r="S5" t="str">
        <f>IFERROR(__xludf.DUMMYFUNCTION("""COMPUTED_VALUE"""),"")</f>
        <v/>
      </c>
      <c r="T5" t="str">
        <f>IFERROR(__xludf.DUMMYFUNCTION("""COMPUTED_VALUE"""),"")</f>
        <v/>
      </c>
      <c r="U5" t="str">
        <f>IFERROR(__xludf.DUMMYFUNCTION("""COMPUTED_VALUE"""),"Sim")</f>
        <v>Sim</v>
      </c>
      <c r="V5" t="str">
        <f>IFERROR(__xludf.DUMMYFUNCTION("""COMPUTED_VALUE"""),"")</f>
        <v/>
      </c>
      <c r="W5" t="str">
        <f>IFERROR(__xludf.DUMMYFUNCTION("""COMPUTED_VALUE"""),"")</f>
        <v/>
      </c>
    </row>
    <row r="6">
      <c r="A6" s="270">
        <f>IFERROR(__xludf.DUMMYFUNCTION("""COMPUTED_VALUE"""),43605.41753472222)</f>
        <v>43605.41753</v>
      </c>
      <c r="B6" t="str">
        <f>IFERROR(__xludf.DUMMYFUNCTION("""COMPUTED_VALUE"""),"Fer")</f>
        <v>Fer</v>
      </c>
      <c r="C6" t="str">
        <f>IFERROR(__xludf.DUMMYFUNCTION("""COMPUTED_VALUE"""),"ILC4410")</f>
        <v>ILC4410</v>
      </c>
      <c r="D6" t="str">
        <f>IFERROR(__xludf.DUMMYFUNCTION("""COMPUTED_VALUE"""),"Gonzalo Pereyra Moine")</f>
        <v>Gonzalo Pereyra Moine</v>
      </c>
      <c r="E6" s="187">
        <f>IFERROR(__xludf.DUMMYFUNCTION("""COMPUTED_VALUE"""),43616.0)</f>
        <v>43616</v>
      </c>
      <c r="F6" s="187">
        <f>IFERROR(__xludf.DUMMYFUNCTION("""COMPUTED_VALUE"""),43621.0)</f>
        <v>43621</v>
      </c>
      <c r="G6" s="271">
        <f>IFERROR(__xludf.DUMMYFUNCTION("""COMPUTED_VALUE"""),-254725.0)</f>
        <v>-254725</v>
      </c>
      <c r="H6" t="str">
        <f>IFERROR(__xludf.DUMMYFUNCTION("""COMPUTED_VALUE"""),"")</f>
        <v/>
      </c>
      <c r="I6" t="str">
        <f>IFERROR(__xludf.DUMMYFUNCTION("""COMPUTED_VALUE"""),"Airbnb")</f>
        <v>Airbnb</v>
      </c>
      <c r="J6" t="str">
        <f>IFERROR(__xludf.DUMMYFUNCTION("""COMPUTED_VALUE"""),"Acompanhante 1")</f>
        <v>Acompanhante 1</v>
      </c>
      <c r="K6" t="str">
        <f>IFERROR(__xludf.DUMMYFUNCTION("""COMPUTED_VALUE"""),"")</f>
        <v/>
      </c>
      <c r="L6" t="str">
        <f>IFERROR(__xludf.DUMMYFUNCTION("""COMPUTED_VALUE"""),"")</f>
        <v/>
      </c>
      <c r="M6" t="str">
        <f>IFERROR(__xludf.DUMMYFUNCTION("""COMPUTED_VALUE"""),"")</f>
        <v/>
      </c>
      <c r="N6" t="str">
        <f>IFERROR(__xludf.DUMMYFUNCTION("""COMPUTED_VALUE"""),"54 11 5151 9404")</f>
        <v>54 11 5151 9404</v>
      </c>
      <c r="O6" t="str">
        <f>IFERROR(__xludf.DUMMYFUNCTION("""COMPUTED_VALUE"""),"")</f>
        <v/>
      </c>
      <c r="P6" t="str">
        <f>IFERROR(__xludf.DUMMYFUNCTION("""COMPUTED_VALUE"""),"INCOMPLETO")</f>
        <v>INCOMPLETO</v>
      </c>
      <c r="Q6" t="str">
        <f>IFERROR(__xludf.DUMMYFUNCTION("""COMPUTED_VALUE"""),"PAGO")</f>
        <v>PAGO</v>
      </c>
      <c r="R6" t="str">
        <f>IFERROR(__xludf.DUMMYFUNCTION("""COMPUTED_VALUE"""),"")</f>
        <v/>
      </c>
      <c r="S6" t="str">
        <f>IFERROR(__xludf.DUMMYFUNCTION("""COMPUTED_VALUE"""),"")</f>
        <v/>
      </c>
      <c r="T6" t="str">
        <f>IFERROR(__xludf.DUMMYFUNCTION("""COMPUTED_VALUE"""),"")</f>
        <v/>
      </c>
      <c r="U6" t="str">
        <f>IFERROR(__xludf.DUMMYFUNCTION("""COMPUTED_VALUE"""),"Sim")</f>
        <v>Sim</v>
      </c>
      <c r="V6" t="str">
        <f>IFERROR(__xludf.DUMMYFUNCTION("""COMPUTED_VALUE"""),"")</f>
        <v/>
      </c>
      <c r="W6" t="str">
        <f>IFERROR(__xludf.DUMMYFUNCTION("""COMPUTED_VALUE"""),"")</f>
        <v/>
      </c>
    </row>
    <row r="7">
      <c r="A7" s="268">
        <f>IFERROR(__xludf.DUMMYFUNCTION("""COMPUTED_VALUE"""),43605.59783648148)</f>
        <v>43605.59784</v>
      </c>
      <c r="B7" t="str">
        <f>IFERROR(__xludf.DUMMYFUNCTION("""COMPUTED_VALUE"""),"Fer")</f>
        <v>Fer</v>
      </c>
      <c r="C7" t="str">
        <f>IFERROR(__xludf.DUMMYFUNCTION("""COMPUTED_VALUE"""),"ILC2412")</f>
        <v>ILC2412</v>
      </c>
      <c r="D7" t="str">
        <f>IFERROR(__xludf.DUMMYFUNCTION("""COMPUTED_VALUE"""),"Fernando Antonini")</f>
        <v>Fernando Antonini</v>
      </c>
      <c r="E7" s="269">
        <f>IFERROR(__xludf.DUMMYFUNCTION("""COMPUTED_VALUE"""),43630.0)</f>
        <v>43630</v>
      </c>
      <c r="F7" s="269">
        <f>IFERROR(__xludf.DUMMYFUNCTION("""COMPUTED_VALUE"""),43632.0)</f>
        <v>43632</v>
      </c>
      <c r="G7">
        <f>IFERROR(__xludf.DUMMYFUNCTION("""COMPUTED_VALUE"""),500.0)</f>
        <v>500</v>
      </c>
      <c r="H7" t="str">
        <f>IFERROR(__xludf.DUMMYFUNCTION("""COMPUTED_VALUE"""),"")</f>
        <v/>
      </c>
      <c r="I7" t="str">
        <f>IFERROR(__xludf.DUMMYFUNCTION("""COMPUTED_VALUE"""),"Contrato")</f>
        <v>Contrato</v>
      </c>
      <c r="J7" t="str">
        <f>IFERROR(__xludf.DUMMYFUNCTION("""COMPUTED_VALUE"""),"Aline Manenti")</f>
        <v>Aline Manenti</v>
      </c>
      <c r="K7" t="str">
        <f>IFERROR(__xludf.DUMMYFUNCTION("""COMPUTED_VALUE"""),"")</f>
        <v/>
      </c>
      <c r="L7" t="str">
        <f>IFERROR(__xludf.DUMMYFUNCTION("""COMPUTED_VALUE"""),"")</f>
        <v/>
      </c>
      <c r="M7" t="str">
        <f>IFERROR(__xludf.DUMMYFUNCTION("""COMPUTED_VALUE"""),"antonini.ctbmf@gmail.com")</f>
        <v>antonini.ctbmf@gmail.com</v>
      </c>
      <c r="N7" t="str">
        <f>IFERROR(__xludf.DUMMYFUNCTION("""COMPUTED_VALUE"""),"48 9 9946 5051")</f>
        <v>48 9 9946 5051</v>
      </c>
      <c r="O7" t="str">
        <f>IFERROR(__xludf.DUMMYFUNCTION("""COMPUTED_VALUE"""),"")</f>
        <v/>
      </c>
      <c r="P7" t="str">
        <f>IFERROR(__xludf.DUMMYFUNCTION("""COMPUTED_VALUE"""),"COMPLETO")</f>
        <v>COMPLETO</v>
      </c>
      <c r="Q7" t="str">
        <f>IFERROR(__xludf.DUMMYFUNCTION("""COMPUTED_VALUE"""),"A PAGAR")</f>
        <v>A PAGAR</v>
      </c>
      <c r="R7" t="str">
        <f>IFERROR(__xludf.DUMMYFUNCTION("""COMPUTED_VALUE"""),"00469139986")</f>
        <v>00469139986</v>
      </c>
      <c r="S7" t="str">
        <f>IFERROR(__xludf.DUMMYFUNCTION("""COMPUTED_VALUE"""),"")</f>
        <v/>
      </c>
      <c r="T7" t="str">
        <f>IFERROR(__xludf.DUMMYFUNCTION("""COMPUTED_VALUE"""),"")</f>
        <v/>
      </c>
      <c r="U7" t="str">
        <f>IFERROR(__xludf.DUMMYFUNCTION("""COMPUTED_VALUE"""),"Sim")</f>
        <v>Sim</v>
      </c>
      <c r="V7" t="str">
        <f>IFERROR(__xludf.DUMMYFUNCTION("""COMPUTED_VALUE"""),"")</f>
        <v/>
      </c>
      <c r="W7" t="str">
        <f>IFERROR(__xludf.DUMMYFUNCTION("""COMPUTED_VALUE"""),"")</f>
        <v/>
      </c>
    </row>
    <row r="8">
      <c r="A8" s="268">
        <f>IFERROR(__xludf.DUMMYFUNCTION("""COMPUTED_VALUE"""),43605.74924284722)</f>
        <v>43605.74924</v>
      </c>
      <c r="B8" t="str">
        <f>IFERROR(__xludf.DUMMYFUNCTION("""COMPUTED_VALUE"""),"Fer")</f>
        <v>Fer</v>
      </c>
      <c r="C8" t="str">
        <f>IFERROR(__xludf.DUMMYFUNCTION("""COMPUTED_VALUE"""),"ILC3312")</f>
        <v>ILC3312</v>
      </c>
      <c r="D8" t="str">
        <f>IFERROR(__xludf.DUMMYFUNCTION("""COMPUTED_VALUE"""),"Raphael Rosa de Souza ")</f>
        <v>Raphael Rosa de Souza </v>
      </c>
      <c r="E8" s="269">
        <f>IFERROR(__xludf.DUMMYFUNCTION("""COMPUTED_VALUE"""),43665.0)</f>
        <v>43665</v>
      </c>
      <c r="F8" s="269">
        <f>IFERROR(__xludf.DUMMYFUNCTION("""COMPUTED_VALUE"""),43671.0)</f>
        <v>43671</v>
      </c>
      <c r="G8" t="str">
        <f>IFERROR(__xludf.DUMMYFUNCTION("""COMPUTED_VALUE"""),"1382.25")</f>
        <v>1382.25</v>
      </c>
      <c r="H8" t="str">
        <f>IFERROR(__xludf.DUMMYFUNCTION("""COMPUTED_VALUE"""),"")</f>
        <v/>
      </c>
      <c r="I8" t="str">
        <f>IFERROR(__xludf.DUMMYFUNCTION("""COMPUTED_VALUE"""),"Airbnb")</f>
        <v>Airbnb</v>
      </c>
      <c r="J8" t="str">
        <f>IFERROR(__xludf.DUMMYFUNCTION("""COMPUTED_VALUE"""),"Mathias guidalli de Souza ")</f>
        <v>Mathias guidalli de Souza </v>
      </c>
      <c r="K8" t="str">
        <f>IFERROR(__xludf.DUMMYFUNCTION("""COMPUTED_VALUE"""),"Yuri guidalli de Souza ")</f>
        <v>Yuri guidalli de Souza </v>
      </c>
      <c r="L8" t="str">
        <f>IFERROR(__xludf.DUMMYFUNCTION("""COMPUTED_VALUE"""),"")</f>
        <v/>
      </c>
      <c r="M8" t="str">
        <f>IFERROR(__xludf.DUMMYFUNCTION("""COMPUTED_VALUE"""),"")</f>
        <v/>
      </c>
      <c r="N8" t="str">
        <f>IFERROR(__xludf.DUMMYFUNCTION("""COMPUTED_VALUE"""),"49 9 9914 2120")</f>
        <v>49 9 9914 2120</v>
      </c>
      <c r="O8" t="str">
        <f>IFERROR(__xludf.DUMMYFUNCTION("""COMPUTED_VALUE"""),"")</f>
        <v/>
      </c>
      <c r="P8" t="str">
        <f>IFERROR(__xludf.DUMMYFUNCTION("""COMPUTED_VALUE"""),"COMPLETO")</f>
        <v>COMPLETO</v>
      </c>
      <c r="Q8" t="str">
        <f>IFERROR(__xludf.DUMMYFUNCTION("""COMPUTED_VALUE"""),"PAGO")</f>
        <v>PAGO</v>
      </c>
      <c r="R8" t="str">
        <f>IFERROR(__xludf.DUMMYFUNCTION("""COMPUTED_VALUE"""),"02878104960")</f>
        <v>02878104960</v>
      </c>
      <c r="S8" t="str">
        <f>IFERROR(__xludf.DUMMYFUNCTION("""COMPUTED_VALUE"""),"")</f>
        <v/>
      </c>
      <c r="T8" t="str">
        <f>IFERROR(__xludf.DUMMYFUNCTION("""COMPUTED_VALUE"""),"")</f>
        <v/>
      </c>
      <c r="U8" t="str">
        <f>IFERROR(__xludf.DUMMYFUNCTION("""COMPUTED_VALUE"""),"Sim")</f>
        <v>Sim</v>
      </c>
      <c r="V8" t="str">
        <f>IFERROR(__xludf.DUMMYFUNCTION("""COMPUTED_VALUE"""),"")</f>
        <v/>
      </c>
      <c r="W8" t="str">
        <f>IFERROR(__xludf.DUMMYFUNCTION("""COMPUTED_VALUE"""),"")</f>
        <v/>
      </c>
    </row>
    <row r="9">
      <c r="A9" s="268">
        <f>IFERROR(__xludf.DUMMYFUNCTION("""COMPUTED_VALUE"""),43606.965543900464)</f>
        <v>43606.96554</v>
      </c>
      <c r="B9" t="str">
        <f>IFERROR(__xludf.DUMMYFUNCTION("""COMPUTED_VALUE"""),"Fer")</f>
        <v>Fer</v>
      </c>
      <c r="C9" t="str">
        <f>IFERROR(__xludf.DUMMYFUNCTION("""COMPUTED_VALUE"""),"ILC1112")</f>
        <v>ILC1112</v>
      </c>
      <c r="D9" t="str">
        <f>IFERROR(__xludf.DUMMYFUNCTION("""COMPUTED_VALUE"""),"Leticia de Oliveira Vieira")</f>
        <v>Leticia de Oliveira Vieira</v>
      </c>
      <c r="E9" s="269">
        <f>IFERROR(__xludf.DUMMYFUNCTION("""COMPUTED_VALUE"""),43623.0)</f>
        <v>43623</v>
      </c>
      <c r="F9" s="269">
        <f>IFERROR(__xludf.DUMMYFUNCTION("""COMPUTED_VALUE"""),43625.0)</f>
        <v>43625</v>
      </c>
      <c r="G9" t="str">
        <f>IFERROR(__xludf.DUMMYFUNCTION("""COMPUTED_VALUE"""),"432.62")</f>
        <v>432.62</v>
      </c>
      <c r="H9" t="str">
        <f>IFERROR(__xludf.DUMMYFUNCTION("""COMPUTED_VALUE"""),"")</f>
        <v/>
      </c>
      <c r="I9" t="str">
        <f>IFERROR(__xludf.DUMMYFUNCTION("""COMPUTED_VALUE"""),"Airbnb")</f>
        <v>Airbnb</v>
      </c>
      <c r="J9" t="str">
        <f>IFERROR(__xludf.DUMMYFUNCTION("""COMPUTED_VALUE"""),"Jonatas Barros Duarte")</f>
        <v>Jonatas Barros Duarte</v>
      </c>
      <c r="K9" t="str">
        <f>IFERROR(__xludf.DUMMYFUNCTION("""COMPUTED_VALUE"""),"")</f>
        <v/>
      </c>
      <c r="L9" t="str">
        <f>IFERROR(__xludf.DUMMYFUNCTION("""COMPUTED_VALUE"""),"")</f>
        <v/>
      </c>
      <c r="M9" t="str">
        <f>IFERROR(__xludf.DUMMYFUNCTION("""COMPUTED_VALUE"""),"leticiaoliveiravieira.rh@gmail.com")</f>
        <v>leticiaoliveiravieira.rh@gmail.com</v>
      </c>
      <c r="N9" t="str">
        <f>IFERROR(__xludf.DUMMYFUNCTION("""COMPUTED_VALUE"""),"47 9 9179 1886")</f>
        <v>47 9 9179 1886</v>
      </c>
      <c r="O9" t="str">
        <f>IFERROR(__xludf.DUMMYFUNCTION("""COMPUTED_VALUE"""),"")</f>
        <v/>
      </c>
      <c r="P9" t="str">
        <f>IFERROR(__xludf.DUMMYFUNCTION("""COMPUTED_VALUE"""),"COMPLETO")</f>
        <v>COMPLETO</v>
      </c>
      <c r="Q9" t="str">
        <f>IFERROR(__xludf.DUMMYFUNCTION("""COMPUTED_VALUE"""),"PAGO")</f>
        <v>PAGO</v>
      </c>
      <c r="R9">
        <f>IFERROR(__xludf.DUMMYFUNCTION("""COMPUTED_VALUE"""),1.0561976686E10)</f>
        <v>10561976686</v>
      </c>
      <c r="S9" t="str">
        <f>IFERROR(__xludf.DUMMYFUNCTION("""COMPUTED_VALUE"""),"")</f>
        <v/>
      </c>
      <c r="T9" t="str">
        <f>IFERROR(__xludf.DUMMYFUNCTION("""COMPUTED_VALUE"""),"")</f>
        <v/>
      </c>
      <c r="U9" t="str">
        <f>IFERROR(__xludf.DUMMYFUNCTION("""COMPUTED_VALUE"""),"Sim")</f>
        <v>Sim</v>
      </c>
      <c r="V9" t="str">
        <f>IFERROR(__xludf.DUMMYFUNCTION("""COMPUTED_VALUE"""),"")</f>
        <v/>
      </c>
      <c r="W9" t="str">
        <f>IFERROR(__xludf.DUMMYFUNCTION("""COMPUTED_VALUE"""),"")</f>
        <v/>
      </c>
    </row>
    <row r="10">
      <c r="A10" s="268">
        <f>IFERROR(__xludf.DUMMYFUNCTION("""COMPUTED_VALUE"""),43606.968346469905)</f>
        <v>43606.96835</v>
      </c>
      <c r="B10" t="str">
        <f>IFERROR(__xludf.DUMMYFUNCTION("""COMPUTED_VALUE"""),"Fer")</f>
        <v>Fer</v>
      </c>
      <c r="C10" t="str">
        <f>IFERROR(__xludf.DUMMYFUNCTION("""COMPUTED_VALUE"""),"ILC2307")</f>
        <v>ILC2307</v>
      </c>
      <c r="D10" t="str">
        <f>IFERROR(__xludf.DUMMYFUNCTION("""COMPUTED_VALUE"""),"Andressa Sakuma")</f>
        <v>Andressa Sakuma</v>
      </c>
      <c r="E10" s="269">
        <f>IFERROR(__xludf.DUMMYFUNCTION("""COMPUTED_VALUE"""),43623.0)</f>
        <v>43623</v>
      </c>
      <c r="F10" s="269">
        <f>IFERROR(__xludf.DUMMYFUNCTION("""COMPUTED_VALUE"""),43625.0)</f>
        <v>43625</v>
      </c>
      <c r="G10" t="str">
        <f>IFERROR(__xludf.DUMMYFUNCTION("""COMPUTED_VALUE"""),"533.50")</f>
        <v>533.50</v>
      </c>
      <c r="H10" t="str">
        <f>IFERROR(__xludf.DUMMYFUNCTION("""COMPUTED_VALUE"""),"")</f>
        <v/>
      </c>
      <c r="I10" t="str">
        <f>IFERROR(__xludf.DUMMYFUNCTION("""COMPUTED_VALUE"""),"Airbnb")</f>
        <v>Airbnb</v>
      </c>
      <c r="J10" t="str">
        <f>IFERROR(__xludf.DUMMYFUNCTION("""COMPUTED_VALUE"""),"Acompanhante 1")</f>
        <v>Acompanhante 1</v>
      </c>
      <c r="K10" t="str">
        <f>IFERROR(__xludf.DUMMYFUNCTION("""COMPUTED_VALUE"""),"")</f>
        <v/>
      </c>
      <c r="L10" t="str">
        <f>IFERROR(__xludf.DUMMYFUNCTION("""COMPUTED_VALUE"""),"")</f>
        <v/>
      </c>
      <c r="M10" t="str">
        <f>IFERROR(__xludf.DUMMYFUNCTION("""COMPUTED_VALUE"""),"")</f>
        <v/>
      </c>
      <c r="N10" t="str">
        <f>IFERROR(__xludf.DUMMYFUNCTION("""COMPUTED_VALUE"""),"41 9 9245 0054")</f>
        <v>41 9 9245 0054</v>
      </c>
      <c r="O10" t="str">
        <f>IFERROR(__xludf.DUMMYFUNCTION("""COMPUTED_VALUE"""),"")</f>
        <v/>
      </c>
      <c r="P10" t="str">
        <f>IFERROR(__xludf.DUMMYFUNCTION("""COMPUTED_VALUE"""),"INCOMPLETO")</f>
        <v>INCOMPLETO</v>
      </c>
      <c r="Q10" t="str">
        <f>IFERROR(__xludf.DUMMYFUNCTION("""COMPUTED_VALUE"""),"PAGO")</f>
        <v>PAGO</v>
      </c>
      <c r="R10" t="str">
        <f>IFERROR(__xludf.DUMMYFUNCTION("""COMPUTED_VALUE"""),"")</f>
        <v/>
      </c>
      <c r="S10" t="str">
        <f>IFERROR(__xludf.DUMMYFUNCTION("""COMPUTED_VALUE"""),"")</f>
        <v/>
      </c>
      <c r="T10" t="str">
        <f>IFERROR(__xludf.DUMMYFUNCTION("""COMPUTED_VALUE"""),"")</f>
        <v/>
      </c>
      <c r="U10" t="str">
        <f>IFERROR(__xludf.DUMMYFUNCTION("""COMPUTED_VALUE"""),"Sim")</f>
        <v>Sim</v>
      </c>
      <c r="V10" t="str">
        <f>IFERROR(__xludf.DUMMYFUNCTION("""COMPUTED_VALUE"""),"")</f>
        <v/>
      </c>
      <c r="W10" t="str">
        <f>IFERROR(__xludf.DUMMYFUNCTION("""COMPUTED_VALUE"""),"")</f>
        <v/>
      </c>
    </row>
    <row r="11">
      <c r="A11" s="268">
        <f>IFERROR(__xludf.DUMMYFUNCTION("""COMPUTED_VALUE"""),43607.7071690625)</f>
        <v>43607.70717</v>
      </c>
      <c r="B11" t="str">
        <f>IFERROR(__xludf.DUMMYFUNCTION("""COMPUTED_VALUE"""),"Fer")</f>
        <v>Fer</v>
      </c>
      <c r="C11" t="str">
        <f>IFERROR(__xludf.DUMMYFUNCTION("""COMPUTED_VALUE"""),"ILC1112")</f>
        <v>ILC1112</v>
      </c>
      <c r="D11" t="str">
        <f>IFERROR(__xludf.DUMMYFUNCTION("""COMPUTED_VALUE"""),"Cristiano Da Silva")</f>
        <v>Cristiano Da Silva</v>
      </c>
      <c r="E11" s="269">
        <f>IFERROR(__xludf.DUMMYFUNCTION("""COMPUTED_VALUE"""),43636.0)</f>
        <v>43636</v>
      </c>
      <c r="F11" s="269">
        <f>IFERROR(__xludf.DUMMYFUNCTION("""COMPUTED_VALUE"""),43639.0)</f>
        <v>43639</v>
      </c>
      <c r="G11" t="str">
        <f>IFERROR(__xludf.DUMMYFUNCTION("""COMPUTED_VALUE"""),"1132.96")</f>
        <v>1132.96</v>
      </c>
      <c r="H11" t="str">
        <f>IFERROR(__xludf.DUMMYFUNCTION("""COMPUTED_VALUE"""),"")</f>
        <v/>
      </c>
      <c r="I11" t="str">
        <f>IFERROR(__xludf.DUMMYFUNCTION("""COMPUTED_VALUE"""),"Airbnb")</f>
        <v>Airbnb</v>
      </c>
      <c r="J11" t="str">
        <f>IFERROR(__xludf.DUMMYFUNCTION("""COMPUTED_VALUE"""),"Acompanhante 1")</f>
        <v>Acompanhante 1</v>
      </c>
      <c r="K11" t="str">
        <f>IFERROR(__xludf.DUMMYFUNCTION("""COMPUTED_VALUE"""),"")</f>
        <v/>
      </c>
      <c r="L11" t="str">
        <f>IFERROR(__xludf.DUMMYFUNCTION("""COMPUTED_VALUE"""),"")</f>
        <v/>
      </c>
      <c r="M11" t="str">
        <f>IFERROR(__xludf.DUMMYFUNCTION("""COMPUTED_VALUE"""),"")</f>
        <v/>
      </c>
      <c r="N11" t="str">
        <f>IFERROR(__xludf.DUMMYFUNCTION("""COMPUTED_VALUE"""),"48 9 9686 2636")</f>
        <v>48 9 9686 2636</v>
      </c>
      <c r="O11" t="str">
        <f>IFERROR(__xludf.DUMMYFUNCTION("""COMPUTED_VALUE"""),"")</f>
        <v/>
      </c>
      <c r="P11" t="str">
        <f>IFERROR(__xludf.DUMMYFUNCTION("""COMPUTED_VALUE"""),"COMPLETO")</f>
        <v>COMPLETO</v>
      </c>
      <c r="Q11" t="str">
        <f>IFERROR(__xludf.DUMMYFUNCTION("""COMPUTED_VALUE"""),"PAGO")</f>
        <v>PAGO</v>
      </c>
      <c r="R11" t="str">
        <f>IFERROR(__xludf.DUMMYFUNCTION("""COMPUTED_VALUE"""),"")</f>
        <v/>
      </c>
      <c r="S11" t="str">
        <f>IFERROR(__xludf.DUMMYFUNCTION("""COMPUTED_VALUE"""),"")</f>
        <v/>
      </c>
      <c r="T11" t="str">
        <f>IFERROR(__xludf.DUMMYFUNCTION("""COMPUTED_VALUE"""),"")</f>
        <v/>
      </c>
      <c r="U11" t="str">
        <f>IFERROR(__xludf.DUMMYFUNCTION("""COMPUTED_VALUE"""),"Sim")</f>
        <v>Sim</v>
      </c>
      <c r="V11" t="str">
        <f>IFERROR(__xludf.DUMMYFUNCTION("""COMPUTED_VALUE"""),"")</f>
        <v/>
      </c>
      <c r="W11" t="str">
        <f>IFERROR(__xludf.DUMMYFUNCTION("""COMPUTED_VALUE"""),"")</f>
        <v/>
      </c>
    </row>
    <row r="12">
      <c r="A12" s="268">
        <f>IFERROR(__xludf.DUMMYFUNCTION("""COMPUTED_VALUE"""),43608.428316122685)</f>
        <v>43608.42832</v>
      </c>
      <c r="B12" t="str">
        <f>IFERROR(__xludf.DUMMYFUNCTION("""COMPUTED_VALUE"""),"Fer")</f>
        <v>Fer</v>
      </c>
      <c r="C12" t="str">
        <f>IFERROR(__xludf.DUMMYFUNCTION("""COMPUTED_VALUE"""),"JBV464")</f>
        <v>JBV464</v>
      </c>
      <c r="D12" t="str">
        <f>IFERROR(__xludf.DUMMYFUNCTION("""COMPUTED_VALUE"""),"Monalisa Campos")</f>
        <v>Monalisa Campos</v>
      </c>
      <c r="E12" s="269">
        <f>IFERROR(__xludf.DUMMYFUNCTION("""COMPUTED_VALUE"""),43618.0)</f>
        <v>43618</v>
      </c>
      <c r="F12" s="269">
        <f>IFERROR(__xludf.DUMMYFUNCTION("""COMPUTED_VALUE"""),43619.0)</f>
        <v>43619</v>
      </c>
      <c r="G12">
        <f>IFERROR(__xludf.DUMMYFUNCTION("""COMPUTED_VALUE"""),97.0)</f>
        <v>97</v>
      </c>
      <c r="H12" t="str">
        <f>IFERROR(__xludf.DUMMYFUNCTION("""COMPUTED_VALUE"""),"")</f>
        <v/>
      </c>
      <c r="I12" t="str">
        <f>IFERROR(__xludf.DUMMYFUNCTION("""COMPUTED_VALUE"""),"Airbnb")</f>
        <v>Airbnb</v>
      </c>
      <c r="J12" t="str">
        <f>IFERROR(__xludf.DUMMYFUNCTION("""COMPUTED_VALUE"""),"Acompanhante 1")</f>
        <v>Acompanhante 1</v>
      </c>
      <c r="K12" t="str">
        <f>IFERROR(__xludf.DUMMYFUNCTION("""COMPUTED_VALUE"""),"")</f>
        <v/>
      </c>
      <c r="L12" t="str">
        <f>IFERROR(__xludf.DUMMYFUNCTION("""COMPUTED_VALUE"""),"")</f>
        <v/>
      </c>
      <c r="M12" t="str">
        <f>IFERROR(__xludf.DUMMYFUNCTION("""COMPUTED_VALUE"""),"")</f>
        <v/>
      </c>
      <c r="N12" t="str">
        <f>IFERROR(__xludf.DUMMYFUNCTION("""COMPUTED_VALUE"""),"31 9 9477 8428")</f>
        <v>31 9 9477 8428</v>
      </c>
      <c r="O12" t="str">
        <f>IFERROR(__xludf.DUMMYFUNCTION("""COMPUTED_VALUE"""),"")</f>
        <v/>
      </c>
      <c r="P12" t="str">
        <f>IFERROR(__xludf.DUMMYFUNCTION("""COMPUTED_VALUE"""),"INCOMPLETO")</f>
        <v>INCOMPLETO</v>
      </c>
      <c r="Q12" t="str">
        <f>IFERROR(__xludf.DUMMYFUNCTION("""COMPUTED_VALUE"""),"PAGO")</f>
        <v>PAGO</v>
      </c>
      <c r="R12" t="str">
        <f>IFERROR(__xludf.DUMMYFUNCTION("""COMPUTED_VALUE"""),"")</f>
        <v/>
      </c>
      <c r="S12" t="str">
        <f>IFERROR(__xludf.DUMMYFUNCTION("""COMPUTED_VALUE"""),"")</f>
        <v/>
      </c>
      <c r="T12" t="str">
        <f>IFERROR(__xludf.DUMMYFUNCTION("""COMPUTED_VALUE"""),"")</f>
        <v/>
      </c>
      <c r="U12" t="str">
        <f>IFERROR(__xludf.DUMMYFUNCTION("""COMPUTED_VALUE"""),"Sim")</f>
        <v>Sim</v>
      </c>
      <c r="V12" t="str">
        <f>IFERROR(__xludf.DUMMYFUNCTION("""COMPUTED_VALUE"""),"")</f>
        <v/>
      </c>
      <c r="W12" t="str">
        <f>IFERROR(__xludf.DUMMYFUNCTION("""COMPUTED_VALUE"""),"")</f>
        <v/>
      </c>
    </row>
    <row r="13">
      <c r="A13" s="268">
        <f>IFERROR(__xludf.DUMMYFUNCTION("""COMPUTED_VALUE"""),43608.56128163195)</f>
        <v>43608.56128</v>
      </c>
      <c r="B13" t="str">
        <f>IFERROR(__xludf.DUMMYFUNCTION("""COMPUTED_VALUE"""),"Fer")</f>
        <v>Fer</v>
      </c>
      <c r="C13" t="str">
        <f>IFERROR(__xludf.DUMMYFUNCTION("""COMPUTED_VALUE"""),"ILC1112")</f>
        <v>ILC1112</v>
      </c>
      <c r="D13" t="str">
        <f>IFERROR(__xludf.DUMMYFUNCTION("""COMPUTED_VALUE"""),"Nathalia Sousa")</f>
        <v>Nathalia Sousa</v>
      </c>
      <c r="E13" s="269">
        <f>IFERROR(__xludf.DUMMYFUNCTION("""COMPUTED_VALUE"""),43616.0)</f>
        <v>43616</v>
      </c>
      <c r="F13" s="269">
        <f>IFERROR(__xludf.DUMMYFUNCTION("""COMPUTED_VALUE"""),43618.0)</f>
        <v>43618</v>
      </c>
      <c r="G13" t="str">
        <f>IFERROR(__xludf.DUMMYFUNCTION("""COMPUTED_VALUE"""),"630.5")</f>
        <v>630.5</v>
      </c>
      <c r="H13" t="str">
        <f>IFERROR(__xludf.DUMMYFUNCTION("""COMPUTED_VALUE"""),"")</f>
        <v/>
      </c>
      <c r="I13" t="str">
        <f>IFERROR(__xludf.DUMMYFUNCTION("""COMPUTED_VALUE"""),"Airbnb")</f>
        <v>Airbnb</v>
      </c>
      <c r="J13" t="str">
        <f>IFERROR(__xludf.DUMMYFUNCTION("""COMPUTED_VALUE"""),"Acompanhante 1")</f>
        <v>Acompanhante 1</v>
      </c>
      <c r="K13" t="str">
        <f>IFERROR(__xludf.DUMMYFUNCTION("""COMPUTED_VALUE"""),"Acompanhante 2")</f>
        <v>Acompanhante 2</v>
      </c>
      <c r="L13" t="str">
        <f>IFERROR(__xludf.DUMMYFUNCTION("""COMPUTED_VALUE"""),"Acompanhante 3")</f>
        <v>Acompanhante 3</v>
      </c>
      <c r="M13" t="str">
        <f>IFERROR(__xludf.DUMMYFUNCTION("""COMPUTED_VALUE"""),"")</f>
        <v/>
      </c>
      <c r="N13" t="str">
        <f>IFERROR(__xludf.DUMMYFUNCTION("""COMPUTED_VALUE"""),"51 9 9419 4474")</f>
        <v>51 9 9419 4474</v>
      </c>
      <c r="O13" t="str">
        <f>IFERROR(__xludf.DUMMYFUNCTION("""COMPUTED_VALUE"""),"")</f>
        <v/>
      </c>
      <c r="P13" t="str">
        <f>IFERROR(__xludf.DUMMYFUNCTION("""COMPUTED_VALUE"""),"INCOMPLETO")</f>
        <v>INCOMPLETO</v>
      </c>
      <c r="Q13" t="str">
        <f>IFERROR(__xludf.DUMMYFUNCTION("""COMPUTED_VALUE"""),"PAGO")</f>
        <v>PAGO</v>
      </c>
      <c r="R13" t="str">
        <f>IFERROR(__xludf.DUMMYFUNCTION("""COMPUTED_VALUE"""),"")</f>
        <v/>
      </c>
      <c r="S13" t="str">
        <f>IFERROR(__xludf.DUMMYFUNCTION("""COMPUTED_VALUE"""),"")</f>
        <v/>
      </c>
      <c r="T13" t="str">
        <f>IFERROR(__xludf.DUMMYFUNCTION("""COMPUTED_VALUE"""),"")</f>
        <v/>
      </c>
      <c r="U13" t="str">
        <f>IFERROR(__xludf.DUMMYFUNCTION("""COMPUTED_VALUE"""),"Sim")</f>
        <v>Sim</v>
      </c>
      <c r="V13" t="str">
        <f>IFERROR(__xludf.DUMMYFUNCTION("""COMPUTED_VALUE"""),"")</f>
        <v/>
      </c>
      <c r="W13" t="str">
        <f>IFERROR(__xludf.DUMMYFUNCTION("""COMPUTED_VALUE"""),"")</f>
        <v/>
      </c>
    </row>
    <row r="14">
      <c r="A14" s="268">
        <f>IFERROR(__xludf.DUMMYFUNCTION("""COMPUTED_VALUE"""),43608.562629374996)</f>
        <v>43608.56263</v>
      </c>
      <c r="B14" t="str">
        <f>IFERROR(__xludf.DUMMYFUNCTION("""COMPUTED_VALUE"""),"Fer")</f>
        <v>Fer</v>
      </c>
      <c r="C14" t="str">
        <f>IFERROR(__xludf.DUMMYFUNCTION("""COMPUTED_VALUE"""),"JBV464")</f>
        <v>JBV464</v>
      </c>
      <c r="D14" t="str">
        <f>IFERROR(__xludf.DUMMYFUNCTION("""COMPUTED_VALUE"""),"Maria Helena Rodrigues Remedio")</f>
        <v>Maria Helena Rodrigues Remedio</v>
      </c>
      <c r="E14" s="269">
        <f>IFERROR(__xludf.DUMMYFUNCTION("""COMPUTED_VALUE"""),43637.0)</f>
        <v>43637</v>
      </c>
      <c r="F14" s="269">
        <f>IFERROR(__xludf.DUMMYFUNCTION("""COMPUTED_VALUE"""),43639.0)</f>
        <v>43639</v>
      </c>
      <c r="G14">
        <f>IFERROR(__xludf.DUMMYFUNCTION("""COMPUTED_VALUE"""),582.0)</f>
        <v>582</v>
      </c>
      <c r="H14" t="str">
        <f>IFERROR(__xludf.DUMMYFUNCTION("""COMPUTED_VALUE"""),"")</f>
        <v/>
      </c>
      <c r="I14" t="str">
        <f>IFERROR(__xludf.DUMMYFUNCTION("""COMPUTED_VALUE"""),"Airbnb")</f>
        <v>Airbnb</v>
      </c>
      <c r="J14" t="str">
        <f>IFERROR(__xludf.DUMMYFUNCTION("""COMPUTED_VALUE"""),"Acompanhante 1")</f>
        <v>Acompanhante 1</v>
      </c>
      <c r="K14" t="str">
        <f>IFERROR(__xludf.DUMMYFUNCTION("""COMPUTED_VALUE"""),"")</f>
        <v/>
      </c>
      <c r="L14" t="str">
        <f>IFERROR(__xludf.DUMMYFUNCTION("""COMPUTED_VALUE"""),"")</f>
        <v/>
      </c>
      <c r="M14" t="str">
        <f>IFERROR(__xludf.DUMMYFUNCTION("""COMPUTED_VALUE"""),"")</f>
        <v/>
      </c>
      <c r="N14" t="str">
        <f>IFERROR(__xludf.DUMMYFUNCTION("""COMPUTED_VALUE"""),"51 9 9668 4292")</f>
        <v>51 9 9668 4292</v>
      </c>
      <c r="O14" t="str">
        <f>IFERROR(__xludf.DUMMYFUNCTION("""COMPUTED_VALUE"""),"")</f>
        <v/>
      </c>
      <c r="P14" t="str">
        <f>IFERROR(__xludf.DUMMYFUNCTION("""COMPUTED_VALUE"""),"INCOMPLETO")</f>
        <v>INCOMPLETO</v>
      </c>
      <c r="Q14" t="str">
        <f>IFERROR(__xludf.DUMMYFUNCTION("""COMPUTED_VALUE"""),"PAGO")</f>
        <v>PAGO</v>
      </c>
      <c r="R14" t="str">
        <f>IFERROR(__xludf.DUMMYFUNCTION("""COMPUTED_VALUE"""),"")</f>
        <v/>
      </c>
      <c r="S14" t="str">
        <f>IFERROR(__xludf.DUMMYFUNCTION("""COMPUTED_VALUE"""),"")</f>
        <v/>
      </c>
      <c r="T14" t="str">
        <f>IFERROR(__xludf.DUMMYFUNCTION("""COMPUTED_VALUE"""),"")</f>
        <v/>
      </c>
      <c r="U14" t="str">
        <f>IFERROR(__xludf.DUMMYFUNCTION("""COMPUTED_VALUE"""),"Sim")</f>
        <v>Sim</v>
      </c>
      <c r="V14" t="str">
        <f>IFERROR(__xludf.DUMMYFUNCTION("""COMPUTED_VALUE"""),"")</f>
        <v/>
      </c>
      <c r="W14" t="str">
        <f>IFERROR(__xludf.DUMMYFUNCTION("""COMPUTED_VALUE"""),"")</f>
        <v/>
      </c>
    </row>
    <row r="15">
      <c r="A15" s="268">
        <f>IFERROR(__xludf.DUMMYFUNCTION("""COMPUTED_VALUE"""),43608.69015244213)</f>
        <v>43608.69015</v>
      </c>
      <c r="B15" t="str">
        <f>IFERROR(__xludf.DUMMYFUNCTION("""COMPUTED_VALUE"""),"Fer")</f>
        <v>Fer</v>
      </c>
      <c r="C15" t="str">
        <f>IFERROR(__xludf.DUMMYFUNCTION("""COMPUTED_VALUE"""),"ILC4410")</f>
        <v>ILC4410</v>
      </c>
      <c r="D15" t="str">
        <f>IFERROR(__xludf.DUMMYFUNCTION("""COMPUTED_VALUE"""),"Ivan Carmo")</f>
        <v>Ivan Carmo</v>
      </c>
      <c r="E15" s="269">
        <f>IFERROR(__xludf.DUMMYFUNCTION("""COMPUTED_VALUE"""),43610.0)</f>
        <v>43610</v>
      </c>
      <c r="F15" s="269">
        <f>IFERROR(__xludf.DUMMYFUNCTION("""COMPUTED_VALUE"""),43611.0)</f>
        <v>43611</v>
      </c>
      <c r="G15" t="str">
        <f>IFERROR(__xludf.DUMMYFUNCTION("""COMPUTED_VALUE"""),"509.24")</f>
        <v>509.24</v>
      </c>
      <c r="H15" t="str">
        <f>IFERROR(__xludf.DUMMYFUNCTION("""COMPUTED_VALUE"""),"")</f>
        <v/>
      </c>
      <c r="I15" t="str">
        <f>IFERROR(__xludf.DUMMYFUNCTION("""COMPUTED_VALUE"""),"Airbnb")</f>
        <v>Airbnb</v>
      </c>
      <c r="J15" t="str">
        <f>IFERROR(__xludf.DUMMYFUNCTION("""COMPUTED_VALUE"""),"Acompanhante 1")</f>
        <v>Acompanhante 1</v>
      </c>
      <c r="K15" t="str">
        <f>IFERROR(__xludf.DUMMYFUNCTION("""COMPUTED_VALUE"""),"Acompanhante 2")</f>
        <v>Acompanhante 2</v>
      </c>
      <c r="L15" t="str">
        <f>IFERROR(__xludf.DUMMYFUNCTION("""COMPUTED_VALUE"""),"Acompanhante 3")</f>
        <v>Acompanhante 3</v>
      </c>
      <c r="M15" t="str">
        <f>IFERROR(__xludf.DUMMYFUNCTION("""COMPUTED_VALUE"""),"")</f>
        <v/>
      </c>
      <c r="N15" t="str">
        <f>IFERROR(__xludf.DUMMYFUNCTION("""COMPUTED_VALUE"""),"41 9 9264 4674")</f>
        <v>41 9 9264 4674</v>
      </c>
      <c r="O15" t="str">
        <f>IFERROR(__xludf.DUMMYFUNCTION("""COMPUTED_VALUE"""),"")</f>
        <v/>
      </c>
      <c r="P15" t="str">
        <f>IFERROR(__xludf.DUMMYFUNCTION("""COMPUTED_VALUE"""),"INCOMPLETO")</f>
        <v>INCOMPLETO</v>
      </c>
      <c r="Q15" t="str">
        <f>IFERROR(__xludf.DUMMYFUNCTION("""COMPUTED_VALUE"""),"PAGO")</f>
        <v>PAGO</v>
      </c>
      <c r="R15" t="str">
        <f>IFERROR(__xludf.DUMMYFUNCTION("""COMPUTED_VALUE"""),"")</f>
        <v/>
      </c>
      <c r="S15" t="str">
        <f>IFERROR(__xludf.DUMMYFUNCTION("""COMPUTED_VALUE"""),"")</f>
        <v/>
      </c>
      <c r="T15" t="str">
        <f>IFERROR(__xludf.DUMMYFUNCTION("""COMPUTED_VALUE"""),"")</f>
        <v/>
      </c>
      <c r="U15" t="str">
        <f>IFERROR(__xludf.DUMMYFUNCTION("""COMPUTED_VALUE"""),"Sim")</f>
        <v>Sim</v>
      </c>
      <c r="V15" t="str">
        <f>IFERROR(__xludf.DUMMYFUNCTION("""COMPUTED_VALUE"""),"")</f>
        <v/>
      </c>
      <c r="W15" t="str">
        <f>IFERROR(__xludf.DUMMYFUNCTION("""COMPUTED_VALUE"""),"")</f>
        <v/>
      </c>
    </row>
    <row r="16">
      <c r="A16" s="268">
        <f>IFERROR(__xludf.DUMMYFUNCTION("""COMPUTED_VALUE"""),43608.96792581018)</f>
        <v>43608.96793</v>
      </c>
      <c r="B16" t="str">
        <f>IFERROR(__xludf.DUMMYFUNCTION("""COMPUTED_VALUE"""),"Fer")</f>
        <v>Fer</v>
      </c>
      <c r="C16" t="str">
        <f>IFERROR(__xludf.DUMMYFUNCTION("""COMPUTED_VALUE"""),"ILC3415")</f>
        <v>ILC3415</v>
      </c>
      <c r="D16" t="str">
        <f>IFERROR(__xludf.DUMMYFUNCTION("""COMPUTED_VALUE"""),"Marina Cardoso")</f>
        <v>Marina Cardoso</v>
      </c>
      <c r="E16" s="269">
        <f>IFERROR(__xludf.DUMMYFUNCTION("""COMPUTED_VALUE"""),43609.0)</f>
        <v>43609</v>
      </c>
      <c r="F16" s="269">
        <f>IFERROR(__xludf.DUMMYFUNCTION("""COMPUTED_VALUE"""),43611.0)</f>
        <v>43611</v>
      </c>
      <c r="G16">
        <f>IFERROR(__xludf.DUMMYFUNCTION("""COMPUTED_VALUE"""),970.0)</f>
        <v>970</v>
      </c>
      <c r="H16" t="str">
        <f>IFERROR(__xludf.DUMMYFUNCTION("""COMPUTED_VALUE"""),"")</f>
        <v/>
      </c>
      <c r="I16" t="str">
        <f>IFERROR(__xludf.DUMMYFUNCTION("""COMPUTED_VALUE"""),"Airbnb")</f>
        <v>Airbnb</v>
      </c>
      <c r="J16" t="str">
        <f>IFERROR(__xludf.DUMMYFUNCTION("""COMPUTED_VALUE"""),"Acompanhante 1")</f>
        <v>Acompanhante 1</v>
      </c>
      <c r="K16" t="str">
        <f>IFERROR(__xludf.DUMMYFUNCTION("""COMPUTED_VALUE"""),"")</f>
        <v/>
      </c>
      <c r="L16" t="str">
        <f>IFERROR(__xludf.DUMMYFUNCTION("""COMPUTED_VALUE"""),"")</f>
        <v/>
      </c>
      <c r="M16" t="str">
        <f>IFERROR(__xludf.DUMMYFUNCTION("""COMPUTED_VALUE"""),"")</f>
        <v/>
      </c>
      <c r="N16" t="str">
        <f>IFERROR(__xludf.DUMMYFUNCTION("""COMPUTED_VALUE"""),"51 9 9997 9855")</f>
        <v>51 9 9997 9855</v>
      </c>
      <c r="O16" t="str">
        <f>IFERROR(__xludf.DUMMYFUNCTION("""COMPUTED_VALUE"""),"")</f>
        <v/>
      </c>
      <c r="P16" t="str">
        <f>IFERROR(__xludf.DUMMYFUNCTION("""COMPUTED_VALUE"""),"INCOMPLETO")</f>
        <v>INCOMPLETO</v>
      </c>
      <c r="Q16" t="str">
        <f>IFERROR(__xludf.DUMMYFUNCTION("""COMPUTED_VALUE"""),"PAGO")</f>
        <v>PAGO</v>
      </c>
      <c r="R16" t="str">
        <f>IFERROR(__xludf.DUMMYFUNCTION("""COMPUTED_VALUE"""),"")</f>
        <v/>
      </c>
      <c r="S16" t="str">
        <f>IFERROR(__xludf.DUMMYFUNCTION("""COMPUTED_VALUE"""),"")</f>
        <v/>
      </c>
      <c r="T16" t="str">
        <f>IFERROR(__xludf.DUMMYFUNCTION("""COMPUTED_VALUE"""),"")</f>
        <v/>
      </c>
      <c r="U16" t="str">
        <f>IFERROR(__xludf.DUMMYFUNCTION("""COMPUTED_VALUE"""),"Sim")</f>
        <v>Sim</v>
      </c>
      <c r="V16" t="str">
        <f>IFERROR(__xludf.DUMMYFUNCTION("""COMPUTED_VALUE"""),"")</f>
        <v/>
      </c>
      <c r="W16" t="str">
        <f>IFERROR(__xludf.DUMMYFUNCTION("""COMPUTED_VALUE"""),"")</f>
        <v/>
      </c>
    </row>
    <row r="17">
      <c r="A17" s="268">
        <f>IFERROR(__xludf.DUMMYFUNCTION("""COMPUTED_VALUE"""),43611.90932200231)</f>
        <v>43611.90932</v>
      </c>
      <c r="B17" t="str">
        <f>IFERROR(__xludf.DUMMYFUNCTION("""COMPUTED_VALUE"""),"Fer")</f>
        <v>Fer</v>
      </c>
      <c r="C17" t="str">
        <f>IFERROR(__xludf.DUMMYFUNCTION("""COMPUTED_VALUE"""),"ILC2307")</f>
        <v>ILC2307</v>
      </c>
      <c r="D17" t="str">
        <f>IFERROR(__xludf.DUMMYFUNCTION("""COMPUTED_VALUE"""),"John Hiroshi Sakuma")</f>
        <v>John Hiroshi Sakuma</v>
      </c>
      <c r="E17" s="269">
        <f>IFERROR(__xludf.DUMMYFUNCTION("""COMPUTED_VALUE"""),43623.0)</f>
        <v>43623</v>
      </c>
      <c r="F17" s="269">
        <f>IFERROR(__xludf.DUMMYFUNCTION("""COMPUTED_VALUE"""),43625.0)</f>
        <v>43625</v>
      </c>
      <c r="G17" t="str">
        <f>IFERROR(__xludf.DUMMYFUNCTION("""COMPUTED_VALUE"""),"533.50")</f>
        <v>533.50</v>
      </c>
      <c r="H17" t="str">
        <f>IFERROR(__xludf.DUMMYFUNCTION("""COMPUTED_VALUE"""),"Reserva feita por Andressa Sakuma")</f>
        <v>Reserva feita por Andressa Sakuma</v>
      </c>
      <c r="I17" t="str">
        <f>IFERROR(__xludf.DUMMYFUNCTION("""COMPUTED_VALUE"""),"Airbnb")</f>
        <v>Airbnb</v>
      </c>
      <c r="J17" t="str">
        <f>IFERROR(__xludf.DUMMYFUNCTION("""COMPUTED_VALUE"""),"Sandra Aiko Omori")</f>
        <v>Sandra Aiko Omori</v>
      </c>
      <c r="K17" t="str">
        <f>IFERROR(__xludf.DUMMYFUNCTION("""COMPUTED_VALUE"""),"")</f>
        <v/>
      </c>
      <c r="L17" t="str">
        <f>IFERROR(__xludf.DUMMYFUNCTION("""COMPUTED_VALUE"""),"")</f>
        <v/>
      </c>
      <c r="M17" t="str">
        <f>IFERROR(__xludf.DUMMYFUNCTION("""COMPUTED_VALUE"""),"41 9 9143 0800")</f>
        <v>41 9 9143 0800</v>
      </c>
      <c r="N17" t="str">
        <f>IFERROR(__xludf.DUMMYFUNCTION("""COMPUTED_VALUE"""),"sandra.omori@yahoo.com.br")</f>
        <v>sandra.omori@yahoo.com.br</v>
      </c>
      <c r="O17" t="str">
        <f>IFERROR(__xludf.DUMMYFUNCTION("""COMPUTED_VALUE"""),"")</f>
        <v/>
      </c>
      <c r="P17" t="str">
        <f>IFERROR(__xludf.DUMMYFUNCTION("""COMPUTED_VALUE"""),"COMPLETO")</f>
        <v>COMPLETO</v>
      </c>
      <c r="Q17" t="str">
        <f>IFERROR(__xludf.DUMMYFUNCTION("""COMPUTED_VALUE"""),"PAGO")</f>
        <v>PAGO</v>
      </c>
      <c r="R17">
        <f>IFERROR(__xludf.DUMMYFUNCTION("""COMPUTED_VALUE"""),4.8487481949E10)</f>
        <v>48487481949</v>
      </c>
      <c r="S17" t="str">
        <f>IFERROR(__xludf.DUMMYFUNCTION("""COMPUTED_VALUE"""),"")</f>
        <v/>
      </c>
      <c r="T17" t="str">
        <f>IFERROR(__xludf.DUMMYFUNCTION("""COMPUTED_VALUE"""),"")</f>
        <v/>
      </c>
      <c r="U17" t="str">
        <f>IFERROR(__xludf.DUMMYFUNCTION("""COMPUTED_VALUE"""),"Sim")</f>
        <v>Sim</v>
      </c>
      <c r="V17" t="str">
        <f>IFERROR(__xludf.DUMMYFUNCTION("""COMPUTED_VALUE"""),"")</f>
        <v/>
      </c>
      <c r="W17" t="str">
        <f>IFERROR(__xludf.DUMMYFUNCTION("""COMPUTED_VALUE"""),"")</f>
        <v/>
      </c>
    </row>
    <row r="18">
      <c r="A18" s="268">
        <f>IFERROR(__xludf.DUMMYFUNCTION("""COMPUTED_VALUE"""),43611.91115770834)</f>
        <v>43611.91116</v>
      </c>
      <c r="B18" t="str">
        <f>IFERROR(__xludf.DUMMYFUNCTION("""COMPUTED_VALUE"""),"Fer")</f>
        <v>Fer</v>
      </c>
      <c r="C18" t="str">
        <f>IFERROR(__xludf.DUMMYFUNCTION("""COMPUTED_VALUE"""),"ILC2307")</f>
        <v>ILC2307</v>
      </c>
      <c r="D18" t="str">
        <f>IFERROR(__xludf.DUMMYFUNCTION("""COMPUTED_VALUE"""),"Nataly Heitor Martini")</f>
        <v>Nataly Heitor Martini</v>
      </c>
      <c r="E18" s="269">
        <f>IFERROR(__xludf.DUMMYFUNCTION("""COMPUTED_VALUE"""),43617.0)</f>
        <v>43617</v>
      </c>
      <c r="F18" s="269">
        <f>IFERROR(__xludf.DUMMYFUNCTION("""COMPUTED_VALUE"""),43619.0)</f>
        <v>43619</v>
      </c>
      <c r="G18" t="str">
        <f>IFERROR(__xludf.DUMMYFUNCTION("""COMPUTED_VALUE"""),"489.85")</f>
        <v>489.85</v>
      </c>
      <c r="H18" t="str">
        <f>IFERROR(__xludf.DUMMYFUNCTION("""COMPUTED_VALUE"""),"")</f>
        <v/>
      </c>
      <c r="I18" t="str">
        <f>IFERROR(__xludf.DUMMYFUNCTION("""COMPUTED_VALUE"""),"Airbnb")</f>
        <v>Airbnb</v>
      </c>
      <c r="J18" t="str">
        <f>IFERROR(__xludf.DUMMYFUNCTION("""COMPUTED_VALUE"""),"Tiago Natari Vieira")</f>
        <v>Tiago Natari Vieira</v>
      </c>
      <c r="K18" t="str">
        <f>IFERROR(__xludf.DUMMYFUNCTION("""COMPUTED_VALUE"""),"Celine Martini Natari")</f>
        <v>Celine Martini Natari</v>
      </c>
      <c r="L18" t="str">
        <f>IFERROR(__xludf.DUMMYFUNCTION("""COMPUTED_VALUE"""),"")</f>
        <v/>
      </c>
      <c r="M18" t="str">
        <f>IFERROR(__xludf.DUMMYFUNCTION("""COMPUTED_VALUE"""),"natalymartini@gmail.com")</f>
        <v>natalymartini@gmail.com</v>
      </c>
      <c r="N18" t="str">
        <f>IFERROR(__xludf.DUMMYFUNCTION("""COMPUTED_VALUE"""),"65 9 8124 9599")</f>
        <v>65 9 8124 9599</v>
      </c>
      <c r="O18" t="str">
        <f>IFERROR(__xludf.DUMMYFUNCTION("""COMPUTED_VALUE"""),"")</f>
        <v/>
      </c>
      <c r="P18" t="str">
        <f>IFERROR(__xludf.DUMMYFUNCTION("""COMPUTED_VALUE"""),"COMPLETO")</f>
        <v>COMPLETO</v>
      </c>
      <c r="Q18" t="str">
        <f>IFERROR(__xludf.DUMMYFUNCTION("""COMPUTED_VALUE"""),"PAGO")</f>
        <v>PAGO</v>
      </c>
      <c r="R18" t="str">
        <f>IFERROR(__xludf.DUMMYFUNCTION("""COMPUTED_VALUE"""),"01988178193")</f>
        <v>01988178193</v>
      </c>
      <c r="S18" t="str">
        <f>IFERROR(__xludf.DUMMYFUNCTION("""COMPUTED_VALUE"""),"")</f>
        <v/>
      </c>
      <c r="T18" t="str">
        <f>IFERROR(__xludf.DUMMYFUNCTION("""COMPUTED_VALUE"""),"")</f>
        <v/>
      </c>
      <c r="U18" t="str">
        <f>IFERROR(__xludf.DUMMYFUNCTION("""COMPUTED_VALUE"""),"Sim")</f>
        <v>Sim</v>
      </c>
      <c r="V18" t="str">
        <f>IFERROR(__xludf.DUMMYFUNCTION("""COMPUTED_VALUE"""),"")</f>
        <v/>
      </c>
      <c r="W18" t="str">
        <f>IFERROR(__xludf.DUMMYFUNCTION("""COMPUTED_VALUE"""),"")</f>
        <v/>
      </c>
    </row>
    <row r="19">
      <c r="A19" s="268">
        <f>IFERROR(__xludf.DUMMYFUNCTION("""COMPUTED_VALUE"""),43611.913579699074)</f>
        <v>43611.91358</v>
      </c>
      <c r="B19" t="str">
        <f>IFERROR(__xludf.DUMMYFUNCTION("""COMPUTED_VALUE"""),"Fer")</f>
        <v>Fer</v>
      </c>
      <c r="C19" t="str">
        <f>IFERROR(__xludf.DUMMYFUNCTION("""COMPUTED_VALUE"""),"ILC1110")</f>
        <v>ILC1110</v>
      </c>
      <c r="D19" t="str">
        <f>IFERROR(__xludf.DUMMYFUNCTION("""COMPUTED_VALUE"""),"Caroline Azeredo ")</f>
        <v>Caroline Azeredo </v>
      </c>
      <c r="E19" s="269">
        <f>IFERROR(__xludf.DUMMYFUNCTION("""COMPUTED_VALUE"""),43622.0)</f>
        <v>43622</v>
      </c>
      <c r="F19" s="269">
        <f>IFERROR(__xludf.DUMMYFUNCTION("""COMPUTED_VALUE"""),43626.0)</f>
        <v>43626</v>
      </c>
      <c r="G19" t="str">
        <f>IFERROR(__xludf.DUMMYFUNCTION("""COMPUTED_VALUE"""),"979.70")</f>
        <v>979.70</v>
      </c>
      <c r="H19" t="str">
        <f>IFERROR(__xludf.DUMMYFUNCTION("""COMPUTED_VALUE"""),"")</f>
        <v/>
      </c>
      <c r="I19" t="str">
        <f>IFERROR(__xludf.DUMMYFUNCTION("""COMPUTED_VALUE"""),"Airbnb")</f>
        <v>Airbnb</v>
      </c>
      <c r="J19" t="str">
        <f>IFERROR(__xludf.DUMMYFUNCTION("""COMPUTED_VALUE"""),"Rodrigo Alencastro ")</f>
        <v>Rodrigo Alencastro </v>
      </c>
      <c r="K19" t="str">
        <f>IFERROR(__xludf.DUMMYFUNCTION("""COMPUTED_VALUE"""),"Vanessa Baldini ")</f>
        <v>Vanessa Baldini </v>
      </c>
      <c r="L19" t="str">
        <f>IFERROR(__xludf.DUMMYFUNCTION("""COMPUTED_VALUE"""),"")</f>
        <v/>
      </c>
      <c r="M19" t="str">
        <f>IFERROR(__xludf.DUMMYFUNCTION("""COMPUTED_VALUE"""),"carolineazeredo@hotmail.com")</f>
        <v>carolineazeredo@hotmail.com</v>
      </c>
      <c r="N19" t="str">
        <f>IFERROR(__xludf.DUMMYFUNCTION("""COMPUTED_VALUE"""),"61 9 8151 8853")</f>
        <v>61 9 8151 8853</v>
      </c>
      <c r="O19" t="str">
        <f>IFERROR(__xludf.DUMMYFUNCTION("""COMPUTED_VALUE"""),"")</f>
        <v/>
      </c>
      <c r="P19" t="str">
        <f>IFERROR(__xludf.DUMMYFUNCTION("""COMPUTED_VALUE"""),"COMPLETO")</f>
        <v>COMPLETO</v>
      </c>
      <c r="Q19" t="str">
        <f>IFERROR(__xludf.DUMMYFUNCTION("""COMPUTED_VALUE"""),"PAGO")</f>
        <v>PAGO</v>
      </c>
      <c r="R19" t="str">
        <f>IFERROR(__xludf.DUMMYFUNCTION("""COMPUTED_VALUE"""),"00302375139")</f>
        <v>00302375139</v>
      </c>
      <c r="S19" t="str">
        <f>IFERROR(__xludf.DUMMYFUNCTION("""COMPUTED_VALUE"""),"")</f>
        <v/>
      </c>
      <c r="T19" t="str">
        <f>IFERROR(__xludf.DUMMYFUNCTION("""COMPUTED_VALUE"""),"")</f>
        <v/>
      </c>
      <c r="U19" t="str">
        <f>IFERROR(__xludf.DUMMYFUNCTION("""COMPUTED_VALUE"""),"Sim")</f>
        <v>Sim</v>
      </c>
      <c r="V19" t="str">
        <f>IFERROR(__xludf.DUMMYFUNCTION("""COMPUTED_VALUE"""),"")</f>
        <v/>
      </c>
      <c r="W19" t="str">
        <f>IFERROR(__xludf.DUMMYFUNCTION("""COMPUTED_VALUE"""),"")</f>
        <v/>
      </c>
    </row>
    <row r="20">
      <c r="A20" s="268">
        <f>IFERROR(__xludf.DUMMYFUNCTION("""COMPUTED_VALUE"""),43611.914919780094)</f>
        <v>43611.91492</v>
      </c>
      <c r="B20" t="str">
        <f>IFERROR(__xludf.DUMMYFUNCTION("""COMPUTED_VALUE"""),"Fer")</f>
        <v>Fer</v>
      </c>
      <c r="C20" t="str">
        <f>IFERROR(__xludf.DUMMYFUNCTION("""COMPUTED_VALUE"""),"ILC1111")</f>
        <v>ILC1111</v>
      </c>
      <c r="D20" t="str">
        <f>IFERROR(__xludf.DUMMYFUNCTION("""COMPUTED_VALUE"""),"Isabele Luiza De Souza Schowartz")</f>
        <v>Isabele Luiza De Souza Schowartz</v>
      </c>
      <c r="E20" s="269">
        <f>IFERROR(__xludf.DUMMYFUNCTION("""COMPUTED_VALUE"""),43645.0)</f>
        <v>43645</v>
      </c>
      <c r="F20" s="269">
        <f>IFERROR(__xludf.DUMMYFUNCTION("""COMPUTED_VALUE"""),43648.0)</f>
        <v>43648</v>
      </c>
      <c r="G20" t="str">
        <f>IFERROR(__xludf.DUMMYFUNCTION("""COMPUTED_VALUE"""),"731.38")</f>
        <v>731.38</v>
      </c>
      <c r="H20" t="str">
        <f>IFERROR(__xludf.DUMMYFUNCTION("""COMPUTED_VALUE"""),"")</f>
        <v/>
      </c>
      <c r="I20" t="str">
        <f>IFERROR(__xludf.DUMMYFUNCTION("""COMPUTED_VALUE"""),"Airbnb")</f>
        <v>Airbnb</v>
      </c>
      <c r="J20" t="str">
        <f>IFERROR(__xludf.DUMMYFUNCTION("""COMPUTED_VALUE"""),"Acompanhante 1")</f>
        <v>Acompanhante 1</v>
      </c>
      <c r="K20" t="str">
        <f>IFERROR(__xludf.DUMMYFUNCTION("""COMPUTED_VALUE"""),"Acompanhante 2")</f>
        <v>Acompanhante 2</v>
      </c>
      <c r="L20" t="str">
        <f>IFERROR(__xludf.DUMMYFUNCTION("""COMPUTED_VALUE"""),"")</f>
        <v/>
      </c>
      <c r="M20" t="str">
        <f>IFERROR(__xludf.DUMMYFUNCTION("""COMPUTED_VALUE"""),"")</f>
        <v/>
      </c>
      <c r="N20" t="str">
        <f>IFERROR(__xludf.DUMMYFUNCTION("""COMPUTED_VALUE"""),"61 9 8183 4653")</f>
        <v>61 9 8183 4653</v>
      </c>
      <c r="O20" t="str">
        <f>IFERROR(__xludf.DUMMYFUNCTION("""COMPUTED_VALUE"""),"")</f>
        <v/>
      </c>
      <c r="P20" t="str">
        <f>IFERROR(__xludf.DUMMYFUNCTION("""COMPUTED_VALUE"""),"INCOMPLETO")</f>
        <v>INCOMPLETO</v>
      </c>
      <c r="Q20" t="str">
        <f>IFERROR(__xludf.DUMMYFUNCTION("""COMPUTED_VALUE"""),"PAGO")</f>
        <v>PAGO</v>
      </c>
      <c r="R20" t="str">
        <f>IFERROR(__xludf.DUMMYFUNCTION("""COMPUTED_VALUE"""),"")</f>
        <v/>
      </c>
      <c r="S20" t="str">
        <f>IFERROR(__xludf.DUMMYFUNCTION("""COMPUTED_VALUE"""),"")</f>
        <v/>
      </c>
      <c r="T20" t="str">
        <f>IFERROR(__xludf.DUMMYFUNCTION("""COMPUTED_VALUE"""),"")</f>
        <v/>
      </c>
      <c r="U20" t="str">
        <f>IFERROR(__xludf.DUMMYFUNCTION("""COMPUTED_VALUE"""),"Sim")</f>
        <v>Sim</v>
      </c>
      <c r="V20" t="str">
        <f>IFERROR(__xludf.DUMMYFUNCTION("""COMPUTED_VALUE"""),"")</f>
        <v/>
      </c>
      <c r="W20" t="str">
        <f>IFERROR(__xludf.DUMMYFUNCTION("""COMPUTED_VALUE"""),"")</f>
        <v/>
      </c>
    </row>
    <row r="21">
      <c r="A21" s="268">
        <f>IFERROR(__xludf.DUMMYFUNCTION("""COMPUTED_VALUE"""),43611.980683761576)</f>
        <v>43611.98068</v>
      </c>
      <c r="B21" t="str">
        <f>IFERROR(__xludf.DUMMYFUNCTION("""COMPUTED_VALUE"""),"Fer")</f>
        <v>Fer</v>
      </c>
      <c r="C21" t="str">
        <f>IFERROR(__xludf.DUMMYFUNCTION("""COMPUTED_VALUE"""),"ILC1213")</f>
        <v>ILC1213</v>
      </c>
      <c r="D21" t="str">
        <f>IFERROR(__xludf.DUMMYFUNCTION("""COMPUTED_VALUE"""),"Isabela Boing")</f>
        <v>Isabela Boing</v>
      </c>
      <c r="E21" s="269">
        <f>IFERROR(__xludf.DUMMYFUNCTION("""COMPUTED_VALUE"""),43617.0)</f>
        <v>43617</v>
      </c>
      <c r="F21" s="269">
        <f>IFERROR(__xludf.DUMMYFUNCTION("""COMPUTED_VALUE"""),43619.0)</f>
        <v>43619</v>
      </c>
      <c r="G21" t="str">
        <f>IFERROR(__xludf.DUMMYFUNCTION("""COMPUTED_VALUE"""),"483.06")</f>
        <v>483.06</v>
      </c>
      <c r="H21" t="str">
        <f>IFERROR(__xludf.DUMMYFUNCTION("""COMPUTED_VALUE"""),"")</f>
        <v/>
      </c>
      <c r="I21" t="str">
        <f>IFERROR(__xludf.DUMMYFUNCTION("""COMPUTED_VALUE"""),"Airbnb")</f>
        <v>Airbnb</v>
      </c>
      <c r="J21" t="str">
        <f>IFERROR(__xludf.DUMMYFUNCTION("""COMPUTED_VALUE"""),"Acompanhante 1")</f>
        <v>Acompanhante 1</v>
      </c>
      <c r="K21" t="str">
        <f>IFERROR(__xludf.DUMMYFUNCTION("""COMPUTED_VALUE"""),"")</f>
        <v/>
      </c>
      <c r="L21" t="str">
        <f>IFERROR(__xludf.DUMMYFUNCTION("""COMPUTED_VALUE"""),"")</f>
        <v/>
      </c>
      <c r="M21" t="str">
        <f>IFERROR(__xludf.DUMMYFUNCTION("""COMPUTED_VALUE"""),"")</f>
        <v/>
      </c>
      <c r="N21" t="str">
        <f>IFERROR(__xludf.DUMMYFUNCTION("""COMPUTED_VALUE"""),"48 9 9947 7216")</f>
        <v>48 9 9947 7216</v>
      </c>
      <c r="O21" t="str">
        <f>IFERROR(__xludf.DUMMYFUNCTION("""COMPUTED_VALUE"""),"")</f>
        <v/>
      </c>
      <c r="P21" t="str">
        <f>IFERROR(__xludf.DUMMYFUNCTION("""COMPUTED_VALUE"""),"INCOMPLETO")</f>
        <v>INCOMPLETO</v>
      </c>
      <c r="Q21" t="str">
        <f>IFERROR(__xludf.DUMMYFUNCTION("""COMPUTED_VALUE"""),"PAGO")</f>
        <v>PAGO</v>
      </c>
      <c r="R21" t="str">
        <f>IFERROR(__xludf.DUMMYFUNCTION("""COMPUTED_VALUE"""),"")</f>
        <v/>
      </c>
      <c r="S21" t="str">
        <f>IFERROR(__xludf.DUMMYFUNCTION("""COMPUTED_VALUE"""),"")</f>
        <v/>
      </c>
      <c r="T21" t="str">
        <f>IFERROR(__xludf.DUMMYFUNCTION("""COMPUTED_VALUE"""),"")</f>
        <v/>
      </c>
      <c r="U21" t="str">
        <f>IFERROR(__xludf.DUMMYFUNCTION("""COMPUTED_VALUE"""),"Sim")</f>
        <v>Sim</v>
      </c>
      <c r="V21" t="str">
        <f>IFERROR(__xludf.DUMMYFUNCTION("""COMPUTED_VALUE"""),"")</f>
        <v/>
      </c>
      <c r="W21" t="str">
        <f>IFERROR(__xludf.DUMMYFUNCTION("""COMPUTED_VALUE"""),"")</f>
        <v/>
      </c>
    </row>
    <row r="22">
      <c r="A22" s="268">
        <f>IFERROR(__xludf.DUMMYFUNCTION("""COMPUTED_VALUE"""),43612.432791377316)</f>
        <v>43612.43279</v>
      </c>
      <c r="B22" t="str">
        <f>IFERROR(__xludf.DUMMYFUNCTION("""COMPUTED_VALUE"""),"Fer")</f>
        <v>Fer</v>
      </c>
      <c r="C22" t="str">
        <f>IFERROR(__xludf.DUMMYFUNCTION("""COMPUTED_VALUE"""),"ILC4410")</f>
        <v>ILC4410</v>
      </c>
      <c r="D22" t="str">
        <f>IFERROR(__xludf.DUMMYFUNCTION("""COMPUTED_VALUE"""),"Diogo Sabino")</f>
        <v>Diogo Sabino</v>
      </c>
      <c r="E22" s="269">
        <f>IFERROR(__xludf.DUMMYFUNCTION("""COMPUTED_VALUE"""),43625.0)</f>
        <v>43625</v>
      </c>
      <c r="F22" s="269">
        <f>IFERROR(__xludf.DUMMYFUNCTION("""COMPUTED_VALUE"""),43631.0)</f>
        <v>43631</v>
      </c>
      <c r="G22" t="str">
        <f>IFERROR(__xludf.DUMMYFUNCTION("""COMPUTED_VALUE"""),"1382.25")</f>
        <v>1382.25</v>
      </c>
      <c r="H22" t="str">
        <f>IFERROR(__xludf.DUMMYFUNCTION("""COMPUTED_VALUE"""),"")</f>
        <v/>
      </c>
      <c r="I22" t="str">
        <f>IFERROR(__xludf.DUMMYFUNCTION("""COMPUTED_VALUE"""),"Airbnb")</f>
        <v>Airbnb</v>
      </c>
      <c r="J22" t="str">
        <f>IFERROR(__xludf.DUMMYFUNCTION("""COMPUTED_VALUE"""),"Acompanhante 1")</f>
        <v>Acompanhante 1</v>
      </c>
      <c r="K22" t="str">
        <f>IFERROR(__xludf.DUMMYFUNCTION("""COMPUTED_VALUE"""),"")</f>
        <v/>
      </c>
      <c r="L22" t="str">
        <f>IFERROR(__xludf.DUMMYFUNCTION("""COMPUTED_VALUE"""),"")</f>
        <v/>
      </c>
      <c r="M22" t="str">
        <f>IFERROR(__xludf.DUMMYFUNCTION("""COMPUTED_VALUE"""),"")</f>
        <v/>
      </c>
      <c r="N22" t="str">
        <f>IFERROR(__xludf.DUMMYFUNCTION("""COMPUTED_VALUE"""),"43 9 9123 8644")</f>
        <v>43 9 9123 8644</v>
      </c>
      <c r="O22" t="str">
        <f>IFERROR(__xludf.DUMMYFUNCTION("""COMPUTED_VALUE"""),"")</f>
        <v/>
      </c>
      <c r="P22" t="str">
        <f>IFERROR(__xludf.DUMMYFUNCTION("""COMPUTED_VALUE"""),"INCOMPLETO")</f>
        <v>INCOMPLETO</v>
      </c>
      <c r="Q22" t="str">
        <f>IFERROR(__xludf.DUMMYFUNCTION("""COMPUTED_VALUE"""),"PAGO")</f>
        <v>PAGO</v>
      </c>
      <c r="R22" t="str">
        <f>IFERROR(__xludf.DUMMYFUNCTION("""COMPUTED_VALUE"""),"")</f>
        <v/>
      </c>
      <c r="S22" t="str">
        <f>IFERROR(__xludf.DUMMYFUNCTION("""COMPUTED_VALUE"""),"")</f>
        <v/>
      </c>
      <c r="T22" t="str">
        <f>IFERROR(__xludf.DUMMYFUNCTION("""COMPUTED_VALUE"""),"")</f>
        <v/>
      </c>
      <c r="U22" t="str">
        <f>IFERROR(__xludf.DUMMYFUNCTION("""COMPUTED_VALUE"""),"Sim")</f>
        <v>Sim</v>
      </c>
      <c r="V22" t="str">
        <f>IFERROR(__xludf.DUMMYFUNCTION("""COMPUTED_VALUE"""),"")</f>
        <v/>
      </c>
      <c r="W22" t="str">
        <f>IFERROR(__xludf.DUMMYFUNCTION("""COMPUTED_VALUE"""),"")</f>
        <v/>
      </c>
    </row>
    <row r="23">
      <c r="A23" s="268">
        <f>IFERROR(__xludf.DUMMYFUNCTION("""COMPUTED_VALUE"""),43613.51635253472)</f>
        <v>43613.51635</v>
      </c>
      <c r="B23" t="str">
        <f>IFERROR(__xludf.DUMMYFUNCTION("""COMPUTED_VALUE"""),"Fer")</f>
        <v>Fer</v>
      </c>
      <c r="C23" t="str">
        <f>IFERROR(__xludf.DUMMYFUNCTION("""COMPUTED_VALUE"""),"ILC3312")</f>
        <v>ILC3312</v>
      </c>
      <c r="D23" t="str">
        <f>IFERROR(__xludf.DUMMYFUNCTION("""COMPUTED_VALUE"""),"Naomi Chouveke")</f>
        <v>Naomi Chouveke</v>
      </c>
      <c r="E23" s="269">
        <f>IFERROR(__xludf.DUMMYFUNCTION("""COMPUTED_VALUE"""),43653.0)</f>
        <v>43653</v>
      </c>
      <c r="F23" s="269">
        <f>IFERROR(__xludf.DUMMYFUNCTION("""COMPUTED_VALUE"""),43657.0)</f>
        <v>43657</v>
      </c>
      <c r="G23">
        <f>IFERROR(__xludf.DUMMYFUNCTION("""COMPUTED_VALUE"""),900.0)</f>
        <v>900</v>
      </c>
      <c r="H23" t="str">
        <f>IFERROR(__xludf.DUMMYFUNCTION("""COMPUTED_VALUE"""),"")</f>
        <v/>
      </c>
      <c r="I23" t="str">
        <f>IFERROR(__xludf.DUMMYFUNCTION("""COMPUTED_VALUE"""),"Contrato")</f>
        <v>Contrato</v>
      </c>
      <c r="J23" t="str">
        <f>IFERROR(__xludf.DUMMYFUNCTION("""COMPUTED_VALUE"""),"Yael Chouveke")</f>
        <v>Yael Chouveke</v>
      </c>
      <c r="K23" t="str">
        <f>IFERROR(__xludf.DUMMYFUNCTION("""COMPUTED_VALUE"""),"Israel Chouveke")</f>
        <v>Israel Chouveke</v>
      </c>
      <c r="L23" t="str">
        <f>IFERROR(__xludf.DUMMYFUNCTION("""COMPUTED_VALUE"""),"David Chouveke")</f>
        <v>David Chouveke</v>
      </c>
      <c r="M23" t="str">
        <f>IFERROR(__xludf.DUMMYFUNCTION("""COMPUTED_VALUE"""),"11 9 9980 6022")</f>
        <v>11 9 9980 6022</v>
      </c>
      <c r="N23" t="str">
        <f>IFERROR(__xludf.DUMMYFUNCTION("""COMPUTED_VALUE"""),"josephchouveke@gmail.com")</f>
        <v>josephchouveke@gmail.com</v>
      </c>
      <c r="O23" t="str">
        <f>IFERROR(__xludf.DUMMYFUNCTION("""COMPUTED_VALUE"""),"")</f>
        <v/>
      </c>
      <c r="P23" t="str">
        <f>IFERROR(__xludf.DUMMYFUNCTION("""COMPUTED_VALUE"""),"INCOMPLETO")</f>
        <v>INCOMPLETO</v>
      </c>
      <c r="Q23" t="str">
        <f>IFERROR(__xludf.DUMMYFUNCTION("""COMPUTED_VALUE"""),"A PAGAR")</f>
        <v>A PAGAR</v>
      </c>
      <c r="R23">
        <f>IFERROR(__xludf.DUMMYFUNCTION("""COMPUTED_VALUE"""),2.556252189E10)</f>
        <v>25562521890</v>
      </c>
      <c r="S23" t="str">
        <f>IFERROR(__xludf.DUMMYFUNCTION("""COMPUTED_VALUE"""),"")</f>
        <v/>
      </c>
      <c r="T23" t="str">
        <f>IFERROR(__xludf.DUMMYFUNCTION("""COMPUTED_VALUE"""),"")</f>
        <v/>
      </c>
      <c r="U23" t="str">
        <f>IFERROR(__xludf.DUMMYFUNCTION("""COMPUTED_VALUE"""),"Sim")</f>
        <v>Sim</v>
      </c>
      <c r="V23" t="str">
        <f>IFERROR(__xludf.DUMMYFUNCTION("""COMPUTED_VALUE"""),"")</f>
        <v/>
      </c>
      <c r="W23" t="str">
        <f>IFERROR(__xludf.DUMMYFUNCTION("""COMPUTED_VALUE"""),"")</f>
        <v/>
      </c>
    </row>
    <row r="24">
      <c r="A24" s="268">
        <f>IFERROR(__xludf.DUMMYFUNCTION("""COMPUTED_VALUE"""),43613.517743055556)</f>
        <v>43613.51774</v>
      </c>
      <c r="B24" t="str">
        <f>IFERROR(__xludf.DUMMYFUNCTION("""COMPUTED_VALUE"""),"Fer")</f>
        <v>Fer</v>
      </c>
      <c r="C24" t="str">
        <f>IFERROR(__xludf.DUMMYFUNCTION("""COMPUTED_VALUE"""),"ILC3310")</f>
        <v>ILC3310</v>
      </c>
      <c r="D24" t="str">
        <f>IFERROR(__xludf.DUMMYFUNCTION("""COMPUTED_VALUE"""),"Joseph Elie Chouveke")</f>
        <v>Joseph Elie Chouveke</v>
      </c>
      <c r="E24" s="269">
        <f>IFERROR(__xludf.DUMMYFUNCTION("""COMPUTED_VALUE"""),43653.0)</f>
        <v>43653</v>
      </c>
      <c r="F24" s="269">
        <f>IFERROR(__xludf.DUMMYFUNCTION("""COMPUTED_VALUE"""),43657.0)</f>
        <v>43657</v>
      </c>
      <c r="G24">
        <f>IFERROR(__xludf.DUMMYFUNCTION("""COMPUTED_VALUE"""),1100.0)</f>
        <v>1100</v>
      </c>
      <c r="H24" t="str">
        <f>IFERROR(__xludf.DUMMYFUNCTION("""COMPUTED_VALUE"""),"")</f>
        <v/>
      </c>
      <c r="I24" t="str">
        <f>IFERROR(__xludf.DUMMYFUNCTION("""COMPUTED_VALUE"""),"Contrato")</f>
        <v>Contrato</v>
      </c>
      <c r="J24" t="str">
        <f>IFERROR(__xludf.DUMMYFUNCTION("""COMPUTED_VALUE"""),"Miriam Chouveke")</f>
        <v>Miriam Chouveke</v>
      </c>
      <c r="K24" t="str">
        <f>IFERROR(__xludf.DUMMYFUNCTION("""COMPUTED_VALUE"""),"")</f>
        <v/>
      </c>
      <c r="L24" t="str">
        <f>IFERROR(__xludf.DUMMYFUNCTION("""COMPUTED_VALUE"""),"")</f>
        <v/>
      </c>
      <c r="M24" t="str">
        <f>IFERROR(__xludf.DUMMYFUNCTION("""COMPUTED_VALUE"""),"11 9 9980 6022")</f>
        <v>11 9 9980 6022</v>
      </c>
      <c r="N24" t="str">
        <f>IFERROR(__xludf.DUMMYFUNCTION("""COMPUTED_VALUE"""),"josephchouveke@gmail.com")</f>
        <v>josephchouveke@gmail.com</v>
      </c>
      <c r="O24" t="str">
        <f>IFERROR(__xludf.DUMMYFUNCTION("""COMPUTED_VALUE"""),"")</f>
        <v/>
      </c>
      <c r="P24" t="str">
        <f>IFERROR(__xludf.DUMMYFUNCTION("""COMPUTED_VALUE"""),"INCOMPLETO")</f>
        <v>INCOMPLETO</v>
      </c>
      <c r="Q24" t="str">
        <f>IFERROR(__xludf.DUMMYFUNCTION("""COMPUTED_VALUE"""),"A PAGAR")</f>
        <v>A PAGAR</v>
      </c>
      <c r="R24">
        <f>IFERROR(__xludf.DUMMYFUNCTION("""COMPUTED_VALUE"""),2.556252189E10)</f>
        <v>25562521890</v>
      </c>
      <c r="S24" t="str">
        <f>IFERROR(__xludf.DUMMYFUNCTION("""COMPUTED_VALUE"""),"")</f>
        <v/>
      </c>
      <c r="T24" t="str">
        <f>IFERROR(__xludf.DUMMYFUNCTION("""COMPUTED_VALUE"""),"")</f>
        <v/>
      </c>
      <c r="U24" t="str">
        <f>IFERROR(__xludf.DUMMYFUNCTION("""COMPUTED_VALUE"""),"Sim")</f>
        <v>Sim</v>
      </c>
      <c r="V24" t="str">
        <f>IFERROR(__xludf.DUMMYFUNCTION("""COMPUTED_VALUE"""),"")</f>
        <v/>
      </c>
      <c r="W24" t="str">
        <f>IFERROR(__xludf.DUMMYFUNCTION("""COMPUTED_VALUE"""),"")</f>
        <v/>
      </c>
    </row>
    <row r="25">
      <c r="A25" s="268">
        <f>IFERROR(__xludf.DUMMYFUNCTION("""COMPUTED_VALUE"""),43613.657107858795)</f>
        <v>43613.65711</v>
      </c>
      <c r="B25" t="str">
        <f>IFERROR(__xludf.DUMMYFUNCTION("""COMPUTED_VALUE"""),"Fer")</f>
        <v>Fer</v>
      </c>
      <c r="C25" t="str">
        <f>IFERROR(__xludf.DUMMYFUNCTION("""COMPUTED_VALUE"""),"ILC3104")</f>
        <v>ILC3104</v>
      </c>
      <c r="D25" t="str">
        <f>IFERROR(__xludf.DUMMYFUNCTION("""COMPUTED_VALUE"""),"Rodrigo de Bastos")</f>
        <v>Rodrigo de Bastos</v>
      </c>
      <c r="E25" s="269">
        <f>IFERROR(__xludf.DUMMYFUNCTION("""COMPUTED_VALUE"""),43794.0)</f>
        <v>43794</v>
      </c>
      <c r="F25" s="269">
        <f>IFERROR(__xludf.DUMMYFUNCTION("""COMPUTED_VALUE"""),43801.0)</f>
        <v>43801</v>
      </c>
      <c r="G25">
        <f>IFERROR(__xludf.DUMMYFUNCTION("""COMPUTED_VALUE"""),2380.0)</f>
        <v>2380</v>
      </c>
      <c r="H25" t="str">
        <f>IFERROR(__xludf.DUMMYFUNCTION("""COMPUTED_VALUE"""),"")</f>
        <v/>
      </c>
      <c r="I25" t="str">
        <f>IFERROR(__xludf.DUMMYFUNCTION("""COMPUTED_VALUE"""),"Contrato")</f>
        <v>Contrato</v>
      </c>
      <c r="J25" t="str">
        <f>IFERROR(__xludf.DUMMYFUNCTION("""COMPUTED_VALUE"""),"Acompanhante 1")</f>
        <v>Acompanhante 1</v>
      </c>
      <c r="K25" t="str">
        <f>IFERROR(__xludf.DUMMYFUNCTION("""COMPUTED_VALUE"""),"")</f>
        <v/>
      </c>
      <c r="L25" t="str">
        <f>IFERROR(__xludf.DUMMYFUNCTION("""COMPUTED_VALUE"""),"")</f>
        <v/>
      </c>
      <c r="M25" t="str">
        <f>IFERROR(__xludf.DUMMYFUNCTION("""COMPUTED_VALUE"""),"rd.bastosit@gmail.com")</f>
        <v>rd.bastosit@gmail.com</v>
      </c>
      <c r="N25" t="str">
        <f>IFERROR(__xludf.DUMMYFUNCTION("""COMPUTED_VALUE"""),"11 9 9791 1826")</f>
        <v>11 9 9791 1826</v>
      </c>
      <c r="O25" t="str">
        <f>IFERROR(__xludf.DUMMYFUNCTION("""COMPUTED_VALUE"""),"")</f>
        <v/>
      </c>
      <c r="P25" t="str">
        <f>IFERROR(__xludf.DUMMYFUNCTION("""COMPUTED_VALUE"""),"COMPLETO")</f>
        <v>COMPLETO</v>
      </c>
      <c r="Q25" t="str">
        <f>IFERROR(__xludf.DUMMYFUNCTION("""COMPUTED_VALUE"""),"A PAGAR")</f>
        <v>A PAGAR</v>
      </c>
      <c r="R25">
        <f>IFERROR(__xludf.DUMMYFUNCTION("""COMPUTED_VALUE"""),4.2189684897E10)</f>
        <v>42189684897</v>
      </c>
      <c r="S25" t="str">
        <f>IFERROR(__xludf.DUMMYFUNCTION("""COMPUTED_VALUE"""),"")</f>
        <v/>
      </c>
      <c r="T25" t="str">
        <f>IFERROR(__xludf.DUMMYFUNCTION("""COMPUTED_VALUE"""),"")</f>
        <v/>
      </c>
      <c r="U25" t="str">
        <f>IFERROR(__xludf.DUMMYFUNCTION("""COMPUTED_VALUE"""),"Sim")</f>
        <v>Sim</v>
      </c>
      <c r="V25" t="str">
        <f>IFERROR(__xludf.DUMMYFUNCTION("""COMPUTED_VALUE"""),"")</f>
        <v/>
      </c>
      <c r="W25" t="str">
        <f>IFERROR(__xludf.DUMMYFUNCTION("""COMPUTED_VALUE"""),"")</f>
        <v/>
      </c>
    </row>
    <row r="26">
      <c r="A26" s="268">
        <f>IFERROR(__xludf.DUMMYFUNCTION("""COMPUTED_VALUE"""),43613.73423635417)</f>
        <v>43613.73424</v>
      </c>
      <c r="B26" t="str">
        <f>IFERROR(__xludf.DUMMYFUNCTION("""COMPUTED_VALUE"""),"Fer")</f>
        <v>Fer</v>
      </c>
      <c r="C26" t="str">
        <f>IFERROR(__xludf.DUMMYFUNCTION("""COMPUTED_VALUE"""),"JBV455")</f>
        <v>JBV455</v>
      </c>
      <c r="D26" t="str">
        <f>IFERROR(__xludf.DUMMYFUNCTION("""COMPUTED_VALUE"""),"Sheila B. Rycheta")</f>
        <v>Sheila B. Rycheta</v>
      </c>
      <c r="E26" s="269">
        <f>IFERROR(__xludf.DUMMYFUNCTION("""COMPUTED_VALUE"""),43617.0)</f>
        <v>43617</v>
      </c>
      <c r="F26" s="269">
        <f>IFERROR(__xludf.DUMMYFUNCTION("""COMPUTED_VALUE"""),43619.0)</f>
        <v>43619</v>
      </c>
      <c r="G26">
        <f>IFERROR(__xludf.DUMMYFUNCTION("""COMPUTED_VALUE"""),485.0)</f>
        <v>485</v>
      </c>
      <c r="H26" t="str">
        <f>IFERROR(__xludf.DUMMYFUNCTION("""COMPUTED_VALUE"""),"")</f>
        <v/>
      </c>
      <c r="I26" t="str">
        <f>IFERROR(__xludf.DUMMYFUNCTION("""COMPUTED_VALUE"""),"Airbnb")</f>
        <v>Airbnb</v>
      </c>
      <c r="J26" t="str">
        <f>IFERROR(__xludf.DUMMYFUNCTION("""COMPUTED_VALUE"""),"Acompanhante 1")</f>
        <v>Acompanhante 1</v>
      </c>
      <c r="K26" t="str">
        <f>IFERROR(__xludf.DUMMYFUNCTION("""COMPUTED_VALUE"""),"Acompanhante 2")</f>
        <v>Acompanhante 2</v>
      </c>
      <c r="L26" t="str">
        <f>IFERROR(__xludf.DUMMYFUNCTION("""COMPUTED_VALUE"""),"Acompanhante 3 + 4")</f>
        <v>Acompanhante 3 + 4</v>
      </c>
      <c r="M26" t="str">
        <f>IFERROR(__xludf.DUMMYFUNCTION("""COMPUTED_VALUE"""),"")</f>
        <v/>
      </c>
      <c r="N26" t="str">
        <f>IFERROR(__xludf.DUMMYFUNCTION("""COMPUTED_VALUE"""),"41 9 8411 2236")</f>
        <v>41 9 8411 2236</v>
      </c>
      <c r="O26" t="str">
        <f>IFERROR(__xludf.DUMMYFUNCTION("""COMPUTED_VALUE"""),"")</f>
        <v/>
      </c>
      <c r="P26" t="str">
        <f>IFERROR(__xludf.DUMMYFUNCTION("""COMPUTED_VALUE"""),"INCOMPLETO")</f>
        <v>INCOMPLETO</v>
      </c>
      <c r="Q26" t="str">
        <f>IFERROR(__xludf.DUMMYFUNCTION("""COMPUTED_VALUE"""),"PAGO")</f>
        <v>PAGO</v>
      </c>
      <c r="R26" t="str">
        <f>IFERROR(__xludf.DUMMYFUNCTION("""COMPUTED_VALUE"""),"")</f>
        <v/>
      </c>
      <c r="S26" t="str">
        <f>IFERROR(__xludf.DUMMYFUNCTION("""COMPUTED_VALUE"""),"")</f>
        <v/>
      </c>
      <c r="T26" t="str">
        <f>IFERROR(__xludf.DUMMYFUNCTION("""COMPUTED_VALUE"""),"")</f>
        <v/>
      </c>
      <c r="U26" t="str">
        <f>IFERROR(__xludf.DUMMYFUNCTION("""COMPUTED_VALUE"""),"Sim")</f>
        <v>Sim</v>
      </c>
      <c r="V26" t="str">
        <f>IFERROR(__xludf.DUMMYFUNCTION("""COMPUTED_VALUE"""),"")</f>
        <v/>
      </c>
      <c r="W26" t="str">
        <f>IFERROR(__xludf.DUMMYFUNCTION("""COMPUTED_VALUE"""),"")</f>
        <v/>
      </c>
    </row>
    <row r="27">
      <c r="A27" s="268">
        <f>IFERROR(__xludf.DUMMYFUNCTION("""COMPUTED_VALUE"""),43613.78402039352)</f>
        <v>43613.78402</v>
      </c>
      <c r="B27" t="str">
        <f>IFERROR(__xludf.DUMMYFUNCTION("""COMPUTED_VALUE"""),"Fer")</f>
        <v>Fer</v>
      </c>
      <c r="C27" t="str">
        <f>IFERROR(__xludf.DUMMYFUNCTION("""COMPUTED_VALUE"""),"ILC1111")</f>
        <v>ILC1111</v>
      </c>
      <c r="D27" t="str">
        <f>IFERROR(__xludf.DUMMYFUNCTION("""COMPUTED_VALUE"""),"Karollyne Branco De Melo")</f>
        <v>Karollyne Branco De Melo</v>
      </c>
      <c r="E27" s="269">
        <f>IFERROR(__xludf.DUMMYFUNCTION("""COMPUTED_VALUE"""),43617.0)</f>
        <v>43617</v>
      </c>
      <c r="F27" s="269">
        <f>IFERROR(__xludf.DUMMYFUNCTION("""COMPUTED_VALUE"""),43619.0)</f>
        <v>43619</v>
      </c>
      <c r="G27" t="str">
        <f>IFERROR(__xludf.DUMMYFUNCTION("""COMPUTED_VALUE"""),"483.06")</f>
        <v>483.06</v>
      </c>
      <c r="H27" t="str">
        <f>IFERROR(__xludf.DUMMYFUNCTION("""COMPUTED_VALUE"""),"")</f>
        <v/>
      </c>
      <c r="I27" t="str">
        <f>IFERROR(__xludf.DUMMYFUNCTION("""COMPUTED_VALUE"""),"Airbnb")</f>
        <v>Airbnb</v>
      </c>
      <c r="J27" t="str">
        <f>IFERROR(__xludf.DUMMYFUNCTION("""COMPUTED_VALUE"""),"Acompanhante 1")</f>
        <v>Acompanhante 1</v>
      </c>
      <c r="K27" t="str">
        <f>IFERROR(__xludf.DUMMYFUNCTION("""COMPUTED_VALUE"""),"")</f>
        <v/>
      </c>
      <c r="L27" t="str">
        <f>IFERROR(__xludf.DUMMYFUNCTION("""COMPUTED_VALUE"""),"")</f>
        <v/>
      </c>
      <c r="M27" t="str">
        <f>IFERROR(__xludf.DUMMYFUNCTION("""COMPUTED_VALUE"""),"")</f>
        <v/>
      </c>
      <c r="N27" t="str">
        <f>IFERROR(__xludf.DUMMYFUNCTION("""COMPUTED_VALUE"""),"7 930 855 02 08")</f>
        <v>7 930 855 02 08</v>
      </c>
      <c r="O27" t="str">
        <f>IFERROR(__xludf.DUMMYFUNCTION("""COMPUTED_VALUE"""),"")</f>
        <v/>
      </c>
      <c r="P27" t="str">
        <f>IFERROR(__xludf.DUMMYFUNCTION("""COMPUTED_VALUE"""),"INCOMPLETO")</f>
        <v>INCOMPLETO</v>
      </c>
      <c r="Q27" t="str">
        <f>IFERROR(__xludf.DUMMYFUNCTION("""COMPUTED_VALUE"""),"PAGO")</f>
        <v>PAGO</v>
      </c>
      <c r="R27" t="str">
        <f>IFERROR(__xludf.DUMMYFUNCTION("""COMPUTED_VALUE"""),"")</f>
        <v/>
      </c>
      <c r="S27" t="str">
        <f>IFERROR(__xludf.DUMMYFUNCTION("""COMPUTED_VALUE"""),"")</f>
        <v/>
      </c>
      <c r="T27" t="str">
        <f>IFERROR(__xludf.DUMMYFUNCTION("""COMPUTED_VALUE"""),"")</f>
        <v/>
      </c>
      <c r="U27" t="str">
        <f>IFERROR(__xludf.DUMMYFUNCTION("""COMPUTED_VALUE"""),"Sim")</f>
        <v>Sim</v>
      </c>
      <c r="V27" t="str">
        <f>IFERROR(__xludf.DUMMYFUNCTION("""COMPUTED_VALUE"""),"")</f>
        <v/>
      </c>
      <c r="W27" t="str">
        <f>IFERROR(__xludf.DUMMYFUNCTION("""COMPUTED_VALUE"""),"")</f>
        <v/>
      </c>
    </row>
    <row r="28">
      <c r="A28" s="268">
        <f>IFERROR(__xludf.DUMMYFUNCTION("""COMPUTED_VALUE"""),43614.00557328704)</f>
        <v>43614.00557</v>
      </c>
      <c r="B28" t="str">
        <f>IFERROR(__xludf.DUMMYFUNCTION("""COMPUTED_VALUE"""),"Fer")</f>
        <v>Fer</v>
      </c>
      <c r="C28" t="str">
        <f>IFERROR(__xludf.DUMMYFUNCTION("""COMPUTED_VALUE"""),"JBV464")</f>
        <v>JBV464</v>
      </c>
      <c r="D28" t="str">
        <f>IFERROR(__xludf.DUMMYFUNCTION("""COMPUTED_VALUE"""),"Marlo Herrmann")</f>
        <v>Marlo Herrmann</v>
      </c>
      <c r="E28" s="269">
        <f>IFERROR(__xludf.DUMMYFUNCTION("""COMPUTED_VALUE"""),43615.0)</f>
        <v>43615</v>
      </c>
      <c r="F28" s="269">
        <f>IFERROR(__xludf.DUMMYFUNCTION("""COMPUTED_VALUE"""),43618.0)</f>
        <v>43618</v>
      </c>
      <c r="G28">
        <f>IFERROR(__xludf.DUMMYFUNCTION("""COMPUTED_VALUE"""),388.0)</f>
        <v>388</v>
      </c>
      <c r="H28" t="str">
        <f>IFERROR(__xludf.DUMMYFUNCTION("""COMPUTED_VALUE"""),"")</f>
        <v/>
      </c>
      <c r="I28" t="str">
        <f>IFERROR(__xludf.DUMMYFUNCTION("""COMPUTED_VALUE"""),"Airbnb")</f>
        <v>Airbnb</v>
      </c>
      <c r="J28" t="str">
        <f>IFERROR(__xludf.DUMMYFUNCTION("""COMPUTED_VALUE"""),"Acompanhante 1")</f>
        <v>Acompanhante 1</v>
      </c>
      <c r="K28" t="str">
        <f>IFERROR(__xludf.DUMMYFUNCTION("""COMPUTED_VALUE"""),"")</f>
        <v/>
      </c>
      <c r="L28" t="str">
        <f>IFERROR(__xludf.DUMMYFUNCTION("""COMPUTED_VALUE"""),"")</f>
        <v/>
      </c>
      <c r="M28" t="str">
        <f>IFERROR(__xludf.DUMMYFUNCTION("""COMPUTED_VALUE"""),"")</f>
        <v/>
      </c>
      <c r="N28" t="str">
        <f>IFERROR(__xludf.DUMMYFUNCTION("""COMPUTED_VALUE""")," 51 9 9940 1466")</f>
        <v> 51 9 9940 1466</v>
      </c>
      <c r="O28" t="str">
        <f>IFERROR(__xludf.DUMMYFUNCTION("""COMPUTED_VALUE"""),"")</f>
        <v/>
      </c>
      <c r="P28" t="str">
        <f>IFERROR(__xludf.DUMMYFUNCTION("""COMPUTED_VALUE"""),"INCOMPLETO")</f>
        <v>INCOMPLETO</v>
      </c>
      <c r="Q28" t="str">
        <f>IFERROR(__xludf.DUMMYFUNCTION("""COMPUTED_VALUE"""),"PAGO")</f>
        <v>PAGO</v>
      </c>
      <c r="R28" t="str">
        <f>IFERROR(__xludf.DUMMYFUNCTION("""COMPUTED_VALUE"""),"")</f>
        <v/>
      </c>
      <c r="S28" t="str">
        <f>IFERROR(__xludf.DUMMYFUNCTION("""COMPUTED_VALUE"""),"")</f>
        <v/>
      </c>
      <c r="T28" t="str">
        <f>IFERROR(__xludf.DUMMYFUNCTION("""COMPUTED_VALUE"""),"")</f>
        <v/>
      </c>
      <c r="U28" t="str">
        <f>IFERROR(__xludf.DUMMYFUNCTION("""COMPUTED_VALUE"""),"Sim")</f>
        <v>Sim</v>
      </c>
      <c r="V28" t="str">
        <f>IFERROR(__xludf.DUMMYFUNCTION("""COMPUTED_VALUE"""),"")</f>
        <v/>
      </c>
      <c r="W28" t="str">
        <f>IFERROR(__xludf.DUMMYFUNCTION("""COMPUTED_VALUE"""),"")</f>
        <v/>
      </c>
    </row>
    <row r="29">
      <c r="A29" s="268">
        <f>IFERROR(__xludf.DUMMYFUNCTION("""COMPUTED_VALUE"""),43614.62804571759)</f>
        <v>43614.62805</v>
      </c>
      <c r="B29" t="str">
        <f>IFERROR(__xludf.DUMMYFUNCTION("""COMPUTED_VALUE"""),"Fer")</f>
        <v>Fer</v>
      </c>
      <c r="C29" t="str">
        <f>IFERROR(__xludf.DUMMYFUNCTION("""COMPUTED_VALUE"""),"ILC1112")</f>
        <v>ILC1112</v>
      </c>
      <c r="D29" t="str">
        <f>IFERROR(__xludf.DUMMYFUNCTION("""COMPUTED_VALUE"""),"Vera Lucia Razente")</f>
        <v>Vera Lucia Razente</v>
      </c>
      <c r="E29" s="269">
        <f>IFERROR(__xludf.DUMMYFUNCTION("""COMPUTED_VALUE"""),43721.0)</f>
        <v>43721</v>
      </c>
      <c r="F29" s="269">
        <f>IFERROR(__xludf.DUMMYFUNCTION("""COMPUTED_VALUE"""),43724.0)</f>
        <v>43724</v>
      </c>
      <c r="G29" t="str">
        <f>IFERROR(__xludf.DUMMYFUNCTION("""COMPUTED_VALUE"""),"929.26")</f>
        <v>929.26</v>
      </c>
      <c r="H29" t="str">
        <f>IFERROR(__xludf.DUMMYFUNCTION("""COMPUTED_VALUE"""),"")</f>
        <v/>
      </c>
      <c r="I29" t="str">
        <f>IFERROR(__xludf.DUMMYFUNCTION("""COMPUTED_VALUE"""),"Airbnb")</f>
        <v>Airbnb</v>
      </c>
      <c r="J29" t="str">
        <f>IFERROR(__xludf.DUMMYFUNCTION("""COMPUTED_VALUE"""),"Acompanhante 1")</f>
        <v>Acompanhante 1</v>
      </c>
      <c r="K29" t="str">
        <f>IFERROR(__xludf.DUMMYFUNCTION("""COMPUTED_VALUE"""),"Acompanhante 2")</f>
        <v>Acompanhante 2</v>
      </c>
      <c r="L29" t="str">
        <f>IFERROR(__xludf.DUMMYFUNCTION("""COMPUTED_VALUE"""),"")</f>
        <v/>
      </c>
      <c r="M29" t="str">
        <f>IFERROR(__xludf.DUMMYFUNCTION("""COMPUTED_VALUE"""),"")</f>
        <v/>
      </c>
      <c r="N29" t="str">
        <f>IFERROR(__xludf.DUMMYFUNCTION("""COMPUTED_VALUE"""),"44 9 9997 7754")</f>
        <v>44 9 9997 7754</v>
      </c>
      <c r="O29" t="str">
        <f>IFERROR(__xludf.DUMMYFUNCTION("""COMPUTED_VALUE"""),"")</f>
        <v/>
      </c>
      <c r="P29" t="str">
        <f>IFERROR(__xludf.DUMMYFUNCTION("""COMPUTED_VALUE"""),"INCOMPLETO")</f>
        <v>INCOMPLETO</v>
      </c>
      <c r="Q29" t="str">
        <f>IFERROR(__xludf.DUMMYFUNCTION("""COMPUTED_VALUE"""),"PAGO")</f>
        <v>PAGO</v>
      </c>
      <c r="R29" t="str">
        <f>IFERROR(__xludf.DUMMYFUNCTION("""COMPUTED_VALUE"""),"")</f>
        <v/>
      </c>
      <c r="S29" t="str">
        <f>IFERROR(__xludf.DUMMYFUNCTION("""COMPUTED_VALUE"""),"")</f>
        <v/>
      </c>
      <c r="T29" t="str">
        <f>IFERROR(__xludf.DUMMYFUNCTION("""COMPUTED_VALUE"""),"")</f>
        <v/>
      </c>
      <c r="U29" t="str">
        <f>IFERROR(__xludf.DUMMYFUNCTION("""COMPUTED_VALUE"""),"Sim")</f>
        <v>Sim</v>
      </c>
      <c r="V29" t="str">
        <f>IFERROR(__xludf.DUMMYFUNCTION("""COMPUTED_VALUE"""),"")</f>
        <v/>
      </c>
      <c r="W29" t="str">
        <f>IFERROR(__xludf.DUMMYFUNCTION("""COMPUTED_VALUE"""),"")</f>
        <v/>
      </c>
    </row>
    <row r="30">
      <c r="A30" s="268">
        <f>IFERROR(__xludf.DUMMYFUNCTION("""COMPUTED_VALUE"""),43614.63044918982)</f>
        <v>43614.63045</v>
      </c>
      <c r="B30" t="str">
        <f>IFERROR(__xludf.DUMMYFUNCTION("""COMPUTED_VALUE"""),"Fer")</f>
        <v>Fer</v>
      </c>
      <c r="C30" t="str">
        <f>IFERROR(__xludf.DUMMYFUNCTION("""COMPUTED_VALUE"""),"ILC1111")</f>
        <v>ILC1111</v>
      </c>
      <c r="D30" t="str">
        <f>IFERROR(__xludf.DUMMYFUNCTION("""COMPUTED_VALUE"""),"Aline Razente")</f>
        <v>Aline Razente</v>
      </c>
      <c r="E30" s="269">
        <f>IFERROR(__xludf.DUMMYFUNCTION("""COMPUTED_VALUE"""),43721.0)</f>
        <v>43721</v>
      </c>
      <c r="F30" s="269">
        <f>IFERROR(__xludf.DUMMYFUNCTION("""COMPUTED_VALUE"""),43724.0)</f>
        <v>43724</v>
      </c>
      <c r="G30" t="str">
        <f>IFERROR(__xludf.DUMMYFUNCTION("""COMPUTED_VALUE"""),"856.51")</f>
        <v>856.51</v>
      </c>
      <c r="H30" t="str">
        <f>IFERROR(__xludf.DUMMYFUNCTION("""COMPUTED_VALUE"""),"")</f>
        <v/>
      </c>
      <c r="I30" t="str">
        <f>IFERROR(__xludf.DUMMYFUNCTION("""COMPUTED_VALUE"""),"Airbnb")</f>
        <v>Airbnb</v>
      </c>
      <c r="J30" t="str">
        <f>IFERROR(__xludf.DUMMYFUNCTION("""COMPUTED_VALUE"""),"Mariluiza Razente")</f>
        <v>Mariluiza Razente</v>
      </c>
      <c r="K30" t="str">
        <f>IFERROR(__xludf.DUMMYFUNCTION("""COMPUTED_VALUE"""),"Wagner Spirandelli")</f>
        <v>Wagner Spirandelli</v>
      </c>
      <c r="L30" t="str">
        <f>IFERROR(__xludf.DUMMYFUNCTION("""COMPUTED_VALUE"""),"")</f>
        <v/>
      </c>
      <c r="M30" t="str">
        <f>IFERROR(__xludf.DUMMYFUNCTION("""COMPUTED_VALUE"""),"")</f>
        <v/>
      </c>
      <c r="N30" t="str">
        <f>IFERROR(__xludf.DUMMYFUNCTION("""COMPUTED_VALUE"""),"44 9 9997 7753")</f>
        <v>44 9 9997 7753</v>
      </c>
      <c r="O30" t="str">
        <f>IFERROR(__xludf.DUMMYFUNCTION("""COMPUTED_VALUE"""),"")</f>
        <v/>
      </c>
      <c r="P30" t="str">
        <f>IFERROR(__xludf.DUMMYFUNCTION("""COMPUTED_VALUE"""),"INCOMPLETO")</f>
        <v>INCOMPLETO</v>
      </c>
      <c r="Q30" t="str">
        <f>IFERROR(__xludf.DUMMYFUNCTION("""COMPUTED_VALUE"""),"PAGO")</f>
        <v>PAGO</v>
      </c>
      <c r="R30" t="str">
        <f>IFERROR(__xludf.DUMMYFUNCTION("""COMPUTED_VALUE"""),"")</f>
        <v/>
      </c>
      <c r="S30" t="str">
        <f>IFERROR(__xludf.DUMMYFUNCTION("""COMPUTED_VALUE"""),"")</f>
        <v/>
      </c>
      <c r="T30" t="str">
        <f>IFERROR(__xludf.DUMMYFUNCTION("""COMPUTED_VALUE"""),"")</f>
        <v/>
      </c>
      <c r="U30" t="str">
        <f>IFERROR(__xludf.DUMMYFUNCTION("""COMPUTED_VALUE"""),"Sim")</f>
        <v>Sim</v>
      </c>
      <c r="V30" t="str">
        <f>IFERROR(__xludf.DUMMYFUNCTION("""COMPUTED_VALUE"""),"")</f>
        <v/>
      </c>
      <c r="W30" t="str">
        <f>IFERROR(__xludf.DUMMYFUNCTION("""COMPUTED_VALUE"""),"")</f>
        <v/>
      </c>
    </row>
    <row r="31">
      <c r="A31" s="268">
        <f>IFERROR(__xludf.DUMMYFUNCTION("""COMPUTED_VALUE"""),43614.67749751157)</f>
        <v>43614.6775</v>
      </c>
      <c r="B31" t="str">
        <f>IFERROR(__xludf.DUMMYFUNCTION("""COMPUTED_VALUE"""),"Fer")</f>
        <v>Fer</v>
      </c>
      <c r="C31" t="str">
        <f>IFERROR(__xludf.DUMMYFUNCTION("""COMPUTED_VALUE"""),"ILC1110")</f>
        <v>ILC1110</v>
      </c>
      <c r="D31" t="str">
        <f>IFERROR(__xludf.DUMMYFUNCTION("""COMPUTED_VALUE"""),"Aline Razente")</f>
        <v>Aline Razente</v>
      </c>
      <c r="E31" s="269">
        <f>IFERROR(__xludf.DUMMYFUNCTION("""COMPUTED_VALUE"""),43720.0)</f>
        <v>43720</v>
      </c>
      <c r="F31" s="269">
        <f>IFERROR(__xludf.DUMMYFUNCTION("""COMPUTED_VALUE"""),43724.0)</f>
        <v>43724</v>
      </c>
      <c r="G31" t="str">
        <f>IFERROR(__xludf.DUMMYFUNCTION("""COMPUTED_VALUE"""),"1336.66")</f>
        <v>1336.66</v>
      </c>
      <c r="H31" t="str">
        <f>IFERROR(__xludf.DUMMYFUNCTION("""COMPUTED_VALUE"""),"")</f>
        <v/>
      </c>
      <c r="I31" t="str">
        <f>IFERROR(__xludf.DUMMYFUNCTION("""COMPUTED_VALUE"""),"Airbnb")</f>
        <v>Airbnb</v>
      </c>
      <c r="J31" t="str">
        <f>IFERROR(__xludf.DUMMYFUNCTION("""COMPUTED_VALUE"""),"Joslei Barbosa")</f>
        <v>Joslei Barbosa</v>
      </c>
      <c r="K31" t="str">
        <f>IFERROR(__xludf.DUMMYFUNCTION("""COMPUTED_VALUE"""),"")</f>
        <v/>
      </c>
      <c r="L31" t="str">
        <f>IFERROR(__xludf.DUMMYFUNCTION("""COMPUTED_VALUE"""),"")</f>
        <v/>
      </c>
      <c r="M31" t="str">
        <f>IFERROR(__xludf.DUMMYFUNCTION("""COMPUTED_VALUE"""),"")</f>
        <v/>
      </c>
      <c r="N31" t="str">
        <f>IFERROR(__xludf.DUMMYFUNCTION("""COMPUTED_VALUE"""),"44 9 9997 7753")</f>
        <v>44 9 9997 7753</v>
      </c>
      <c r="O31" t="str">
        <f>IFERROR(__xludf.DUMMYFUNCTION("""COMPUTED_VALUE"""),"")</f>
        <v/>
      </c>
      <c r="P31" t="str">
        <f>IFERROR(__xludf.DUMMYFUNCTION("""COMPUTED_VALUE"""),"INCOMPLETO")</f>
        <v>INCOMPLETO</v>
      </c>
      <c r="Q31" t="str">
        <f>IFERROR(__xludf.DUMMYFUNCTION("""COMPUTED_VALUE"""),"PAGO")</f>
        <v>PAGO</v>
      </c>
      <c r="R31" t="str">
        <f>IFERROR(__xludf.DUMMYFUNCTION("""COMPUTED_VALUE"""),"")</f>
        <v/>
      </c>
      <c r="S31" t="str">
        <f>IFERROR(__xludf.DUMMYFUNCTION("""COMPUTED_VALUE"""),"")</f>
        <v/>
      </c>
      <c r="T31" t="str">
        <f>IFERROR(__xludf.DUMMYFUNCTION("""COMPUTED_VALUE"""),"")</f>
        <v/>
      </c>
      <c r="U31" t="str">
        <f>IFERROR(__xludf.DUMMYFUNCTION("""COMPUTED_VALUE"""),"Sim")</f>
        <v>Sim</v>
      </c>
      <c r="V31" t="str">
        <f>IFERROR(__xludf.DUMMYFUNCTION("""COMPUTED_VALUE"""),"")</f>
        <v/>
      </c>
      <c r="W31" t="str">
        <f>IFERROR(__xludf.DUMMYFUNCTION("""COMPUTED_VALUE"""),"")</f>
        <v/>
      </c>
    </row>
    <row r="32">
      <c r="A32" s="268">
        <f>IFERROR(__xludf.DUMMYFUNCTION("""COMPUTED_VALUE"""),43614.6895325)</f>
        <v>43614.68953</v>
      </c>
      <c r="B32" t="str">
        <f>IFERROR(__xludf.DUMMYFUNCTION("""COMPUTED_VALUE"""),"Fer")</f>
        <v>Fer</v>
      </c>
      <c r="C32" t="str">
        <f>IFERROR(__xludf.DUMMYFUNCTION("""COMPUTED_VALUE"""),"ILC1314")</f>
        <v>ILC1314</v>
      </c>
      <c r="D32" t="str">
        <f>IFERROR(__xludf.DUMMYFUNCTION("""COMPUTED_VALUE"""),"Kendi Yamamoto")</f>
        <v>Kendi Yamamoto</v>
      </c>
      <c r="E32" s="269">
        <f>IFERROR(__xludf.DUMMYFUNCTION("""COMPUTED_VALUE"""),43617.0)</f>
        <v>43617</v>
      </c>
      <c r="F32" s="269">
        <f>IFERROR(__xludf.DUMMYFUNCTION("""COMPUTED_VALUE"""),43618.0)</f>
        <v>43618</v>
      </c>
      <c r="G32">
        <f>IFERROR(__xludf.DUMMYFUNCTION("""COMPUTED_VALUE"""),291.0)</f>
        <v>291</v>
      </c>
      <c r="H32" t="str">
        <f>IFERROR(__xludf.DUMMYFUNCTION("""COMPUTED_VALUE"""),"")</f>
        <v/>
      </c>
      <c r="I32" t="str">
        <f>IFERROR(__xludf.DUMMYFUNCTION("""COMPUTED_VALUE"""),"Airbnb")</f>
        <v>Airbnb</v>
      </c>
      <c r="J32" t="str">
        <f>IFERROR(__xludf.DUMMYFUNCTION("""COMPUTED_VALUE"""),"Acompanhante 1")</f>
        <v>Acompanhante 1</v>
      </c>
      <c r="K32" t="str">
        <f>IFERROR(__xludf.DUMMYFUNCTION("""COMPUTED_VALUE"""),"Acompanhante 2")</f>
        <v>Acompanhante 2</v>
      </c>
      <c r="L32" t="str">
        <f>IFERROR(__xludf.DUMMYFUNCTION("""COMPUTED_VALUE"""),"")</f>
        <v/>
      </c>
      <c r="M32" t="str">
        <f>IFERROR(__xludf.DUMMYFUNCTION("""COMPUTED_VALUE"""),"")</f>
        <v/>
      </c>
      <c r="N32" t="str">
        <f>IFERROR(__xludf.DUMMYFUNCTION("""COMPUTED_VALUE"""),"47 9 8836 4795")</f>
        <v>47 9 8836 4795</v>
      </c>
      <c r="O32" t="str">
        <f>IFERROR(__xludf.DUMMYFUNCTION("""COMPUTED_VALUE"""),"")</f>
        <v/>
      </c>
      <c r="P32" t="str">
        <f>IFERROR(__xludf.DUMMYFUNCTION("""COMPUTED_VALUE"""),"INCOMPLETO")</f>
        <v>INCOMPLETO</v>
      </c>
      <c r="Q32" t="str">
        <f>IFERROR(__xludf.DUMMYFUNCTION("""COMPUTED_VALUE"""),"PAGO")</f>
        <v>PAGO</v>
      </c>
      <c r="R32" t="str">
        <f>IFERROR(__xludf.DUMMYFUNCTION("""COMPUTED_VALUE"""),"")</f>
        <v/>
      </c>
      <c r="S32" t="str">
        <f>IFERROR(__xludf.DUMMYFUNCTION("""COMPUTED_VALUE"""),"")</f>
        <v/>
      </c>
      <c r="T32" t="str">
        <f>IFERROR(__xludf.DUMMYFUNCTION("""COMPUTED_VALUE"""),"")</f>
        <v/>
      </c>
      <c r="U32" t="str">
        <f>IFERROR(__xludf.DUMMYFUNCTION("""COMPUTED_VALUE"""),"Sim")</f>
        <v>Sim</v>
      </c>
      <c r="V32" t="str">
        <f>IFERROR(__xludf.DUMMYFUNCTION("""COMPUTED_VALUE"""),"")</f>
        <v/>
      </c>
      <c r="W32" t="str">
        <f>IFERROR(__xludf.DUMMYFUNCTION("""COMPUTED_VALUE"""),"")</f>
        <v/>
      </c>
    </row>
    <row r="33">
      <c r="A33" s="268">
        <f>IFERROR(__xludf.DUMMYFUNCTION("""COMPUTED_VALUE"""),43615.014515104165)</f>
        <v>43615.01452</v>
      </c>
      <c r="B33" t="str">
        <f>IFERROR(__xludf.DUMMYFUNCTION("""COMPUTED_VALUE"""),"Fer")</f>
        <v>Fer</v>
      </c>
      <c r="C33" t="str">
        <f>IFERROR(__xludf.DUMMYFUNCTION("""COMPUTED_VALUE"""),"JBV462")</f>
        <v>JBV462</v>
      </c>
      <c r="D33" t="str">
        <f>IFERROR(__xludf.DUMMYFUNCTION("""COMPUTED_VALUE"""),"Anicoli Romanini")</f>
        <v>Anicoli Romanini</v>
      </c>
      <c r="E33" s="269">
        <f>IFERROR(__xludf.DUMMYFUNCTION("""COMPUTED_VALUE"""),43617.0)</f>
        <v>43617</v>
      </c>
      <c r="F33" s="269">
        <f>IFERROR(__xludf.DUMMYFUNCTION("""COMPUTED_VALUE"""),43619.0)</f>
        <v>43619</v>
      </c>
      <c r="G33" t="str">
        <f>IFERROR(__xludf.DUMMYFUNCTION("""COMPUTED_VALUE"""),"339.5")</f>
        <v>339.5</v>
      </c>
      <c r="H33" t="str">
        <f>IFERROR(__xludf.DUMMYFUNCTION("""COMPUTED_VALUE"""),"")</f>
        <v/>
      </c>
      <c r="I33" t="str">
        <f>IFERROR(__xludf.DUMMYFUNCTION("""COMPUTED_VALUE"""),"Airbnb")</f>
        <v>Airbnb</v>
      </c>
      <c r="J33" t="str">
        <f>IFERROR(__xludf.DUMMYFUNCTION("""COMPUTED_VALUE"""),"Graziela Romanini")</f>
        <v>Graziela Romanini</v>
      </c>
      <c r="K33" t="str">
        <f>IFERROR(__xludf.DUMMYFUNCTION("""COMPUTED_VALUE"""),"Grasiane Romanini")</f>
        <v>Grasiane Romanini</v>
      </c>
      <c r="L33" t="str">
        <f>IFERROR(__xludf.DUMMYFUNCTION("""COMPUTED_VALUE"""),"")</f>
        <v/>
      </c>
      <c r="M33" t="str">
        <f>IFERROR(__xludf.DUMMYFUNCTION("""COMPUTED_VALUE"""),"anicoliromanini@yahoo.com.br")</f>
        <v>anicoliromanini@yahoo.com.br</v>
      </c>
      <c r="N33" t="str">
        <f>IFERROR(__xludf.DUMMYFUNCTION("""COMPUTED_VALUE"""),"54 9 9163 4020")</f>
        <v>54 9 9163 4020</v>
      </c>
      <c r="O33" t="str">
        <f>IFERROR(__xludf.DUMMYFUNCTION("""COMPUTED_VALUE"""),"")</f>
        <v/>
      </c>
      <c r="P33" t="str">
        <f>IFERROR(__xludf.DUMMYFUNCTION("""COMPUTED_VALUE"""),"COMPLETO")</f>
        <v>COMPLETO</v>
      </c>
      <c r="Q33" t="str">
        <f>IFERROR(__xludf.DUMMYFUNCTION("""COMPUTED_VALUE"""),"PAGO")</f>
        <v>PAGO</v>
      </c>
      <c r="R33">
        <f>IFERROR(__xludf.DUMMYFUNCTION("""COMPUTED_VALUE"""),8.1482787091E10)</f>
        <v>81482787091</v>
      </c>
      <c r="S33" t="str">
        <f>IFERROR(__xludf.DUMMYFUNCTION("""COMPUTED_VALUE"""),"")</f>
        <v/>
      </c>
      <c r="T33" t="str">
        <f>IFERROR(__xludf.DUMMYFUNCTION("""COMPUTED_VALUE"""),"")</f>
        <v/>
      </c>
      <c r="U33" t="str">
        <f>IFERROR(__xludf.DUMMYFUNCTION("""COMPUTED_VALUE"""),"Sim")</f>
        <v>Sim</v>
      </c>
      <c r="V33" t="str">
        <f>IFERROR(__xludf.DUMMYFUNCTION("""COMPUTED_VALUE"""),"")</f>
        <v/>
      </c>
      <c r="W33" t="str">
        <f>IFERROR(__xludf.DUMMYFUNCTION("""COMPUTED_VALUE"""),"")</f>
        <v/>
      </c>
    </row>
    <row r="34">
      <c r="A34" s="268">
        <f>IFERROR(__xludf.DUMMYFUNCTION("""COMPUTED_VALUE"""),43615.02075221065)</f>
        <v>43615.02075</v>
      </c>
      <c r="B34" t="str">
        <f>IFERROR(__xludf.DUMMYFUNCTION("""COMPUTED_VALUE"""),"Fer")</f>
        <v>Fer</v>
      </c>
      <c r="C34" t="str">
        <f>IFERROR(__xludf.DUMMYFUNCTION("""COMPUTED_VALUE"""),"ILC1213")</f>
        <v>ILC1213</v>
      </c>
      <c r="D34" t="str">
        <f>IFERROR(__xludf.DUMMYFUNCTION("""COMPUTED_VALUE"""),"Aline Razente")</f>
        <v>Aline Razente</v>
      </c>
      <c r="E34" s="269">
        <f>IFERROR(__xludf.DUMMYFUNCTION("""COMPUTED_VALUE"""),43721.0)</f>
        <v>43721</v>
      </c>
      <c r="F34" s="269">
        <f>IFERROR(__xludf.DUMMYFUNCTION("""COMPUTED_VALUE"""),43724.0)</f>
        <v>43724</v>
      </c>
      <c r="G34" t="str">
        <f>IFERROR(__xludf.DUMMYFUNCTION("""COMPUTED_VALUE"""),"856.51")</f>
        <v>856.51</v>
      </c>
      <c r="H34" t="str">
        <f>IFERROR(__xludf.DUMMYFUNCTION("""COMPUTED_VALUE"""),"")</f>
        <v/>
      </c>
      <c r="I34" t="str">
        <f>IFERROR(__xludf.DUMMYFUNCTION("""COMPUTED_VALUE"""),"Airbnb")</f>
        <v>Airbnb</v>
      </c>
      <c r="J34" t="str">
        <f>IFERROR(__xludf.DUMMYFUNCTION("""COMPUTED_VALUE"""),"Acompanhante 1")</f>
        <v>Acompanhante 1</v>
      </c>
      <c r="K34" t="str">
        <f>IFERROR(__xludf.DUMMYFUNCTION("""COMPUTED_VALUE"""),"")</f>
        <v/>
      </c>
      <c r="L34" t="str">
        <f>IFERROR(__xludf.DUMMYFUNCTION("""COMPUTED_VALUE"""),"")</f>
        <v/>
      </c>
      <c r="M34" t="str">
        <f>IFERROR(__xludf.DUMMYFUNCTION("""COMPUTED_VALUE"""),"alinerazente@gmail.com")</f>
        <v>alinerazente@gmail.com</v>
      </c>
      <c r="N34" t="str">
        <f>IFERROR(__xludf.DUMMYFUNCTION("""COMPUTED_VALUE"""),"44 99997 7753")</f>
        <v>44 99997 7753</v>
      </c>
      <c r="O34" t="str">
        <f>IFERROR(__xludf.DUMMYFUNCTION("""COMPUTED_VALUE"""),"")</f>
        <v/>
      </c>
      <c r="P34" t="str">
        <f>IFERROR(__xludf.DUMMYFUNCTION("""COMPUTED_VALUE"""),"COMPLETO")</f>
        <v>COMPLETO</v>
      </c>
      <c r="Q34" t="str">
        <f>IFERROR(__xludf.DUMMYFUNCTION("""COMPUTED_VALUE"""),"PAGO")</f>
        <v>PAGO</v>
      </c>
      <c r="R34">
        <f>IFERROR(__xludf.DUMMYFUNCTION("""COMPUTED_VALUE"""),6.79695699E10)</f>
        <v>67969569900</v>
      </c>
      <c r="S34" t="str">
        <f>IFERROR(__xludf.DUMMYFUNCTION("""COMPUTED_VALUE"""),"")</f>
        <v/>
      </c>
      <c r="T34" t="str">
        <f>IFERROR(__xludf.DUMMYFUNCTION("""COMPUTED_VALUE"""),"")</f>
        <v/>
      </c>
      <c r="U34" t="str">
        <f>IFERROR(__xludf.DUMMYFUNCTION("""COMPUTED_VALUE"""),"Sim")</f>
        <v>Sim</v>
      </c>
      <c r="V34" t="str">
        <f>IFERROR(__xludf.DUMMYFUNCTION("""COMPUTED_VALUE"""),"")</f>
        <v/>
      </c>
      <c r="W34" t="str">
        <f>IFERROR(__xludf.DUMMYFUNCTION("""COMPUTED_VALUE"""),"")</f>
        <v/>
      </c>
    </row>
    <row r="35">
      <c r="A35" s="268">
        <f>IFERROR(__xludf.DUMMYFUNCTION("""COMPUTED_VALUE"""),43615.05137596065)</f>
        <v>43615.05138</v>
      </c>
      <c r="B35" t="str">
        <f>IFERROR(__xludf.DUMMYFUNCTION("""COMPUTED_VALUE"""),"Fer")</f>
        <v>Fer</v>
      </c>
      <c r="C35" t="str">
        <f>IFERROR(__xludf.DUMMYFUNCTION("""COMPUTED_VALUE"""),"ILC1112")</f>
        <v>ILC1112</v>
      </c>
      <c r="D35" t="str">
        <f>IFERROR(__xludf.DUMMYFUNCTION("""COMPUTED_VALUE"""),"Jamille Amaral Chelala")</f>
        <v>Jamille Amaral Chelala</v>
      </c>
      <c r="E35" s="269">
        <f>IFERROR(__xludf.DUMMYFUNCTION("""COMPUTED_VALUE"""),43630.0)</f>
        <v>43630</v>
      </c>
      <c r="F35" s="269">
        <f>IFERROR(__xludf.DUMMYFUNCTION("""COMPUTED_VALUE"""),43632.0)</f>
        <v>43632</v>
      </c>
      <c r="G35" t="str">
        <f>IFERROR(__xludf.DUMMYFUNCTION("""COMPUTED_VALUE"""),"432.62")</f>
        <v>432.62</v>
      </c>
      <c r="H35" t="str">
        <f>IFERROR(__xludf.DUMMYFUNCTION("""COMPUTED_VALUE"""),"")</f>
        <v/>
      </c>
      <c r="I35" t="str">
        <f>IFERROR(__xludf.DUMMYFUNCTION("""COMPUTED_VALUE"""),"Airbnb")</f>
        <v>Airbnb</v>
      </c>
      <c r="J35" t="str">
        <f>IFERROR(__xludf.DUMMYFUNCTION("""COMPUTED_VALUE"""),"Jeferson Roberto Heidecke")</f>
        <v>Jeferson Roberto Heidecke</v>
      </c>
      <c r="K35" t="str">
        <f>IFERROR(__xludf.DUMMYFUNCTION("""COMPUTED_VALUE"""),"")</f>
        <v/>
      </c>
      <c r="L35" t="str">
        <f>IFERROR(__xludf.DUMMYFUNCTION("""COMPUTED_VALUE"""),"")</f>
        <v/>
      </c>
      <c r="M35" t="str">
        <f>IFERROR(__xludf.DUMMYFUNCTION("""COMPUTED_VALUE"""),"")</f>
        <v/>
      </c>
      <c r="N35" t="str">
        <f>IFERROR(__xludf.DUMMYFUNCTION("""COMPUTED_VALUE"""),"47 9 9654 9034")</f>
        <v>47 9 9654 9034</v>
      </c>
      <c r="O35" t="str">
        <f>IFERROR(__xludf.DUMMYFUNCTION("""COMPUTED_VALUE"""),"")</f>
        <v/>
      </c>
      <c r="P35" t="str">
        <f>IFERROR(__xludf.DUMMYFUNCTION("""COMPUTED_VALUE"""),"INCOMPLETO")</f>
        <v>INCOMPLETO</v>
      </c>
      <c r="Q35" t="str">
        <f>IFERROR(__xludf.DUMMYFUNCTION("""COMPUTED_VALUE"""),"PAGO")</f>
        <v>PAGO</v>
      </c>
      <c r="R35" t="str">
        <f>IFERROR(__xludf.DUMMYFUNCTION("""COMPUTED_VALUE"""),"")</f>
        <v/>
      </c>
      <c r="S35" t="str">
        <f>IFERROR(__xludf.DUMMYFUNCTION("""COMPUTED_VALUE"""),"")</f>
        <v/>
      </c>
      <c r="T35" t="str">
        <f>IFERROR(__xludf.DUMMYFUNCTION("""COMPUTED_VALUE"""),"")</f>
        <v/>
      </c>
      <c r="U35" t="str">
        <f>IFERROR(__xludf.DUMMYFUNCTION("""COMPUTED_VALUE"""),"Sim")</f>
        <v>Sim</v>
      </c>
      <c r="V35" t="str">
        <f>IFERROR(__xludf.DUMMYFUNCTION("""COMPUTED_VALUE"""),"")</f>
        <v/>
      </c>
      <c r="W35" t="str">
        <f>IFERROR(__xludf.DUMMYFUNCTION("""COMPUTED_VALUE"""),"")</f>
        <v/>
      </c>
    </row>
    <row r="36">
      <c r="A36" t="str">
        <f>IFERROR(__xludf.DUMMYFUNCTION("""COMPUTED_VALUE"""),"")</f>
        <v/>
      </c>
      <c r="B36" t="str">
        <f>IFERROR(__xludf.DUMMYFUNCTION("""COMPUTED_VALUE"""),"")</f>
        <v/>
      </c>
      <c r="C36" t="str">
        <f>IFERROR(__xludf.DUMMYFUNCTION("""COMPUTED_VALUE"""),"")</f>
        <v/>
      </c>
      <c r="D36" t="str">
        <f>IFERROR(__xludf.DUMMYFUNCTION("""COMPUTED_VALUE"""),"")</f>
        <v/>
      </c>
      <c r="E36" t="str">
        <f>IFERROR(__xludf.DUMMYFUNCTION("""COMPUTED_VALUE"""),"")</f>
        <v/>
      </c>
      <c r="F36" t="str">
        <f>IFERROR(__xludf.DUMMYFUNCTION("""COMPUTED_VALUE"""),"")</f>
        <v/>
      </c>
      <c r="G36" t="str">
        <f>IFERROR(__xludf.DUMMYFUNCTION("""COMPUTED_VALUE"""),"")</f>
        <v/>
      </c>
      <c r="H36" t="str">
        <f>IFERROR(__xludf.DUMMYFUNCTION("""COMPUTED_VALUE"""),"")</f>
        <v/>
      </c>
      <c r="I36" t="str">
        <f>IFERROR(__xludf.DUMMYFUNCTION("""COMPUTED_VALUE"""),"")</f>
        <v/>
      </c>
      <c r="J36" t="str">
        <f>IFERROR(__xludf.DUMMYFUNCTION("""COMPUTED_VALUE"""),"")</f>
        <v/>
      </c>
      <c r="K36" t="str">
        <f>IFERROR(__xludf.DUMMYFUNCTION("""COMPUTED_VALUE"""),"")</f>
        <v/>
      </c>
      <c r="L36" t="str">
        <f>IFERROR(__xludf.DUMMYFUNCTION("""COMPUTED_VALUE"""),"")</f>
        <v/>
      </c>
      <c r="M36" t="str">
        <f>IFERROR(__xludf.DUMMYFUNCTION("""COMPUTED_VALUE"""),"")</f>
        <v/>
      </c>
      <c r="N36" t="str">
        <f>IFERROR(__xludf.DUMMYFUNCTION("""COMPUTED_VALUE"""),"")</f>
        <v/>
      </c>
      <c r="O36" t="str">
        <f>IFERROR(__xludf.DUMMYFUNCTION("""COMPUTED_VALUE"""),"")</f>
        <v/>
      </c>
      <c r="P36" t="str">
        <f>IFERROR(__xludf.DUMMYFUNCTION("""COMPUTED_VALUE"""),"")</f>
        <v/>
      </c>
      <c r="Q36" t="str">
        <f>IFERROR(__xludf.DUMMYFUNCTION("""COMPUTED_VALUE"""),"")</f>
        <v/>
      </c>
      <c r="R36" t="str">
        <f>IFERROR(__xludf.DUMMYFUNCTION("""COMPUTED_VALUE"""),"")</f>
        <v/>
      </c>
      <c r="S36" t="str">
        <f>IFERROR(__xludf.DUMMYFUNCTION("""COMPUTED_VALUE"""),"")</f>
        <v/>
      </c>
      <c r="T36" t="str">
        <f>IFERROR(__xludf.DUMMYFUNCTION("""COMPUTED_VALUE"""),"")</f>
        <v/>
      </c>
      <c r="U36" t="str">
        <f>IFERROR(__xludf.DUMMYFUNCTION("""COMPUTED_VALUE"""),"")</f>
        <v/>
      </c>
      <c r="V36" t="str">
        <f>IFERROR(__xludf.DUMMYFUNCTION("""COMPUTED_VALUE"""),"")</f>
        <v/>
      </c>
      <c r="W36" t="str">
        <f>IFERROR(__xludf.DUMMYFUNCTION("""COMPUTED_VALUE"""),"")</f>
        <v/>
      </c>
    </row>
    <row r="37">
      <c r="A37" t="str">
        <f>IFERROR(__xludf.DUMMYFUNCTION("""COMPUTED_VALUE"""),"")</f>
        <v/>
      </c>
      <c r="B37" t="str">
        <f>IFERROR(__xludf.DUMMYFUNCTION("""COMPUTED_VALUE"""),"")</f>
        <v/>
      </c>
      <c r="C37" t="str">
        <f>IFERROR(__xludf.DUMMYFUNCTION("""COMPUTED_VALUE"""),"")</f>
        <v/>
      </c>
      <c r="D37" t="str">
        <f>IFERROR(__xludf.DUMMYFUNCTION("""COMPUTED_VALUE"""),"")</f>
        <v/>
      </c>
      <c r="E37" t="str">
        <f>IFERROR(__xludf.DUMMYFUNCTION("""COMPUTED_VALUE"""),"")</f>
        <v/>
      </c>
      <c r="F37" t="str">
        <f>IFERROR(__xludf.DUMMYFUNCTION("""COMPUTED_VALUE"""),"")</f>
        <v/>
      </c>
      <c r="G37" t="str">
        <f>IFERROR(__xludf.DUMMYFUNCTION("""COMPUTED_VALUE"""),"")</f>
        <v/>
      </c>
      <c r="H37" t="str">
        <f>IFERROR(__xludf.DUMMYFUNCTION("""COMPUTED_VALUE"""),"")</f>
        <v/>
      </c>
      <c r="I37" t="str">
        <f>IFERROR(__xludf.DUMMYFUNCTION("""COMPUTED_VALUE"""),"")</f>
        <v/>
      </c>
      <c r="J37" t="str">
        <f>IFERROR(__xludf.DUMMYFUNCTION("""COMPUTED_VALUE"""),"")</f>
        <v/>
      </c>
      <c r="K37" t="str">
        <f>IFERROR(__xludf.DUMMYFUNCTION("""COMPUTED_VALUE"""),"")</f>
        <v/>
      </c>
      <c r="L37" t="str">
        <f>IFERROR(__xludf.DUMMYFUNCTION("""COMPUTED_VALUE"""),"")</f>
        <v/>
      </c>
      <c r="M37" t="str">
        <f>IFERROR(__xludf.DUMMYFUNCTION("""COMPUTED_VALUE"""),"")</f>
        <v/>
      </c>
      <c r="N37" t="str">
        <f>IFERROR(__xludf.DUMMYFUNCTION("""COMPUTED_VALUE"""),"")</f>
        <v/>
      </c>
      <c r="O37" t="str">
        <f>IFERROR(__xludf.DUMMYFUNCTION("""COMPUTED_VALUE"""),"")</f>
        <v/>
      </c>
      <c r="P37" t="str">
        <f>IFERROR(__xludf.DUMMYFUNCTION("""COMPUTED_VALUE"""),"")</f>
        <v/>
      </c>
      <c r="Q37" t="str">
        <f>IFERROR(__xludf.DUMMYFUNCTION("""COMPUTED_VALUE"""),"")</f>
        <v/>
      </c>
      <c r="R37" t="str">
        <f>IFERROR(__xludf.DUMMYFUNCTION("""COMPUTED_VALUE"""),"")</f>
        <v/>
      </c>
      <c r="S37" t="str">
        <f>IFERROR(__xludf.DUMMYFUNCTION("""COMPUTED_VALUE"""),"")</f>
        <v/>
      </c>
      <c r="T37" t="str">
        <f>IFERROR(__xludf.DUMMYFUNCTION("""COMPUTED_VALUE"""),"")</f>
        <v/>
      </c>
      <c r="U37" t="str">
        <f>IFERROR(__xludf.DUMMYFUNCTION("""COMPUTED_VALUE"""),"")</f>
        <v/>
      </c>
      <c r="V37" t="str">
        <f>IFERROR(__xludf.DUMMYFUNCTION("""COMPUTED_VALUE"""),"")</f>
        <v/>
      </c>
      <c r="W37" t="str">
        <f>IFERROR(__xludf.DUMMYFUNCTION("""COMPUTED_VALUE"""),"")</f>
        <v/>
      </c>
    </row>
    <row r="38">
      <c r="A38" t="str">
        <f>IFERROR(__xludf.DUMMYFUNCTION("""COMPUTED_VALUE"""),"")</f>
        <v/>
      </c>
      <c r="B38" t="str">
        <f>IFERROR(__xludf.DUMMYFUNCTION("""COMPUTED_VALUE"""),"")</f>
        <v/>
      </c>
      <c r="C38" t="str">
        <f>IFERROR(__xludf.DUMMYFUNCTION("""COMPUTED_VALUE"""),"")</f>
        <v/>
      </c>
      <c r="D38" t="str">
        <f>IFERROR(__xludf.DUMMYFUNCTION("""COMPUTED_VALUE"""),"")</f>
        <v/>
      </c>
      <c r="E38" t="str">
        <f>IFERROR(__xludf.DUMMYFUNCTION("""COMPUTED_VALUE"""),"")</f>
        <v/>
      </c>
      <c r="F38" t="str">
        <f>IFERROR(__xludf.DUMMYFUNCTION("""COMPUTED_VALUE"""),"")</f>
        <v/>
      </c>
      <c r="G38" t="str">
        <f>IFERROR(__xludf.DUMMYFUNCTION("""COMPUTED_VALUE"""),"")</f>
        <v/>
      </c>
      <c r="H38" t="str">
        <f>IFERROR(__xludf.DUMMYFUNCTION("""COMPUTED_VALUE"""),"")</f>
        <v/>
      </c>
      <c r="I38" t="str">
        <f>IFERROR(__xludf.DUMMYFUNCTION("""COMPUTED_VALUE"""),"")</f>
        <v/>
      </c>
      <c r="J38" t="str">
        <f>IFERROR(__xludf.DUMMYFUNCTION("""COMPUTED_VALUE"""),"")</f>
        <v/>
      </c>
      <c r="K38" t="str">
        <f>IFERROR(__xludf.DUMMYFUNCTION("""COMPUTED_VALUE"""),"")</f>
        <v/>
      </c>
      <c r="L38" t="str">
        <f>IFERROR(__xludf.DUMMYFUNCTION("""COMPUTED_VALUE"""),"")</f>
        <v/>
      </c>
      <c r="M38" t="str">
        <f>IFERROR(__xludf.DUMMYFUNCTION("""COMPUTED_VALUE"""),"")</f>
        <v/>
      </c>
      <c r="N38" t="str">
        <f>IFERROR(__xludf.DUMMYFUNCTION("""COMPUTED_VALUE"""),"")</f>
        <v/>
      </c>
      <c r="O38" t="str">
        <f>IFERROR(__xludf.DUMMYFUNCTION("""COMPUTED_VALUE"""),"")</f>
        <v/>
      </c>
      <c r="P38" t="str">
        <f>IFERROR(__xludf.DUMMYFUNCTION("""COMPUTED_VALUE"""),"")</f>
        <v/>
      </c>
      <c r="Q38" t="str">
        <f>IFERROR(__xludf.DUMMYFUNCTION("""COMPUTED_VALUE"""),"")</f>
        <v/>
      </c>
      <c r="R38" t="str">
        <f>IFERROR(__xludf.DUMMYFUNCTION("""COMPUTED_VALUE"""),"")</f>
        <v/>
      </c>
      <c r="S38" t="str">
        <f>IFERROR(__xludf.DUMMYFUNCTION("""COMPUTED_VALUE"""),"")</f>
        <v/>
      </c>
      <c r="T38" t="str">
        <f>IFERROR(__xludf.DUMMYFUNCTION("""COMPUTED_VALUE"""),"")</f>
        <v/>
      </c>
      <c r="U38" t="str">
        <f>IFERROR(__xludf.DUMMYFUNCTION("""COMPUTED_VALUE"""),"")</f>
        <v/>
      </c>
      <c r="V38" t="str">
        <f>IFERROR(__xludf.DUMMYFUNCTION("""COMPUTED_VALUE"""),"")</f>
        <v/>
      </c>
      <c r="W38" t="str">
        <f>IFERROR(__xludf.DUMMYFUNCTION("""COMPUTED_VALUE"""),"")</f>
        <v/>
      </c>
    </row>
    <row r="39">
      <c r="A39" t="str">
        <f>IFERROR(__xludf.DUMMYFUNCTION("""COMPUTED_VALUE"""),"")</f>
        <v/>
      </c>
      <c r="B39" t="str">
        <f>IFERROR(__xludf.DUMMYFUNCTION("""COMPUTED_VALUE"""),"")</f>
        <v/>
      </c>
      <c r="C39" t="str">
        <f>IFERROR(__xludf.DUMMYFUNCTION("""COMPUTED_VALUE"""),"")</f>
        <v/>
      </c>
      <c r="D39" t="str">
        <f>IFERROR(__xludf.DUMMYFUNCTION("""COMPUTED_VALUE"""),"")</f>
        <v/>
      </c>
      <c r="E39" t="str">
        <f>IFERROR(__xludf.DUMMYFUNCTION("""COMPUTED_VALUE"""),"")</f>
        <v/>
      </c>
      <c r="F39" t="str">
        <f>IFERROR(__xludf.DUMMYFUNCTION("""COMPUTED_VALUE"""),"")</f>
        <v/>
      </c>
      <c r="G39" t="str">
        <f>IFERROR(__xludf.DUMMYFUNCTION("""COMPUTED_VALUE"""),"")</f>
        <v/>
      </c>
      <c r="H39" t="str">
        <f>IFERROR(__xludf.DUMMYFUNCTION("""COMPUTED_VALUE"""),"")</f>
        <v/>
      </c>
      <c r="I39" t="str">
        <f>IFERROR(__xludf.DUMMYFUNCTION("""COMPUTED_VALUE"""),"")</f>
        <v/>
      </c>
      <c r="J39" t="str">
        <f>IFERROR(__xludf.DUMMYFUNCTION("""COMPUTED_VALUE"""),"")</f>
        <v/>
      </c>
      <c r="K39" t="str">
        <f>IFERROR(__xludf.DUMMYFUNCTION("""COMPUTED_VALUE"""),"")</f>
        <v/>
      </c>
      <c r="L39" t="str">
        <f>IFERROR(__xludf.DUMMYFUNCTION("""COMPUTED_VALUE"""),"")</f>
        <v/>
      </c>
      <c r="M39" t="str">
        <f>IFERROR(__xludf.DUMMYFUNCTION("""COMPUTED_VALUE"""),"")</f>
        <v/>
      </c>
      <c r="N39" t="str">
        <f>IFERROR(__xludf.DUMMYFUNCTION("""COMPUTED_VALUE"""),"")</f>
        <v/>
      </c>
      <c r="O39" t="str">
        <f>IFERROR(__xludf.DUMMYFUNCTION("""COMPUTED_VALUE"""),"")</f>
        <v/>
      </c>
      <c r="P39" t="str">
        <f>IFERROR(__xludf.DUMMYFUNCTION("""COMPUTED_VALUE"""),"")</f>
        <v/>
      </c>
      <c r="Q39" t="str">
        <f>IFERROR(__xludf.DUMMYFUNCTION("""COMPUTED_VALUE"""),"")</f>
        <v/>
      </c>
      <c r="R39" t="str">
        <f>IFERROR(__xludf.DUMMYFUNCTION("""COMPUTED_VALUE"""),"")</f>
        <v/>
      </c>
      <c r="S39" t="str">
        <f>IFERROR(__xludf.DUMMYFUNCTION("""COMPUTED_VALUE"""),"")</f>
        <v/>
      </c>
      <c r="T39" t="str">
        <f>IFERROR(__xludf.DUMMYFUNCTION("""COMPUTED_VALUE"""),"")</f>
        <v/>
      </c>
      <c r="U39" t="str">
        <f>IFERROR(__xludf.DUMMYFUNCTION("""COMPUTED_VALUE"""),"")</f>
        <v/>
      </c>
      <c r="V39" t="str">
        <f>IFERROR(__xludf.DUMMYFUNCTION("""COMPUTED_VALUE"""),"")</f>
        <v/>
      </c>
      <c r="W39" t="str">
        <f>IFERROR(__xludf.DUMMYFUNCTION("""COMPUTED_VALUE"""),"")</f>
        <v/>
      </c>
    </row>
    <row r="40">
      <c r="A40" t="str">
        <f>IFERROR(__xludf.DUMMYFUNCTION("""COMPUTED_VALUE"""),"")</f>
        <v/>
      </c>
      <c r="B40" t="str">
        <f>IFERROR(__xludf.DUMMYFUNCTION("""COMPUTED_VALUE"""),"")</f>
        <v/>
      </c>
      <c r="C40" t="str">
        <f>IFERROR(__xludf.DUMMYFUNCTION("""COMPUTED_VALUE"""),"")</f>
        <v/>
      </c>
      <c r="D40" t="str">
        <f>IFERROR(__xludf.DUMMYFUNCTION("""COMPUTED_VALUE"""),"")</f>
        <v/>
      </c>
      <c r="E40" t="str">
        <f>IFERROR(__xludf.DUMMYFUNCTION("""COMPUTED_VALUE"""),"")</f>
        <v/>
      </c>
      <c r="F40" t="str">
        <f>IFERROR(__xludf.DUMMYFUNCTION("""COMPUTED_VALUE"""),"")</f>
        <v/>
      </c>
      <c r="G40" t="str">
        <f>IFERROR(__xludf.DUMMYFUNCTION("""COMPUTED_VALUE"""),"")</f>
        <v/>
      </c>
      <c r="H40" t="str">
        <f>IFERROR(__xludf.DUMMYFUNCTION("""COMPUTED_VALUE"""),"")</f>
        <v/>
      </c>
      <c r="I40" t="str">
        <f>IFERROR(__xludf.DUMMYFUNCTION("""COMPUTED_VALUE"""),"")</f>
        <v/>
      </c>
      <c r="J40" t="str">
        <f>IFERROR(__xludf.DUMMYFUNCTION("""COMPUTED_VALUE"""),"")</f>
        <v/>
      </c>
      <c r="K40" t="str">
        <f>IFERROR(__xludf.DUMMYFUNCTION("""COMPUTED_VALUE"""),"")</f>
        <v/>
      </c>
      <c r="L40" t="str">
        <f>IFERROR(__xludf.DUMMYFUNCTION("""COMPUTED_VALUE"""),"")</f>
        <v/>
      </c>
      <c r="M40" t="str">
        <f>IFERROR(__xludf.DUMMYFUNCTION("""COMPUTED_VALUE"""),"")</f>
        <v/>
      </c>
      <c r="N40" t="str">
        <f>IFERROR(__xludf.DUMMYFUNCTION("""COMPUTED_VALUE"""),"")</f>
        <v/>
      </c>
      <c r="O40" t="str">
        <f>IFERROR(__xludf.DUMMYFUNCTION("""COMPUTED_VALUE"""),"")</f>
        <v/>
      </c>
      <c r="P40" t="str">
        <f>IFERROR(__xludf.DUMMYFUNCTION("""COMPUTED_VALUE"""),"")</f>
        <v/>
      </c>
      <c r="Q40" t="str">
        <f>IFERROR(__xludf.DUMMYFUNCTION("""COMPUTED_VALUE"""),"")</f>
        <v/>
      </c>
      <c r="R40" t="str">
        <f>IFERROR(__xludf.DUMMYFUNCTION("""COMPUTED_VALUE"""),"")</f>
        <v/>
      </c>
      <c r="S40" t="str">
        <f>IFERROR(__xludf.DUMMYFUNCTION("""COMPUTED_VALUE"""),"")</f>
        <v/>
      </c>
      <c r="T40" t="str">
        <f>IFERROR(__xludf.DUMMYFUNCTION("""COMPUTED_VALUE"""),"")</f>
        <v/>
      </c>
      <c r="U40" t="str">
        <f>IFERROR(__xludf.DUMMYFUNCTION("""COMPUTED_VALUE"""),"")</f>
        <v/>
      </c>
      <c r="V40" t="str">
        <f>IFERROR(__xludf.DUMMYFUNCTION("""COMPUTED_VALUE"""),"")</f>
        <v/>
      </c>
      <c r="W40" t="str">
        <f>IFERROR(__xludf.DUMMYFUNCTION("""COMPUTED_VALUE"""),"")</f>
        <v/>
      </c>
    </row>
    <row r="41">
      <c r="A41" t="str">
        <f>IFERROR(__xludf.DUMMYFUNCTION("""COMPUTED_VALUE"""),"")</f>
        <v/>
      </c>
      <c r="B41" t="str">
        <f>IFERROR(__xludf.DUMMYFUNCTION("""COMPUTED_VALUE"""),"")</f>
        <v/>
      </c>
      <c r="C41" t="str">
        <f>IFERROR(__xludf.DUMMYFUNCTION("""COMPUTED_VALUE"""),"")</f>
        <v/>
      </c>
      <c r="D41" t="str">
        <f>IFERROR(__xludf.DUMMYFUNCTION("""COMPUTED_VALUE"""),"")</f>
        <v/>
      </c>
      <c r="E41" t="str">
        <f>IFERROR(__xludf.DUMMYFUNCTION("""COMPUTED_VALUE"""),"")</f>
        <v/>
      </c>
      <c r="F41" s="272" t="str">
        <f>IFERROR(__xludf.DUMMYFUNCTION("""COMPUTED_VALUE"""),"")</f>
        <v/>
      </c>
      <c r="G41" t="str">
        <f>IFERROR(__xludf.DUMMYFUNCTION("""COMPUTED_VALUE"""),"")</f>
        <v/>
      </c>
      <c r="H41" t="str">
        <f>IFERROR(__xludf.DUMMYFUNCTION("""COMPUTED_VALUE"""),"")</f>
        <v/>
      </c>
      <c r="I41" t="str">
        <f>IFERROR(__xludf.DUMMYFUNCTION("""COMPUTED_VALUE"""),"")</f>
        <v/>
      </c>
      <c r="J41" t="str">
        <f>IFERROR(__xludf.DUMMYFUNCTION("""COMPUTED_VALUE"""),"")</f>
        <v/>
      </c>
      <c r="K41" t="str">
        <f>IFERROR(__xludf.DUMMYFUNCTION("""COMPUTED_VALUE"""),"")</f>
        <v/>
      </c>
      <c r="L41" t="str">
        <f>IFERROR(__xludf.DUMMYFUNCTION("""COMPUTED_VALUE"""),"")</f>
        <v/>
      </c>
      <c r="M41" t="str">
        <f>IFERROR(__xludf.DUMMYFUNCTION("""COMPUTED_VALUE"""),"")</f>
        <v/>
      </c>
      <c r="N41" t="str">
        <f>IFERROR(__xludf.DUMMYFUNCTION("""COMPUTED_VALUE"""),"")</f>
        <v/>
      </c>
      <c r="O41" t="str">
        <f>IFERROR(__xludf.DUMMYFUNCTION("""COMPUTED_VALUE"""),"")</f>
        <v/>
      </c>
      <c r="P41" t="str">
        <f>IFERROR(__xludf.DUMMYFUNCTION("""COMPUTED_VALUE"""),"")</f>
        <v/>
      </c>
      <c r="Q41" t="str">
        <f>IFERROR(__xludf.DUMMYFUNCTION("""COMPUTED_VALUE"""),"")</f>
        <v/>
      </c>
      <c r="R41" t="str">
        <f>IFERROR(__xludf.DUMMYFUNCTION("""COMPUTED_VALUE"""),"")</f>
        <v/>
      </c>
      <c r="S41" t="str">
        <f>IFERROR(__xludf.DUMMYFUNCTION("""COMPUTED_VALUE"""),"")</f>
        <v/>
      </c>
      <c r="T41" t="str">
        <f>IFERROR(__xludf.DUMMYFUNCTION("""COMPUTED_VALUE"""),"")</f>
        <v/>
      </c>
      <c r="U41" t="str">
        <f>IFERROR(__xludf.DUMMYFUNCTION("""COMPUTED_VALUE"""),"")</f>
        <v/>
      </c>
      <c r="V41" t="str">
        <f>IFERROR(__xludf.DUMMYFUNCTION("""COMPUTED_VALUE"""),"")</f>
        <v/>
      </c>
      <c r="W41" t="str">
        <f>IFERROR(__xludf.DUMMYFUNCTION("""COMPUTED_VALUE"""),"")</f>
        <v/>
      </c>
    </row>
    <row r="42">
      <c r="A42" t="str">
        <f>IFERROR(__xludf.DUMMYFUNCTION("""COMPUTED_VALUE"""),"")</f>
        <v/>
      </c>
      <c r="B42" t="str">
        <f>IFERROR(__xludf.DUMMYFUNCTION("""COMPUTED_VALUE"""),"")</f>
        <v/>
      </c>
      <c r="C42" t="str">
        <f>IFERROR(__xludf.DUMMYFUNCTION("""COMPUTED_VALUE"""),"")</f>
        <v/>
      </c>
      <c r="D42" t="str">
        <f>IFERROR(__xludf.DUMMYFUNCTION("""COMPUTED_VALUE"""),"")</f>
        <v/>
      </c>
      <c r="E42" t="str">
        <f>IFERROR(__xludf.DUMMYFUNCTION("""COMPUTED_VALUE"""),"")</f>
        <v/>
      </c>
      <c r="F42" t="str">
        <f>IFERROR(__xludf.DUMMYFUNCTION("""COMPUTED_VALUE"""),"")</f>
        <v/>
      </c>
      <c r="G42" t="str">
        <f>IFERROR(__xludf.DUMMYFUNCTION("""COMPUTED_VALUE"""),"")</f>
        <v/>
      </c>
      <c r="H42" t="str">
        <f>IFERROR(__xludf.DUMMYFUNCTION("""COMPUTED_VALUE"""),"")</f>
        <v/>
      </c>
      <c r="I42" t="str">
        <f>IFERROR(__xludf.DUMMYFUNCTION("""COMPUTED_VALUE"""),"")</f>
        <v/>
      </c>
      <c r="J42" t="str">
        <f>IFERROR(__xludf.DUMMYFUNCTION("""COMPUTED_VALUE"""),"")</f>
        <v/>
      </c>
      <c r="K42" t="str">
        <f>IFERROR(__xludf.DUMMYFUNCTION("""COMPUTED_VALUE"""),"")</f>
        <v/>
      </c>
      <c r="L42" t="str">
        <f>IFERROR(__xludf.DUMMYFUNCTION("""COMPUTED_VALUE"""),"")</f>
        <v/>
      </c>
      <c r="M42" t="str">
        <f>IFERROR(__xludf.DUMMYFUNCTION("""COMPUTED_VALUE"""),"")</f>
        <v/>
      </c>
      <c r="N42" t="str">
        <f>IFERROR(__xludf.DUMMYFUNCTION("""COMPUTED_VALUE"""),"")</f>
        <v/>
      </c>
      <c r="O42" t="str">
        <f>IFERROR(__xludf.DUMMYFUNCTION("""COMPUTED_VALUE"""),"")</f>
        <v/>
      </c>
      <c r="P42" t="str">
        <f>IFERROR(__xludf.DUMMYFUNCTION("""COMPUTED_VALUE"""),"")</f>
        <v/>
      </c>
      <c r="Q42" t="str">
        <f>IFERROR(__xludf.DUMMYFUNCTION("""COMPUTED_VALUE"""),"")</f>
        <v/>
      </c>
      <c r="R42" t="str">
        <f>IFERROR(__xludf.DUMMYFUNCTION("""COMPUTED_VALUE"""),"")</f>
        <v/>
      </c>
      <c r="S42" t="str">
        <f>IFERROR(__xludf.DUMMYFUNCTION("""COMPUTED_VALUE"""),"")</f>
        <v/>
      </c>
      <c r="T42" t="str">
        <f>IFERROR(__xludf.DUMMYFUNCTION("""COMPUTED_VALUE"""),"")</f>
        <v/>
      </c>
      <c r="U42" t="str">
        <f>IFERROR(__xludf.DUMMYFUNCTION("""COMPUTED_VALUE"""),"")</f>
        <v/>
      </c>
      <c r="V42" t="str">
        <f>IFERROR(__xludf.DUMMYFUNCTION("""COMPUTED_VALUE"""),"")</f>
        <v/>
      </c>
      <c r="W42" t="str">
        <f>IFERROR(__xludf.DUMMYFUNCTION("""COMPUTED_VALUE"""),"")</f>
        <v/>
      </c>
    </row>
    <row r="43">
      <c r="A43" t="str">
        <f>IFERROR(__xludf.DUMMYFUNCTION("""COMPUTED_VALUE"""),"")</f>
        <v/>
      </c>
      <c r="B43" t="str">
        <f>IFERROR(__xludf.DUMMYFUNCTION("""COMPUTED_VALUE"""),"")</f>
        <v/>
      </c>
      <c r="C43" t="str">
        <f>IFERROR(__xludf.DUMMYFUNCTION("""COMPUTED_VALUE"""),"")</f>
        <v/>
      </c>
      <c r="D43" t="str">
        <f>IFERROR(__xludf.DUMMYFUNCTION("""COMPUTED_VALUE"""),"")</f>
        <v/>
      </c>
      <c r="E43" t="str">
        <f>IFERROR(__xludf.DUMMYFUNCTION("""COMPUTED_VALUE"""),"")</f>
        <v/>
      </c>
      <c r="F43" t="str">
        <f>IFERROR(__xludf.DUMMYFUNCTION("""COMPUTED_VALUE"""),"")</f>
        <v/>
      </c>
      <c r="G43" t="str">
        <f>IFERROR(__xludf.DUMMYFUNCTION("""COMPUTED_VALUE"""),"")</f>
        <v/>
      </c>
      <c r="H43" t="str">
        <f>IFERROR(__xludf.DUMMYFUNCTION("""COMPUTED_VALUE"""),"")</f>
        <v/>
      </c>
      <c r="I43" t="str">
        <f>IFERROR(__xludf.DUMMYFUNCTION("""COMPUTED_VALUE"""),"")</f>
        <v/>
      </c>
      <c r="J43" t="str">
        <f>IFERROR(__xludf.DUMMYFUNCTION("""COMPUTED_VALUE"""),"")</f>
        <v/>
      </c>
      <c r="K43" t="str">
        <f>IFERROR(__xludf.DUMMYFUNCTION("""COMPUTED_VALUE"""),"")</f>
        <v/>
      </c>
      <c r="L43" t="str">
        <f>IFERROR(__xludf.DUMMYFUNCTION("""COMPUTED_VALUE"""),"")</f>
        <v/>
      </c>
      <c r="M43" t="str">
        <f>IFERROR(__xludf.DUMMYFUNCTION("""COMPUTED_VALUE"""),"")</f>
        <v/>
      </c>
      <c r="N43" t="str">
        <f>IFERROR(__xludf.DUMMYFUNCTION("""COMPUTED_VALUE"""),"")</f>
        <v/>
      </c>
      <c r="O43" t="str">
        <f>IFERROR(__xludf.DUMMYFUNCTION("""COMPUTED_VALUE"""),"")</f>
        <v/>
      </c>
      <c r="P43" t="str">
        <f>IFERROR(__xludf.DUMMYFUNCTION("""COMPUTED_VALUE"""),"")</f>
        <v/>
      </c>
      <c r="Q43" t="str">
        <f>IFERROR(__xludf.DUMMYFUNCTION("""COMPUTED_VALUE"""),"")</f>
        <v/>
      </c>
      <c r="R43" t="str">
        <f>IFERROR(__xludf.DUMMYFUNCTION("""COMPUTED_VALUE"""),"")</f>
        <v/>
      </c>
      <c r="S43" t="str">
        <f>IFERROR(__xludf.DUMMYFUNCTION("""COMPUTED_VALUE"""),"")</f>
        <v/>
      </c>
      <c r="T43" t="str">
        <f>IFERROR(__xludf.DUMMYFUNCTION("""COMPUTED_VALUE"""),"")</f>
        <v/>
      </c>
      <c r="U43" t="str">
        <f>IFERROR(__xludf.DUMMYFUNCTION("""COMPUTED_VALUE"""),"")</f>
        <v/>
      </c>
      <c r="V43" t="str">
        <f>IFERROR(__xludf.DUMMYFUNCTION("""COMPUTED_VALUE"""),"")</f>
        <v/>
      </c>
      <c r="W43" t="str">
        <f>IFERROR(__xludf.DUMMYFUNCTION("""COMPUTED_VALUE"""),"")</f>
        <v/>
      </c>
    </row>
    <row r="44">
      <c r="A44" t="str">
        <f>IFERROR(__xludf.DUMMYFUNCTION("""COMPUTED_VALUE"""),"")</f>
        <v/>
      </c>
      <c r="B44" t="str">
        <f>IFERROR(__xludf.DUMMYFUNCTION("""COMPUTED_VALUE"""),"")</f>
        <v/>
      </c>
      <c r="C44" t="str">
        <f>IFERROR(__xludf.DUMMYFUNCTION("""COMPUTED_VALUE"""),"")</f>
        <v/>
      </c>
      <c r="D44" t="str">
        <f>IFERROR(__xludf.DUMMYFUNCTION("""COMPUTED_VALUE"""),"")</f>
        <v/>
      </c>
      <c r="E44" t="str">
        <f>IFERROR(__xludf.DUMMYFUNCTION("""COMPUTED_VALUE"""),"")</f>
        <v/>
      </c>
      <c r="F44" t="str">
        <f>IFERROR(__xludf.DUMMYFUNCTION("""COMPUTED_VALUE"""),"")</f>
        <v/>
      </c>
      <c r="G44" t="str">
        <f>IFERROR(__xludf.DUMMYFUNCTION("""COMPUTED_VALUE"""),"")</f>
        <v/>
      </c>
      <c r="H44" t="str">
        <f>IFERROR(__xludf.DUMMYFUNCTION("""COMPUTED_VALUE"""),"")</f>
        <v/>
      </c>
      <c r="I44" t="str">
        <f>IFERROR(__xludf.DUMMYFUNCTION("""COMPUTED_VALUE"""),"")</f>
        <v/>
      </c>
      <c r="J44" t="str">
        <f>IFERROR(__xludf.DUMMYFUNCTION("""COMPUTED_VALUE"""),"")</f>
        <v/>
      </c>
      <c r="K44" t="str">
        <f>IFERROR(__xludf.DUMMYFUNCTION("""COMPUTED_VALUE"""),"")</f>
        <v/>
      </c>
      <c r="L44" t="str">
        <f>IFERROR(__xludf.DUMMYFUNCTION("""COMPUTED_VALUE"""),"")</f>
        <v/>
      </c>
      <c r="M44" t="str">
        <f>IFERROR(__xludf.DUMMYFUNCTION("""COMPUTED_VALUE"""),"")</f>
        <v/>
      </c>
      <c r="N44" t="str">
        <f>IFERROR(__xludf.DUMMYFUNCTION("""COMPUTED_VALUE"""),"")</f>
        <v/>
      </c>
      <c r="O44" t="str">
        <f>IFERROR(__xludf.DUMMYFUNCTION("""COMPUTED_VALUE"""),"")</f>
        <v/>
      </c>
      <c r="P44" t="str">
        <f>IFERROR(__xludf.DUMMYFUNCTION("""COMPUTED_VALUE"""),"")</f>
        <v/>
      </c>
      <c r="Q44" t="str">
        <f>IFERROR(__xludf.DUMMYFUNCTION("""COMPUTED_VALUE"""),"")</f>
        <v/>
      </c>
      <c r="R44" t="str">
        <f>IFERROR(__xludf.DUMMYFUNCTION("""COMPUTED_VALUE"""),"")</f>
        <v/>
      </c>
      <c r="S44" t="str">
        <f>IFERROR(__xludf.DUMMYFUNCTION("""COMPUTED_VALUE"""),"")</f>
        <v/>
      </c>
      <c r="T44" t="str">
        <f>IFERROR(__xludf.DUMMYFUNCTION("""COMPUTED_VALUE"""),"")</f>
        <v/>
      </c>
      <c r="U44" t="str">
        <f>IFERROR(__xludf.DUMMYFUNCTION("""COMPUTED_VALUE"""),"")</f>
        <v/>
      </c>
      <c r="V44" t="str">
        <f>IFERROR(__xludf.DUMMYFUNCTION("""COMPUTED_VALUE"""),"")</f>
        <v/>
      </c>
      <c r="W44" t="str">
        <f>IFERROR(__xludf.DUMMYFUNCTION("""COMPUTED_VALUE"""),"")</f>
        <v/>
      </c>
    </row>
    <row r="45">
      <c r="A45" t="str">
        <f>IFERROR(__xludf.DUMMYFUNCTION("""COMPUTED_VALUE"""),"")</f>
        <v/>
      </c>
      <c r="B45" t="str">
        <f>IFERROR(__xludf.DUMMYFUNCTION("""COMPUTED_VALUE"""),"")</f>
        <v/>
      </c>
      <c r="C45" t="str">
        <f>IFERROR(__xludf.DUMMYFUNCTION("""COMPUTED_VALUE"""),"")</f>
        <v/>
      </c>
      <c r="D45" t="str">
        <f>IFERROR(__xludf.DUMMYFUNCTION("""COMPUTED_VALUE"""),"")</f>
        <v/>
      </c>
      <c r="E45" t="str">
        <f>IFERROR(__xludf.DUMMYFUNCTION("""COMPUTED_VALUE"""),"")</f>
        <v/>
      </c>
      <c r="F45" t="str">
        <f>IFERROR(__xludf.DUMMYFUNCTION("""COMPUTED_VALUE"""),"")</f>
        <v/>
      </c>
      <c r="G45" t="str">
        <f>IFERROR(__xludf.DUMMYFUNCTION("""COMPUTED_VALUE"""),"")</f>
        <v/>
      </c>
      <c r="H45" t="str">
        <f>IFERROR(__xludf.DUMMYFUNCTION("""COMPUTED_VALUE"""),"")</f>
        <v/>
      </c>
      <c r="I45" t="str">
        <f>IFERROR(__xludf.DUMMYFUNCTION("""COMPUTED_VALUE"""),"")</f>
        <v/>
      </c>
      <c r="J45" t="str">
        <f>IFERROR(__xludf.DUMMYFUNCTION("""COMPUTED_VALUE"""),"")</f>
        <v/>
      </c>
      <c r="K45" t="str">
        <f>IFERROR(__xludf.DUMMYFUNCTION("""COMPUTED_VALUE"""),"")</f>
        <v/>
      </c>
      <c r="L45" t="str">
        <f>IFERROR(__xludf.DUMMYFUNCTION("""COMPUTED_VALUE"""),"")</f>
        <v/>
      </c>
      <c r="M45" t="str">
        <f>IFERROR(__xludf.DUMMYFUNCTION("""COMPUTED_VALUE"""),"")</f>
        <v/>
      </c>
      <c r="N45" t="str">
        <f>IFERROR(__xludf.DUMMYFUNCTION("""COMPUTED_VALUE"""),"")</f>
        <v/>
      </c>
      <c r="O45" t="str">
        <f>IFERROR(__xludf.DUMMYFUNCTION("""COMPUTED_VALUE"""),"")</f>
        <v/>
      </c>
      <c r="P45" t="str">
        <f>IFERROR(__xludf.DUMMYFUNCTION("""COMPUTED_VALUE"""),"")</f>
        <v/>
      </c>
      <c r="Q45" t="str">
        <f>IFERROR(__xludf.DUMMYFUNCTION("""COMPUTED_VALUE"""),"")</f>
        <v/>
      </c>
      <c r="R45" t="str">
        <f>IFERROR(__xludf.DUMMYFUNCTION("""COMPUTED_VALUE"""),"")</f>
        <v/>
      </c>
      <c r="S45" t="str">
        <f>IFERROR(__xludf.DUMMYFUNCTION("""COMPUTED_VALUE"""),"")</f>
        <v/>
      </c>
      <c r="T45" t="str">
        <f>IFERROR(__xludf.DUMMYFUNCTION("""COMPUTED_VALUE"""),"")</f>
        <v/>
      </c>
      <c r="U45" t="str">
        <f>IFERROR(__xludf.DUMMYFUNCTION("""COMPUTED_VALUE"""),"")</f>
        <v/>
      </c>
      <c r="V45" t="str">
        <f>IFERROR(__xludf.DUMMYFUNCTION("""COMPUTED_VALUE"""),"")</f>
        <v/>
      </c>
      <c r="W45" t="str">
        <f>IFERROR(__xludf.DUMMYFUNCTION("""COMPUTED_VALUE"""),"")</f>
        <v/>
      </c>
    </row>
    <row r="46">
      <c r="A46" t="str">
        <f>IFERROR(__xludf.DUMMYFUNCTION("""COMPUTED_VALUE"""),"")</f>
        <v/>
      </c>
      <c r="B46" t="str">
        <f>IFERROR(__xludf.DUMMYFUNCTION("""COMPUTED_VALUE"""),"")</f>
        <v/>
      </c>
      <c r="C46" t="str">
        <f>IFERROR(__xludf.DUMMYFUNCTION("""COMPUTED_VALUE"""),"")</f>
        <v/>
      </c>
      <c r="D46" t="str">
        <f>IFERROR(__xludf.DUMMYFUNCTION("""COMPUTED_VALUE"""),"")</f>
        <v/>
      </c>
      <c r="E46" t="str">
        <f>IFERROR(__xludf.DUMMYFUNCTION("""COMPUTED_VALUE"""),"")</f>
        <v/>
      </c>
      <c r="F46" t="str">
        <f>IFERROR(__xludf.DUMMYFUNCTION("""COMPUTED_VALUE"""),"")</f>
        <v/>
      </c>
      <c r="G46" t="str">
        <f>IFERROR(__xludf.DUMMYFUNCTION("""COMPUTED_VALUE"""),"")</f>
        <v/>
      </c>
      <c r="H46" t="str">
        <f>IFERROR(__xludf.DUMMYFUNCTION("""COMPUTED_VALUE"""),"")</f>
        <v/>
      </c>
      <c r="I46" t="str">
        <f>IFERROR(__xludf.DUMMYFUNCTION("""COMPUTED_VALUE"""),"")</f>
        <v/>
      </c>
      <c r="J46" t="str">
        <f>IFERROR(__xludf.DUMMYFUNCTION("""COMPUTED_VALUE"""),"")</f>
        <v/>
      </c>
      <c r="K46" t="str">
        <f>IFERROR(__xludf.DUMMYFUNCTION("""COMPUTED_VALUE"""),"")</f>
        <v/>
      </c>
      <c r="L46" t="str">
        <f>IFERROR(__xludf.DUMMYFUNCTION("""COMPUTED_VALUE"""),"")</f>
        <v/>
      </c>
      <c r="M46" t="str">
        <f>IFERROR(__xludf.DUMMYFUNCTION("""COMPUTED_VALUE"""),"")</f>
        <v/>
      </c>
      <c r="N46" t="str">
        <f>IFERROR(__xludf.DUMMYFUNCTION("""COMPUTED_VALUE"""),"")</f>
        <v/>
      </c>
      <c r="O46" t="str">
        <f>IFERROR(__xludf.DUMMYFUNCTION("""COMPUTED_VALUE"""),"")</f>
        <v/>
      </c>
      <c r="P46" t="str">
        <f>IFERROR(__xludf.DUMMYFUNCTION("""COMPUTED_VALUE"""),"")</f>
        <v/>
      </c>
      <c r="Q46" t="str">
        <f>IFERROR(__xludf.DUMMYFUNCTION("""COMPUTED_VALUE"""),"")</f>
        <v/>
      </c>
      <c r="R46" t="str">
        <f>IFERROR(__xludf.DUMMYFUNCTION("""COMPUTED_VALUE"""),"")</f>
        <v/>
      </c>
      <c r="S46" t="str">
        <f>IFERROR(__xludf.DUMMYFUNCTION("""COMPUTED_VALUE"""),"")</f>
        <v/>
      </c>
      <c r="T46" t="str">
        <f>IFERROR(__xludf.DUMMYFUNCTION("""COMPUTED_VALUE"""),"")</f>
        <v/>
      </c>
      <c r="U46" t="str">
        <f>IFERROR(__xludf.DUMMYFUNCTION("""COMPUTED_VALUE"""),"")</f>
        <v/>
      </c>
      <c r="V46" t="str">
        <f>IFERROR(__xludf.DUMMYFUNCTION("""COMPUTED_VALUE"""),"")</f>
        <v/>
      </c>
      <c r="W46" t="str">
        <f>IFERROR(__xludf.DUMMYFUNCTION("""COMPUTED_VALUE"""),"")</f>
        <v/>
      </c>
    </row>
    <row r="47">
      <c r="A47" t="str">
        <f>IFERROR(__xludf.DUMMYFUNCTION("""COMPUTED_VALUE"""),"")</f>
        <v/>
      </c>
      <c r="B47" t="str">
        <f>IFERROR(__xludf.DUMMYFUNCTION("""COMPUTED_VALUE"""),"")</f>
        <v/>
      </c>
      <c r="C47" t="str">
        <f>IFERROR(__xludf.DUMMYFUNCTION("""COMPUTED_VALUE"""),"")</f>
        <v/>
      </c>
      <c r="D47" t="str">
        <f>IFERROR(__xludf.DUMMYFUNCTION("""COMPUTED_VALUE"""),"")</f>
        <v/>
      </c>
      <c r="E47" t="str">
        <f>IFERROR(__xludf.DUMMYFUNCTION("""COMPUTED_VALUE"""),"")</f>
        <v/>
      </c>
      <c r="F47" t="str">
        <f>IFERROR(__xludf.DUMMYFUNCTION("""COMPUTED_VALUE"""),"")</f>
        <v/>
      </c>
      <c r="G47" t="str">
        <f>IFERROR(__xludf.DUMMYFUNCTION("""COMPUTED_VALUE"""),"")</f>
        <v/>
      </c>
      <c r="H47" t="str">
        <f>IFERROR(__xludf.DUMMYFUNCTION("""COMPUTED_VALUE"""),"")</f>
        <v/>
      </c>
      <c r="I47" t="str">
        <f>IFERROR(__xludf.DUMMYFUNCTION("""COMPUTED_VALUE"""),"")</f>
        <v/>
      </c>
      <c r="J47" t="str">
        <f>IFERROR(__xludf.DUMMYFUNCTION("""COMPUTED_VALUE"""),"")</f>
        <v/>
      </c>
      <c r="K47" t="str">
        <f>IFERROR(__xludf.DUMMYFUNCTION("""COMPUTED_VALUE"""),"")</f>
        <v/>
      </c>
      <c r="L47" t="str">
        <f>IFERROR(__xludf.DUMMYFUNCTION("""COMPUTED_VALUE"""),"")</f>
        <v/>
      </c>
      <c r="M47" t="str">
        <f>IFERROR(__xludf.DUMMYFUNCTION("""COMPUTED_VALUE"""),"")</f>
        <v/>
      </c>
      <c r="N47" t="str">
        <f>IFERROR(__xludf.DUMMYFUNCTION("""COMPUTED_VALUE"""),"")</f>
        <v/>
      </c>
      <c r="O47" t="str">
        <f>IFERROR(__xludf.DUMMYFUNCTION("""COMPUTED_VALUE"""),"")</f>
        <v/>
      </c>
      <c r="P47" t="str">
        <f>IFERROR(__xludf.DUMMYFUNCTION("""COMPUTED_VALUE"""),"")</f>
        <v/>
      </c>
      <c r="Q47" t="str">
        <f>IFERROR(__xludf.DUMMYFUNCTION("""COMPUTED_VALUE"""),"")</f>
        <v/>
      </c>
      <c r="R47" t="str">
        <f>IFERROR(__xludf.DUMMYFUNCTION("""COMPUTED_VALUE"""),"")</f>
        <v/>
      </c>
      <c r="S47" t="str">
        <f>IFERROR(__xludf.DUMMYFUNCTION("""COMPUTED_VALUE"""),"")</f>
        <v/>
      </c>
      <c r="T47" t="str">
        <f>IFERROR(__xludf.DUMMYFUNCTION("""COMPUTED_VALUE"""),"")</f>
        <v/>
      </c>
      <c r="U47" t="str">
        <f>IFERROR(__xludf.DUMMYFUNCTION("""COMPUTED_VALUE"""),"")</f>
        <v/>
      </c>
      <c r="V47" t="str">
        <f>IFERROR(__xludf.DUMMYFUNCTION("""COMPUTED_VALUE"""),"")</f>
        <v/>
      </c>
      <c r="W47" t="str">
        <f>IFERROR(__xludf.DUMMYFUNCTION("""COMPUTED_VALUE"""),"")</f>
        <v/>
      </c>
    </row>
    <row r="48">
      <c r="A48" t="str">
        <f>IFERROR(__xludf.DUMMYFUNCTION("""COMPUTED_VALUE"""),"")</f>
        <v/>
      </c>
      <c r="B48" t="str">
        <f>IFERROR(__xludf.DUMMYFUNCTION("""COMPUTED_VALUE"""),"")</f>
        <v/>
      </c>
      <c r="C48" t="str">
        <f>IFERROR(__xludf.DUMMYFUNCTION("""COMPUTED_VALUE"""),"")</f>
        <v/>
      </c>
      <c r="D48" t="str">
        <f>IFERROR(__xludf.DUMMYFUNCTION("""COMPUTED_VALUE"""),"")</f>
        <v/>
      </c>
      <c r="E48" t="str">
        <f>IFERROR(__xludf.DUMMYFUNCTION("""COMPUTED_VALUE"""),"")</f>
        <v/>
      </c>
      <c r="F48" t="str">
        <f>IFERROR(__xludf.DUMMYFUNCTION("""COMPUTED_VALUE"""),"")</f>
        <v/>
      </c>
      <c r="G48" t="str">
        <f>IFERROR(__xludf.DUMMYFUNCTION("""COMPUTED_VALUE"""),"")</f>
        <v/>
      </c>
      <c r="H48" t="str">
        <f>IFERROR(__xludf.DUMMYFUNCTION("""COMPUTED_VALUE"""),"")</f>
        <v/>
      </c>
      <c r="I48" t="str">
        <f>IFERROR(__xludf.DUMMYFUNCTION("""COMPUTED_VALUE"""),"")</f>
        <v/>
      </c>
      <c r="J48" t="str">
        <f>IFERROR(__xludf.DUMMYFUNCTION("""COMPUTED_VALUE"""),"")</f>
        <v/>
      </c>
      <c r="K48" t="str">
        <f>IFERROR(__xludf.DUMMYFUNCTION("""COMPUTED_VALUE"""),"")</f>
        <v/>
      </c>
      <c r="L48" t="str">
        <f>IFERROR(__xludf.DUMMYFUNCTION("""COMPUTED_VALUE"""),"")</f>
        <v/>
      </c>
      <c r="M48" t="str">
        <f>IFERROR(__xludf.DUMMYFUNCTION("""COMPUTED_VALUE"""),"")</f>
        <v/>
      </c>
      <c r="N48" t="str">
        <f>IFERROR(__xludf.DUMMYFUNCTION("""COMPUTED_VALUE"""),"")</f>
        <v/>
      </c>
      <c r="O48" t="str">
        <f>IFERROR(__xludf.DUMMYFUNCTION("""COMPUTED_VALUE"""),"")</f>
        <v/>
      </c>
      <c r="P48" t="str">
        <f>IFERROR(__xludf.DUMMYFUNCTION("""COMPUTED_VALUE"""),"")</f>
        <v/>
      </c>
      <c r="Q48" t="str">
        <f>IFERROR(__xludf.DUMMYFUNCTION("""COMPUTED_VALUE"""),"")</f>
        <v/>
      </c>
      <c r="R48" t="str">
        <f>IFERROR(__xludf.DUMMYFUNCTION("""COMPUTED_VALUE"""),"")</f>
        <v/>
      </c>
      <c r="S48" t="str">
        <f>IFERROR(__xludf.DUMMYFUNCTION("""COMPUTED_VALUE"""),"")</f>
        <v/>
      </c>
      <c r="T48" t="str">
        <f>IFERROR(__xludf.DUMMYFUNCTION("""COMPUTED_VALUE"""),"")</f>
        <v/>
      </c>
      <c r="U48" t="str">
        <f>IFERROR(__xludf.DUMMYFUNCTION("""COMPUTED_VALUE"""),"")</f>
        <v/>
      </c>
      <c r="V48" t="str">
        <f>IFERROR(__xludf.DUMMYFUNCTION("""COMPUTED_VALUE"""),"")</f>
        <v/>
      </c>
      <c r="W48" t="str">
        <f>IFERROR(__xludf.DUMMYFUNCTION("""COMPUTED_VALUE"""),"")</f>
        <v/>
      </c>
    </row>
    <row r="49">
      <c r="A49" t="str">
        <f>IFERROR(__xludf.DUMMYFUNCTION("""COMPUTED_VALUE"""),"")</f>
        <v/>
      </c>
      <c r="B49" t="str">
        <f>IFERROR(__xludf.DUMMYFUNCTION("""COMPUTED_VALUE"""),"")</f>
        <v/>
      </c>
      <c r="C49" t="str">
        <f>IFERROR(__xludf.DUMMYFUNCTION("""COMPUTED_VALUE"""),"")</f>
        <v/>
      </c>
      <c r="D49" t="str">
        <f>IFERROR(__xludf.DUMMYFUNCTION("""COMPUTED_VALUE"""),"")</f>
        <v/>
      </c>
      <c r="E49" t="str">
        <f>IFERROR(__xludf.DUMMYFUNCTION("""COMPUTED_VALUE"""),"")</f>
        <v/>
      </c>
      <c r="F49" t="str">
        <f>IFERROR(__xludf.DUMMYFUNCTION("""COMPUTED_VALUE"""),"")</f>
        <v/>
      </c>
      <c r="G49" t="str">
        <f>IFERROR(__xludf.DUMMYFUNCTION("""COMPUTED_VALUE"""),"")</f>
        <v/>
      </c>
      <c r="H49" t="str">
        <f>IFERROR(__xludf.DUMMYFUNCTION("""COMPUTED_VALUE"""),"")</f>
        <v/>
      </c>
      <c r="I49" t="str">
        <f>IFERROR(__xludf.DUMMYFUNCTION("""COMPUTED_VALUE"""),"")</f>
        <v/>
      </c>
      <c r="J49" t="str">
        <f>IFERROR(__xludf.DUMMYFUNCTION("""COMPUTED_VALUE"""),"")</f>
        <v/>
      </c>
      <c r="K49" t="str">
        <f>IFERROR(__xludf.DUMMYFUNCTION("""COMPUTED_VALUE"""),"")</f>
        <v/>
      </c>
      <c r="L49" t="str">
        <f>IFERROR(__xludf.DUMMYFUNCTION("""COMPUTED_VALUE"""),"")</f>
        <v/>
      </c>
      <c r="M49" t="str">
        <f>IFERROR(__xludf.DUMMYFUNCTION("""COMPUTED_VALUE"""),"")</f>
        <v/>
      </c>
      <c r="N49" t="str">
        <f>IFERROR(__xludf.DUMMYFUNCTION("""COMPUTED_VALUE"""),"")</f>
        <v/>
      </c>
      <c r="O49" t="str">
        <f>IFERROR(__xludf.DUMMYFUNCTION("""COMPUTED_VALUE"""),"")</f>
        <v/>
      </c>
      <c r="P49" t="str">
        <f>IFERROR(__xludf.DUMMYFUNCTION("""COMPUTED_VALUE"""),"")</f>
        <v/>
      </c>
      <c r="Q49" t="str">
        <f>IFERROR(__xludf.DUMMYFUNCTION("""COMPUTED_VALUE"""),"")</f>
        <v/>
      </c>
      <c r="R49" t="str">
        <f>IFERROR(__xludf.DUMMYFUNCTION("""COMPUTED_VALUE"""),"")</f>
        <v/>
      </c>
      <c r="S49" t="str">
        <f>IFERROR(__xludf.DUMMYFUNCTION("""COMPUTED_VALUE"""),"")</f>
        <v/>
      </c>
      <c r="T49" t="str">
        <f>IFERROR(__xludf.DUMMYFUNCTION("""COMPUTED_VALUE"""),"")</f>
        <v/>
      </c>
      <c r="U49" t="str">
        <f>IFERROR(__xludf.DUMMYFUNCTION("""COMPUTED_VALUE"""),"")</f>
        <v/>
      </c>
      <c r="V49" t="str">
        <f>IFERROR(__xludf.DUMMYFUNCTION("""COMPUTED_VALUE"""),"")</f>
        <v/>
      </c>
      <c r="W49" t="str">
        <f>IFERROR(__xludf.DUMMYFUNCTION("""COMPUTED_VALUE"""),"")</f>
        <v/>
      </c>
    </row>
    <row r="50">
      <c r="A50" t="str">
        <f>IFERROR(__xludf.DUMMYFUNCTION("""COMPUTED_VALUE"""),"")</f>
        <v/>
      </c>
      <c r="B50" t="str">
        <f>IFERROR(__xludf.DUMMYFUNCTION("""COMPUTED_VALUE"""),"")</f>
        <v/>
      </c>
      <c r="C50" t="str">
        <f>IFERROR(__xludf.DUMMYFUNCTION("""COMPUTED_VALUE"""),"")</f>
        <v/>
      </c>
      <c r="D50" t="str">
        <f>IFERROR(__xludf.DUMMYFUNCTION("""COMPUTED_VALUE"""),"")</f>
        <v/>
      </c>
      <c r="E50" t="str">
        <f>IFERROR(__xludf.DUMMYFUNCTION("""COMPUTED_VALUE"""),"")</f>
        <v/>
      </c>
      <c r="F50" t="str">
        <f>IFERROR(__xludf.DUMMYFUNCTION("""COMPUTED_VALUE"""),"")</f>
        <v/>
      </c>
      <c r="G50" t="str">
        <f>IFERROR(__xludf.DUMMYFUNCTION("""COMPUTED_VALUE"""),"")</f>
        <v/>
      </c>
      <c r="H50" t="str">
        <f>IFERROR(__xludf.DUMMYFUNCTION("""COMPUTED_VALUE"""),"")</f>
        <v/>
      </c>
      <c r="I50" t="str">
        <f>IFERROR(__xludf.DUMMYFUNCTION("""COMPUTED_VALUE"""),"")</f>
        <v/>
      </c>
      <c r="J50" t="str">
        <f>IFERROR(__xludf.DUMMYFUNCTION("""COMPUTED_VALUE"""),"")</f>
        <v/>
      </c>
      <c r="K50" t="str">
        <f>IFERROR(__xludf.DUMMYFUNCTION("""COMPUTED_VALUE"""),"")</f>
        <v/>
      </c>
      <c r="L50" t="str">
        <f>IFERROR(__xludf.DUMMYFUNCTION("""COMPUTED_VALUE"""),"")</f>
        <v/>
      </c>
      <c r="M50" t="str">
        <f>IFERROR(__xludf.DUMMYFUNCTION("""COMPUTED_VALUE"""),"")</f>
        <v/>
      </c>
      <c r="N50" t="str">
        <f>IFERROR(__xludf.DUMMYFUNCTION("""COMPUTED_VALUE"""),"")</f>
        <v/>
      </c>
      <c r="O50" t="str">
        <f>IFERROR(__xludf.DUMMYFUNCTION("""COMPUTED_VALUE"""),"")</f>
        <v/>
      </c>
      <c r="P50" t="str">
        <f>IFERROR(__xludf.DUMMYFUNCTION("""COMPUTED_VALUE"""),"")</f>
        <v/>
      </c>
      <c r="Q50" t="str">
        <f>IFERROR(__xludf.DUMMYFUNCTION("""COMPUTED_VALUE"""),"")</f>
        <v/>
      </c>
      <c r="R50" t="str">
        <f>IFERROR(__xludf.DUMMYFUNCTION("""COMPUTED_VALUE"""),"")</f>
        <v/>
      </c>
      <c r="S50" t="str">
        <f>IFERROR(__xludf.DUMMYFUNCTION("""COMPUTED_VALUE"""),"")</f>
        <v/>
      </c>
      <c r="T50" t="str">
        <f>IFERROR(__xludf.DUMMYFUNCTION("""COMPUTED_VALUE"""),"")</f>
        <v/>
      </c>
      <c r="U50" t="str">
        <f>IFERROR(__xludf.DUMMYFUNCTION("""COMPUTED_VALUE"""),"")</f>
        <v/>
      </c>
      <c r="V50" t="str">
        <f>IFERROR(__xludf.DUMMYFUNCTION("""COMPUTED_VALUE"""),"")</f>
        <v/>
      </c>
      <c r="W50" t="str">
        <f>IFERROR(__xludf.DUMMYFUNCTION("""COMPUTED_VALUE"""),"")</f>
        <v/>
      </c>
    </row>
    <row r="51">
      <c r="A51" t="str">
        <f>IFERROR(__xludf.DUMMYFUNCTION("""COMPUTED_VALUE"""),"")</f>
        <v/>
      </c>
      <c r="B51" t="str">
        <f>IFERROR(__xludf.DUMMYFUNCTION("""COMPUTED_VALUE"""),"")</f>
        <v/>
      </c>
      <c r="C51" t="str">
        <f>IFERROR(__xludf.DUMMYFUNCTION("""COMPUTED_VALUE"""),"")</f>
        <v/>
      </c>
      <c r="D51" t="str">
        <f>IFERROR(__xludf.DUMMYFUNCTION("""COMPUTED_VALUE"""),"")</f>
        <v/>
      </c>
      <c r="E51" t="str">
        <f>IFERROR(__xludf.DUMMYFUNCTION("""COMPUTED_VALUE"""),"")</f>
        <v/>
      </c>
      <c r="F51" t="str">
        <f>IFERROR(__xludf.DUMMYFUNCTION("""COMPUTED_VALUE"""),"")</f>
        <v/>
      </c>
      <c r="G51" t="str">
        <f>IFERROR(__xludf.DUMMYFUNCTION("""COMPUTED_VALUE"""),"")</f>
        <v/>
      </c>
      <c r="H51" t="str">
        <f>IFERROR(__xludf.DUMMYFUNCTION("""COMPUTED_VALUE"""),"")</f>
        <v/>
      </c>
      <c r="I51" t="str">
        <f>IFERROR(__xludf.DUMMYFUNCTION("""COMPUTED_VALUE"""),"")</f>
        <v/>
      </c>
      <c r="J51" t="str">
        <f>IFERROR(__xludf.DUMMYFUNCTION("""COMPUTED_VALUE"""),"")</f>
        <v/>
      </c>
      <c r="K51" t="str">
        <f>IFERROR(__xludf.DUMMYFUNCTION("""COMPUTED_VALUE"""),"")</f>
        <v/>
      </c>
      <c r="L51" t="str">
        <f>IFERROR(__xludf.DUMMYFUNCTION("""COMPUTED_VALUE"""),"")</f>
        <v/>
      </c>
      <c r="M51" t="str">
        <f>IFERROR(__xludf.DUMMYFUNCTION("""COMPUTED_VALUE"""),"")</f>
        <v/>
      </c>
      <c r="N51" t="str">
        <f>IFERROR(__xludf.DUMMYFUNCTION("""COMPUTED_VALUE"""),"")</f>
        <v/>
      </c>
      <c r="O51" t="str">
        <f>IFERROR(__xludf.DUMMYFUNCTION("""COMPUTED_VALUE"""),"")</f>
        <v/>
      </c>
      <c r="P51" t="str">
        <f>IFERROR(__xludf.DUMMYFUNCTION("""COMPUTED_VALUE"""),"")</f>
        <v/>
      </c>
      <c r="Q51" t="str">
        <f>IFERROR(__xludf.DUMMYFUNCTION("""COMPUTED_VALUE"""),"")</f>
        <v/>
      </c>
      <c r="R51" t="str">
        <f>IFERROR(__xludf.DUMMYFUNCTION("""COMPUTED_VALUE"""),"")</f>
        <v/>
      </c>
      <c r="S51" t="str">
        <f>IFERROR(__xludf.DUMMYFUNCTION("""COMPUTED_VALUE"""),"")</f>
        <v/>
      </c>
      <c r="T51" t="str">
        <f>IFERROR(__xludf.DUMMYFUNCTION("""COMPUTED_VALUE"""),"")</f>
        <v/>
      </c>
      <c r="U51" t="str">
        <f>IFERROR(__xludf.DUMMYFUNCTION("""COMPUTED_VALUE"""),"")</f>
        <v/>
      </c>
      <c r="V51" t="str">
        <f>IFERROR(__xludf.DUMMYFUNCTION("""COMPUTED_VALUE"""),"")</f>
        <v/>
      </c>
      <c r="W51" t="str">
        <f>IFERROR(__xludf.DUMMYFUNCTION("""COMPUTED_VALUE"""),"")</f>
        <v/>
      </c>
    </row>
    <row r="52">
      <c r="A52" t="str">
        <f>IFERROR(__xludf.DUMMYFUNCTION("""COMPUTED_VALUE"""),"")</f>
        <v/>
      </c>
      <c r="B52" t="str">
        <f>IFERROR(__xludf.DUMMYFUNCTION("""COMPUTED_VALUE"""),"")</f>
        <v/>
      </c>
      <c r="C52" t="str">
        <f>IFERROR(__xludf.DUMMYFUNCTION("""COMPUTED_VALUE"""),"")</f>
        <v/>
      </c>
      <c r="D52" t="str">
        <f>IFERROR(__xludf.DUMMYFUNCTION("""COMPUTED_VALUE"""),"")</f>
        <v/>
      </c>
      <c r="E52" t="str">
        <f>IFERROR(__xludf.DUMMYFUNCTION("""COMPUTED_VALUE"""),"")</f>
        <v/>
      </c>
      <c r="F52" t="str">
        <f>IFERROR(__xludf.DUMMYFUNCTION("""COMPUTED_VALUE"""),"")</f>
        <v/>
      </c>
      <c r="G52" t="str">
        <f>IFERROR(__xludf.DUMMYFUNCTION("""COMPUTED_VALUE"""),"")</f>
        <v/>
      </c>
      <c r="H52" t="str">
        <f>IFERROR(__xludf.DUMMYFUNCTION("""COMPUTED_VALUE"""),"")</f>
        <v/>
      </c>
      <c r="I52" t="str">
        <f>IFERROR(__xludf.DUMMYFUNCTION("""COMPUTED_VALUE"""),"")</f>
        <v/>
      </c>
      <c r="J52" t="str">
        <f>IFERROR(__xludf.DUMMYFUNCTION("""COMPUTED_VALUE"""),"")</f>
        <v/>
      </c>
      <c r="K52" t="str">
        <f>IFERROR(__xludf.DUMMYFUNCTION("""COMPUTED_VALUE"""),"")</f>
        <v/>
      </c>
      <c r="L52" t="str">
        <f>IFERROR(__xludf.DUMMYFUNCTION("""COMPUTED_VALUE"""),"")</f>
        <v/>
      </c>
      <c r="M52" t="str">
        <f>IFERROR(__xludf.DUMMYFUNCTION("""COMPUTED_VALUE"""),"")</f>
        <v/>
      </c>
      <c r="N52" t="str">
        <f>IFERROR(__xludf.DUMMYFUNCTION("""COMPUTED_VALUE"""),"")</f>
        <v/>
      </c>
      <c r="O52" t="str">
        <f>IFERROR(__xludf.DUMMYFUNCTION("""COMPUTED_VALUE"""),"")</f>
        <v/>
      </c>
      <c r="P52" t="str">
        <f>IFERROR(__xludf.DUMMYFUNCTION("""COMPUTED_VALUE"""),"")</f>
        <v/>
      </c>
      <c r="Q52" t="str">
        <f>IFERROR(__xludf.DUMMYFUNCTION("""COMPUTED_VALUE"""),"")</f>
        <v/>
      </c>
      <c r="R52" t="str">
        <f>IFERROR(__xludf.DUMMYFUNCTION("""COMPUTED_VALUE"""),"")</f>
        <v/>
      </c>
      <c r="S52" t="str">
        <f>IFERROR(__xludf.DUMMYFUNCTION("""COMPUTED_VALUE"""),"")</f>
        <v/>
      </c>
      <c r="T52" t="str">
        <f>IFERROR(__xludf.DUMMYFUNCTION("""COMPUTED_VALUE"""),"")</f>
        <v/>
      </c>
      <c r="U52" t="str">
        <f>IFERROR(__xludf.DUMMYFUNCTION("""COMPUTED_VALUE"""),"")</f>
        <v/>
      </c>
      <c r="V52" t="str">
        <f>IFERROR(__xludf.DUMMYFUNCTION("""COMPUTED_VALUE"""),"")</f>
        <v/>
      </c>
      <c r="W52" t="str">
        <f>IFERROR(__xludf.DUMMYFUNCTION("""COMPUTED_VALUE"""),"")</f>
        <v/>
      </c>
    </row>
    <row r="53">
      <c r="A53" t="str">
        <f>IFERROR(__xludf.DUMMYFUNCTION("""COMPUTED_VALUE"""),"")</f>
        <v/>
      </c>
      <c r="B53" t="str">
        <f>IFERROR(__xludf.DUMMYFUNCTION("""COMPUTED_VALUE"""),"")</f>
        <v/>
      </c>
      <c r="C53" t="str">
        <f>IFERROR(__xludf.DUMMYFUNCTION("""COMPUTED_VALUE"""),"")</f>
        <v/>
      </c>
      <c r="D53" t="str">
        <f>IFERROR(__xludf.DUMMYFUNCTION("""COMPUTED_VALUE"""),"")</f>
        <v/>
      </c>
      <c r="E53" t="str">
        <f>IFERROR(__xludf.DUMMYFUNCTION("""COMPUTED_VALUE"""),"")</f>
        <v/>
      </c>
      <c r="F53" t="str">
        <f>IFERROR(__xludf.DUMMYFUNCTION("""COMPUTED_VALUE"""),"")</f>
        <v/>
      </c>
      <c r="G53" t="str">
        <f>IFERROR(__xludf.DUMMYFUNCTION("""COMPUTED_VALUE"""),"")</f>
        <v/>
      </c>
      <c r="H53" t="str">
        <f>IFERROR(__xludf.DUMMYFUNCTION("""COMPUTED_VALUE"""),"")</f>
        <v/>
      </c>
      <c r="I53" t="str">
        <f>IFERROR(__xludf.DUMMYFUNCTION("""COMPUTED_VALUE"""),"")</f>
        <v/>
      </c>
      <c r="J53" t="str">
        <f>IFERROR(__xludf.DUMMYFUNCTION("""COMPUTED_VALUE"""),"")</f>
        <v/>
      </c>
      <c r="K53" t="str">
        <f>IFERROR(__xludf.DUMMYFUNCTION("""COMPUTED_VALUE"""),"")</f>
        <v/>
      </c>
      <c r="L53" t="str">
        <f>IFERROR(__xludf.DUMMYFUNCTION("""COMPUTED_VALUE"""),"")</f>
        <v/>
      </c>
      <c r="M53" t="str">
        <f>IFERROR(__xludf.DUMMYFUNCTION("""COMPUTED_VALUE"""),"")</f>
        <v/>
      </c>
      <c r="N53" t="str">
        <f>IFERROR(__xludf.DUMMYFUNCTION("""COMPUTED_VALUE"""),"")</f>
        <v/>
      </c>
      <c r="O53" t="str">
        <f>IFERROR(__xludf.DUMMYFUNCTION("""COMPUTED_VALUE"""),"")</f>
        <v/>
      </c>
      <c r="P53" t="str">
        <f>IFERROR(__xludf.DUMMYFUNCTION("""COMPUTED_VALUE"""),"")</f>
        <v/>
      </c>
      <c r="Q53" t="str">
        <f>IFERROR(__xludf.DUMMYFUNCTION("""COMPUTED_VALUE"""),"")</f>
        <v/>
      </c>
      <c r="R53" t="str">
        <f>IFERROR(__xludf.DUMMYFUNCTION("""COMPUTED_VALUE"""),"")</f>
        <v/>
      </c>
      <c r="S53" t="str">
        <f>IFERROR(__xludf.DUMMYFUNCTION("""COMPUTED_VALUE"""),"")</f>
        <v/>
      </c>
      <c r="T53" t="str">
        <f>IFERROR(__xludf.DUMMYFUNCTION("""COMPUTED_VALUE"""),"")</f>
        <v/>
      </c>
      <c r="U53" t="str">
        <f>IFERROR(__xludf.DUMMYFUNCTION("""COMPUTED_VALUE"""),"")</f>
        <v/>
      </c>
      <c r="V53" t="str">
        <f>IFERROR(__xludf.DUMMYFUNCTION("""COMPUTED_VALUE"""),"")</f>
        <v/>
      </c>
      <c r="W53" t="str">
        <f>IFERROR(__xludf.DUMMYFUNCTION("""COMPUTED_VALUE"""),"")</f>
        <v/>
      </c>
    </row>
    <row r="54">
      <c r="A54" t="str">
        <f>IFERROR(__xludf.DUMMYFUNCTION("""COMPUTED_VALUE"""),"")</f>
        <v/>
      </c>
      <c r="B54" t="str">
        <f>IFERROR(__xludf.DUMMYFUNCTION("""COMPUTED_VALUE"""),"")</f>
        <v/>
      </c>
      <c r="C54" t="str">
        <f>IFERROR(__xludf.DUMMYFUNCTION("""COMPUTED_VALUE"""),"")</f>
        <v/>
      </c>
      <c r="D54" t="str">
        <f>IFERROR(__xludf.DUMMYFUNCTION("""COMPUTED_VALUE"""),"")</f>
        <v/>
      </c>
      <c r="E54" t="str">
        <f>IFERROR(__xludf.DUMMYFUNCTION("""COMPUTED_VALUE"""),"")</f>
        <v/>
      </c>
      <c r="F54" t="str">
        <f>IFERROR(__xludf.DUMMYFUNCTION("""COMPUTED_VALUE"""),"")</f>
        <v/>
      </c>
      <c r="G54" t="str">
        <f>IFERROR(__xludf.DUMMYFUNCTION("""COMPUTED_VALUE"""),"")</f>
        <v/>
      </c>
      <c r="H54" t="str">
        <f>IFERROR(__xludf.DUMMYFUNCTION("""COMPUTED_VALUE"""),"")</f>
        <v/>
      </c>
      <c r="I54" t="str">
        <f>IFERROR(__xludf.DUMMYFUNCTION("""COMPUTED_VALUE"""),"")</f>
        <v/>
      </c>
      <c r="J54" t="str">
        <f>IFERROR(__xludf.DUMMYFUNCTION("""COMPUTED_VALUE"""),"")</f>
        <v/>
      </c>
      <c r="K54" t="str">
        <f>IFERROR(__xludf.DUMMYFUNCTION("""COMPUTED_VALUE"""),"")</f>
        <v/>
      </c>
      <c r="L54" t="str">
        <f>IFERROR(__xludf.DUMMYFUNCTION("""COMPUTED_VALUE"""),"")</f>
        <v/>
      </c>
      <c r="M54" t="str">
        <f>IFERROR(__xludf.DUMMYFUNCTION("""COMPUTED_VALUE"""),"")</f>
        <v/>
      </c>
      <c r="N54" t="str">
        <f>IFERROR(__xludf.DUMMYFUNCTION("""COMPUTED_VALUE"""),"")</f>
        <v/>
      </c>
      <c r="O54" t="str">
        <f>IFERROR(__xludf.DUMMYFUNCTION("""COMPUTED_VALUE"""),"")</f>
        <v/>
      </c>
      <c r="P54" t="str">
        <f>IFERROR(__xludf.DUMMYFUNCTION("""COMPUTED_VALUE"""),"")</f>
        <v/>
      </c>
      <c r="Q54" t="str">
        <f>IFERROR(__xludf.DUMMYFUNCTION("""COMPUTED_VALUE"""),"")</f>
        <v/>
      </c>
      <c r="R54" t="str">
        <f>IFERROR(__xludf.DUMMYFUNCTION("""COMPUTED_VALUE"""),"")</f>
        <v/>
      </c>
      <c r="S54" t="str">
        <f>IFERROR(__xludf.DUMMYFUNCTION("""COMPUTED_VALUE"""),"")</f>
        <v/>
      </c>
      <c r="T54" t="str">
        <f>IFERROR(__xludf.DUMMYFUNCTION("""COMPUTED_VALUE"""),"")</f>
        <v/>
      </c>
      <c r="U54" t="str">
        <f>IFERROR(__xludf.DUMMYFUNCTION("""COMPUTED_VALUE"""),"")</f>
        <v/>
      </c>
      <c r="V54" t="str">
        <f>IFERROR(__xludf.DUMMYFUNCTION("""COMPUTED_VALUE"""),"")</f>
        <v/>
      </c>
      <c r="W54" t="str">
        <f>IFERROR(__xludf.DUMMYFUNCTION("""COMPUTED_VALUE"""),"")</f>
        <v/>
      </c>
    </row>
    <row r="55">
      <c r="A55" t="str">
        <f>IFERROR(__xludf.DUMMYFUNCTION("""COMPUTED_VALUE"""),"")</f>
        <v/>
      </c>
      <c r="B55" t="str">
        <f>IFERROR(__xludf.DUMMYFUNCTION("""COMPUTED_VALUE"""),"")</f>
        <v/>
      </c>
      <c r="C55" t="str">
        <f>IFERROR(__xludf.DUMMYFUNCTION("""COMPUTED_VALUE"""),"")</f>
        <v/>
      </c>
      <c r="D55" t="str">
        <f>IFERROR(__xludf.DUMMYFUNCTION("""COMPUTED_VALUE"""),"")</f>
        <v/>
      </c>
      <c r="E55" t="str">
        <f>IFERROR(__xludf.DUMMYFUNCTION("""COMPUTED_VALUE"""),"")</f>
        <v/>
      </c>
      <c r="F55" t="str">
        <f>IFERROR(__xludf.DUMMYFUNCTION("""COMPUTED_VALUE"""),"")</f>
        <v/>
      </c>
      <c r="G55" t="str">
        <f>IFERROR(__xludf.DUMMYFUNCTION("""COMPUTED_VALUE"""),"")</f>
        <v/>
      </c>
      <c r="H55" t="str">
        <f>IFERROR(__xludf.DUMMYFUNCTION("""COMPUTED_VALUE"""),"")</f>
        <v/>
      </c>
      <c r="I55" t="str">
        <f>IFERROR(__xludf.DUMMYFUNCTION("""COMPUTED_VALUE"""),"")</f>
        <v/>
      </c>
      <c r="J55" t="str">
        <f>IFERROR(__xludf.DUMMYFUNCTION("""COMPUTED_VALUE"""),"")</f>
        <v/>
      </c>
      <c r="K55" t="str">
        <f>IFERROR(__xludf.DUMMYFUNCTION("""COMPUTED_VALUE"""),"")</f>
        <v/>
      </c>
      <c r="L55" t="str">
        <f>IFERROR(__xludf.DUMMYFUNCTION("""COMPUTED_VALUE"""),"")</f>
        <v/>
      </c>
      <c r="M55" t="str">
        <f>IFERROR(__xludf.DUMMYFUNCTION("""COMPUTED_VALUE"""),"")</f>
        <v/>
      </c>
      <c r="N55" t="str">
        <f>IFERROR(__xludf.DUMMYFUNCTION("""COMPUTED_VALUE"""),"")</f>
        <v/>
      </c>
      <c r="O55" t="str">
        <f>IFERROR(__xludf.DUMMYFUNCTION("""COMPUTED_VALUE"""),"")</f>
        <v/>
      </c>
      <c r="P55" t="str">
        <f>IFERROR(__xludf.DUMMYFUNCTION("""COMPUTED_VALUE"""),"")</f>
        <v/>
      </c>
      <c r="Q55" t="str">
        <f>IFERROR(__xludf.DUMMYFUNCTION("""COMPUTED_VALUE"""),"")</f>
        <v/>
      </c>
      <c r="R55" t="str">
        <f>IFERROR(__xludf.DUMMYFUNCTION("""COMPUTED_VALUE"""),"")</f>
        <v/>
      </c>
      <c r="S55" t="str">
        <f>IFERROR(__xludf.DUMMYFUNCTION("""COMPUTED_VALUE"""),"")</f>
        <v/>
      </c>
      <c r="T55" t="str">
        <f>IFERROR(__xludf.DUMMYFUNCTION("""COMPUTED_VALUE"""),"")</f>
        <v/>
      </c>
      <c r="U55" t="str">
        <f>IFERROR(__xludf.DUMMYFUNCTION("""COMPUTED_VALUE"""),"")</f>
        <v/>
      </c>
      <c r="V55" t="str">
        <f>IFERROR(__xludf.DUMMYFUNCTION("""COMPUTED_VALUE"""),"")</f>
        <v/>
      </c>
      <c r="W55" t="str">
        <f>IFERROR(__xludf.DUMMYFUNCTION("""COMPUTED_VALUE"""),"")</f>
        <v/>
      </c>
    </row>
    <row r="56">
      <c r="A56" t="str">
        <f>IFERROR(__xludf.DUMMYFUNCTION("""COMPUTED_VALUE"""),"")</f>
        <v/>
      </c>
      <c r="B56" t="str">
        <f>IFERROR(__xludf.DUMMYFUNCTION("""COMPUTED_VALUE"""),"")</f>
        <v/>
      </c>
      <c r="C56" t="str">
        <f>IFERROR(__xludf.DUMMYFUNCTION("""COMPUTED_VALUE"""),"")</f>
        <v/>
      </c>
      <c r="D56" t="str">
        <f>IFERROR(__xludf.DUMMYFUNCTION("""COMPUTED_VALUE"""),"")</f>
        <v/>
      </c>
      <c r="E56" t="str">
        <f>IFERROR(__xludf.DUMMYFUNCTION("""COMPUTED_VALUE"""),"")</f>
        <v/>
      </c>
      <c r="F56" t="str">
        <f>IFERROR(__xludf.DUMMYFUNCTION("""COMPUTED_VALUE"""),"")</f>
        <v/>
      </c>
      <c r="G56" t="str">
        <f>IFERROR(__xludf.DUMMYFUNCTION("""COMPUTED_VALUE"""),"")</f>
        <v/>
      </c>
      <c r="H56" t="str">
        <f>IFERROR(__xludf.DUMMYFUNCTION("""COMPUTED_VALUE"""),"")</f>
        <v/>
      </c>
      <c r="I56" t="str">
        <f>IFERROR(__xludf.DUMMYFUNCTION("""COMPUTED_VALUE"""),"")</f>
        <v/>
      </c>
      <c r="J56" t="str">
        <f>IFERROR(__xludf.DUMMYFUNCTION("""COMPUTED_VALUE"""),"")</f>
        <v/>
      </c>
      <c r="K56" t="str">
        <f>IFERROR(__xludf.DUMMYFUNCTION("""COMPUTED_VALUE"""),"")</f>
        <v/>
      </c>
      <c r="L56" t="str">
        <f>IFERROR(__xludf.DUMMYFUNCTION("""COMPUTED_VALUE"""),"")</f>
        <v/>
      </c>
      <c r="M56" t="str">
        <f>IFERROR(__xludf.DUMMYFUNCTION("""COMPUTED_VALUE"""),"")</f>
        <v/>
      </c>
      <c r="N56" t="str">
        <f>IFERROR(__xludf.DUMMYFUNCTION("""COMPUTED_VALUE"""),"")</f>
        <v/>
      </c>
      <c r="O56" t="str">
        <f>IFERROR(__xludf.DUMMYFUNCTION("""COMPUTED_VALUE"""),"")</f>
        <v/>
      </c>
      <c r="P56" t="str">
        <f>IFERROR(__xludf.DUMMYFUNCTION("""COMPUTED_VALUE"""),"")</f>
        <v/>
      </c>
      <c r="Q56" t="str">
        <f>IFERROR(__xludf.DUMMYFUNCTION("""COMPUTED_VALUE"""),"")</f>
        <v/>
      </c>
      <c r="R56" t="str">
        <f>IFERROR(__xludf.DUMMYFUNCTION("""COMPUTED_VALUE"""),"")</f>
        <v/>
      </c>
      <c r="S56" t="str">
        <f>IFERROR(__xludf.DUMMYFUNCTION("""COMPUTED_VALUE"""),"")</f>
        <v/>
      </c>
      <c r="T56" t="str">
        <f>IFERROR(__xludf.DUMMYFUNCTION("""COMPUTED_VALUE"""),"")</f>
        <v/>
      </c>
      <c r="U56" t="str">
        <f>IFERROR(__xludf.DUMMYFUNCTION("""COMPUTED_VALUE"""),"")</f>
        <v/>
      </c>
      <c r="V56" t="str">
        <f>IFERROR(__xludf.DUMMYFUNCTION("""COMPUTED_VALUE"""),"")</f>
        <v/>
      </c>
      <c r="W56" t="str">
        <f>IFERROR(__xludf.DUMMYFUNCTION("""COMPUTED_VALUE"""),"")</f>
        <v/>
      </c>
    </row>
    <row r="57">
      <c r="A57" t="str">
        <f>IFERROR(__xludf.DUMMYFUNCTION("""COMPUTED_VALUE"""),"")</f>
        <v/>
      </c>
      <c r="B57" t="str">
        <f>IFERROR(__xludf.DUMMYFUNCTION("""COMPUTED_VALUE"""),"")</f>
        <v/>
      </c>
      <c r="C57" t="str">
        <f>IFERROR(__xludf.DUMMYFUNCTION("""COMPUTED_VALUE"""),"")</f>
        <v/>
      </c>
      <c r="D57" t="str">
        <f>IFERROR(__xludf.DUMMYFUNCTION("""COMPUTED_VALUE"""),"")</f>
        <v/>
      </c>
      <c r="E57" t="str">
        <f>IFERROR(__xludf.DUMMYFUNCTION("""COMPUTED_VALUE"""),"")</f>
        <v/>
      </c>
      <c r="F57" t="str">
        <f>IFERROR(__xludf.DUMMYFUNCTION("""COMPUTED_VALUE"""),"")</f>
        <v/>
      </c>
      <c r="G57" t="str">
        <f>IFERROR(__xludf.DUMMYFUNCTION("""COMPUTED_VALUE"""),"")</f>
        <v/>
      </c>
      <c r="H57" t="str">
        <f>IFERROR(__xludf.DUMMYFUNCTION("""COMPUTED_VALUE"""),"")</f>
        <v/>
      </c>
      <c r="I57" t="str">
        <f>IFERROR(__xludf.DUMMYFUNCTION("""COMPUTED_VALUE"""),"")</f>
        <v/>
      </c>
      <c r="J57" t="str">
        <f>IFERROR(__xludf.DUMMYFUNCTION("""COMPUTED_VALUE"""),"")</f>
        <v/>
      </c>
      <c r="K57" t="str">
        <f>IFERROR(__xludf.DUMMYFUNCTION("""COMPUTED_VALUE"""),"")</f>
        <v/>
      </c>
      <c r="L57" t="str">
        <f>IFERROR(__xludf.DUMMYFUNCTION("""COMPUTED_VALUE"""),"")</f>
        <v/>
      </c>
      <c r="M57" t="str">
        <f>IFERROR(__xludf.DUMMYFUNCTION("""COMPUTED_VALUE"""),"")</f>
        <v/>
      </c>
      <c r="N57" t="str">
        <f>IFERROR(__xludf.DUMMYFUNCTION("""COMPUTED_VALUE"""),"")</f>
        <v/>
      </c>
      <c r="O57" t="str">
        <f>IFERROR(__xludf.DUMMYFUNCTION("""COMPUTED_VALUE"""),"")</f>
        <v/>
      </c>
      <c r="P57" t="str">
        <f>IFERROR(__xludf.DUMMYFUNCTION("""COMPUTED_VALUE"""),"")</f>
        <v/>
      </c>
      <c r="Q57" t="str">
        <f>IFERROR(__xludf.DUMMYFUNCTION("""COMPUTED_VALUE"""),"")</f>
        <v/>
      </c>
      <c r="R57" t="str">
        <f>IFERROR(__xludf.DUMMYFUNCTION("""COMPUTED_VALUE"""),"")</f>
        <v/>
      </c>
      <c r="S57" t="str">
        <f>IFERROR(__xludf.DUMMYFUNCTION("""COMPUTED_VALUE"""),"")</f>
        <v/>
      </c>
      <c r="T57" t="str">
        <f>IFERROR(__xludf.DUMMYFUNCTION("""COMPUTED_VALUE"""),"")</f>
        <v/>
      </c>
      <c r="U57" t="str">
        <f>IFERROR(__xludf.DUMMYFUNCTION("""COMPUTED_VALUE"""),"")</f>
        <v/>
      </c>
      <c r="V57" t="str">
        <f>IFERROR(__xludf.DUMMYFUNCTION("""COMPUTED_VALUE"""),"")</f>
        <v/>
      </c>
      <c r="W57" t="str">
        <f>IFERROR(__xludf.DUMMYFUNCTION("""COMPUTED_VALUE"""),"")</f>
        <v/>
      </c>
    </row>
    <row r="58">
      <c r="A58" t="str">
        <f>IFERROR(__xludf.DUMMYFUNCTION("""COMPUTED_VALUE"""),"")</f>
        <v/>
      </c>
      <c r="B58" t="str">
        <f>IFERROR(__xludf.DUMMYFUNCTION("""COMPUTED_VALUE"""),"")</f>
        <v/>
      </c>
      <c r="C58" t="str">
        <f>IFERROR(__xludf.DUMMYFUNCTION("""COMPUTED_VALUE"""),"")</f>
        <v/>
      </c>
      <c r="D58" t="str">
        <f>IFERROR(__xludf.DUMMYFUNCTION("""COMPUTED_VALUE"""),"")</f>
        <v/>
      </c>
      <c r="E58" t="str">
        <f>IFERROR(__xludf.DUMMYFUNCTION("""COMPUTED_VALUE"""),"")</f>
        <v/>
      </c>
      <c r="F58" t="str">
        <f>IFERROR(__xludf.DUMMYFUNCTION("""COMPUTED_VALUE"""),"")</f>
        <v/>
      </c>
      <c r="G58" t="str">
        <f>IFERROR(__xludf.DUMMYFUNCTION("""COMPUTED_VALUE"""),"")</f>
        <v/>
      </c>
      <c r="H58" t="str">
        <f>IFERROR(__xludf.DUMMYFUNCTION("""COMPUTED_VALUE"""),"")</f>
        <v/>
      </c>
      <c r="I58" t="str">
        <f>IFERROR(__xludf.DUMMYFUNCTION("""COMPUTED_VALUE"""),"")</f>
        <v/>
      </c>
      <c r="J58" t="str">
        <f>IFERROR(__xludf.DUMMYFUNCTION("""COMPUTED_VALUE"""),"")</f>
        <v/>
      </c>
      <c r="K58" t="str">
        <f>IFERROR(__xludf.DUMMYFUNCTION("""COMPUTED_VALUE"""),"")</f>
        <v/>
      </c>
      <c r="L58" t="str">
        <f>IFERROR(__xludf.DUMMYFUNCTION("""COMPUTED_VALUE"""),"")</f>
        <v/>
      </c>
      <c r="M58" t="str">
        <f>IFERROR(__xludf.DUMMYFUNCTION("""COMPUTED_VALUE"""),"")</f>
        <v/>
      </c>
      <c r="N58" t="str">
        <f>IFERROR(__xludf.DUMMYFUNCTION("""COMPUTED_VALUE"""),"")</f>
        <v/>
      </c>
      <c r="O58" t="str">
        <f>IFERROR(__xludf.DUMMYFUNCTION("""COMPUTED_VALUE"""),"")</f>
        <v/>
      </c>
      <c r="P58" t="str">
        <f>IFERROR(__xludf.DUMMYFUNCTION("""COMPUTED_VALUE"""),"")</f>
        <v/>
      </c>
      <c r="Q58" t="str">
        <f>IFERROR(__xludf.DUMMYFUNCTION("""COMPUTED_VALUE"""),"")</f>
        <v/>
      </c>
      <c r="R58" t="str">
        <f>IFERROR(__xludf.DUMMYFUNCTION("""COMPUTED_VALUE"""),"")</f>
        <v/>
      </c>
      <c r="S58" t="str">
        <f>IFERROR(__xludf.DUMMYFUNCTION("""COMPUTED_VALUE"""),"")</f>
        <v/>
      </c>
      <c r="T58" t="str">
        <f>IFERROR(__xludf.DUMMYFUNCTION("""COMPUTED_VALUE"""),"")</f>
        <v/>
      </c>
      <c r="U58" t="str">
        <f>IFERROR(__xludf.DUMMYFUNCTION("""COMPUTED_VALUE"""),"")</f>
        <v/>
      </c>
      <c r="V58" t="str">
        <f>IFERROR(__xludf.DUMMYFUNCTION("""COMPUTED_VALUE"""),"")</f>
        <v/>
      </c>
      <c r="W58" t="str">
        <f>IFERROR(__xludf.DUMMYFUNCTION("""COMPUTED_VALUE"""),"")</f>
        <v/>
      </c>
    </row>
    <row r="59">
      <c r="A59" t="str">
        <f>IFERROR(__xludf.DUMMYFUNCTION("""COMPUTED_VALUE"""),"")</f>
        <v/>
      </c>
      <c r="B59" t="str">
        <f>IFERROR(__xludf.DUMMYFUNCTION("""COMPUTED_VALUE"""),"")</f>
        <v/>
      </c>
      <c r="C59" t="str">
        <f>IFERROR(__xludf.DUMMYFUNCTION("""COMPUTED_VALUE"""),"")</f>
        <v/>
      </c>
      <c r="D59" t="str">
        <f>IFERROR(__xludf.DUMMYFUNCTION("""COMPUTED_VALUE"""),"")</f>
        <v/>
      </c>
      <c r="E59" t="str">
        <f>IFERROR(__xludf.DUMMYFUNCTION("""COMPUTED_VALUE"""),"")</f>
        <v/>
      </c>
      <c r="F59" t="str">
        <f>IFERROR(__xludf.DUMMYFUNCTION("""COMPUTED_VALUE"""),"")</f>
        <v/>
      </c>
      <c r="G59" t="str">
        <f>IFERROR(__xludf.DUMMYFUNCTION("""COMPUTED_VALUE"""),"")</f>
        <v/>
      </c>
      <c r="H59" t="str">
        <f>IFERROR(__xludf.DUMMYFUNCTION("""COMPUTED_VALUE"""),"")</f>
        <v/>
      </c>
      <c r="I59" t="str">
        <f>IFERROR(__xludf.DUMMYFUNCTION("""COMPUTED_VALUE"""),"")</f>
        <v/>
      </c>
      <c r="J59" t="str">
        <f>IFERROR(__xludf.DUMMYFUNCTION("""COMPUTED_VALUE"""),"")</f>
        <v/>
      </c>
      <c r="K59" t="str">
        <f>IFERROR(__xludf.DUMMYFUNCTION("""COMPUTED_VALUE"""),"")</f>
        <v/>
      </c>
      <c r="L59" t="str">
        <f>IFERROR(__xludf.DUMMYFUNCTION("""COMPUTED_VALUE"""),"")</f>
        <v/>
      </c>
      <c r="M59" t="str">
        <f>IFERROR(__xludf.DUMMYFUNCTION("""COMPUTED_VALUE"""),"")</f>
        <v/>
      </c>
      <c r="N59" t="str">
        <f>IFERROR(__xludf.DUMMYFUNCTION("""COMPUTED_VALUE"""),"")</f>
        <v/>
      </c>
      <c r="O59" t="str">
        <f>IFERROR(__xludf.DUMMYFUNCTION("""COMPUTED_VALUE"""),"")</f>
        <v/>
      </c>
      <c r="P59" t="str">
        <f>IFERROR(__xludf.DUMMYFUNCTION("""COMPUTED_VALUE"""),"")</f>
        <v/>
      </c>
      <c r="Q59" t="str">
        <f>IFERROR(__xludf.DUMMYFUNCTION("""COMPUTED_VALUE"""),"")</f>
        <v/>
      </c>
      <c r="R59" t="str">
        <f>IFERROR(__xludf.DUMMYFUNCTION("""COMPUTED_VALUE"""),"")</f>
        <v/>
      </c>
      <c r="S59" t="str">
        <f>IFERROR(__xludf.DUMMYFUNCTION("""COMPUTED_VALUE"""),"")</f>
        <v/>
      </c>
      <c r="T59" t="str">
        <f>IFERROR(__xludf.DUMMYFUNCTION("""COMPUTED_VALUE"""),"")</f>
        <v/>
      </c>
      <c r="U59" t="str">
        <f>IFERROR(__xludf.DUMMYFUNCTION("""COMPUTED_VALUE"""),"")</f>
        <v/>
      </c>
      <c r="V59" t="str">
        <f>IFERROR(__xludf.DUMMYFUNCTION("""COMPUTED_VALUE"""),"")</f>
        <v/>
      </c>
      <c r="W59" t="str">
        <f>IFERROR(__xludf.DUMMYFUNCTION("""COMPUTED_VALUE"""),"")</f>
        <v/>
      </c>
    </row>
    <row r="60">
      <c r="A60" t="str">
        <f>IFERROR(__xludf.DUMMYFUNCTION("""COMPUTED_VALUE"""),"")</f>
        <v/>
      </c>
      <c r="B60" t="str">
        <f>IFERROR(__xludf.DUMMYFUNCTION("""COMPUTED_VALUE"""),"")</f>
        <v/>
      </c>
      <c r="C60" t="str">
        <f>IFERROR(__xludf.DUMMYFUNCTION("""COMPUTED_VALUE"""),"")</f>
        <v/>
      </c>
      <c r="D60" t="str">
        <f>IFERROR(__xludf.DUMMYFUNCTION("""COMPUTED_VALUE"""),"")</f>
        <v/>
      </c>
      <c r="E60" t="str">
        <f>IFERROR(__xludf.DUMMYFUNCTION("""COMPUTED_VALUE"""),"")</f>
        <v/>
      </c>
      <c r="F60" t="str">
        <f>IFERROR(__xludf.DUMMYFUNCTION("""COMPUTED_VALUE"""),"")</f>
        <v/>
      </c>
      <c r="G60" t="str">
        <f>IFERROR(__xludf.DUMMYFUNCTION("""COMPUTED_VALUE"""),"")</f>
        <v/>
      </c>
      <c r="H60" t="str">
        <f>IFERROR(__xludf.DUMMYFUNCTION("""COMPUTED_VALUE"""),"")</f>
        <v/>
      </c>
      <c r="I60" t="str">
        <f>IFERROR(__xludf.DUMMYFUNCTION("""COMPUTED_VALUE"""),"")</f>
        <v/>
      </c>
      <c r="J60" t="str">
        <f>IFERROR(__xludf.DUMMYFUNCTION("""COMPUTED_VALUE"""),"")</f>
        <v/>
      </c>
      <c r="K60" t="str">
        <f>IFERROR(__xludf.DUMMYFUNCTION("""COMPUTED_VALUE"""),"")</f>
        <v/>
      </c>
      <c r="L60" t="str">
        <f>IFERROR(__xludf.DUMMYFUNCTION("""COMPUTED_VALUE"""),"")</f>
        <v/>
      </c>
      <c r="M60" t="str">
        <f>IFERROR(__xludf.DUMMYFUNCTION("""COMPUTED_VALUE"""),"")</f>
        <v/>
      </c>
      <c r="N60" t="str">
        <f>IFERROR(__xludf.DUMMYFUNCTION("""COMPUTED_VALUE"""),"")</f>
        <v/>
      </c>
      <c r="O60" t="str">
        <f>IFERROR(__xludf.DUMMYFUNCTION("""COMPUTED_VALUE"""),"")</f>
        <v/>
      </c>
      <c r="P60" t="str">
        <f>IFERROR(__xludf.DUMMYFUNCTION("""COMPUTED_VALUE"""),"")</f>
        <v/>
      </c>
      <c r="Q60" t="str">
        <f>IFERROR(__xludf.DUMMYFUNCTION("""COMPUTED_VALUE"""),"")</f>
        <v/>
      </c>
      <c r="R60" t="str">
        <f>IFERROR(__xludf.DUMMYFUNCTION("""COMPUTED_VALUE"""),"")</f>
        <v/>
      </c>
      <c r="S60" t="str">
        <f>IFERROR(__xludf.DUMMYFUNCTION("""COMPUTED_VALUE"""),"")</f>
        <v/>
      </c>
      <c r="T60" t="str">
        <f>IFERROR(__xludf.DUMMYFUNCTION("""COMPUTED_VALUE"""),"")</f>
        <v/>
      </c>
      <c r="U60" t="str">
        <f>IFERROR(__xludf.DUMMYFUNCTION("""COMPUTED_VALUE"""),"")</f>
        <v/>
      </c>
      <c r="V60" t="str">
        <f>IFERROR(__xludf.DUMMYFUNCTION("""COMPUTED_VALUE"""),"")</f>
        <v/>
      </c>
      <c r="W60" t="str">
        <f>IFERROR(__xludf.DUMMYFUNCTION("""COMPUTED_VALUE"""),"")</f>
        <v/>
      </c>
    </row>
    <row r="61">
      <c r="A61" t="str">
        <f>IFERROR(__xludf.DUMMYFUNCTION("""COMPUTED_VALUE"""),"")</f>
        <v/>
      </c>
      <c r="B61" t="str">
        <f>IFERROR(__xludf.DUMMYFUNCTION("""COMPUTED_VALUE"""),"")</f>
        <v/>
      </c>
      <c r="C61" t="str">
        <f>IFERROR(__xludf.DUMMYFUNCTION("""COMPUTED_VALUE"""),"")</f>
        <v/>
      </c>
      <c r="D61" t="str">
        <f>IFERROR(__xludf.DUMMYFUNCTION("""COMPUTED_VALUE"""),"")</f>
        <v/>
      </c>
      <c r="E61" t="str">
        <f>IFERROR(__xludf.DUMMYFUNCTION("""COMPUTED_VALUE"""),"")</f>
        <v/>
      </c>
      <c r="F61" t="str">
        <f>IFERROR(__xludf.DUMMYFUNCTION("""COMPUTED_VALUE"""),"")</f>
        <v/>
      </c>
      <c r="G61" t="str">
        <f>IFERROR(__xludf.DUMMYFUNCTION("""COMPUTED_VALUE"""),"")</f>
        <v/>
      </c>
      <c r="H61" t="str">
        <f>IFERROR(__xludf.DUMMYFUNCTION("""COMPUTED_VALUE"""),"")</f>
        <v/>
      </c>
      <c r="I61" t="str">
        <f>IFERROR(__xludf.DUMMYFUNCTION("""COMPUTED_VALUE"""),"")</f>
        <v/>
      </c>
      <c r="J61" t="str">
        <f>IFERROR(__xludf.DUMMYFUNCTION("""COMPUTED_VALUE"""),"")</f>
        <v/>
      </c>
      <c r="K61" t="str">
        <f>IFERROR(__xludf.DUMMYFUNCTION("""COMPUTED_VALUE"""),"")</f>
        <v/>
      </c>
      <c r="L61" t="str">
        <f>IFERROR(__xludf.DUMMYFUNCTION("""COMPUTED_VALUE"""),"")</f>
        <v/>
      </c>
      <c r="M61" t="str">
        <f>IFERROR(__xludf.DUMMYFUNCTION("""COMPUTED_VALUE"""),"")</f>
        <v/>
      </c>
      <c r="N61" t="str">
        <f>IFERROR(__xludf.DUMMYFUNCTION("""COMPUTED_VALUE"""),"")</f>
        <v/>
      </c>
      <c r="O61" t="str">
        <f>IFERROR(__xludf.DUMMYFUNCTION("""COMPUTED_VALUE"""),"")</f>
        <v/>
      </c>
      <c r="P61" t="str">
        <f>IFERROR(__xludf.DUMMYFUNCTION("""COMPUTED_VALUE"""),"")</f>
        <v/>
      </c>
      <c r="Q61" t="str">
        <f>IFERROR(__xludf.DUMMYFUNCTION("""COMPUTED_VALUE"""),"")</f>
        <v/>
      </c>
      <c r="R61" t="str">
        <f>IFERROR(__xludf.DUMMYFUNCTION("""COMPUTED_VALUE"""),"")</f>
        <v/>
      </c>
      <c r="S61" t="str">
        <f>IFERROR(__xludf.DUMMYFUNCTION("""COMPUTED_VALUE"""),"")</f>
        <v/>
      </c>
      <c r="T61" t="str">
        <f>IFERROR(__xludf.DUMMYFUNCTION("""COMPUTED_VALUE"""),"")</f>
        <v/>
      </c>
      <c r="U61" t="str">
        <f>IFERROR(__xludf.DUMMYFUNCTION("""COMPUTED_VALUE"""),"")</f>
        <v/>
      </c>
      <c r="V61" t="str">
        <f>IFERROR(__xludf.DUMMYFUNCTION("""COMPUTED_VALUE"""),"")</f>
        <v/>
      </c>
      <c r="W61" t="str">
        <f>IFERROR(__xludf.DUMMYFUNCTION("""COMPUTED_VALUE"""),"")</f>
        <v/>
      </c>
    </row>
    <row r="62">
      <c r="A62" t="str">
        <f>IFERROR(__xludf.DUMMYFUNCTION("""COMPUTED_VALUE"""),"")</f>
        <v/>
      </c>
      <c r="B62" t="str">
        <f>IFERROR(__xludf.DUMMYFUNCTION("""COMPUTED_VALUE"""),"")</f>
        <v/>
      </c>
      <c r="C62" t="str">
        <f>IFERROR(__xludf.DUMMYFUNCTION("""COMPUTED_VALUE"""),"")</f>
        <v/>
      </c>
      <c r="D62" t="str">
        <f>IFERROR(__xludf.DUMMYFUNCTION("""COMPUTED_VALUE"""),"")</f>
        <v/>
      </c>
      <c r="E62" t="str">
        <f>IFERROR(__xludf.DUMMYFUNCTION("""COMPUTED_VALUE"""),"")</f>
        <v/>
      </c>
      <c r="F62" t="str">
        <f>IFERROR(__xludf.DUMMYFUNCTION("""COMPUTED_VALUE"""),"")</f>
        <v/>
      </c>
      <c r="G62" t="str">
        <f>IFERROR(__xludf.DUMMYFUNCTION("""COMPUTED_VALUE"""),"")</f>
        <v/>
      </c>
      <c r="H62" t="str">
        <f>IFERROR(__xludf.DUMMYFUNCTION("""COMPUTED_VALUE"""),"")</f>
        <v/>
      </c>
      <c r="I62" t="str">
        <f>IFERROR(__xludf.DUMMYFUNCTION("""COMPUTED_VALUE"""),"")</f>
        <v/>
      </c>
      <c r="J62" t="str">
        <f>IFERROR(__xludf.DUMMYFUNCTION("""COMPUTED_VALUE"""),"")</f>
        <v/>
      </c>
      <c r="K62" t="str">
        <f>IFERROR(__xludf.DUMMYFUNCTION("""COMPUTED_VALUE"""),"")</f>
        <v/>
      </c>
      <c r="L62" t="str">
        <f>IFERROR(__xludf.DUMMYFUNCTION("""COMPUTED_VALUE"""),"")</f>
        <v/>
      </c>
      <c r="M62" t="str">
        <f>IFERROR(__xludf.DUMMYFUNCTION("""COMPUTED_VALUE"""),"")</f>
        <v/>
      </c>
      <c r="N62" t="str">
        <f>IFERROR(__xludf.DUMMYFUNCTION("""COMPUTED_VALUE"""),"")</f>
        <v/>
      </c>
      <c r="O62" t="str">
        <f>IFERROR(__xludf.DUMMYFUNCTION("""COMPUTED_VALUE"""),"")</f>
        <v/>
      </c>
      <c r="P62" t="str">
        <f>IFERROR(__xludf.DUMMYFUNCTION("""COMPUTED_VALUE"""),"")</f>
        <v/>
      </c>
      <c r="Q62" t="str">
        <f>IFERROR(__xludf.DUMMYFUNCTION("""COMPUTED_VALUE"""),"")</f>
        <v/>
      </c>
      <c r="R62" t="str">
        <f>IFERROR(__xludf.DUMMYFUNCTION("""COMPUTED_VALUE"""),"")</f>
        <v/>
      </c>
      <c r="S62" t="str">
        <f>IFERROR(__xludf.DUMMYFUNCTION("""COMPUTED_VALUE"""),"")</f>
        <v/>
      </c>
      <c r="T62" t="str">
        <f>IFERROR(__xludf.DUMMYFUNCTION("""COMPUTED_VALUE"""),"")</f>
        <v/>
      </c>
      <c r="U62" t="str">
        <f>IFERROR(__xludf.DUMMYFUNCTION("""COMPUTED_VALUE"""),"")</f>
        <v/>
      </c>
      <c r="V62" t="str">
        <f>IFERROR(__xludf.DUMMYFUNCTION("""COMPUTED_VALUE"""),"")</f>
        <v/>
      </c>
      <c r="W62" t="str">
        <f>IFERROR(__xludf.DUMMYFUNCTION("""COMPUTED_VALUE"""),"")</f>
        <v/>
      </c>
    </row>
    <row r="63">
      <c r="A63" t="str">
        <f>IFERROR(__xludf.DUMMYFUNCTION("""COMPUTED_VALUE"""),"")</f>
        <v/>
      </c>
      <c r="B63" t="str">
        <f>IFERROR(__xludf.DUMMYFUNCTION("""COMPUTED_VALUE"""),"")</f>
        <v/>
      </c>
      <c r="C63" t="str">
        <f>IFERROR(__xludf.DUMMYFUNCTION("""COMPUTED_VALUE"""),"")</f>
        <v/>
      </c>
      <c r="D63" t="str">
        <f>IFERROR(__xludf.DUMMYFUNCTION("""COMPUTED_VALUE"""),"")</f>
        <v/>
      </c>
      <c r="E63" t="str">
        <f>IFERROR(__xludf.DUMMYFUNCTION("""COMPUTED_VALUE"""),"")</f>
        <v/>
      </c>
      <c r="F63" t="str">
        <f>IFERROR(__xludf.DUMMYFUNCTION("""COMPUTED_VALUE"""),"")</f>
        <v/>
      </c>
      <c r="G63" t="str">
        <f>IFERROR(__xludf.DUMMYFUNCTION("""COMPUTED_VALUE"""),"")</f>
        <v/>
      </c>
      <c r="H63" t="str">
        <f>IFERROR(__xludf.DUMMYFUNCTION("""COMPUTED_VALUE"""),"")</f>
        <v/>
      </c>
      <c r="I63" t="str">
        <f>IFERROR(__xludf.DUMMYFUNCTION("""COMPUTED_VALUE"""),"")</f>
        <v/>
      </c>
      <c r="J63" t="str">
        <f>IFERROR(__xludf.DUMMYFUNCTION("""COMPUTED_VALUE"""),"")</f>
        <v/>
      </c>
      <c r="K63" t="str">
        <f>IFERROR(__xludf.DUMMYFUNCTION("""COMPUTED_VALUE"""),"")</f>
        <v/>
      </c>
      <c r="L63" t="str">
        <f>IFERROR(__xludf.DUMMYFUNCTION("""COMPUTED_VALUE"""),"")</f>
        <v/>
      </c>
      <c r="M63" t="str">
        <f>IFERROR(__xludf.DUMMYFUNCTION("""COMPUTED_VALUE"""),"")</f>
        <v/>
      </c>
      <c r="N63" t="str">
        <f>IFERROR(__xludf.DUMMYFUNCTION("""COMPUTED_VALUE"""),"")</f>
        <v/>
      </c>
      <c r="O63" t="str">
        <f>IFERROR(__xludf.DUMMYFUNCTION("""COMPUTED_VALUE"""),"")</f>
        <v/>
      </c>
      <c r="P63" t="str">
        <f>IFERROR(__xludf.DUMMYFUNCTION("""COMPUTED_VALUE"""),"")</f>
        <v/>
      </c>
      <c r="Q63" t="str">
        <f>IFERROR(__xludf.DUMMYFUNCTION("""COMPUTED_VALUE"""),"")</f>
        <v/>
      </c>
      <c r="R63" t="str">
        <f>IFERROR(__xludf.DUMMYFUNCTION("""COMPUTED_VALUE"""),"")</f>
        <v/>
      </c>
      <c r="S63" t="str">
        <f>IFERROR(__xludf.DUMMYFUNCTION("""COMPUTED_VALUE"""),"")</f>
        <v/>
      </c>
      <c r="T63" t="str">
        <f>IFERROR(__xludf.DUMMYFUNCTION("""COMPUTED_VALUE"""),"")</f>
        <v/>
      </c>
      <c r="U63" t="str">
        <f>IFERROR(__xludf.DUMMYFUNCTION("""COMPUTED_VALUE"""),"")</f>
        <v/>
      </c>
      <c r="V63" t="str">
        <f>IFERROR(__xludf.DUMMYFUNCTION("""COMPUTED_VALUE"""),"")</f>
        <v/>
      </c>
      <c r="W63" t="str">
        <f>IFERROR(__xludf.DUMMYFUNCTION("""COMPUTED_VALUE"""),"")</f>
        <v/>
      </c>
    </row>
    <row r="64">
      <c r="A64" t="str">
        <f>IFERROR(__xludf.DUMMYFUNCTION("""COMPUTED_VALUE"""),"")</f>
        <v/>
      </c>
      <c r="B64" t="str">
        <f>IFERROR(__xludf.DUMMYFUNCTION("""COMPUTED_VALUE"""),"")</f>
        <v/>
      </c>
      <c r="C64" t="str">
        <f>IFERROR(__xludf.DUMMYFUNCTION("""COMPUTED_VALUE"""),"")</f>
        <v/>
      </c>
      <c r="D64" t="str">
        <f>IFERROR(__xludf.DUMMYFUNCTION("""COMPUTED_VALUE"""),"")</f>
        <v/>
      </c>
      <c r="E64" t="str">
        <f>IFERROR(__xludf.DUMMYFUNCTION("""COMPUTED_VALUE"""),"")</f>
        <v/>
      </c>
      <c r="F64" t="str">
        <f>IFERROR(__xludf.DUMMYFUNCTION("""COMPUTED_VALUE"""),"")</f>
        <v/>
      </c>
      <c r="G64" t="str">
        <f>IFERROR(__xludf.DUMMYFUNCTION("""COMPUTED_VALUE"""),"")</f>
        <v/>
      </c>
      <c r="H64" t="str">
        <f>IFERROR(__xludf.DUMMYFUNCTION("""COMPUTED_VALUE"""),"")</f>
        <v/>
      </c>
      <c r="I64" t="str">
        <f>IFERROR(__xludf.DUMMYFUNCTION("""COMPUTED_VALUE"""),"")</f>
        <v/>
      </c>
      <c r="J64" t="str">
        <f>IFERROR(__xludf.DUMMYFUNCTION("""COMPUTED_VALUE"""),"")</f>
        <v/>
      </c>
      <c r="K64" t="str">
        <f>IFERROR(__xludf.DUMMYFUNCTION("""COMPUTED_VALUE"""),"")</f>
        <v/>
      </c>
      <c r="L64" t="str">
        <f>IFERROR(__xludf.DUMMYFUNCTION("""COMPUTED_VALUE"""),"")</f>
        <v/>
      </c>
      <c r="M64" t="str">
        <f>IFERROR(__xludf.DUMMYFUNCTION("""COMPUTED_VALUE"""),"")</f>
        <v/>
      </c>
      <c r="N64" t="str">
        <f>IFERROR(__xludf.DUMMYFUNCTION("""COMPUTED_VALUE"""),"")</f>
        <v/>
      </c>
      <c r="O64" t="str">
        <f>IFERROR(__xludf.DUMMYFUNCTION("""COMPUTED_VALUE"""),"")</f>
        <v/>
      </c>
      <c r="P64" t="str">
        <f>IFERROR(__xludf.DUMMYFUNCTION("""COMPUTED_VALUE"""),"")</f>
        <v/>
      </c>
      <c r="Q64" t="str">
        <f>IFERROR(__xludf.DUMMYFUNCTION("""COMPUTED_VALUE"""),"")</f>
        <v/>
      </c>
      <c r="R64" t="str">
        <f>IFERROR(__xludf.DUMMYFUNCTION("""COMPUTED_VALUE"""),"")</f>
        <v/>
      </c>
      <c r="S64" t="str">
        <f>IFERROR(__xludf.DUMMYFUNCTION("""COMPUTED_VALUE"""),"")</f>
        <v/>
      </c>
      <c r="T64" t="str">
        <f>IFERROR(__xludf.DUMMYFUNCTION("""COMPUTED_VALUE"""),"")</f>
        <v/>
      </c>
      <c r="U64" t="str">
        <f>IFERROR(__xludf.DUMMYFUNCTION("""COMPUTED_VALUE"""),"")</f>
        <v/>
      </c>
      <c r="V64" t="str">
        <f>IFERROR(__xludf.DUMMYFUNCTION("""COMPUTED_VALUE"""),"")</f>
        <v/>
      </c>
      <c r="W64" t="str">
        <f>IFERROR(__xludf.DUMMYFUNCTION("""COMPUTED_VALUE"""),"")</f>
        <v/>
      </c>
    </row>
    <row r="65">
      <c r="A65" t="str">
        <f>IFERROR(__xludf.DUMMYFUNCTION("""COMPUTED_VALUE"""),"")</f>
        <v/>
      </c>
      <c r="B65" t="str">
        <f>IFERROR(__xludf.DUMMYFUNCTION("""COMPUTED_VALUE"""),"")</f>
        <v/>
      </c>
      <c r="C65" t="str">
        <f>IFERROR(__xludf.DUMMYFUNCTION("""COMPUTED_VALUE"""),"")</f>
        <v/>
      </c>
      <c r="D65" t="str">
        <f>IFERROR(__xludf.DUMMYFUNCTION("""COMPUTED_VALUE"""),"")</f>
        <v/>
      </c>
      <c r="E65" t="str">
        <f>IFERROR(__xludf.DUMMYFUNCTION("""COMPUTED_VALUE"""),"")</f>
        <v/>
      </c>
      <c r="F65" t="str">
        <f>IFERROR(__xludf.DUMMYFUNCTION("""COMPUTED_VALUE"""),"")</f>
        <v/>
      </c>
      <c r="G65" t="str">
        <f>IFERROR(__xludf.DUMMYFUNCTION("""COMPUTED_VALUE"""),"")</f>
        <v/>
      </c>
      <c r="H65" t="str">
        <f>IFERROR(__xludf.DUMMYFUNCTION("""COMPUTED_VALUE"""),"")</f>
        <v/>
      </c>
      <c r="I65" t="str">
        <f>IFERROR(__xludf.DUMMYFUNCTION("""COMPUTED_VALUE"""),"")</f>
        <v/>
      </c>
      <c r="J65" t="str">
        <f>IFERROR(__xludf.DUMMYFUNCTION("""COMPUTED_VALUE"""),"")</f>
        <v/>
      </c>
      <c r="K65" t="str">
        <f>IFERROR(__xludf.DUMMYFUNCTION("""COMPUTED_VALUE"""),"")</f>
        <v/>
      </c>
      <c r="L65" t="str">
        <f>IFERROR(__xludf.DUMMYFUNCTION("""COMPUTED_VALUE"""),"")</f>
        <v/>
      </c>
      <c r="M65" t="str">
        <f>IFERROR(__xludf.DUMMYFUNCTION("""COMPUTED_VALUE"""),"")</f>
        <v/>
      </c>
      <c r="N65" t="str">
        <f>IFERROR(__xludf.DUMMYFUNCTION("""COMPUTED_VALUE"""),"")</f>
        <v/>
      </c>
      <c r="O65" t="str">
        <f>IFERROR(__xludf.DUMMYFUNCTION("""COMPUTED_VALUE"""),"")</f>
        <v/>
      </c>
      <c r="P65" t="str">
        <f>IFERROR(__xludf.DUMMYFUNCTION("""COMPUTED_VALUE"""),"")</f>
        <v/>
      </c>
      <c r="Q65" t="str">
        <f>IFERROR(__xludf.DUMMYFUNCTION("""COMPUTED_VALUE"""),"")</f>
        <v/>
      </c>
      <c r="R65" t="str">
        <f>IFERROR(__xludf.DUMMYFUNCTION("""COMPUTED_VALUE"""),"")</f>
        <v/>
      </c>
      <c r="S65" t="str">
        <f>IFERROR(__xludf.DUMMYFUNCTION("""COMPUTED_VALUE"""),"")</f>
        <v/>
      </c>
      <c r="T65" t="str">
        <f>IFERROR(__xludf.DUMMYFUNCTION("""COMPUTED_VALUE"""),"")</f>
        <v/>
      </c>
      <c r="U65" t="str">
        <f>IFERROR(__xludf.DUMMYFUNCTION("""COMPUTED_VALUE"""),"")</f>
        <v/>
      </c>
      <c r="V65" t="str">
        <f>IFERROR(__xludf.DUMMYFUNCTION("""COMPUTED_VALUE"""),"")</f>
        <v/>
      </c>
      <c r="W65" t="str">
        <f>IFERROR(__xludf.DUMMYFUNCTION("""COMPUTED_VALUE"""),"")</f>
        <v/>
      </c>
    </row>
    <row r="66">
      <c r="A66" t="str">
        <f>IFERROR(__xludf.DUMMYFUNCTION("""COMPUTED_VALUE"""),"")</f>
        <v/>
      </c>
      <c r="B66" t="str">
        <f>IFERROR(__xludf.DUMMYFUNCTION("""COMPUTED_VALUE"""),"")</f>
        <v/>
      </c>
      <c r="C66" t="str">
        <f>IFERROR(__xludf.DUMMYFUNCTION("""COMPUTED_VALUE"""),"")</f>
        <v/>
      </c>
      <c r="D66" t="str">
        <f>IFERROR(__xludf.DUMMYFUNCTION("""COMPUTED_VALUE"""),"")</f>
        <v/>
      </c>
      <c r="E66" t="str">
        <f>IFERROR(__xludf.DUMMYFUNCTION("""COMPUTED_VALUE"""),"")</f>
        <v/>
      </c>
      <c r="F66" t="str">
        <f>IFERROR(__xludf.DUMMYFUNCTION("""COMPUTED_VALUE"""),"")</f>
        <v/>
      </c>
      <c r="G66" t="str">
        <f>IFERROR(__xludf.DUMMYFUNCTION("""COMPUTED_VALUE"""),"")</f>
        <v/>
      </c>
      <c r="H66" t="str">
        <f>IFERROR(__xludf.DUMMYFUNCTION("""COMPUTED_VALUE"""),"")</f>
        <v/>
      </c>
      <c r="I66" t="str">
        <f>IFERROR(__xludf.DUMMYFUNCTION("""COMPUTED_VALUE"""),"")</f>
        <v/>
      </c>
      <c r="J66" t="str">
        <f>IFERROR(__xludf.DUMMYFUNCTION("""COMPUTED_VALUE"""),"")</f>
        <v/>
      </c>
      <c r="K66" t="str">
        <f>IFERROR(__xludf.DUMMYFUNCTION("""COMPUTED_VALUE"""),"")</f>
        <v/>
      </c>
      <c r="L66" t="str">
        <f>IFERROR(__xludf.DUMMYFUNCTION("""COMPUTED_VALUE"""),"")</f>
        <v/>
      </c>
      <c r="M66" t="str">
        <f>IFERROR(__xludf.DUMMYFUNCTION("""COMPUTED_VALUE"""),"")</f>
        <v/>
      </c>
      <c r="N66" t="str">
        <f>IFERROR(__xludf.DUMMYFUNCTION("""COMPUTED_VALUE"""),"")</f>
        <v/>
      </c>
      <c r="O66" t="str">
        <f>IFERROR(__xludf.DUMMYFUNCTION("""COMPUTED_VALUE"""),"")</f>
        <v/>
      </c>
      <c r="P66" t="str">
        <f>IFERROR(__xludf.DUMMYFUNCTION("""COMPUTED_VALUE"""),"")</f>
        <v/>
      </c>
      <c r="Q66" t="str">
        <f>IFERROR(__xludf.DUMMYFUNCTION("""COMPUTED_VALUE"""),"")</f>
        <v/>
      </c>
      <c r="R66" t="str">
        <f>IFERROR(__xludf.DUMMYFUNCTION("""COMPUTED_VALUE"""),"")</f>
        <v/>
      </c>
      <c r="S66" t="str">
        <f>IFERROR(__xludf.DUMMYFUNCTION("""COMPUTED_VALUE"""),"")</f>
        <v/>
      </c>
      <c r="T66" t="str">
        <f>IFERROR(__xludf.DUMMYFUNCTION("""COMPUTED_VALUE"""),"")</f>
        <v/>
      </c>
      <c r="U66" t="str">
        <f>IFERROR(__xludf.DUMMYFUNCTION("""COMPUTED_VALUE"""),"")</f>
        <v/>
      </c>
      <c r="V66" t="str">
        <f>IFERROR(__xludf.DUMMYFUNCTION("""COMPUTED_VALUE"""),"")</f>
        <v/>
      </c>
      <c r="W66" t="str">
        <f>IFERROR(__xludf.DUMMYFUNCTION("""COMPUTED_VALUE"""),"")</f>
        <v/>
      </c>
    </row>
    <row r="67">
      <c r="A67" t="str">
        <f>IFERROR(__xludf.DUMMYFUNCTION("""COMPUTED_VALUE"""),"")</f>
        <v/>
      </c>
      <c r="B67" t="str">
        <f>IFERROR(__xludf.DUMMYFUNCTION("""COMPUTED_VALUE"""),"")</f>
        <v/>
      </c>
      <c r="C67" t="str">
        <f>IFERROR(__xludf.DUMMYFUNCTION("""COMPUTED_VALUE"""),"")</f>
        <v/>
      </c>
      <c r="D67" t="str">
        <f>IFERROR(__xludf.DUMMYFUNCTION("""COMPUTED_VALUE"""),"")</f>
        <v/>
      </c>
      <c r="E67" t="str">
        <f>IFERROR(__xludf.DUMMYFUNCTION("""COMPUTED_VALUE"""),"")</f>
        <v/>
      </c>
      <c r="F67" t="str">
        <f>IFERROR(__xludf.DUMMYFUNCTION("""COMPUTED_VALUE"""),"")</f>
        <v/>
      </c>
      <c r="G67" t="str">
        <f>IFERROR(__xludf.DUMMYFUNCTION("""COMPUTED_VALUE"""),"")</f>
        <v/>
      </c>
      <c r="H67" t="str">
        <f>IFERROR(__xludf.DUMMYFUNCTION("""COMPUTED_VALUE"""),"")</f>
        <v/>
      </c>
      <c r="I67" t="str">
        <f>IFERROR(__xludf.DUMMYFUNCTION("""COMPUTED_VALUE"""),"")</f>
        <v/>
      </c>
      <c r="J67" t="str">
        <f>IFERROR(__xludf.DUMMYFUNCTION("""COMPUTED_VALUE"""),"")</f>
        <v/>
      </c>
      <c r="K67" t="str">
        <f>IFERROR(__xludf.DUMMYFUNCTION("""COMPUTED_VALUE"""),"")</f>
        <v/>
      </c>
      <c r="L67" t="str">
        <f>IFERROR(__xludf.DUMMYFUNCTION("""COMPUTED_VALUE"""),"")</f>
        <v/>
      </c>
      <c r="M67" t="str">
        <f>IFERROR(__xludf.DUMMYFUNCTION("""COMPUTED_VALUE"""),"")</f>
        <v/>
      </c>
      <c r="N67" t="str">
        <f>IFERROR(__xludf.DUMMYFUNCTION("""COMPUTED_VALUE"""),"")</f>
        <v/>
      </c>
      <c r="O67" t="str">
        <f>IFERROR(__xludf.DUMMYFUNCTION("""COMPUTED_VALUE"""),"")</f>
        <v/>
      </c>
      <c r="P67" t="str">
        <f>IFERROR(__xludf.DUMMYFUNCTION("""COMPUTED_VALUE"""),"")</f>
        <v/>
      </c>
      <c r="Q67" t="str">
        <f>IFERROR(__xludf.DUMMYFUNCTION("""COMPUTED_VALUE"""),"")</f>
        <v/>
      </c>
      <c r="R67" t="str">
        <f>IFERROR(__xludf.DUMMYFUNCTION("""COMPUTED_VALUE"""),"")</f>
        <v/>
      </c>
      <c r="S67" t="str">
        <f>IFERROR(__xludf.DUMMYFUNCTION("""COMPUTED_VALUE"""),"")</f>
        <v/>
      </c>
      <c r="T67" t="str">
        <f>IFERROR(__xludf.DUMMYFUNCTION("""COMPUTED_VALUE"""),"")</f>
        <v/>
      </c>
      <c r="U67" t="str">
        <f>IFERROR(__xludf.DUMMYFUNCTION("""COMPUTED_VALUE"""),"")</f>
        <v/>
      </c>
      <c r="V67" t="str">
        <f>IFERROR(__xludf.DUMMYFUNCTION("""COMPUTED_VALUE"""),"")</f>
        <v/>
      </c>
      <c r="W67" t="str">
        <f>IFERROR(__xludf.DUMMYFUNCTION("""COMPUTED_VALUE"""),"")</f>
        <v/>
      </c>
    </row>
    <row r="68">
      <c r="A68" t="str">
        <f>IFERROR(__xludf.DUMMYFUNCTION("""COMPUTED_VALUE"""),"")</f>
        <v/>
      </c>
      <c r="B68" t="str">
        <f>IFERROR(__xludf.DUMMYFUNCTION("""COMPUTED_VALUE"""),"")</f>
        <v/>
      </c>
      <c r="C68" t="str">
        <f>IFERROR(__xludf.DUMMYFUNCTION("""COMPUTED_VALUE"""),"")</f>
        <v/>
      </c>
      <c r="D68" t="str">
        <f>IFERROR(__xludf.DUMMYFUNCTION("""COMPUTED_VALUE"""),"")</f>
        <v/>
      </c>
      <c r="E68" t="str">
        <f>IFERROR(__xludf.DUMMYFUNCTION("""COMPUTED_VALUE"""),"")</f>
        <v/>
      </c>
      <c r="F68" t="str">
        <f>IFERROR(__xludf.DUMMYFUNCTION("""COMPUTED_VALUE"""),"")</f>
        <v/>
      </c>
      <c r="G68" t="str">
        <f>IFERROR(__xludf.DUMMYFUNCTION("""COMPUTED_VALUE"""),"")</f>
        <v/>
      </c>
      <c r="H68" t="str">
        <f>IFERROR(__xludf.DUMMYFUNCTION("""COMPUTED_VALUE"""),"")</f>
        <v/>
      </c>
      <c r="I68" t="str">
        <f>IFERROR(__xludf.DUMMYFUNCTION("""COMPUTED_VALUE"""),"")</f>
        <v/>
      </c>
      <c r="J68" t="str">
        <f>IFERROR(__xludf.DUMMYFUNCTION("""COMPUTED_VALUE"""),"")</f>
        <v/>
      </c>
      <c r="K68" t="str">
        <f>IFERROR(__xludf.DUMMYFUNCTION("""COMPUTED_VALUE"""),"")</f>
        <v/>
      </c>
      <c r="L68" t="str">
        <f>IFERROR(__xludf.DUMMYFUNCTION("""COMPUTED_VALUE"""),"")</f>
        <v/>
      </c>
      <c r="M68" t="str">
        <f>IFERROR(__xludf.DUMMYFUNCTION("""COMPUTED_VALUE"""),"")</f>
        <v/>
      </c>
      <c r="N68" t="str">
        <f>IFERROR(__xludf.DUMMYFUNCTION("""COMPUTED_VALUE"""),"")</f>
        <v/>
      </c>
      <c r="O68" t="str">
        <f>IFERROR(__xludf.DUMMYFUNCTION("""COMPUTED_VALUE"""),"")</f>
        <v/>
      </c>
      <c r="P68" t="str">
        <f>IFERROR(__xludf.DUMMYFUNCTION("""COMPUTED_VALUE"""),"")</f>
        <v/>
      </c>
      <c r="Q68" t="str">
        <f>IFERROR(__xludf.DUMMYFUNCTION("""COMPUTED_VALUE"""),"")</f>
        <v/>
      </c>
      <c r="R68" t="str">
        <f>IFERROR(__xludf.DUMMYFUNCTION("""COMPUTED_VALUE"""),"")</f>
        <v/>
      </c>
      <c r="S68" t="str">
        <f>IFERROR(__xludf.DUMMYFUNCTION("""COMPUTED_VALUE"""),"")</f>
        <v/>
      </c>
      <c r="T68" t="str">
        <f>IFERROR(__xludf.DUMMYFUNCTION("""COMPUTED_VALUE"""),"")</f>
        <v/>
      </c>
      <c r="U68" t="str">
        <f>IFERROR(__xludf.DUMMYFUNCTION("""COMPUTED_VALUE"""),"")</f>
        <v/>
      </c>
      <c r="V68" t="str">
        <f>IFERROR(__xludf.DUMMYFUNCTION("""COMPUTED_VALUE"""),"")</f>
        <v/>
      </c>
      <c r="W68" t="str">
        <f>IFERROR(__xludf.DUMMYFUNCTION("""COMPUTED_VALUE"""),"")</f>
        <v/>
      </c>
    </row>
    <row r="69">
      <c r="A69" t="str">
        <f>IFERROR(__xludf.DUMMYFUNCTION("""COMPUTED_VALUE"""),"")</f>
        <v/>
      </c>
      <c r="B69" t="str">
        <f>IFERROR(__xludf.DUMMYFUNCTION("""COMPUTED_VALUE"""),"")</f>
        <v/>
      </c>
      <c r="C69" t="str">
        <f>IFERROR(__xludf.DUMMYFUNCTION("""COMPUTED_VALUE"""),"")</f>
        <v/>
      </c>
      <c r="D69" t="str">
        <f>IFERROR(__xludf.DUMMYFUNCTION("""COMPUTED_VALUE"""),"")</f>
        <v/>
      </c>
      <c r="E69" t="str">
        <f>IFERROR(__xludf.DUMMYFUNCTION("""COMPUTED_VALUE"""),"")</f>
        <v/>
      </c>
      <c r="F69" t="str">
        <f>IFERROR(__xludf.DUMMYFUNCTION("""COMPUTED_VALUE"""),"")</f>
        <v/>
      </c>
      <c r="G69" t="str">
        <f>IFERROR(__xludf.DUMMYFUNCTION("""COMPUTED_VALUE"""),"")</f>
        <v/>
      </c>
      <c r="H69" t="str">
        <f>IFERROR(__xludf.DUMMYFUNCTION("""COMPUTED_VALUE"""),"")</f>
        <v/>
      </c>
      <c r="I69" t="str">
        <f>IFERROR(__xludf.DUMMYFUNCTION("""COMPUTED_VALUE"""),"")</f>
        <v/>
      </c>
      <c r="J69" t="str">
        <f>IFERROR(__xludf.DUMMYFUNCTION("""COMPUTED_VALUE"""),"")</f>
        <v/>
      </c>
      <c r="K69" t="str">
        <f>IFERROR(__xludf.DUMMYFUNCTION("""COMPUTED_VALUE"""),"")</f>
        <v/>
      </c>
      <c r="L69" t="str">
        <f>IFERROR(__xludf.DUMMYFUNCTION("""COMPUTED_VALUE"""),"")</f>
        <v/>
      </c>
      <c r="M69" t="str">
        <f>IFERROR(__xludf.DUMMYFUNCTION("""COMPUTED_VALUE"""),"")</f>
        <v/>
      </c>
      <c r="N69" t="str">
        <f>IFERROR(__xludf.DUMMYFUNCTION("""COMPUTED_VALUE"""),"")</f>
        <v/>
      </c>
      <c r="O69" t="str">
        <f>IFERROR(__xludf.DUMMYFUNCTION("""COMPUTED_VALUE"""),"")</f>
        <v/>
      </c>
      <c r="P69" t="str">
        <f>IFERROR(__xludf.DUMMYFUNCTION("""COMPUTED_VALUE"""),"")</f>
        <v/>
      </c>
      <c r="Q69" t="str">
        <f>IFERROR(__xludf.DUMMYFUNCTION("""COMPUTED_VALUE"""),"")</f>
        <v/>
      </c>
      <c r="R69" t="str">
        <f>IFERROR(__xludf.DUMMYFUNCTION("""COMPUTED_VALUE"""),"")</f>
        <v/>
      </c>
      <c r="S69" t="str">
        <f>IFERROR(__xludf.DUMMYFUNCTION("""COMPUTED_VALUE"""),"")</f>
        <v/>
      </c>
      <c r="T69" t="str">
        <f>IFERROR(__xludf.DUMMYFUNCTION("""COMPUTED_VALUE"""),"")</f>
        <v/>
      </c>
      <c r="U69" t="str">
        <f>IFERROR(__xludf.DUMMYFUNCTION("""COMPUTED_VALUE"""),"")</f>
        <v/>
      </c>
      <c r="V69" t="str">
        <f>IFERROR(__xludf.DUMMYFUNCTION("""COMPUTED_VALUE"""),"")</f>
        <v/>
      </c>
      <c r="W69" t="str">
        <f>IFERROR(__xludf.DUMMYFUNCTION("""COMPUTED_VALUE"""),"")</f>
        <v/>
      </c>
    </row>
    <row r="70">
      <c r="A70" t="str">
        <f>IFERROR(__xludf.DUMMYFUNCTION("""COMPUTED_VALUE"""),"")</f>
        <v/>
      </c>
      <c r="B70" t="str">
        <f>IFERROR(__xludf.DUMMYFUNCTION("""COMPUTED_VALUE"""),"")</f>
        <v/>
      </c>
      <c r="C70" t="str">
        <f>IFERROR(__xludf.DUMMYFUNCTION("""COMPUTED_VALUE"""),"")</f>
        <v/>
      </c>
      <c r="D70" t="str">
        <f>IFERROR(__xludf.DUMMYFUNCTION("""COMPUTED_VALUE"""),"")</f>
        <v/>
      </c>
      <c r="E70" t="str">
        <f>IFERROR(__xludf.DUMMYFUNCTION("""COMPUTED_VALUE"""),"")</f>
        <v/>
      </c>
      <c r="F70" t="str">
        <f>IFERROR(__xludf.DUMMYFUNCTION("""COMPUTED_VALUE"""),"")</f>
        <v/>
      </c>
      <c r="G70" t="str">
        <f>IFERROR(__xludf.DUMMYFUNCTION("""COMPUTED_VALUE"""),"")</f>
        <v/>
      </c>
      <c r="H70" t="str">
        <f>IFERROR(__xludf.DUMMYFUNCTION("""COMPUTED_VALUE"""),"")</f>
        <v/>
      </c>
      <c r="I70" t="str">
        <f>IFERROR(__xludf.DUMMYFUNCTION("""COMPUTED_VALUE"""),"")</f>
        <v/>
      </c>
      <c r="J70" t="str">
        <f>IFERROR(__xludf.DUMMYFUNCTION("""COMPUTED_VALUE"""),"")</f>
        <v/>
      </c>
      <c r="K70" t="str">
        <f>IFERROR(__xludf.DUMMYFUNCTION("""COMPUTED_VALUE"""),"")</f>
        <v/>
      </c>
      <c r="L70" t="str">
        <f>IFERROR(__xludf.DUMMYFUNCTION("""COMPUTED_VALUE"""),"")</f>
        <v/>
      </c>
      <c r="M70" t="str">
        <f>IFERROR(__xludf.DUMMYFUNCTION("""COMPUTED_VALUE"""),"")</f>
        <v/>
      </c>
      <c r="N70" t="str">
        <f>IFERROR(__xludf.DUMMYFUNCTION("""COMPUTED_VALUE"""),"")</f>
        <v/>
      </c>
      <c r="O70" t="str">
        <f>IFERROR(__xludf.DUMMYFUNCTION("""COMPUTED_VALUE"""),"")</f>
        <v/>
      </c>
      <c r="P70" t="str">
        <f>IFERROR(__xludf.DUMMYFUNCTION("""COMPUTED_VALUE"""),"")</f>
        <v/>
      </c>
      <c r="Q70" t="str">
        <f>IFERROR(__xludf.DUMMYFUNCTION("""COMPUTED_VALUE"""),"")</f>
        <v/>
      </c>
      <c r="R70" t="str">
        <f>IFERROR(__xludf.DUMMYFUNCTION("""COMPUTED_VALUE"""),"")</f>
        <v/>
      </c>
      <c r="S70" t="str">
        <f>IFERROR(__xludf.DUMMYFUNCTION("""COMPUTED_VALUE"""),"")</f>
        <v/>
      </c>
      <c r="T70" t="str">
        <f>IFERROR(__xludf.DUMMYFUNCTION("""COMPUTED_VALUE"""),"")</f>
        <v/>
      </c>
      <c r="U70" t="str">
        <f>IFERROR(__xludf.DUMMYFUNCTION("""COMPUTED_VALUE"""),"")</f>
        <v/>
      </c>
      <c r="V70" t="str">
        <f>IFERROR(__xludf.DUMMYFUNCTION("""COMPUTED_VALUE"""),"")</f>
        <v/>
      </c>
      <c r="W70" t="str">
        <f>IFERROR(__xludf.DUMMYFUNCTION("""COMPUTED_VALUE"""),"")</f>
        <v/>
      </c>
    </row>
    <row r="71">
      <c r="A71" t="str">
        <f>IFERROR(__xludf.DUMMYFUNCTION("""COMPUTED_VALUE"""),"")</f>
        <v/>
      </c>
      <c r="B71" t="str">
        <f>IFERROR(__xludf.DUMMYFUNCTION("""COMPUTED_VALUE"""),"")</f>
        <v/>
      </c>
      <c r="C71" t="str">
        <f>IFERROR(__xludf.DUMMYFUNCTION("""COMPUTED_VALUE"""),"")</f>
        <v/>
      </c>
      <c r="D71" t="str">
        <f>IFERROR(__xludf.DUMMYFUNCTION("""COMPUTED_VALUE"""),"")</f>
        <v/>
      </c>
      <c r="E71" t="str">
        <f>IFERROR(__xludf.DUMMYFUNCTION("""COMPUTED_VALUE"""),"")</f>
        <v/>
      </c>
      <c r="F71" t="str">
        <f>IFERROR(__xludf.DUMMYFUNCTION("""COMPUTED_VALUE"""),"")</f>
        <v/>
      </c>
      <c r="G71" t="str">
        <f>IFERROR(__xludf.DUMMYFUNCTION("""COMPUTED_VALUE"""),"")</f>
        <v/>
      </c>
      <c r="H71" t="str">
        <f>IFERROR(__xludf.DUMMYFUNCTION("""COMPUTED_VALUE"""),"")</f>
        <v/>
      </c>
      <c r="I71" t="str">
        <f>IFERROR(__xludf.DUMMYFUNCTION("""COMPUTED_VALUE"""),"")</f>
        <v/>
      </c>
      <c r="J71" t="str">
        <f>IFERROR(__xludf.DUMMYFUNCTION("""COMPUTED_VALUE"""),"")</f>
        <v/>
      </c>
      <c r="K71" t="str">
        <f>IFERROR(__xludf.DUMMYFUNCTION("""COMPUTED_VALUE"""),"")</f>
        <v/>
      </c>
      <c r="L71" t="str">
        <f>IFERROR(__xludf.DUMMYFUNCTION("""COMPUTED_VALUE"""),"")</f>
        <v/>
      </c>
      <c r="M71" t="str">
        <f>IFERROR(__xludf.DUMMYFUNCTION("""COMPUTED_VALUE"""),"")</f>
        <v/>
      </c>
      <c r="N71" t="str">
        <f>IFERROR(__xludf.DUMMYFUNCTION("""COMPUTED_VALUE"""),"")</f>
        <v/>
      </c>
      <c r="O71" t="str">
        <f>IFERROR(__xludf.DUMMYFUNCTION("""COMPUTED_VALUE"""),"")</f>
        <v/>
      </c>
      <c r="P71" t="str">
        <f>IFERROR(__xludf.DUMMYFUNCTION("""COMPUTED_VALUE"""),"")</f>
        <v/>
      </c>
      <c r="Q71" t="str">
        <f>IFERROR(__xludf.DUMMYFUNCTION("""COMPUTED_VALUE"""),"")</f>
        <v/>
      </c>
      <c r="R71" t="str">
        <f>IFERROR(__xludf.DUMMYFUNCTION("""COMPUTED_VALUE"""),"")</f>
        <v/>
      </c>
      <c r="S71" t="str">
        <f>IFERROR(__xludf.DUMMYFUNCTION("""COMPUTED_VALUE"""),"")</f>
        <v/>
      </c>
      <c r="T71" t="str">
        <f>IFERROR(__xludf.DUMMYFUNCTION("""COMPUTED_VALUE"""),"")</f>
        <v/>
      </c>
      <c r="U71" t="str">
        <f>IFERROR(__xludf.DUMMYFUNCTION("""COMPUTED_VALUE"""),"")</f>
        <v/>
      </c>
      <c r="V71" t="str">
        <f>IFERROR(__xludf.DUMMYFUNCTION("""COMPUTED_VALUE"""),"")</f>
        <v/>
      </c>
      <c r="W71" t="str">
        <f>IFERROR(__xludf.DUMMYFUNCTION("""COMPUTED_VALUE"""),"")</f>
        <v/>
      </c>
    </row>
    <row r="72">
      <c r="A72" t="str">
        <f>IFERROR(__xludf.DUMMYFUNCTION("""COMPUTED_VALUE"""),"")</f>
        <v/>
      </c>
      <c r="B72" t="str">
        <f>IFERROR(__xludf.DUMMYFUNCTION("""COMPUTED_VALUE"""),"")</f>
        <v/>
      </c>
      <c r="C72" t="str">
        <f>IFERROR(__xludf.DUMMYFUNCTION("""COMPUTED_VALUE"""),"")</f>
        <v/>
      </c>
      <c r="D72" t="str">
        <f>IFERROR(__xludf.DUMMYFUNCTION("""COMPUTED_VALUE"""),"")</f>
        <v/>
      </c>
      <c r="E72" t="str">
        <f>IFERROR(__xludf.DUMMYFUNCTION("""COMPUTED_VALUE"""),"")</f>
        <v/>
      </c>
      <c r="F72" t="str">
        <f>IFERROR(__xludf.DUMMYFUNCTION("""COMPUTED_VALUE"""),"")</f>
        <v/>
      </c>
      <c r="G72" t="str">
        <f>IFERROR(__xludf.DUMMYFUNCTION("""COMPUTED_VALUE"""),"")</f>
        <v/>
      </c>
      <c r="H72" t="str">
        <f>IFERROR(__xludf.DUMMYFUNCTION("""COMPUTED_VALUE"""),"")</f>
        <v/>
      </c>
      <c r="I72" t="str">
        <f>IFERROR(__xludf.DUMMYFUNCTION("""COMPUTED_VALUE"""),"")</f>
        <v/>
      </c>
      <c r="J72" t="str">
        <f>IFERROR(__xludf.DUMMYFUNCTION("""COMPUTED_VALUE"""),"")</f>
        <v/>
      </c>
      <c r="K72" t="str">
        <f>IFERROR(__xludf.DUMMYFUNCTION("""COMPUTED_VALUE"""),"")</f>
        <v/>
      </c>
      <c r="L72" t="str">
        <f>IFERROR(__xludf.DUMMYFUNCTION("""COMPUTED_VALUE"""),"")</f>
        <v/>
      </c>
      <c r="M72" t="str">
        <f>IFERROR(__xludf.DUMMYFUNCTION("""COMPUTED_VALUE"""),"")</f>
        <v/>
      </c>
      <c r="N72" t="str">
        <f>IFERROR(__xludf.DUMMYFUNCTION("""COMPUTED_VALUE"""),"")</f>
        <v/>
      </c>
      <c r="O72" t="str">
        <f>IFERROR(__xludf.DUMMYFUNCTION("""COMPUTED_VALUE"""),"")</f>
        <v/>
      </c>
      <c r="P72" t="str">
        <f>IFERROR(__xludf.DUMMYFUNCTION("""COMPUTED_VALUE"""),"")</f>
        <v/>
      </c>
      <c r="Q72" t="str">
        <f>IFERROR(__xludf.DUMMYFUNCTION("""COMPUTED_VALUE"""),"")</f>
        <v/>
      </c>
      <c r="R72" t="str">
        <f>IFERROR(__xludf.DUMMYFUNCTION("""COMPUTED_VALUE"""),"")</f>
        <v/>
      </c>
      <c r="S72" t="str">
        <f>IFERROR(__xludf.DUMMYFUNCTION("""COMPUTED_VALUE"""),"")</f>
        <v/>
      </c>
      <c r="T72" t="str">
        <f>IFERROR(__xludf.DUMMYFUNCTION("""COMPUTED_VALUE"""),"")</f>
        <v/>
      </c>
      <c r="U72" t="str">
        <f>IFERROR(__xludf.DUMMYFUNCTION("""COMPUTED_VALUE"""),"")</f>
        <v/>
      </c>
      <c r="V72" t="str">
        <f>IFERROR(__xludf.DUMMYFUNCTION("""COMPUTED_VALUE"""),"")</f>
        <v/>
      </c>
      <c r="W72" t="str">
        <f>IFERROR(__xludf.DUMMYFUNCTION("""COMPUTED_VALUE"""),"")</f>
        <v/>
      </c>
    </row>
    <row r="73">
      <c r="A73" t="str">
        <f>IFERROR(__xludf.DUMMYFUNCTION("""COMPUTED_VALUE"""),"")</f>
        <v/>
      </c>
      <c r="B73" t="str">
        <f>IFERROR(__xludf.DUMMYFUNCTION("""COMPUTED_VALUE"""),"")</f>
        <v/>
      </c>
      <c r="C73" t="str">
        <f>IFERROR(__xludf.DUMMYFUNCTION("""COMPUTED_VALUE"""),"")</f>
        <v/>
      </c>
      <c r="D73" t="str">
        <f>IFERROR(__xludf.DUMMYFUNCTION("""COMPUTED_VALUE"""),"")</f>
        <v/>
      </c>
      <c r="E73" t="str">
        <f>IFERROR(__xludf.DUMMYFUNCTION("""COMPUTED_VALUE"""),"")</f>
        <v/>
      </c>
      <c r="F73" t="str">
        <f>IFERROR(__xludf.DUMMYFUNCTION("""COMPUTED_VALUE"""),"")</f>
        <v/>
      </c>
      <c r="G73" t="str">
        <f>IFERROR(__xludf.DUMMYFUNCTION("""COMPUTED_VALUE"""),"")</f>
        <v/>
      </c>
      <c r="H73" t="str">
        <f>IFERROR(__xludf.DUMMYFUNCTION("""COMPUTED_VALUE"""),"")</f>
        <v/>
      </c>
      <c r="I73" t="str">
        <f>IFERROR(__xludf.DUMMYFUNCTION("""COMPUTED_VALUE"""),"")</f>
        <v/>
      </c>
      <c r="J73" t="str">
        <f>IFERROR(__xludf.DUMMYFUNCTION("""COMPUTED_VALUE"""),"")</f>
        <v/>
      </c>
      <c r="K73" t="str">
        <f>IFERROR(__xludf.DUMMYFUNCTION("""COMPUTED_VALUE"""),"")</f>
        <v/>
      </c>
      <c r="L73" t="str">
        <f>IFERROR(__xludf.DUMMYFUNCTION("""COMPUTED_VALUE"""),"")</f>
        <v/>
      </c>
      <c r="M73" t="str">
        <f>IFERROR(__xludf.DUMMYFUNCTION("""COMPUTED_VALUE"""),"")</f>
        <v/>
      </c>
      <c r="N73" t="str">
        <f>IFERROR(__xludf.DUMMYFUNCTION("""COMPUTED_VALUE"""),"")</f>
        <v/>
      </c>
      <c r="O73" t="str">
        <f>IFERROR(__xludf.DUMMYFUNCTION("""COMPUTED_VALUE"""),"")</f>
        <v/>
      </c>
      <c r="P73" t="str">
        <f>IFERROR(__xludf.DUMMYFUNCTION("""COMPUTED_VALUE"""),"")</f>
        <v/>
      </c>
      <c r="Q73" t="str">
        <f>IFERROR(__xludf.DUMMYFUNCTION("""COMPUTED_VALUE"""),"")</f>
        <v/>
      </c>
      <c r="R73" t="str">
        <f>IFERROR(__xludf.DUMMYFUNCTION("""COMPUTED_VALUE"""),"")</f>
        <v/>
      </c>
      <c r="S73" t="str">
        <f>IFERROR(__xludf.DUMMYFUNCTION("""COMPUTED_VALUE"""),"")</f>
        <v/>
      </c>
      <c r="T73" t="str">
        <f>IFERROR(__xludf.DUMMYFUNCTION("""COMPUTED_VALUE"""),"")</f>
        <v/>
      </c>
      <c r="U73" t="str">
        <f>IFERROR(__xludf.DUMMYFUNCTION("""COMPUTED_VALUE"""),"")</f>
        <v/>
      </c>
      <c r="V73" t="str">
        <f>IFERROR(__xludf.DUMMYFUNCTION("""COMPUTED_VALUE"""),"")</f>
        <v/>
      </c>
      <c r="W73" t="str">
        <f>IFERROR(__xludf.DUMMYFUNCTION("""COMPUTED_VALUE"""),"")</f>
        <v/>
      </c>
    </row>
    <row r="74">
      <c r="A74" t="str">
        <f>IFERROR(__xludf.DUMMYFUNCTION("""COMPUTED_VALUE"""),"")</f>
        <v/>
      </c>
      <c r="B74" t="str">
        <f>IFERROR(__xludf.DUMMYFUNCTION("""COMPUTED_VALUE"""),"")</f>
        <v/>
      </c>
      <c r="C74" t="str">
        <f>IFERROR(__xludf.DUMMYFUNCTION("""COMPUTED_VALUE"""),"")</f>
        <v/>
      </c>
      <c r="D74" t="str">
        <f>IFERROR(__xludf.DUMMYFUNCTION("""COMPUTED_VALUE"""),"")</f>
        <v/>
      </c>
      <c r="E74" t="str">
        <f>IFERROR(__xludf.DUMMYFUNCTION("""COMPUTED_VALUE"""),"")</f>
        <v/>
      </c>
      <c r="F74" t="str">
        <f>IFERROR(__xludf.DUMMYFUNCTION("""COMPUTED_VALUE"""),"")</f>
        <v/>
      </c>
      <c r="G74" t="str">
        <f>IFERROR(__xludf.DUMMYFUNCTION("""COMPUTED_VALUE"""),"")</f>
        <v/>
      </c>
      <c r="H74" t="str">
        <f>IFERROR(__xludf.DUMMYFUNCTION("""COMPUTED_VALUE"""),"")</f>
        <v/>
      </c>
      <c r="I74" t="str">
        <f>IFERROR(__xludf.DUMMYFUNCTION("""COMPUTED_VALUE"""),"")</f>
        <v/>
      </c>
      <c r="J74" t="str">
        <f>IFERROR(__xludf.DUMMYFUNCTION("""COMPUTED_VALUE"""),"")</f>
        <v/>
      </c>
      <c r="K74" t="str">
        <f>IFERROR(__xludf.DUMMYFUNCTION("""COMPUTED_VALUE"""),"")</f>
        <v/>
      </c>
      <c r="L74" t="str">
        <f>IFERROR(__xludf.DUMMYFUNCTION("""COMPUTED_VALUE"""),"")</f>
        <v/>
      </c>
      <c r="M74" t="str">
        <f>IFERROR(__xludf.DUMMYFUNCTION("""COMPUTED_VALUE"""),"")</f>
        <v/>
      </c>
      <c r="N74" t="str">
        <f>IFERROR(__xludf.DUMMYFUNCTION("""COMPUTED_VALUE"""),"")</f>
        <v/>
      </c>
      <c r="O74" t="str">
        <f>IFERROR(__xludf.DUMMYFUNCTION("""COMPUTED_VALUE"""),"")</f>
        <v/>
      </c>
      <c r="P74" t="str">
        <f>IFERROR(__xludf.DUMMYFUNCTION("""COMPUTED_VALUE"""),"")</f>
        <v/>
      </c>
      <c r="Q74" t="str">
        <f>IFERROR(__xludf.DUMMYFUNCTION("""COMPUTED_VALUE"""),"")</f>
        <v/>
      </c>
      <c r="R74" t="str">
        <f>IFERROR(__xludf.DUMMYFUNCTION("""COMPUTED_VALUE"""),"")</f>
        <v/>
      </c>
      <c r="S74" t="str">
        <f>IFERROR(__xludf.DUMMYFUNCTION("""COMPUTED_VALUE"""),"")</f>
        <v/>
      </c>
      <c r="T74" t="str">
        <f>IFERROR(__xludf.DUMMYFUNCTION("""COMPUTED_VALUE"""),"")</f>
        <v/>
      </c>
      <c r="U74" t="str">
        <f>IFERROR(__xludf.DUMMYFUNCTION("""COMPUTED_VALUE"""),"")</f>
        <v/>
      </c>
      <c r="V74" t="str">
        <f>IFERROR(__xludf.DUMMYFUNCTION("""COMPUTED_VALUE"""),"")</f>
        <v/>
      </c>
      <c r="W74" t="str">
        <f>IFERROR(__xludf.DUMMYFUNCTION("""COMPUTED_VALUE"""),"")</f>
        <v/>
      </c>
    </row>
    <row r="75">
      <c r="A75" t="str">
        <f>IFERROR(__xludf.DUMMYFUNCTION("""COMPUTED_VALUE"""),"")</f>
        <v/>
      </c>
      <c r="B75" t="str">
        <f>IFERROR(__xludf.DUMMYFUNCTION("""COMPUTED_VALUE"""),"")</f>
        <v/>
      </c>
      <c r="C75" t="str">
        <f>IFERROR(__xludf.DUMMYFUNCTION("""COMPUTED_VALUE"""),"")</f>
        <v/>
      </c>
      <c r="D75" t="str">
        <f>IFERROR(__xludf.DUMMYFUNCTION("""COMPUTED_VALUE"""),"")</f>
        <v/>
      </c>
      <c r="E75" t="str">
        <f>IFERROR(__xludf.DUMMYFUNCTION("""COMPUTED_VALUE"""),"")</f>
        <v/>
      </c>
      <c r="F75" t="str">
        <f>IFERROR(__xludf.DUMMYFUNCTION("""COMPUTED_VALUE"""),"")</f>
        <v/>
      </c>
      <c r="G75" t="str">
        <f>IFERROR(__xludf.DUMMYFUNCTION("""COMPUTED_VALUE"""),"")</f>
        <v/>
      </c>
      <c r="H75" t="str">
        <f>IFERROR(__xludf.DUMMYFUNCTION("""COMPUTED_VALUE"""),"")</f>
        <v/>
      </c>
      <c r="I75" t="str">
        <f>IFERROR(__xludf.DUMMYFUNCTION("""COMPUTED_VALUE"""),"")</f>
        <v/>
      </c>
      <c r="J75" t="str">
        <f>IFERROR(__xludf.DUMMYFUNCTION("""COMPUTED_VALUE"""),"")</f>
        <v/>
      </c>
      <c r="K75" t="str">
        <f>IFERROR(__xludf.DUMMYFUNCTION("""COMPUTED_VALUE"""),"")</f>
        <v/>
      </c>
      <c r="L75" t="str">
        <f>IFERROR(__xludf.DUMMYFUNCTION("""COMPUTED_VALUE"""),"")</f>
        <v/>
      </c>
      <c r="M75" t="str">
        <f>IFERROR(__xludf.DUMMYFUNCTION("""COMPUTED_VALUE"""),"")</f>
        <v/>
      </c>
      <c r="N75" t="str">
        <f>IFERROR(__xludf.DUMMYFUNCTION("""COMPUTED_VALUE"""),"")</f>
        <v/>
      </c>
      <c r="O75" t="str">
        <f>IFERROR(__xludf.DUMMYFUNCTION("""COMPUTED_VALUE"""),"")</f>
        <v/>
      </c>
      <c r="P75" t="str">
        <f>IFERROR(__xludf.DUMMYFUNCTION("""COMPUTED_VALUE"""),"")</f>
        <v/>
      </c>
      <c r="Q75" t="str">
        <f>IFERROR(__xludf.DUMMYFUNCTION("""COMPUTED_VALUE"""),"")</f>
        <v/>
      </c>
      <c r="R75" t="str">
        <f>IFERROR(__xludf.DUMMYFUNCTION("""COMPUTED_VALUE"""),"")</f>
        <v/>
      </c>
      <c r="S75" t="str">
        <f>IFERROR(__xludf.DUMMYFUNCTION("""COMPUTED_VALUE"""),"")</f>
        <v/>
      </c>
      <c r="T75" t="str">
        <f>IFERROR(__xludf.DUMMYFUNCTION("""COMPUTED_VALUE"""),"")</f>
        <v/>
      </c>
      <c r="U75" t="str">
        <f>IFERROR(__xludf.DUMMYFUNCTION("""COMPUTED_VALUE"""),"")</f>
        <v/>
      </c>
      <c r="V75" t="str">
        <f>IFERROR(__xludf.DUMMYFUNCTION("""COMPUTED_VALUE"""),"")</f>
        <v/>
      </c>
      <c r="W75" t="str">
        <f>IFERROR(__xludf.DUMMYFUNCTION("""COMPUTED_VALUE"""),"")</f>
        <v/>
      </c>
    </row>
    <row r="76">
      <c r="A76" t="str">
        <f>IFERROR(__xludf.DUMMYFUNCTION("""COMPUTED_VALUE"""),"")</f>
        <v/>
      </c>
      <c r="B76" t="str">
        <f>IFERROR(__xludf.DUMMYFUNCTION("""COMPUTED_VALUE"""),"")</f>
        <v/>
      </c>
      <c r="C76" t="str">
        <f>IFERROR(__xludf.DUMMYFUNCTION("""COMPUTED_VALUE"""),"")</f>
        <v/>
      </c>
      <c r="D76" t="str">
        <f>IFERROR(__xludf.DUMMYFUNCTION("""COMPUTED_VALUE"""),"")</f>
        <v/>
      </c>
      <c r="E76" t="str">
        <f>IFERROR(__xludf.DUMMYFUNCTION("""COMPUTED_VALUE"""),"")</f>
        <v/>
      </c>
      <c r="F76" t="str">
        <f>IFERROR(__xludf.DUMMYFUNCTION("""COMPUTED_VALUE"""),"")</f>
        <v/>
      </c>
      <c r="G76" t="str">
        <f>IFERROR(__xludf.DUMMYFUNCTION("""COMPUTED_VALUE"""),"")</f>
        <v/>
      </c>
      <c r="H76" t="str">
        <f>IFERROR(__xludf.DUMMYFUNCTION("""COMPUTED_VALUE"""),"")</f>
        <v/>
      </c>
      <c r="I76" t="str">
        <f>IFERROR(__xludf.DUMMYFUNCTION("""COMPUTED_VALUE"""),"")</f>
        <v/>
      </c>
      <c r="J76" t="str">
        <f>IFERROR(__xludf.DUMMYFUNCTION("""COMPUTED_VALUE"""),"")</f>
        <v/>
      </c>
      <c r="K76" t="str">
        <f>IFERROR(__xludf.DUMMYFUNCTION("""COMPUTED_VALUE"""),"")</f>
        <v/>
      </c>
      <c r="L76" t="str">
        <f>IFERROR(__xludf.DUMMYFUNCTION("""COMPUTED_VALUE"""),"")</f>
        <v/>
      </c>
      <c r="M76" t="str">
        <f>IFERROR(__xludf.DUMMYFUNCTION("""COMPUTED_VALUE"""),"")</f>
        <v/>
      </c>
      <c r="N76" t="str">
        <f>IFERROR(__xludf.DUMMYFUNCTION("""COMPUTED_VALUE"""),"")</f>
        <v/>
      </c>
      <c r="O76" t="str">
        <f>IFERROR(__xludf.DUMMYFUNCTION("""COMPUTED_VALUE"""),"")</f>
        <v/>
      </c>
      <c r="P76" t="str">
        <f>IFERROR(__xludf.DUMMYFUNCTION("""COMPUTED_VALUE"""),"")</f>
        <v/>
      </c>
      <c r="Q76" t="str">
        <f>IFERROR(__xludf.DUMMYFUNCTION("""COMPUTED_VALUE"""),"")</f>
        <v/>
      </c>
      <c r="R76" t="str">
        <f>IFERROR(__xludf.DUMMYFUNCTION("""COMPUTED_VALUE"""),"")</f>
        <v/>
      </c>
      <c r="S76" t="str">
        <f>IFERROR(__xludf.DUMMYFUNCTION("""COMPUTED_VALUE"""),"")</f>
        <v/>
      </c>
      <c r="T76" t="str">
        <f>IFERROR(__xludf.DUMMYFUNCTION("""COMPUTED_VALUE"""),"")</f>
        <v/>
      </c>
      <c r="U76" t="str">
        <f>IFERROR(__xludf.DUMMYFUNCTION("""COMPUTED_VALUE"""),"")</f>
        <v/>
      </c>
      <c r="V76" t="str">
        <f>IFERROR(__xludf.DUMMYFUNCTION("""COMPUTED_VALUE"""),"")</f>
        <v/>
      </c>
      <c r="W76" t="str">
        <f>IFERROR(__xludf.DUMMYFUNCTION("""COMPUTED_VALUE"""),"")</f>
        <v/>
      </c>
    </row>
    <row r="77">
      <c r="A77" t="str">
        <f>IFERROR(__xludf.DUMMYFUNCTION("""COMPUTED_VALUE"""),"")</f>
        <v/>
      </c>
      <c r="B77" t="str">
        <f>IFERROR(__xludf.DUMMYFUNCTION("""COMPUTED_VALUE"""),"")</f>
        <v/>
      </c>
      <c r="C77" t="str">
        <f>IFERROR(__xludf.DUMMYFUNCTION("""COMPUTED_VALUE"""),"")</f>
        <v/>
      </c>
      <c r="D77" t="str">
        <f>IFERROR(__xludf.DUMMYFUNCTION("""COMPUTED_VALUE"""),"")</f>
        <v/>
      </c>
      <c r="E77" t="str">
        <f>IFERROR(__xludf.DUMMYFUNCTION("""COMPUTED_VALUE"""),"")</f>
        <v/>
      </c>
      <c r="F77" t="str">
        <f>IFERROR(__xludf.DUMMYFUNCTION("""COMPUTED_VALUE"""),"")</f>
        <v/>
      </c>
      <c r="G77" t="str">
        <f>IFERROR(__xludf.DUMMYFUNCTION("""COMPUTED_VALUE"""),"")</f>
        <v/>
      </c>
      <c r="H77" t="str">
        <f>IFERROR(__xludf.DUMMYFUNCTION("""COMPUTED_VALUE"""),"")</f>
        <v/>
      </c>
      <c r="I77" t="str">
        <f>IFERROR(__xludf.DUMMYFUNCTION("""COMPUTED_VALUE"""),"")</f>
        <v/>
      </c>
      <c r="J77" t="str">
        <f>IFERROR(__xludf.DUMMYFUNCTION("""COMPUTED_VALUE"""),"")</f>
        <v/>
      </c>
      <c r="K77" t="str">
        <f>IFERROR(__xludf.DUMMYFUNCTION("""COMPUTED_VALUE"""),"")</f>
        <v/>
      </c>
      <c r="L77" t="str">
        <f>IFERROR(__xludf.DUMMYFUNCTION("""COMPUTED_VALUE"""),"")</f>
        <v/>
      </c>
      <c r="M77" t="str">
        <f>IFERROR(__xludf.DUMMYFUNCTION("""COMPUTED_VALUE"""),"")</f>
        <v/>
      </c>
      <c r="N77" t="str">
        <f>IFERROR(__xludf.DUMMYFUNCTION("""COMPUTED_VALUE"""),"")</f>
        <v/>
      </c>
      <c r="O77" t="str">
        <f>IFERROR(__xludf.DUMMYFUNCTION("""COMPUTED_VALUE"""),"")</f>
        <v/>
      </c>
      <c r="P77" t="str">
        <f>IFERROR(__xludf.DUMMYFUNCTION("""COMPUTED_VALUE"""),"")</f>
        <v/>
      </c>
      <c r="Q77" t="str">
        <f>IFERROR(__xludf.DUMMYFUNCTION("""COMPUTED_VALUE"""),"")</f>
        <v/>
      </c>
      <c r="R77" t="str">
        <f>IFERROR(__xludf.DUMMYFUNCTION("""COMPUTED_VALUE"""),"")</f>
        <v/>
      </c>
      <c r="S77" t="str">
        <f>IFERROR(__xludf.DUMMYFUNCTION("""COMPUTED_VALUE"""),"")</f>
        <v/>
      </c>
      <c r="T77" t="str">
        <f>IFERROR(__xludf.DUMMYFUNCTION("""COMPUTED_VALUE"""),"")</f>
        <v/>
      </c>
      <c r="U77" t="str">
        <f>IFERROR(__xludf.DUMMYFUNCTION("""COMPUTED_VALUE"""),"")</f>
        <v/>
      </c>
      <c r="V77" t="str">
        <f>IFERROR(__xludf.DUMMYFUNCTION("""COMPUTED_VALUE"""),"")</f>
        <v/>
      </c>
      <c r="W77" t="str">
        <f>IFERROR(__xludf.DUMMYFUNCTION("""COMPUTED_VALUE"""),"")</f>
        <v/>
      </c>
    </row>
    <row r="78">
      <c r="A78" t="str">
        <f>IFERROR(__xludf.DUMMYFUNCTION("""COMPUTED_VALUE"""),"")</f>
        <v/>
      </c>
      <c r="B78" t="str">
        <f>IFERROR(__xludf.DUMMYFUNCTION("""COMPUTED_VALUE"""),"")</f>
        <v/>
      </c>
      <c r="C78" t="str">
        <f>IFERROR(__xludf.DUMMYFUNCTION("""COMPUTED_VALUE"""),"")</f>
        <v/>
      </c>
      <c r="D78" t="str">
        <f>IFERROR(__xludf.DUMMYFUNCTION("""COMPUTED_VALUE"""),"")</f>
        <v/>
      </c>
      <c r="E78" t="str">
        <f>IFERROR(__xludf.DUMMYFUNCTION("""COMPUTED_VALUE"""),"")</f>
        <v/>
      </c>
      <c r="F78" t="str">
        <f>IFERROR(__xludf.DUMMYFUNCTION("""COMPUTED_VALUE"""),"")</f>
        <v/>
      </c>
      <c r="G78" t="str">
        <f>IFERROR(__xludf.DUMMYFUNCTION("""COMPUTED_VALUE"""),"")</f>
        <v/>
      </c>
      <c r="H78" t="str">
        <f>IFERROR(__xludf.DUMMYFUNCTION("""COMPUTED_VALUE"""),"")</f>
        <v/>
      </c>
      <c r="I78" t="str">
        <f>IFERROR(__xludf.DUMMYFUNCTION("""COMPUTED_VALUE"""),"")</f>
        <v/>
      </c>
      <c r="J78" t="str">
        <f>IFERROR(__xludf.DUMMYFUNCTION("""COMPUTED_VALUE"""),"")</f>
        <v/>
      </c>
      <c r="K78" t="str">
        <f>IFERROR(__xludf.DUMMYFUNCTION("""COMPUTED_VALUE"""),"")</f>
        <v/>
      </c>
      <c r="L78" t="str">
        <f>IFERROR(__xludf.DUMMYFUNCTION("""COMPUTED_VALUE"""),"")</f>
        <v/>
      </c>
      <c r="M78" t="str">
        <f>IFERROR(__xludf.DUMMYFUNCTION("""COMPUTED_VALUE"""),"")</f>
        <v/>
      </c>
      <c r="N78" t="str">
        <f>IFERROR(__xludf.DUMMYFUNCTION("""COMPUTED_VALUE"""),"")</f>
        <v/>
      </c>
      <c r="O78" t="str">
        <f>IFERROR(__xludf.DUMMYFUNCTION("""COMPUTED_VALUE"""),"")</f>
        <v/>
      </c>
      <c r="P78" t="str">
        <f>IFERROR(__xludf.DUMMYFUNCTION("""COMPUTED_VALUE"""),"")</f>
        <v/>
      </c>
      <c r="Q78" t="str">
        <f>IFERROR(__xludf.DUMMYFUNCTION("""COMPUTED_VALUE"""),"")</f>
        <v/>
      </c>
      <c r="R78" t="str">
        <f>IFERROR(__xludf.DUMMYFUNCTION("""COMPUTED_VALUE"""),"")</f>
        <v/>
      </c>
      <c r="S78" t="str">
        <f>IFERROR(__xludf.DUMMYFUNCTION("""COMPUTED_VALUE"""),"")</f>
        <v/>
      </c>
      <c r="T78" t="str">
        <f>IFERROR(__xludf.DUMMYFUNCTION("""COMPUTED_VALUE"""),"")</f>
        <v/>
      </c>
      <c r="U78" t="str">
        <f>IFERROR(__xludf.DUMMYFUNCTION("""COMPUTED_VALUE"""),"")</f>
        <v/>
      </c>
      <c r="V78" t="str">
        <f>IFERROR(__xludf.DUMMYFUNCTION("""COMPUTED_VALUE"""),"")</f>
        <v/>
      </c>
      <c r="W78" t="str">
        <f>IFERROR(__xludf.DUMMYFUNCTION("""COMPUTED_VALUE"""),"")</f>
        <v/>
      </c>
    </row>
    <row r="79">
      <c r="A79" t="str">
        <f>IFERROR(__xludf.DUMMYFUNCTION("""COMPUTED_VALUE"""),"")</f>
        <v/>
      </c>
      <c r="B79" t="str">
        <f>IFERROR(__xludf.DUMMYFUNCTION("""COMPUTED_VALUE"""),"")</f>
        <v/>
      </c>
      <c r="C79" t="str">
        <f>IFERROR(__xludf.DUMMYFUNCTION("""COMPUTED_VALUE"""),"")</f>
        <v/>
      </c>
      <c r="D79" t="str">
        <f>IFERROR(__xludf.DUMMYFUNCTION("""COMPUTED_VALUE"""),"")</f>
        <v/>
      </c>
      <c r="E79" t="str">
        <f>IFERROR(__xludf.DUMMYFUNCTION("""COMPUTED_VALUE"""),"")</f>
        <v/>
      </c>
      <c r="F79" t="str">
        <f>IFERROR(__xludf.DUMMYFUNCTION("""COMPUTED_VALUE"""),"")</f>
        <v/>
      </c>
      <c r="G79" t="str">
        <f>IFERROR(__xludf.DUMMYFUNCTION("""COMPUTED_VALUE"""),"")</f>
        <v/>
      </c>
      <c r="H79" t="str">
        <f>IFERROR(__xludf.DUMMYFUNCTION("""COMPUTED_VALUE"""),"")</f>
        <v/>
      </c>
      <c r="I79" t="str">
        <f>IFERROR(__xludf.DUMMYFUNCTION("""COMPUTED_VALUE"""),"")</f>
        <v/>
      </c>
      <c r="J79" t="str">
        <f>IFERROR(__xludf.DUMMYFUNCTION("""COMPUTED_VALUE"""),"")</f>
        <v/>
      </c>
      <c r="K79" t="str">
        <f>IFERROR(__xludf.DUMMYFUNCTION("""COMPUTED_VALUE"""),"")</f>
        <v/>
      </c>
      <c r="L79" t="str">
        <f>IFERROR(__xludf.DUMMYFUNCTION("""COMPUTED_VALUE"""),"")</f>
        <v/>
      </c>
      <c r="M79" t="str">
        <f>IFERROR(__xludf.DUMMYFUNCTION("""COMPUTED_VALUE"""),"")</f>
        <v/>
      </c>
      <c r="N79" t="str">
        <f>IFERROR(__xludf.DUMMYFUNCTION("""COMPUTED_VALUE"""),"")</f>
        <v/>
      </c>
      <c r="O79" t="str">
        <f>IFERROR(__xludf.DUMMYFUNCTION("""COMPUTED_VALUE"""),"")</f>
        <v/>
      </c>
      <c r="P79" t="str">
        <f>IFERROR(__xludf.DUMMYFUNCTION("""COMPUTED_VALUE"""),"")</f>
        <v/>
      </c>
      <c r="Q79" t="str">
        <f>IFERROR(__xludf.DUMMYFUNCTION("""COMPUTED_VALUE"""),"")</f>
        <v/>
      </c>
      <c r="R79" t="str">
        <f>IFERROR(__xludf.DUMMYFUNCTION("""COMPUTED_VALUE"""),"")</f>
        <v/>
      </c>
      <c r="S79" t="str">
        <f>IFERROR(__xludf.DUMMYFUNCTION("""COMPUTED_VALUE"""),"")</f>
        <v/>
      </c>
      <c r="T79" t="str">
        <f>IFERROR(__xludf.DUMMYFUNCTION("""COMPUTED_VALUE"""),"")</f>
        <v/>
      </c>
      <c r="U79" t="str">
        <f>IFERROR(__xludf.DUMMYFUNCTION("""COMPUTED_VALUE"""),"")</f>
        <v/>
      </c>
      <c r="V79" t="str">
        <f>IFERROR(__xludf.DUMMYFUNCTION("""COMPUTED_VALUE"""),"")</f>
        <v/>
      </c>
      <c r="W79" t="str">
        <f>IFERROR(__xludf.DUMMYFUNCTION("""COMPUTED_VALUE"""),"")</f>
        <v/>
      </c>
    </row>
    <row r="80">
      <c r="A80" t="str">
        <f>IFERROR(__xludf.DUMMYFUNCTION("""COMPUTED_VALUE"""),"")</f>
        <v/>
      </c>
      <c r="B80" t="str">
        <f>IFERROR(__xludf.DUMMYFUNCTION("""COMPUTED_VALUE"""),"")</f>
        <v/>
      </c>
      <c r="C80" t="str">
        <f>IFERROR(__xludf.DUMMYFUNCTION("""COMPUTED_VALUE"""),"")</f>
        <v/>
      </c>
      <c r="D80" t="str">
        <f>IFERROR(__xludf.DUMMYFUNCTION("""COMPUTED_VALUE"""),"")</f>
        <v/>
      </c>
      <c r="E80" t="str">
        <f>IFERROR(__xludf.DUMMYFUNCTION("""COMPUTED_VALUE"""),"")</f>
        <v/>
      </c>
      <c r="F80" t="str">
        <f>IFERROR(__xludf.DUMMYFUNCTION("""COMPUTED_VALUE"""),"")</f>
        <v/>
      </c>
      <c r="G80" t="str">
        <f>IFERROR(__xludf.DUMMYFUNCTION("""COMPUTED_VALUE"""),"")</f>
        <v/>
      </c>
      <c r="H80" t="str">
        <f>IFERROR(__xludf.DUMMYFUNCTION("""COMPUTED_VALUE"""),"")</f>
        <v/>
      </c>
      <c r="I80" t="str">
        <f>IFERROR(__xludf.DUMMYFUNCTION("""COMPUTED_VALUE"""),"")</f>
        <v/>
      </c>
      <c r="J80" t="str">
        <f>IFERROR(__xludf.DUMMYFUNCTION("""COMPUTED_VALUE"""),"")</f>
        <v/>
      </c>
      <c r="K80" t="str">
        <f>IFERROR(__xludf.DUMMYFUNCTION("""COMPUTED_VALUE"""),"")</f>
        <v/>
      </c>
      <c r="L80" t="str">
        <f>IFERROR(__xludf.DUMMYFUNCTION("""COMPUTED_VALUE"""),"")</f>
        <v/>
      </c>
      <c r="M80" t="str">
        <f>IFERROR(__xludf.DUMMYFUNCTION("""COMPUTED_VALUE"""),"")</f>
        <v/>
      </c>
      <c r="N80" t="str">
        <f>IFERROR(__xludf.DUMMYFUNCTION("""COMPUTED_VALUE"""),"")</f>
        <v/>
      </c>
      <c r="O80" t="str">
        <f>IFERROR(__xludf.DUMMYFUNCTION("""COMPUTED_VALUE"""),"")</f>
        <v/>
      </c>
      <c r="P80" t="str">
        <f>IFERROR(__xludf.DUMMYFUNCTION("""COMPUTED_VALUE"""),"")</f>
        <v/>
      </c>
      <c r="Q80" t="str">
        <f>IFERROR(__xludf.DUMMYFUNCTION("""COMPUTED_VALUE"""),"")</f>
        <v/>
      </c>
      <c r="R80" t="str">
        <f>IFERROR(__xludf.DUMMYFUNCTION("""COMPUTED_VALUE"""),"")</f>
        <v/>
      </c>
      <c r="S80" t="str">
        <f>IFERROR(__xludf.DUMMYFUNCTION("""COMPUTED_VALUE"""),"")</f>
        <v/>
      </c>
      <c r="T80" t="str">
        <f>IFERROR(__xludf.DUMMYFUNCTION("""COMPUTED_VALUE"""),"")</f>
        <v/>
      </c>
      <c r="U80" t="str">
        <f>IFERROR(__xludf.DUMMYFUNCTION("""COMPUTED_VALUE"""),"")</f>
        <v/>
      </c>
      <c r="V80" t="str">
        <f>IFERROR(__xludf.DUMMYFUNCTION("""COMPUTED_VALUE"""),"")</f>
        <v/>
      </c>
      <c r="W80" t="str">
        <f>IFERROR(__xludf.DUMMYFUNCTION("""COMPUTED_VALUE"""),"")</f>
        <v/>
      </c>
    </row>
    <row r="81">
      <c r="A81" t="str">
        <f>IFERROR(__xludf.DUMMYFUNCTION("""COMPUTED_VALUE"""),"")</f>
        <v/>
      </c>
      <c r="B81" t="str">
        <f>IFERROR(__xludf.DUMMYFUNCTION("""COMPUTED_VALUE"""),"")</f>
        <v/>
      </c>
      <c r="C81" t="str">
        <f>IFERROR(__xludf.DUMMYFUNCTION("""COMPUTED_VALUE"""),"")</f>
        <v/>
      </c>
      <c r="D81" t="str">
        <f>IFERROR(__xludf.DUMMYFUNCTION("""COMPUTED_VALUE"""),"")</f>
        <v/>
      </c>
      <c r="E81" t="str">
        <f>IFERROR(__xludf.DUMMYFUNCTION("""COMPUTED_VALUE"""),"")</f>
        <v/>
      </c>
      <c r="F81" t="str">
        <f>IFERROR(__xludf.DUMMYFUNCTION("""COMPUTED_VALUE"""),"")</f>
        <v/>
      </c>
      <c r="G81" t="str">
        <f>IFERROR(__xludf.DUMMYFUNCTION("""COMPUTED_VALUE"""),"")</f>
        <v/>
      </c>
      <c r="H81" t="str">
        <f>IFERROR(__xludf.DUMMYFUNCTION("""COMPUTED_VALUE"""),"")</f>
        <v/>
      </c>
      <c r="I81" t="str">
        <f>IFERROR(__xludf.DUMMYFUNCTION("""COMPUTED_VALUE"""),"")</f>
        <v/>
      </c>
      <c r="J81" t="str">
        <f>IFERROR(__xludf.DUMMYFUNCTION("""COMPUTED_VALUE"""),"")</f>
        <v/>
      </c>
      <c r="K81" t="str">
        <f>IFERROR(__xludf.DUMMYFUNCTION("""COMPUTED_VALUE"""),"")</f>
        <v/>
      </c>
      <c r="L81" t="str">
        <f>IFERROR(__xludf.DUMMYFUNCTION("""COMPUTED_VALUE"""),"")</f>
        <v/>
      </c>
      <c r="M81" t="str">
        <f>IFERROR(__xludf.DUMMYFUNCTION("""COMPUTED_VALUE"""),"")</f>
        <v/>
      </c>
      <c r="N81" t="str">
        <f>IFERROR(__xludf.DUMMYFUNCTION("""COMPUTED_VALUE"""),"")</f>
        <v/>
      </c>
      <c r="O81" t="str">
        <f>IFERROR(__xludf.DUMMYFUNCTION("""COMPUTED_VALUE"""),"")</f>
        <v/>
      </c>
      <c r="P81" t="str">
        <f>IFERROR(__xludf.DUMMYFUNCTION("""COMPUTED_VALUE"""),"")</f>
        <v/>
      </c>
      <c r="Q81" t="str">
        <f>IFERROR(__xludf.DUMMYFUNCTION("""COMPUTED_VALUE"""),"")</f>
        <v/>
      </c>
      <c r="R81" t="str">
        <f>IFERROR(__xludf.DUMMYFUNCTION("""COMPUTED_VALUE"""),"")</f>
        <v/>
      </c>
      <c r="S81" t="str">
        <f>IFERROR(__xludf.DUMMYFUNCTION("""COMPUTED_VALUE"""),"")</f>
        <v/>
      </c>
      <c r="T81" t="str">
        <f>IFERROR(__xludf.DUMMYFUNCTION("""COMPUTED_VALUE"""),"")</f>
        <v/>
      </c>
      <c r="U81" t="str">
        <f>IFERROR(__xludf.DUMMYFUNCTION("""COMPUTED_VALUE"""),"")</f>
        <v/>
      </c>
      <c r="V81" t="str">
        <f>IFERROR(__xludf.DUMMYFUNCTION("""COMPUTED_VALUE"""),"")</f>
        <v/>
      </c>
      <c r="W81" t="str">
        <f>IFERROR(__xludf.DUMMYFUNCTION("""COMPUTED_VALUE"""),"")</f>
        <v/>
      </c>
    </row>
    <row r="82">
      <c r="A82" t="str">
        <f>IFERROR(__xludf.DUMMYFUNCTION("""COMPUTED_VALUE"""),"")</f>
        <v/>
      </c>
      <c r="B82" t="str">
        <f>IFERROR(__xludf.DUMMYFUNCTION("""COMPUTED_VALUE"""),"")</f>
        <v/>
      </c>
      <c r="C82" t="str">
        <f>IFERROR(__xludf.DUMMYFUNCTION("""COMPUTED_VALUE"""),"")</f>
        <v/>
      </c>
      <c r="D82" t="str">
        <f>IFERROR(__xludf.DUMMYFUNCTION("""COMPUTED_VALUE"""),"")</f>
        <v/>
      </c>
      <c r="E82" t="str">
        <f>IFERROR(__xludf.DUMMYFUNCTION("""COMPUTED_VALUE"""),"")</f>
        <v/>
      </c>
      <c r="F82" t="str">
        <f>IFERROR(__xludf.DUMMYFUNCTION("""COMPUTED_VALUE"""),"")</f>
        <v/>
      </c>
      <c r="G82" t="str">
        <f>IFERROR(__xludf.DUMMYFUNCTION("""COMPUTED_VALUE"""),"")</f>
        <v/>
      </c>
      <c r="H82" t="str">
        <f>IFERROR(__xludf.DUMMYFUNCTION("""COMPUTED_VALUE"""),"")</f>
        <v/>
      </c>
      <c r="I82" t="str">
        <f>IFERROR(__xludf.DUMMYFUNCTION("""COMPUTED_VALUE"""),"")</f>
        <v/>
      </c>
      <c r="J82" t="str">
        <f>IFERROR(__xludf.DUMMYFUNCTION("""COMPUTED_VALUE"""),"")</f>
        <v/>
      </c>
      <c r="K82" t="str">
        <f>IFERROR(__xludf.DUMMYFUNCTION("""COMPUTED_VALUE"""),"")</f>
        <v/>
      </c>
      <c r="L82" t="str">
        <f>IFERROR(__xludf.DUMMYFUNCTION("""COMPUTED_VALUE"""),"")</f>
        <v/>
      </c>
      <c r="M82" t="str">
        <f>IFERROR(__xludf.DUMMYFUNCTION("""COMPUTED_VALUE"""),"")</f>
        <v/>
      </c>
      <c r="N82" t="str">
        <f>IFERROR(__xludf.DUMMYFUNCTION("""COMPUTED_VALUE"""),"")</f>
        <v/>
      </c>
      <c r="O82" t="str">
        <f>IFERROR(__xludf.DUMMYFUNCTION("""COMPUTED_VALUE"""),"")</f>
        <v/>
      </c>
      <c r="P82" t="str">
        <f>IFERROR(__xludf.DUMMYFUNCTION("""COMPUTED_VALUE"""),"")</f>
        <v/>
      </c>
      <c r="Q82" t="str">
        <f>IFERROR(__xludf.DUMMYFUNCTION("""COMPUTED_VALUE"""),"")</f>
        <v/>
      </c>
      <c r="R82" t="str">
        <f>IFERROR(__xludf.DUMMYFUNCTION("""COMPUTED_VALUE"""),"")</f>
        <v/>
      </c>
      <c r="S82" t="str">
        <f>IFERROR(__xludf.DUMMYFUNCTION("""COMPUTED_VALUE"""),"")</f>
        <v/>
      </c>
      <c r="T82" t="str">
        <f>IFERROR(__xludf.DUMMYFUNCTION("""COMPUTED_VALUE"""),"")</f>
        <v/>
      </c>
      <c r="U82" t="str">
        <f>IFERROR(__xludf.DUMMYFUNCTION("""COMPUTED_VALUE"""),"")</f>
        <v/>
      </c>
      <c r="V82" t="str">
        <f>IFERROR(__xludf.DUMMYFUNCTION("""COMPUTED_VALUE"""),"")</f>
        <v/>
      </c>
      <c r="W82" t="str">
        <f>IFERROR(__xludf.DUMMYFUNCTION("""COMPUTED_VALUE"""),"")</f>
        <v/>
      </c>
    </row>
    <row r="83">
      <c r="A83" t="str">
        <f>IFERROR(__xludf.DUMMYFUNCTION("""COMPUTED_VALUE"""),"")</f>
        <v/>
      </c>
      <c r="B83" t="str">
        <f>IFERROR(__xludf.DUMMYFUNCTION("""COMPUTED_VALUE"""),"")</f>
        <v/>
      </c>
      <c r="C83" t="str">
        <f>IFERROR(__xludf.DUMMYFUNCTION("""COMPUTED_VALUE"""),"")</f>
        <v/>
      </c>
      <c r="D83" t="str">
        <f>IFERROR(__xludf.DUMMYFUNCTION("""COMPUTED_VALUE"""),"")</f>
        <v/>
      </c>
      <c r="E83" t="str">
        <f>IFERROR(__xludf.DUMMYFUNCTION("""COMPUTED_VALUE"""),"")</f>
        <v/>
      </c>
      <c r="F83" t="str">
        <f>IFERROR(__xludf.DUMMYFUNCTION("""COMPUTED_VALUE"""),"")</f>
        <v/>
      </c>
      <c r="G83" t="str">
        <f>IFERROR(__xludf.DUMMYFUNCTION("""COMPUTED_VALUE"""),"")</f>
        <v/>
      </c>
      <c r="H83" t="str">
        <f>IFERROR(__xludf.DUMMYFUNCTION("""COMPUTED_VALUE"""),"")</f>
        <v/>
      </c>
      <c r="I83" t="str">
        <f>IFERROR(__xludf.DUMMYFUNCTION("""COMPUTED_VALUE"""),"")</f>
        <v/>
      </c>
      <c r="J83" t="str">
        <f>IFERROR(__xludf.DUMMYFUNCTION("""COMPUTED_VALUE"""),"")</f>
        <v/>
      </c>
      <c r="K83" t="str">
        <f>IFERROR(__xludf.DUMMYFUNCTION("""COMPUTED_VALUE"""),"")</f>
        <v/>
      </c>
      <c r="L83" t="str">
        <f>IFERROR(__xludf.DUMMYFUNCTION("""COMPUTED_VALUE"""),"")</f>
        <v/>
      </c>
      <c r="M83" t="str">
        <f>IFERROR(__xludf.DUMMYFUNCTION("""COMPUTED_VALUE"""),"")</f>
        <v/>
      </c>
      <c r="N83" t="str">
        <f>IFERROR(__xludf.DUMMYFUNCTION("""COMPUTED_VALUE"""),"")</f>
        <v/>
      </c>
      <c r="O83" t="str">
        <f>IFERROR(__xludf.DUMMYFUNCTION("""COMPUTED_VALUE"""),"")</f>
        <v/>
      </c>
      <c r="P83" t="str">
        <f>IFERROR(__xludf.DUMMYFUNCTION("""COMPUTED_VALUE"""),"")</f>
        <v/>
      </c>
      <c r="Q83" t="str">
        <f>IFERROR(__xludf.DUMMYFUNCTION("""COMPUTED_VALUE"""),"")</f>
        <v/>
      </c>
      <c r="R83" t="str">
        <f>IFERROR(__xludf.DUMMYFUNCTION("""COMPUTED_VALUE"""),"")</f>
        <v/>
      </c>
      <c r="S83" t="str">
        <f>IFERROR(__xludf.DUMMYFUNCTION("""COMPUTED_VALUE"""),"")</f>
        <v/>
      </c>
      <c r="T83" t="str">
        <f>IFERROR(__xludf.DUMMYFUNCTION("""COMPUTED_VALUE"""),"")</f>
        <v/>
      </c>
      <c r="U83" t="str">
        <f>IFERROR(__xludf.DUMMYFUNCTION("""COMPUTED_VALUE"""),"")</f>
        <v/>
      </c>
      <c r="V83" t="str">
        <f>IFERROR(__xludf.DUMMYFUNCTION("""COMPUTED_VALUE"""),"")</f>
        <v/>
      </c>
      <c r="W83" t="str">
        <f>IFERROR(__xludf.DUMMYFUNCTION("""COMPUTED_VALUE"""),"")</f>
        <v/>
      </c>
    </row>
    <row r="84">
      <c r="A84" t="str">
        <f>IFERROR(__xludf.DUMMYFUNCTION("""COMPUTED_VALUE"""),"")</f>
        <v/>
      </c>
      <c r="B84" t="str">
        <f>IFERROR(__xludf.DUMMYFUNCTION("""COMPUTED_VALUE"""),"")</f>
        <v/>
      </c>
      <c r="C84" t="str">
        <f>IFERROR(__xludf.DUMMYFUNCTION("""COMPUTED_VALUE"""),"")</f>
        <v/>
      </c>
      <c r="D84" t="str">
        <f>IFERROR(__xludf.DUMMYFUNCTION("""COMPUTED_VALUE"""),"")</f>
        <v/>
      </c>
      <c r="E84" t="str">
        <f>IFERROR(__xludf.DUMMYFUNCTION("""COMPUTED_VALUE"""),"")</f>
        <v/>
      </c>
      <c r="F84" t="str">
        <f>IFERROR(__xludf.DUMMYFUNCTION("""COMPUTED_VALUE"""),"")</f>
        <v/>
      </c>
      <c r="G84" t="str">
        <f>IFERROR(__xludf.DUMMYFUNCTION("""COMPUTED_VALUE"""),"")</f>
        <v/>
      </c>
      <c r="H84" t="str">
        <f>IFERROR(__xludf.DUMMYFUNCTION("""COMPUTED_VALUE"""),"")</f>
        <v/>
      </c>
      <c r="I84" t="str">
        <f>IFERROR(__xludf.DUMMYFUNCTION("""COMPUTED_VALUE"""),"")</f>
        <v/>
      </c>
      <c r="J84" t="str">
        <f>IFERROR(__xludf.DUMMYFUNCTION("""COMPUTED_VALUE"""),"")</f>
        <v/>
      </c>
      <c r="K84" t="str">
        <f>IFERROR(__xludf.DUMMYFUNCTION("""COMPUTED_VALUE"""),"")</f>
        <v/>
      </c>
      <c r="L84" t="str">
        <f>IFERROR(__xludf.DUMMYFUNCTION("""COMPUTED_VALUE"""),"")</f>
        <v/>
      </c>
      <c r="M84" t="str">
        <f>IFERROR(__xludf.DUMMYFUNCTION("""COMPUTED_VALUE"""),"")</f>
        <v/>
      </c>
      <c r="N84" t="str">
        <f>IFERROR(__xludf.DUMMYFUNCTION("""COMPUTED_VALUE"""),"")</f>
        <v/>
      </c>
      <c r="O84" t="str">
        <f>IFERROR(__xludf.DUMMYFUNCTION("""COMPUTED_VALUE"""),"")</f>
        <v/>
      </c>
      <c r="P84" t="str">
        <f>IFERROR(__xludf.DUMMYFUNCTION("""COMPUTED_VALUE"""),"")</f>
        <v/>
      </c>
      <c r="Q84" t="str">
        <f>IFERROR(__xludf.DUMMYFUNCTION("""COMPUTED_VALUE"""),"")</f>
        <v/>
      </c>
      <c r="R84" t="str">
        <f>IFERROR(__xludf.DUMMYFUNCTION("""COMPUTED_VALUE"""),"")</f>
        <v/>
      </c>
      <c r="S84" t="str">
        <f>IFERROR(__xludf.DUMMYFUNCTION("""COMPUTED_VALUE"""),"")</f>
        <v/>
      </c>
      <c r="T84" t="str">
        <f>IFERROR(__xludf.DUMMYFUNCTION("""COMPUTED_VALUE"""),"")</f>
        <v/>
      </c>
      <c r="U84" t="str">
        <f>IFERROR(__xludf.DUMMYFUNCTION("""COMPUTED_VALUE"""),"")</f>
        <v/>
      </c>
      <c r="V84" t="str">
        <f>IFERROR(__xludf.DUMMYFUNCTION("""COMPUTED_VALUE"""),"")</f>
        <v/>
      </c>
      <c r="W84" t="str">
        <f>IFERROR(__xludf.DUMMYFUNCTION("""COMPUTED_VALUE"""),"")</f>
        <v/>
      </c>
    </row>
    <row r="85">
      <c r="A85" t="str">
        <f>IFERROR(__xludf.DUMMYFUNCTION("""COMPUTED_VALUE"""),"")</f>
        <v/>
      </c>
      <c r="B85" t="str">
        <f>IFERROR(__xludf.DUMMYFUNCTION("""COMPUTED_VALUE"""),"")</f>
        <v/>
      </c>
      <c r="C85" t="str">
        <f>IFERROR(__xludf.DUMMYFUNCTION("""COMPUTED_VALUE"""),"")</f>
        <v/>
      </c>
      <c r="D85" t="str">
        <f>IFERROR(__xludf.DUMMYFUNCTION("""COMPUTED_VALUE"""),"")</f>
        <v/>
      </c>
      <c r="E85" t="str">
        <f>IFERROR(__xludf.DUMMYFUNCTION("""COMPUTED_VALUE"""),"")</f>
        <v/>
      </c>
      <c r="F85" t="str">
        <f>IFERROR(__xludf.DUMMYFUNCTION("""COMPUTED_VALUE"""),"")</f>
        <v/>
      </c>
      <c r="G85" t="str">
        <f>IFERROR(__xludf.DUMMYFUNCTION("""COMPUTED_VALUE"""),"")</f>
        <v/>
      </c>
      <c r="H85" t="str">
        <f>IFERROR(__xludf.DUMMYFUNCTION("""COMPUTED_VALUE"""),"")</f>
        <v/>
      </c>
      <c r="I85" t="str">
        <f>IFERROR(__xludf.DUMMYFUNCTION("""COMPUTED_VALUE"""),"")</f>
        <v/>
      </c>
      <c r="J85" t="str">
        <f>IFERROR(__xludf.DUMMYFUNCTION("""COMPUTED_VALUE"""),"")</f>
        <v/>
      </c>
      <c r="K85" t="str">
        <f>IFERROR(__xludf.DUMMYFUNCTION("""COMPUTED_VALUE"""),"")</f>
        <v/>
      </c>
      <c r="L85" t="str">
        <f>IFERROR(__xludf.DUMMYFUNCTION("""COMPUTED_VALUE"""),"")</f>
        <v/>
      </c>
      <c r="M85" t="str">
        <f>IFERROR(__xludf.DUMMYFUNCTION("""COMPUTED_VALUE"""),"")</f>
        <v/>
      </c>
      <c r="N85" t="str">
        <f>IFERROR(__xludf.DUMMYFUNCTION("""COMPUTED_VALUE"""),"")</f>
        <v/>
      </c>
      <c r="O85" t="str">
        <f>IFERROR(__xludf.DUMMYFUNCTION("""COMPUTED_VALUE"""),"")</f>
        <v/>
      </c>
      <c r="P85" t="str">
        <f>IFERROR(__xludf.DUMMYFUNCTION("""COMPUTED_VALUE"""),"")</f>
        <v/>
      </c>
      <c r="Q85" t="str">
        <f>IFERROR(__xludf.DUMMYFUNCTION("""COMPUTED_VALUE"""),"")</f>
        <v/>
      </c>
      <c r="R85" t="str">
        <f>IFERROR(__xludf.DUMMYFUNCTION("""COMPUTED_VALUE"""),"")</f>
        <v/>
      </c>
      <c r="S85" t="str">
        <f>IFERROR(__xludf.DUMMYFUNCTION("""COMPUTED_VALUE"""),"")</f>
        <v/>
      </c>
      <c r="T85" t="str">
        <f>IFERROR(__xludf.DUMMYFUNCTION("""COMPUTED_VALUE"""),"")</f>
        <v/>
      </c>
      <c r="U85" t="str">
        <f>IFERROR(__xludf.DUMMYFUNCTION("""COMPUTED_VALUE"""),"")</f>
        <v/>
      </c>
      <c r="V85" t="str">
        <f>IFERROR(__xludf.DUMMYFUNCTION("""COMPUTED_VALUE"""),"")</f>
        <v/>
      </c>
      <c r="W85" t="str">
        <f>IFERROR(__xludf.DUMMYFUNCTION("""COMPUTED_VALUE"""),"")</f>
        <v/>
      </c>
    </row>
    <row r="86">
      <c r="A86" t="str">
        <f>IFERROR(__xludf.DUMMYFUNCTION("""COMPUTED_VALUE"""),"")</f>
        <v/>
      </c>
      <c r="B86" t="str">
        <f>IFERROR(__xludf.DUMMYFUNCTION("""COMPUTED_VALUE"""),"")</f>
        <v/>
      </c>
      <c r="C86" t="str">
        <f>IFERROR(__xludf.DUMMYFUNCTION("""COMPUTED_VALUE"""),"")</f>
        <v/>
      </c>
      <c r="D86" t="str">
        <f>IFERROR(__xludf.DUMMYFUNCTION("""COMPUTED_VALUE"""),"")</f>
        <v/>
      </c>
      <c r="E86" t="str">
        <f>IFERROR(__xludf.DUMMYFUNCTION("""COMPUTED_VALUE"""),"")</f>
        <v/>
      </c>
      <c r="F86" t="str">
        <f>IFERROR(__xludf.DUMMYFUNCTION("""COMPUTED_VALUE"""),"")</f>
        <v/>
      </c>
      <c r="G86" t="str">
        <f>IFERROR(__xludf.DUMMYFUNCTION("""COMPUTED_VALUE"""),"")</f>
        <v/>
      </c>
      <c r="H86" t="str">
        <f>IFERROR(__xludf.DUMMYFUNCTION("""COMPUTED_VALUE"""),"")</f>
        <v/>
      </c>
      <c r="I86" t="str">
        <f>IFERROR(__xludf.DUMMYFUNCTION("""COMPUTED_VALUE"""),"")</f>
        <v/>
      </c>
      <c r="J86" t="str">
        <f>IFERROR(__xludf.DUMMYFUNCTION("""COMPUTED_VALUE"""),"")</f>
        <v/>
      </c>
      <c r="K86" t="str">
        <f>IFERROR(__xludf.DUMMYFUNCTION("""COMPUTED_VALUE"""),"")</f>
        <v/>
      </c>
      <c r="L86" t="str">
        <f>IFERROR(__xludf.DUMMYFUNCTION("""COMPUTED_VALUE"""),"")</f>
        <v/>
      </c>
      <c r="M86" t="str">
        <f>IFERROR(__xludf.DUMMYFUNCTION("""COMPUTED_VALUE"""),"")</f>
        <v/>
      </c>
      <c r="N86" t="str">
        <f>IFERROR(__xludf.DUMMYFUNCTION("""COMPUTED_VALUE"""),"")</f>
        <v/>
      </c>
      <c r="O86" t="str">
        <f>IFERROR(__xludf.DUMMYFUNCTION("""COMPUTED_VALUE"""),"")</f>
        <v/>
      </c>
      <c r="P86" t="str">
        <f>IFERROR(__xludf.DUMMYFUNCTION("""COMPUTED_VALUE"""),"")</f>
        <v/>
      </c>
      <c r="Q86" t="str">
        <f>IFERROR(__xludf.DUMMYFUNCTION("""COMPUTED_VALUE"""),"")</f>
        <v/>
      </c>
      <c r="R86" t="str">
        <f>IFERROR(__xludf.DUMMYFUNCTION("""COMPUTED_VALUE"""),"")</f>
        <v/>
      </c>
      <c r="S86" t="str">
        <f>IFERROR(__xludf.DUMMYFUNCTION("""COMPUTED_VALUE"""),"")</f>
        <v/>
      </c>
      <c r="T86" t="str">
        <f>IFERROR(__xludf.DUMMYFUNCTION("""COMPUTED_VALUE"""),"")</f>
        <v/>
      </c>
      <c r="U86" t="str">
        <f>IFERROR(__xludf.DUMMYFUNCTION("""COMPUTED_VALUE"""),"")</f>
        <v/>
      </c>
      <c r="V86" t="str">
        <f>IFERROR(__xludf.DUMMYFUNCTION("""COMPUTED_VALUE"""),"")</f>
        <v/>
      </c>
      <c r="W86" t="str">
        <f>IFERROR(__xludf.DUMMYFUNCTION("""COMPUTED_VALUE"""),"")</f>
        <v/>
      </c>
    </row>
    <row r="87">
      <c r="A87" t="str">
        <f>IFERROR(__xludf.DUMMYFUNCTION("""COMPUTED_VALUE"""),"")</f>
        <v/>
      </c>
      <c r="B87" t="str">
        <f>IFERROR(__xludf.DUMMYFUNCTION("""COMPUTED_VALUE"""),"")</f>
        <v/>
      </c>
      <c r="C87" t="str">
        <f>IFERROR(__xludf.DUMMYFUNCTION("""COMPUTED_VALUE"""),"")</f>
        <v/>
      </c>
      <c r="D87" t="str">
        <f>IFERROR(__xludf.DUMMYFUNCTION("""COMPUTED_VALUE"""),"")</f>
        <v/>
      </c>
      <c r="E87" t="str">
        <f>IFERROR(__xludf.DUMMYFUNCTION("""COMPUTED_VALUE"""),"")</f>
        <v/>
      </c>
      <c r="F87" t="str">
        <f>IFERROR(__xludf.DUMMYFUNCTION("""COMPUTED_VALUE"""),"")</f>
        <v/>
      </c>
      <c r="G87" t="str">
        <f>IFERROR(__xludf.DUMMYFUNCTION("""COMPUTED_VALUE"""),"")</f>
        <v/>
      </c>
      <c r="H87" t="str">
        <f>IFERROR(__xludf.DUMMYFUNCTION("""COMPUTED_VALUE"""),"")</f>
        <v/>
      </c>
      <c r="I87" t="str">
        <f>IFERROR(__xludf.DUMMYFUNCTION("""COMPUTED_VALUE"""),"")</f>
        <v/>
      </c>
      <c r="J87" t="str">
        <f>IFERROR(__xludf.DUMMYFUNCTION("""COMPUTED_VALUE"""),"")</f>
        <v/>
      </c>
      <c r="K87" t="str">
        <f>IFERROR(__xludf.DUMMYFUNCTION("""COMPUTED_VALUE"""),"")</f>
        <v/>
      </c>
      <c r="L87" t="str">
        <f>IFERROR(__xludf.DUMMYFUNCTION("""COMPUTED_VALUE"""),"")</f>
        <v/>
      </c>
      <c r="M87" t="str">
        <f>IFERROR(__xludf.DUMMYFUNCTION("""COMPUTED_VALUE"""),"")</f>
        <v/>
      </c>
      <c r="N87" t="str">
        <f>IFERROR(__xludf.DUMMYFUNCTION("""COMPUTED_VALUE"""),"")</f>
        <v/>
      </c>
      <c r="O87" t="str">
        <f>IFERROR(__xludf.DUMMYFUNCTION("""COMPUTED_VALUE"""),"")</f>
        <v/>
      </c>
      <c r="P87" t="str">
        <f>IFERROR(__xludf.DUMMYFUNCTION("""COMPUTED_VALUE"""),"")</f>
        <v/>
      </c>
      <c r="Q87" t="str">
        <f>IFERROR(__xludf.DUMMYFUNCTION("""COMPUTED_VALUE"""),"")</f>
        <v/>
      </c>
      <c r="R87" t="str">
        <f>IFERROR(__xludf.DUMMYFUNCTION("""COMPUTED_VALUE"""),"")</f>
        <v/>
      </c>
      <c r="S87" t="str">
        <f>IFERROR(__xludf.DUMMYFUNCTION("""COMPUTED_VALUE"""),"")</f>
        <v/>
      </c>
      <c r="T87" t="str">
        <f>IFERROR(__xludf.DUMMYFUNCTION("""COMPUTED_VALUE"""),"")</f>
        <v/>
      </c>
      <c r="U87" t="str">
        <f>IFERROR(__xludf.DUMMYFUNCTION("""COMPUTED_VALUE"""),"")</f>
        <v/>
      </c>
      <c r="V87" t="str">
        <f>IFERROR(__xludf.DUMMYFUNCTION("""COMPUTED_VALUE"""),"")</f>
        <v/>
      </c>
      <c r="W87" t="str">
        <f>IFERROR(__xludf.DUMMYFUNCTION("""COMPUTED_VALUE"""),"")</f>
        <v/>
      </c>
    </row>
    <row r="88">
      <c r="A88" t="str">
        <f>IFERROR(__xludf.DUMMYFUNCTION("""COMPUTED_VALUE"""),"")</f>
        <v/>
      </c>
      <c r="B88" t="str">
        <f>IFERROR(__xludf.DUMMYFUNCTION("""COMPUTED_VALUE"""),"")</f>
        <v/>
      </c>
      <c r="C88" t="str">
        <f>IFERROR(__xludf.DUMMYFUNCTION("""COMPUTED_VALUE"""),"")</f>
        <v/>
      </c>
      <c r="D88" t="str">
        <f>IFERROR(__xludf.DUMMYFUNCTION("""COMPUTED_VALUE"""),"")</f>
        <v/>
      </c>
      <c r="E88" t="str">
        <f>IFERROR(__xludf.DUMMYFUNCTION("""COMPUTED_VALUE"""),"")</f>
        <v/>
      </c>
      <c r="F88" t="str">
        <f>IFERROR(__xludf.DUMMYFUNCTION("""COMPUTED_VALUE"""),"")</f>
        <v/>
      </c>
      <c r="G88" t="str">
        <f>IFERROR(__xludf.DUMMYFUNCTION("""COMPUTED_VALUE"""),"")</f>
        <v/>
      </c>
      <c r="H88" t="str">
        <f>IFERROR(__xludf.DUMMYFUNCTION("""COMPUTED_VALUE"""),"")</f>
        <v/>
      </c>
      <c r="I88" t="str">
        <f>IFERROR(__xludf.DUMMYFUNCTION("""COMPUTED_VALUE"""),"")</f>
        <v/>
      </c>
      <c r="J88" t="str">
        <f>IFERROR(__xludf.DUMMYFUNCTION("""COMPUTED_VALUE"""),"")</f>
        <v/>
      </c>
      <c r="K88" t="str">
        <f>IFERROR(__xludf.DUMMYFUNCTION("""COMPUTED_VALUE"""),"")</f>
        <v/>
      </c>
      <c r="L88" t="str">
        <f>IFERROR(__xludf.DUMMYFUNCTION("""COMPUTED_VALUE"""),"")</f>
        <v/>
      </c>
      <c r="M88" t="str">
        <f>IFERROR(__xludf.DUMMYFUNCTION("""COMPUTED_VALUE"""),"")</f>
        <v/>
      </c>
      <c r="N88" t="str">
        <f>IFERROR(__xludf.DUMMYFUNCTION("""COMPUTED_VALUE"""),"")</f>
        <v/>
      </c>
      <c r="O88" t="str">
        <f>IFERROR(__xludf.DUMMYFUNCTION("""COMPUTED_VALUE"""),"")</f>
        <v/>
      </c>
      <c r="P88" t="str">
        <f>IFERROR(__xludf.DUMMYFUNCTION("""COMPUTED_VALUE"""),"")</f>
        <v/>
      </c>
      <c r="Q88" t="str">
        <f>IFERROR(__xludf.DUMMYFUNCTION("""COMPUTED_VALUE"""),"")</f>
        <v/>
      </c>
      <c r="R88" t="str">
        <f>IFERROR(__xludf.DUMMYFUNCTION("""COMPUTED_VALUE"""),"")</f>
        <v/>
      </c>
      <c r="S88" t="str">
        <f>IFERROR(__xludf.DUMMYFUNCTION("""COMPUTED_VALUE"""),"")</f>
        <v/>
      </c>
      <c r="T88" t="str">
        <f>IFERROR(__xludf.DUMMYFUNCTION("""COMPUTED_VALUE"""),"")</f>
        <v/>
      </c>
      <c r="U88" t="str">
        <f>IFERROR(__xludf.DUMMYFUNCTION("""COMPUTED_VALUE"""),"")</f>
        <v/>
      </c>
      <c r="V88" t="str">
        <f>IFERROR(__xludf.DUMMYFUNCTION("""COMPUTED_VALUE"""),"")</f>
        <v/>
      </c>
      <c r="W88" t="str">
        <f>IFERROR(__xludf.DUMMYFUNCTION("""COMPUTED_VALUE"""),"")</f>
        <v/>
      </c>
    </row>
    <row r="89">
      <c r="A89" t="str">
        <f>IFERROR(__xludf.DUMMYFUNCTION("""COMPUTED_VALUE"""),"")</f>
        <v/>
      </c>
      <c r="B89" t="str">
        <f>IFERROR(__xludf.DUMMYFUNCTION("""COMPUTED_VALUE"""),"")</f>
        <v/>
      </c>
      <c r="C89" t="str">
        <f>IFERROR(__xludf.DUMMYFUNCTION("""COMPUTED_VALUE"""),"")</f>
        <v/>
      </c>
      <c r="D89" t="str">
        <f>IFERROR(__xludf.DUMMYFUNCTION("""COMPUTED_VALUE"""),"")</f>
        <v/>
      </c>
      <c r="E89" t="str">
        <f>IFERROR(__xludf.DUMMYFUNCTION("""COMPUTED_VALUE"""),"")</f>
        <v/>
      </c>
      <c r="F89" t="str">
        <f>IFERROR(__xludf.DUMMYFUNCTION("""COMPUTED_VALUE"""),"")</f>
        <v/>
      </c>
      <c r="G89" t="str">
        <f>IFERROR(__xludf.DUMMYFUNCTION("""COMPUTED_VALUE"""),"")</f>
        <v/>
      </c>
      <c r="H89" t="str">
        <f>IFERROR(__xludf.DUMMYFUNCTION("""COMPUTED_VALUE"""),"")</f>
        <v/>
      </c>
      <c r="I89" t="str">
        <f>IFERROR(__xludf.DUMMYFUNCTION("""COMPUTED_VALUE"""),"")</f>
        <v/>
      </c>
      <c r="J89" t="str">
        <f>IFERROR(__xludf.DUMMYFUNCTION("""COMPUTED_VALUE"""),"")</f>
        <v/>
      </c>
      <c r="K89" t="str">
        <f>IFERROR(__xludf.DUMMYFUNCTION("""COMPUTED_VALUE"""),"")</f>
        <v/>
      </c>
      <c r="L89" t="str">
        <f>IFERROR(__xludf.DUMMYFUNCTION("""COMPUTED_VALUE"""),"")</f>
        <v/>
      </c>
      <c r="M89" t="str">
        <f>IFERROR(__xludf.DUMMYFUNCTION("""COMPUTED_VALUE"""),"")</f>
        <v/>
      </c>
      <c r="N89" t="str">
        <f>IFERROR(__xludf.DUMMYFUNCTION("""COMPUTED_VALUE"""),"")</f>
        <v/>
      </c>
      <c r="O89" t="str">
        <f>IFERROR(__xludf.DUMMYFUNCTION("""COMPUTED_VALUE"""),"")</f>
        <v/>
      </c>
      <c r="P89" t="str">
        <f>IFERROR(__xludf.DUMMYFUNCTION("""COMPUTED_VALUE"""),"")</f>
        <v/>
      </c>
      <c r="Q89" t="str">
        <f>IFERROR(__xludf.DUMMYFUNCTION("""COMPUTED_VALUE"""),"")</f>
        <v/>
      </c>
      <c r="R89" t="str">
        <f>IFERROR(__xludf.DUMMYFUNCTION("""COMPUTED_VALUE"""),"")</f>
        <v/>
      </c>
      <c r="S89" t="str">
        <f>IFERROR(__xludf.DUMMYFUNCTION("""COMPUTED_VALUE"""),"")</f>
        <v/>
      </c>
      <c r="T89" t="str">
        <f>IFERROR(__xludf.DUMMYFUNCTION("""COMPUTED_VALUE"""),"")</f>
        <v/>
      </c>
      <c r="U89" t="str">
        <f>IFERROR(__xludf.DUMMYFUNCTION("""COMPUTED_VALUE"""),"")</f>
        <v/>
      </c>
      <c r="V89" t="str">
        <f>IFERROR(__xludf.DUMMYFUNCTION("""COMPUTED_VALUE"""),"")</f>
        <v/>
      </c>
      <c r="W89" t="str">
        <f>IFERROR(__xludf.DUMMYFUNCTION("""COMPUTED_VALUE"""),"")</f>
        <v/>
      </c>
    </row>
    <row r="90">
      <c r="A90" t="str">
        <f>IFERROR(__xludf.DUMMYFUNCTION("""COMPUTED_VALUE"""),"")</f>
        <v/>
      </c>
      <c r="B90" t="str">
        <f>IFERROR(__xludf.DUMMYFUNCTION("""COMPUTED_VALUE"""),"")</f>
        <v/>
      </c>
      <c r="C90" t="str">
        <f>IFERROR(__xludf.DUMMYFUNCTION("""COMPUTED_VALUE"""),"")</f>
        <v/>
      </c>
      <c r="D90" t="str">
        <f>IFERROR(__xludf.DUMMYFUNCTION("""COMPUTED_VALUE"""),"")</f>
        <v/>
      </c>
      <c r="E90" t="str">
        <f>IFERROR(__xludf.DUMMYFUNCTION("""COMPUTED_VALUE"""),"")</f>
        <v/>
      </c>
      <c r="F90" t="str">
        <f>IFERROR(__xludf.DUMMYFUNCTION("""COMPUTED_VALUE"""),"")</f>
        <v/>
      </c>
      <c r="G90" t="str">
        <f>IFERROR(__xludf.DUMMYFUNCTION("""COMPUTED_VALUE"""),"")</f>
        <v/>
      </c>
      <c r="H90" t="str">
        <f>IFERROR(__xludf.DUMMYFUNCTION("""COMPUTED_VALUE"""),"")</f>
        <v/>
      </c>
      <c r="I90" t="str">
        <f>IFERROR(__xludf.DUMMYFUNCTION("""COMPUTED_VALUE"""),"")</f>
        <v/>
      </c>
      <c r="J90" t="str">
        <f>IFERROR(__xludf.DUMMYFUNCTION("""COMPUTED_VALUE"""),"")</f>
        <v/>
      </c>
      <c r="K90" t="str">
        <f>IFERROR(__xludf.DUMMYFUNCTION("""COMPUTED_VALUE"""),"")</f>
        <v/>
      </c>
      <c r="L90" t="str">
        <f>IFERROR(__xludf.DUMMYFUNCTION("""COMPUTED_VALUE"""),"")</f>
        <v/>
      </c>
      <c r="M90" t="str">
        <f>IFERROR(__xludf.DUMMYFUNCTION("""COMPUTED_VALUE"""),"")</f>
        <v/>
      </c>
      <c r="N90" t="str">
        <f>IFERROR(__xludf.DUMMYFUNCTION("""COMPUTED_VALUE"""),"")</f>
        <v/>
      </c>
      <c r="O90" t="str">
        <f>IFERROR(__xludf.DUMMYFUNCTION("""COMPUTED_VALUE"""),"")</f>
        <v/>
      </c>
      <c r="P90" t="str">
        <f>IFERROR(__xludf.DUMMYFUNCTION("""COMPUTED_VALUE"""),"")</f>
        <v/>
      </c>
      <c r="Q90" t="str">
        <f>IFERROR(__xludf.DUMMYFUNCTION("""COMPUTED_VALUE"""),"")</f>
        <v/>
      </c>
      <c r="R90" t="str">
        <f>IFERROR(__xludf.DUMMYFUNCTION("""COMPUTED_VALUE"""),"")</f>
        <v/>
      </c>
      <c r="S90" t="str">
        <f>IFERROR(__xludf.DUMMYFUNCTION("""COMPUTED_VALUE"""),"")</f>
        <v/>
      </c>
      <c r="T90" t="str">
        <f>IFERROR(__xludf.DUMMYFUNCTION("""COMPUTED_VALUE"""),"")</f>
        <v/>
      </c>
      <c r="U90" t="str">
        <f>IFERROR(__xludf.DUMMYFUNCTION("""COMPUTED_VALUE"""),"")</f>
        <v/>
      </c>
      <c r="V90" t="str">
        <f>IFERROR(__xludf.DUMMYFUNCTION("""COMPUTED_VALUE"""),"")</f>
        <v/>
      </c>
      <c r="W90" t="str">
        <f>IFERROR(__xludf.DUMMYFUNCTION("""COMPUTED_VALUE"""),"")</f>
        <v/>
      </c>
    </row>
    <row r="91">
      <c r="A91" t="str">
        <f>IFERROR(__xludf.DUMMYFUNCTION("""COMPUTED_VALUE"""),"")</f>
        <v/>
      </c>
      <c r="B91" t="str">
        <f>IFERROR(__xludf.DUMMYFUNCTION("""COMPUTED_VALUE"""),"")</f>
        <v/>
      </c>
      <c r="C91" t="str">
        <f>IFERROR(__xludf.DUMMYFUNCTION("""COMPUTED_VALUE"""),"")</f>
        <v/>
      </c>
      <c r="D91" t="str">
        <f>IFERROR(__xludf.DUMMYFUNCTION("""COMPUTED_VALUE"""),"")</f>
        <v/>
      </c>
      <c r="E91" t="str">
        <f>IFERROR(__xludf.DUMMYFUNCTION("""COMPUTED_VALUE"""),"")</f>
        <v/>
      </c>
      <c r="F91" t="str">
        <f>IFERROR(__xludf.DUMMYFUNCTION("""COMPUTED_VALUE"""),"")</f>
        <v/>
      </c>
      <c r="G91" t="str">
        <f>IFERROR(__xludf.DUMMYFUNCTION("""COMPUTED_VALUE"""),"")</f>
        <v/>
      </c>
      <c r="H91" t="str">
        <f>IFERROR(__xludf.DUMMYFUNCTION("""COMPUTED_VALUE"""),"")</f>
        <v/>
      </c>
      <c r="I91" t="str">
        <f>IFERROR(__xludf.DUMMYFUNCTION("""COMPUTED_VALUE"""),"")</f>
        <v/>
      </c>
      <c r="J91" t="str">
        <f>IFERROR(__xludf.DUMMYFUNCTION("""COMPUTED_VALUE"""),"")</f>
        <v/>
      </c>
      <c r="K91" t="str">
        <f>IFERROR(__xludf.DUMMYFUNCTION("""COMPUTED_VALUE"""),"")</f>
        <v/>
      </c>
      <c r="L91" t="str">
        <f>IFERROR(__xludf.DUMMYFUNCTION("""COMPUTED_VALUE"""),"")</f>
        <v/>
      </c>
      <c r="M91" t="str">
        <f>IFERROR(__xludf.DUMMYFUNCTION("""COMPUTED_VALUE"""),"")</f>
        <v/>
      </c>
      <c r="N91" t="str">
        <f>IFERROR(__xludf.DUMMYFUNCTION("""COMPUTED_VALUE"""),"")</f>
        <v/>
      </c>
      <c r="O91" t="str">
        <f>IFERROR(__xludf.DUMMYFUNCTION("""COMPUTED_VALUE"""),"")</f>
        <v/>
      </c>
      <c r="P91" t="str">
        <f>IFERROR(__xludf.DUMMYFUNCTION("""COMPUTED_VALUE"""),"")</f>
        <v/>
      </c>
      <c r="Q91" t="str">
        <f>IFERROR(__xludf.DUMMYFUNCTION("""COMPUTED_VALUE"""),"")</f>
        <v/>
      </c>
      <c r="R91" t="str">
        <f>IFERROR(__xludf.DUMMYFUNCTION("""COMPUTED_VALUE"""),"")</f>
        <v/>
      </c>
      <c r="S91" t="str">
        <f>IFERROR(__xludf.DUMMYFUNCTION("""COMPUTED_VALUE"""),"")</f>
        <v/>
      </c>
      <c r="T91" t="str">
        <f>IFERROR(__xludf.DUMMYFUNCTION("""COMPUTED_VALUE"""),"")</f>
        <v/>
      </c>
      <c r="U91" t="str">
        <f>IFERROR(__xludf.DUMMYFUNCTION("""COMPUTED_VALUE"""),"")</f>
        <v/>
      </c>
      <c r="V91" t="str">
        <f>IFERROR(__xludf.DUMMYFUNCTION("""COMPUTED_VALUE"""),"")</f>
        <v/>
      </c>
      <c r="W91" t="str">
        <f>IFERROR(__xludf.DUMMYFUNCTION("""COMPUTED_VALUE"""),"")</f>
        <v/>
      </c>
    </row>
    <row r="92">
      <c r="A92" t="str">
        <f>IFERROR(__xludf.DUMMYFUNCTION("""COMPUTED_VALUE"""),"")</f>
        <v/>
      </c>
      <c r="B92" t="str">
        <f>IFERROR(__xludf.DUMMYFUNCTION("""COMPUTED_VALUE"""),"")</f>
        <v/>
      </c>
      <c r="C92" t="str">
        <f>IFERROR(__xludf.DUMMYFUNCTION("""COMPUTED_VALUE"""),"")</f>
        <v/>
      </c>
      <c r="D92" t="str">
        <f>IFERROR(__xludf.DUMMYFUNCTION("""COMPUTED_VALUE"""),"")</f>
        <v/>
      </c>
      <c r="E92" t="str">
        <f>IFERROR(__xludf.DUMMYFUNCTION("""COMPUTED_VALUE"""),"")</f>
        <v/>
      </c>
      <c r="F92" t="str">
        <f>IFERROR(__xludf.DUMMYFUNCTION("""COMPUTED_VALUE"""),"")</f>
        <v/>
      </c>
      <c r="G92" t="str">
        <f>IFERROR(__xludf.DUMMYFUNCTION("""COMPUTED_VALUE"""),"")</f>
        <v/>
      </c>
      <c r="H92" t="str">
        <f>IFERROR(__xludf.DUMMYFUNCTION("""COMPUTED_VALUE"""),"")</f>
        <v/>
      </c>
      <c r="I92" t="str">
        <f>IFERROR(__xludf.DUMMYFUNCTION("""COMPUTED_VALUE"""),"")</f>
        <v/>
      </c>
      <c r="J92" t="str">
        <f>IFERROR(__xludf.DUMMYFUNCTION("""COMPUTED_VALUE"""),"")</f>
        <v/>
      </c>
      <c r="K92" t="str">
        <f>IFERROR(__xludf.DUMMYFUNCTION("""COMPUTED_VALUE"""),"")</f>
        <v/>
      </c>
      <c r="L92" t="str">
        <f>IFERROR(__xludf.DUMMYFUNCTION("""COMPUTED_VALUE"""),"")</f>
        <v/>
      </c>
      <c r="M92" t="str">
        <f>IFERROR(__xludf.DUMMYFUNCTION("""COMPUTED_VALUE"""),"")</f>
        <v/>
      </c>
      <c r="N92" t="str">
        <f>IFERROR(__xludf.DUMMYFUNCTION("""COMPUTED_VALUE"""),"")</f>
        <v/>
      </c>
      <c r="O92" t="str">
        <f>IFERROR(__xludf.DUMMYFUNCTION("""COMPUTED_VALUE"""),"")</f>
        <v/>
      </c>
      <c r="P92" t="str">
        <f>IFERROR(__xludf.DUMMYFUNCTION("""COMPUTED_VALUE"""),"")</f>
        <v/>
      </c>
      <c r="Q92" t="str">
        <f>IFERROR(__xludf.DUMMYFUNCTION("""COMPUTED_VALUE"""),"")</f>
        <v/>
      </c>
      <c r="R92" t="str">
        <f>IFERROR(__xludf.DUMMYFUNCTION("""COMPUTED_VALUE"""),"")</f>
        <v/>
      </c>
      <c r="S92" t="str">
        <f>IFERROR(__xludf.DUMMYFUNCTION("""COMPUTED_VALUE"""),"")</f>
        <v/>
      </c>
      <c r="T92" t="str">
        <f>IFERROR(__xludf.DUMMYFUNCTION("""COMPUTED_VALUE"""),"")</f>
        <v/>
      </c>
      <c r="U92" t="str">
        <f>IFERROR(__xludf.DUMMYFUNCTION("""COMPUTED_VALUE"""),"")</f>
        <v/>
      </c>
      <c r="V92" t="str">
        <f>IFERROR(__xludf.DUMMYFUNCTION("""COMPUTED_VALUE"""),"")</f>
        <v/>
      </c>
      <c r="W92" t="str">
        <f>IFERROR(__xludf.DUMMYFUNCTION("""COMPUTED_VALUE"""),"")</f>
        <v/>
      </c>
    </row>
    <row r="93">
      <c r="A93" t="str">
        <f>IFERROR(__xludf.DUMMYFUNCTION("""COMPUTED_VALUE"""),"")</f>
        <v/>
      </c>
      <c r="B93" t="str">
        <f>IFERROR(__xludf.DUMMYFUNCTION("""COMPUTED_VALUE"""),"")</f>
        <v/>
      </c>
      <c r="C93" t="str">
        <f>IFERROR(__xludf.DUMMYFUNCTION("""COMPUTED_VALUE"""),"")</f>
        <v/>
      </c>
      <c r="D93" t="str">
        <f>IFERROR(__xludf.DUMMYFUNCTION("""COMPUTED_VALUE"""),"")</f>
        <v/>
      </c>
      <c r="E93" t="str">
        <f>IFERROR(__xludf.DUMMYFUNCTION("""COMPUTED_VALUE"""),"")</f>
        <v/>
      </c>
      <c r="F93" t="str">
        <f>IFERROR(__xludf.DUMMYFUNCTION("""COMPUTED_VALUE"""),"")</f>
        <v/>
      </c>
      <c r="G93" t="str">
        <f>IFERROR(__xludf.DUMMYFUNCTION("""COMPUTED_VALUE"""),"")</f>
        <v/>
      </c>
      <c r="H93" t="str">
        <f>IFERROR(__xludf.DUMMYFUNCTION("""COMPUTED_VALUE"""),"")</f>
        <v/>
      </c>
      <c r="I93" t="str">
        <f>IFERROR(__xludf.DUMMYFUNCTION("""COMPUTED_VALUE"""),"")</f>
        <v/>
      </c>
      <c r="J93" t="str">
        <f>IFERROR(__xludf.DUMMYFUNCTION("""COMPUTED_VALUE"""),"")</f>
        <v/>
      </c>
      <c r="K93" t="str">
        <f>IFERROR(__xludf.DUMMYFUNCTION("""COMPUTED_VALUE"""),"")</f>
        <v/>
      </c>
      <c r="L93" t="str">
        <f>IFERROR(__xludf.DUMMYFUNCTION("""COMPUTED_VALUE"""),"")</f>
        <v/>
      </c>
      <c r="M93" t="str">
        <f>IFERROR(__xludf.DUMMYFUNCTION("""COMPUTED_VALUE"""),"")</f>
        <v/>
      </c>
      <c r="N93" t="str">
        <f>IFERROR(__xludf.DUMMYFUNCTION("""COMPUTED_VALUE"""),"")</f>
        <v/>
      </c>
      <c r="O93" t="str">
        <f>IFERROR(__xludf.DUMMYFUNCTION("""COMPUTED_VALUE"""),"")</f>
        <v/>
      </c>
      <c r="P93" t="str">
        <f>IFERROR(__xludf.DUMMYFUNCTION("""COMPUTED_VALUE"""),"")</f>
        <v/>
      </c>
      <c r="Q93" t="str">
        <f>IFERROR(__xludf.DUMMYFUNCTION("""COMPUTED_VALUE"""),"")</f>
        <v/>
      </c>
      <c r="R93" t="str">
        <f>IFERROR(__xludf.DUMMYFUNCTION("""COMPUTED_VALUE"""),"")</f>
        <v/>
      </c>
      <c r="S93" t="str">
        <f>IFERROR(__xludf.DUMMYFUNCTION("""COMPUTED_VALUE"""),"")</f>
        <v/>
      </c>
      <c r="T93" t="str">
        <f>IFERROR(__xludf.DUMMYFUNCTION("""COMPUTED_VALUE"""),"")</f>
        <v/>
      </c>
      <c r="U93" t="str">
        <f>IFERROR(__xludf.DUMMYFUNCTION("""COMPUTED_VALUE"""),"")</f>
        <v/>
      </c>
      <c r="V93" t="str">
        <f>IFERROR(__xludf.DUMMYFUNCTION("""COMPUTED_VALUE"""),"")</f>
        <v/>
      </c>
      <c r="W93" t="str">
        <f>IFERROR(__xludf.DUMMYFUNCTION("""COMPUTED_VALUE"""),"")</f>
        <v/>
      </c>
    </row>
    <row r="94">
      <c r="A94" t="str">
        <f>IFERROR(__xludf.DUMMYFUNCTION("""COMPUTED_VALUE"""),"")</f>
        <v/>
      </c>
      <c r="B94" t="str">
        <f>IFERROR(__xludf.DUMMYFUNCTION("""COMPUTED_VALUE"""),"")</f>
        <v/>
      </c>
      <c r="C94" t="str">
        <f>IFERROR(__xludf.DUMMYFUNCTION("""COMPUTED_VALUE"""),"")</f>
        <v/>
      </c>
      <c r="D94" t="str">
        <f>IFERROR(__xludf.DUMMYFUNCTION("""COMPUTED_VALUE"""),"")</f>
        <v/>
      </c>
      <c r="E94" t="str">
        <f>IFERROR(__xludf.DUMMYFUNCTION("""COMPUTED_VALUE"""),"")</f>
        <v/>
      </c>
      <c r="F94" t="str">
        <f>IFERROR(__xludf.DUMMYFUNCTION("""COMPUTED_VALUE"""),"")</f>
        <v/>
      </c>
      <c r="G94" t="str">
        <f>IFERROR(__xludf.DUMMYFUNCTION("""COMPUTED_VALUE"""),"")</f>
        <v/>
      </c>
      <c r="H94" t="str">
        <f>IFERROR(__xludf.DUMMYFUNCTION("""COMPUTED_VALUE"""),"")</f>
        <v/>
      </c>
      <c r="I94" t="str">
        <f>IFERROR(__xludf.DUMMYFUNCTION("""COMPUTED_VALUE"""),"")</f>
        <v/>
      </c>
      <c r="J94" t="str">
        <f>IFERROR(__xludf.DUMMYFUNCTION("""COMPUTED_VALUE"""),"")</f>
        <v/>
      </c>
      <c r="K94" t="str">
        <f>IFERROR(__xludf.DUMMYFUNCTION("""COMPUTED_VALUE"""),"")</f>
        <v/>
      </c>
      <c r="L94" t="str">
        <f>IFERROR(__xludf.DUMMYFUNCTION("""COMPUTED_VALUE"""),"")</f>
        <v/>
      </c>
      <c r="M94" t="str">
        <f>IFERROR(__xludf.DUMMYFUNCTION("""COMPUTED_VALUE"""),"")</f>
        <v/>
      </c>
      <c r="N94" t="str">
        <f>IFERROR(__xludf.DUMMYFUNCTION("""COMPUTED_VALUE"""),"")</f>
        <v/>
      </c>
      <c r="O94" t="str">
        <f>IFERROR(__xludf.DUMMYFUNCTION("""COMPUTED_VALUE"""),"")</f>
        <v/>
      </c>
      <c r="P94" t="str">
        <f>IFERROR(__xludf.DUMMYFUNCTION("""COMPUTED_VALUE"""),"")</f>
        <v/>
      </c>
      <c r="Q94" t="str">
        <f>IFERROR(__xludf.DUMMYFUNCTION("""COMPUTED_VALUE"""),"")</f>
        <v/>
      </c>
      <c r="R94" t="str">
        <f>IFERROR(__xludf.DUMMYFUNCTION("""COMPUTED_VALUE"""),"")</f>
        <v/>
      </c>
      <c r="S94" t="str">
        <f>IFERROR(__xludf.DUMMYFUNCTION("""COMPUTED_VALUE"""),"")</f>
        <v/>
      </c>
      <c r="T94" t="str">
        <f>IFERROR(__xludf.DUMMYFUNCTION("""COMPUTED_VALUE"""),"")</f>
        <v/>
      </c>
      <c r="U94" t="str">
        <f>IFERROR(__xludf.DUMMYFUNCTION("""COMPUTED_VALUE"""),"")</f>
        <v/>
      </c>
      <c r="V94" t="str">
        <f>IFERROR(__xludf.DUMMYFUNCTION("""COMPUTED_VALUE"""),"")</f>
        <v/>
      </c>
      <c r="W94" t="str">
        <f>IFERROR(__xludf.DUMMYFUNCTION("""COMPUTED_VALUE"""),"")</f>
        <v/>
      </c>
    </row>
    <row r="95">
      <c r="A95" t="str">
        <f>IFERROR(__xludf.DUMMYFUNCTION("""COMPUTED_VALUE"""),"")</f>
        <v/>
      </c>
      <c r="B95" t="str">
        <f>IFERROR(__xludf.DUMMYFUNCTION("""COMPUTED_VALUE"""),"")</f>
        <v/>
      </c>
      <c r="C95" t="str">
        <f>IFERROR(__xludf.DUMMYFUNCTION("""COMPUTED_VALUE"""),"")</f>
        <v/>
      </c>
      <c r="D95" t="str">
        <f>IFERROR(__xludf.DUMMYFUNCTION("""COMPUTED_VALUE"""),"")</f>
        <v/>
      </c>
      <c r="E95" t="str">
        <f>IFERROR(__xludf.DUMMYFUNCTION("""COMPUTED_VALUE"""),"")</f>
        <v/>
      </c>
      <c r="F95" t="str">
        <f>IFERROR(__xludf.DUMMYFUNCTION("""COMPUTED_VALUE"""),"")</f>
        <v/>
      </c>
      <c r="G95" t="str">
        <f>IFERROR(__xludf.DUMMYFUNCTION("""COMPUTED_VALUE"""),"")</f>
        <v/>
      </c>
      <c r="H95" t="str">
        <f>IFERROR(__xludf.DUMMYFUNCTION("""COMPUTED_VALUE"""),"")</f>
        <v/>
      </c>
      <c r="I95" t="str">
        <f>IFERROR(__xludf.DUMMYFUNCTION("""COMPUTED_VALUE"""),"")</f>
        <v/>
      </c>
      <c r="J95" t="str">
        <f>IFERROR(__xludf.DUMMYFUNCTION("""COMPUTED_VALUE"""),"")</f>
        <v/>
      </c>
      <c r="K95" t="str">
        <f>IFERROR(__xludf.DUMMYFUNCTION("""COMPUTED_VALUE"""),"")</f>
        <v/>
      </c>
      <c r="L95" t="str">
        <f>IFERROR(__xludf.DUMMYFUNCTION("""COMPUTED_VALUE"""),"")</f>
        <v/>
      </c>
      <c r="M95" t="str">
        <f>IFERROR(__xludf.DUMMYFUNCTION("""COMPUTED_VALUE"""),"")</f>
        <v/>
      </c>
      <c r="N95" t="str">
        <f>IFERROR(__xludf.DUMMYFUNCTION("""COMPUTED_VALUE"""),"")</f>
        <v/>
      </c>
      <c r="O95" t="str">
        <f>IFERROR(__xludf.DUMMYFUNCTION("""COMPUTED_VALUE"""),"")</f>
        <v/>
      </c>
      <c r="P95" t="str">
        <f>IFERROR(__xludf.DUMMYFUNCTION("""COMPUTED_VALUE"""),"")</f>
        <v/>
      </c>
      <c r="Q95" t="str">
        <f>IFERROR(__xludf.DUMMYFUNCTION("""COMPUTED_VALUE"""),"")</f>
        <v/>
      </c>
      <c r="R95" t="str">
        <f>IFERROR(__xludf.DUMMYFUNCTION("""COMPUTED_VALUE"""),"")</f>
        <v/>
      </c>
      <c r="S95" t="str">
        <f>IFERROR(__xludf.DUMMYFUNCTION("""COMPUTED_VALUE"""),"")</f>
        <v/>
      </c>
      <c r="T95" t="str">
        <f>IFERROR(__xludf.DUMMYFUNCTION("""COMPUTED_VALUE"""),"")</f>
        <v/>
      </c>
      <c r="U95" t="str">
        <f>IFERROR(__xludf.DUMMYFUNCTION("""COMPUTED_VALUE"""),"")</f>
        <v/>
      </c>
      <c r="V95" t="str">
        <f>IFERROR(__xludf.DUMMYFUNCTION("""COMPUTED_VALUE"""),"")</f>
        <v/>
      </c>
      <c r="W95" t="str">
        <f>IFERROR(__xludf.DUMMYFUNCTION("""COMPUTED_VALUE"""),"")</f>
        <v/>
      </c>
    </row>
    <row r="96">
      <c r="A96" t="str">
        <f>IFERROR(__xludf.DUMMYFUNCTION("""COMPUTED_VALUE"""),"")</f>
        <v/>
      </c>
      <c r="B96" t="str">
        <f>IFERROR(__xludf.DUMMYFUNCTION("""COMPUTED_VALUE"""),"")</f>
        <v/>
      </c>
      <c r="C96" t="str">
        <f>IFERROR(__xludf.DUMMYFUNCTION("""COMPUTED_VALUE"""),"")</f>
        <v/>
      </c>
      <c r="D96" t="str">
        <f>IFERROR(__xludf.DUMMYFUNCTION("""COMPUTED_VALUE"""),"")</f>
        <v/>
      </c>
      <c r="E96" t="str">
        <f>IFERROR(__xludf.DUMMYFUNCTION("""COMPUTED_VALUE"""),"")</f>
        <v/>
      </c>
      <c r="F96" t="str">
        <f>IFERROR(__xludf.DUMMYFUNCTION("""COMPUTED_VALUE"""),"")</f>
        <v/>
      </c>
      <c r="G96" t="str">
        <f>IFERROR(__xludf.DUMMYFUNCTION("""COMPUTED_VALUE"""),"")</f>
        <v/>
      </c>
      <c r="H96" t="str">
        <f>IFERROR(__xludf.DUMMYFUNCTION("""COMPUTED_VALUE"""),"")</f>
        <v/>
      </c>
      <c r="I96" t="str">
        <f>IFERROR(__xludf.DUMMYFUNCTION("""COMPUTED_VALUE"""),"")</f>
        <v/>
      </c>
      <c r="J96" t="str">
        <f>IFERROR(__xludf.DUMMYFUNCTION("""COMPUTED_VALUE"""),"")</f>
        <v/>
      </c>
      <c r="K96" t="str">
        <f>IFERROR(__xludf.DUMMYFUNCTION("""COMPUTED_VALUE"""),"")</f>
        <v/>
      </c>
      <c r="L96" t="str">
        <f>IFERROR(__xludf.DUMMYFUNCTION("""COMPUTED_VALUE"""),"")</f>
        <v/>
      </c>
      <c r="M96" t="str">
        <f>IFERROR(__xludf.DUMMYFUNCTION("""COMPUTED_VALUE"""),"")</f>
        <v/>
      </c>
      <c r="N96" t="str">
        <f>IFERROR(__xludf.DUMMYFUNCTION("""COMPUTED_VALUE"""),"")</f>
        <v/>
      </c>
      <c r="O96" t="str">
        <f>IFERROR(__xludf.DUMMYFUNCTION("""COMPUTED_VALUE"""),"")</f>
        <v/>
      </c>
      <c r="P96" t="str">
        <f>IFERROR(__xludf.DUMMYFUNCTION("""COMPUTED_VALUE"""),"")</f>
        <v/>
      </c>
      <c r="Q96" t="str">
        <f>IFERROR(__xludf.DUMMYFUNCTION("""COMPUTED_VALUE"""),"")</f>
        <v/>
      </c>
      <c r="R96" t="str">
        <f>IFERROR(__xludf.DUMMYFUNCTION("""COMPUTED_VALUE"""),"")</f>
        <v/>
      </c>
      <c r="S96" t="str">
        <f>IFERROR(__xludf.DUMMYFUNCTION("""COMPUTED_VALUE"""),"")</f>
        <v/>
      </c>
      <c r="T96" t="str">
        <f>IFERROR(__xludf.DUMMYFUNCTION("""COMPUTED_VALUE"""),"")</f>
        <v/>
      </c>
      <c r="U96" t="str">
        <f>IFERROR(__xludf.DUMMYFUNCTION("""COMPUTED_VALUE"""),"")</f>
        <v/>
      </c>
      <c r="V96" t="str">
        <f>IFERROR(__xludf.DUMMYFUNCTION("""COMPUTED_VALUE"""),"")</f>
        <v/>
      </c>
      <c r="W96" t="str">
        <f>IFERROR(__xludf.DUMMYFUNCTION("""COMPUTED_VALUE"""),"")</f>
        <v/>
      </c>
    </row>
    <row r="97">
      <c r="A97" t="str">
        <f>IFERROR(__xludf.DUMMYFUNCTION("""COMPUTED_VALUE"""),"")</f>
        <v/>
      </c>
      <c r="B97" t="str">
        <f>IFERROR(__xludf.DUMMYFUNCTION("""COMPUTED_VALUE"""),"")</f>
        <v/>
      </c>
      <c r="C97" t="str">
        <f>IFERROR(__xludf.DUMMYFUNCTION("""COMPUTED_VALUE"""),"")</f>
        <v/>
      </c>
      <c r="D97" t="str">
        <f>IFERROR(__xludf.DUMMYFUNCTION("""COMPUTED_VALUE"""),"")</f>
        <v/>
      </c>
      <c r="E97" t="str">
        <f>IFERROR(__xludf.DUMMYFUNCTION("""COMPUTED_VALUE"""),"")</f>
        <v/>
      </c>
      <c r="F97" t="str">
        <f>IFERROR(__xludf.DUMMYFUNCTION("""COMPUTED_VALUE"""),"")</f>
        <v/>
      </c>
      <c r="G97" t="str">
        <f>IFERROR(__xludf.DUMMYFUNCTION("""COMPUTED_VALUE"""),"")</f>
        <v/>
      </c>
      <c r="H97" t="str">
        <f>IFERROR(__xludf.DUMMYFUNCTION("""COMPUTED_VALUE"""),"")</f>
        <v/>
      </c>
      <c r="I97" t="str">
        <f>IFERROR(__xludf.DUMMYFUNCTION("""COMPUTED_VALUE"""),"")</f>
        <v/>
      </c>
      <c r="J97" t="str">
        <f>IFERROR(__xludf.DUMMYFUNCTION("""COMPUTED_VALUE"""),"")</f>
        <v/>
      </c>
      <c r="K97" t="str">
        <f>IFERROR(__xludf.DUMMYFUNCTION("""COMPUTED_VALUE"""),"")</f>
        <v/>
      </c>
      <c r="L97" t="str">
        <f>IFERROR(__xludf.DUMMYFUNCTION("""COMPUTED_VALUE"""),"")</f>
        <v/>
      </c>
      <c r="M97" t="str">
        <f>IFERROR(__xludf.DUMMYFUNCTION("""COMPUTED_VALUE"""),"")</f>
        <v/>
      </c>
      <c r="N97" t="str">
        <f>IFERROR(__xludf.DUMMYFUNCTION("""COMPUTED_VALUE"""),"")</f>
        <v/>
      </c>
      <c r="O97" t="str">
        <f>IFERROR(__xludf.DUMMYFUNCTION("""COMPUTED_VALUE"""),"")</f>
        <v/>
      </c>
      <c r="P97" t="str">
        <f>IFERROR(__xludf.DUMMYFUNCTION("""COMPUTED_VALUE"""),"")</f>
        <v/>
      </c>
      <c r="Q97" t="str">
        <f>IFERROR(__xludf.DUMMYFUNCTION("""COMPUTED_VALUE"""),"")</f>
        <v/>
      </c>
      <c r="R97" t="str">
        <f>IFERROR(__xludf.DUMMYFUNCTION("""COMPUTED_VALUE"""),"")</f>
        <v/>
      </c>
      <c r="S97" t="str">
        <f>IFERROR(__xludf.DUMMYFUNCTION("""COMPUTED_VALUE"""),"")</f>
        <v/>
      </c>
      <c r="T97" t="str">
        <f>IFERROR(__xludf.DUMMYFUNCTION("""COMPUTED_VALUE"""),"")</f>
        <v/>
      </c>
      <c r="U97" t="str">
        <f>IFERROR(__xludf.DUMMYFUNCTION("""COMPUTED_VALUE"""),"")</f>
        <v/>
      </c>
      <c r="V97" t="str">
        <f>IFERROR(__xludf.DUMMYFUNCTION("""COMPUTED_VALUE"""),"")</f>
        <v/>
      </c>
      <c r="W97" t="str">
        <f>IFERROR(__xludf.DUMMYFUNCTION("""COMPUTED_VALUE"""),"")</f>
        <v/>
      </c>
    </row>
    <row r="98">
      <c r="A98" t="str">
        <f>IFERROR(__xludf.DUMMYFUNCTION("""COMPUTED_VALUE"""),"")</f>
        <v/>
      </c>
      <c r="B98" t="str">
        <f>IFERROR(__xludf.DUMMYFUNCTION("""COMPUTED_VALUE"""),"")</f>
        <v/>
      </c>
      <c r="C98" t="str">
        <f>IFERROR(__xludf.DUMMYFUNCTION("""COMPUTED_VALUE"""),"")</f>
        <v/>
      </c>
      <c r="D98" t="str">
        <f>IFERROR(__xludf.DUMMYFUNCTION("""COMPUTED_VALUE"""),"")</f>
        <v/>
      </c>
      <c r="E98" t="str">
        <f>IFERROR(__xludf.DUMMYFUNCTION("""COMPUTED_VALUE"""),"")</f>
        <v/>
      </c>
      <c r="F98" t="str">
        <f>IFERROR(__xludf.DUMMYFUNCTION("""COMPUTED_VALUE"""),"")</f>
        <v/>
      </c>
      <c r="G98" t="str">
        <f>IFERROR(__xludf.DUMMYFUNCTION("""COMPUTED_VALUE"""),"")</f>
        <v/>
      </c>
      <c r="H98" t="str">
        <f>IFERROR(__xludf.DUMMYFUNCTION("""COMPUTED_VALUE"""),"")</f>
        <v/>
      </c>
      <c r="I98" t="str">
        <f>IFERROR(__xludf.DUMMYFUNCTION("""COMPUTED_VALUE"""),"")</f>
        <v/>
      </c>
      <c r="J98" t="str">
        <f>IFERROR(__xludf.DUMMYFUNCTION("""COMPUTED_VALUE"""),"")</f>
        <v/>
      </c>
      <c r="K98" t="str">
        <f>IFERROR(__xludf.DUMMYFUNCTION("""COMPUTED_VALUE"""),"")</f>
        <v/>
      </c>
      <c r="L98" t="str">
        <f>IFERROR(__xludf.DUMMYFUNCTION("""COMPUTED_VALUE"""),"")</f>
        <v/>
      </c>
      <c r="M98" t="str">
        <f>IFERROR(__xludf.DUMMYFUNCTION("""COMPUTED_VALUE"""),"")</f>
        <v/>
      </c>
      <c r="N98" t="str">
        <f>IFERROR(__xludf.DUMMYFUNCTION("""COMPUTED_VALUE"""),"")</f>
        <v/>
      </c>
      <c r="O98" t="str">
        <f>IFERROR(__xludf.DUMMYFUNCTION("""COMPUTED_VALUE"""),"")</f>
        <v/>
      </c>
      <c r="P98" t="str">
        <f>IFERROR(__xludf.DUMMYFUNCTION("""COMPUTED_VALUE"""),"")</f>
        <v/>
      </c>
      <c r="Q98" t="str">
        <f>IFERROR(__xludf.DUMMYFUNCTION("""COMPUTED_VALUE"""),"")</f>
        <v/>
      </c>
      <c r="R98" t="str">
        <f>IFERROR(__xludf.DUMMYFUNCTION("""COMPUTED_VALUE"""),"")</f>
        <v/>
      </c>
      <c r="S98" t="str">
        <f>IFERROR(__xludf.DUMMYFUNCTION("""COMPUTED_VALUE"""),"")</f>
        <v/>
      </c>
      <c r="T98" t="str">
        <f>IFERROR(__xludf.DUMMYFUNCTION("""COMPUTED_VALUE"""),"")</f>
        <v/>
      </c>
      <c r="U98" t="str">
        <f>IFERROR(__xludf.DUMMYFUNCTION("""COMPUTED_VALUE"""),"")</f>
        <v/>
      </c>
      <c r="V98" t="str">
        <f>IFERROR(__xludf.DUMMYFUNCTION("""COMPUTED_VALUE"""),"")</f>
        <v/>
      </c>
      <c r="W98" t="str">
        <f>IFERROR(__xludf.DUMMYFUNCTION("""COMPUTED_VALUE"""),"")</f>
        <v/>
      </c>
    </row>
    <row r="99">
      <c r="A99" t="str">
        <f>IFERROR(__xludf.DUMMYFUNCTION("""COMPUTED_VALUE"""),"")</f>
        <v/>
      </c>
      <c r="B99" t="str">
        <f>IFERROR(__xludf.DUMMYFUNCTION("""COMPUTED_VALUE"""),"")</f>
        <v/>
      </c>
      <c r="C99" t="str">
        <f>IFERROR(__xludf.DUMMYFUNCTION("""COMPUTED_VALUE"""),"")</f>
        <v/>
      </c>
      <c r="D99" t="str">
        <f>IFERROR(__xludf.DUMMYFUNCTION("""COMPUTED_VALUE"""),"")</f>
        <v/>
      </c>
      <c r="E99" t="str">
        <f>IFERROR(__xludf.DUMMYFUNCTION("""COMPUTED_VALUE"""),"")</f>
        <v/>
      </c>
      <c r="F99" t="str">
        <f>IFERROR(__xludf.DUMMYFUNCTION("""COMPUTED_VALUE"""),"")</f>
        <v/>
      </c>
      <c r="G99" t="str">
        <f>IFERROR(__xludf.DUMMYFUNCTION("""COMPUTED_VALUE"""),"")</f>
        <v/>
      </c>
      <c r="H99" t="str">
        <f>IFERROR(__xludf.DUMMYFUNCTION("""COMPUTED_VALUE"""),"")</f>
        <v/>
      </c>
      <c r="I99" t="str">
        <f>IFERROR(__xludf.DUMMYFUNCTION("""COMPUTED_VALUE"""),"")</f>
        <v/>
      </c>
      <c r="J99" t="str">
        <f>IFERROR(__xludf.DUMMYFUNCTION("""COMPUTED_VALUE"""),"")</f>
        <v/>
      </c>
      <c r="K99" t="str">
        <f>IFERROR(__xludf.DUMMYFUNCTION("""COMPUTED_VALUE"""),"")</f>
        <v/>
      </c>
      <c r="L99" t="str">
        <f>IFERROR(__xludf.DUMMYFUNCTION("""COMPUTED_VALUE"""),"")</f>
        <v/>
      </c>
      <c r="M99" t="str">
        <f>IFERROR(__xludf.DUMMYFUNCTION("""COMPUTED_VALUE"""),"")</f>
        <v/>
      </c>
      <c r="N99" t="str">
        <f>IFERROR(__xludf.DUMMYFUNCTION("""COMPUTED_VALUE"""),"")</f>
        <v/>
      </c>
      <c r="O99" t="str">
        <f>IFERROR(__xludf.DUMMYFUNCTION("""COMPUTED_VALUE"""),"")</f>
        <v/>
      </c>
      <c r="P99" t="str">
        <f>IFERROR(__xludf.DUMMYFUNCTION("""COMPUTED_VALUE"""),"")</f>
        <v/>
      </c>
      <c r="Q99" t="str">
        <f>IFERROR(__xludf.DUMMYFUNCTION("""COMPUTED_VALUE"""),"")</f>
        <v/>
      </c>
      <c r="R99" t="str">
        <f>IFERROR(__xludf.DUMMYFUNCTION("""COMPUTED_VALUE"""),"")</f>
        <v/>
      </c>
      <c r="S99" t="str">
        <f>IFERROR(__xludf.DUMMYFUNCTION("""COMPUTED_VALUE"""),"")</f>
        <v/>
      </c>
      <c r="T99" t="str">
        <f>IFERROR(__xludf.DUMMYFUNCTION("""COMPUTED_VALUE"""),"")</f>
        <v/>
      </c>
      <c r="U99" t="str">
        <f>IFERROR(__xludf.DUMMYFUNCTION("""COMPUTED_VALUE"""),"")</f>
        <v/>
      </c>
      <c r="V99" t="str">
        <f>IFERROR(__xludf.DUMMYFUNCTION("""COMPUTED_VALUE"""),"")</f>
        <v/>
      </c>
      <c r="W99" t="str">
        <f>IFERROR(__xludf.DUMMYFUNCTION("""COMPUTED_VALUE"""),"")</f>
        <v/>
      </c>
    </row>
    <row r="100">
      <c r="A100" t="str">
        <f>IFERROR(__xludf.DUMMYFUNCTION("""COMPUTED_VALUE"""),"")</f>
        <v/>
      </c>
      <c r="B100" t="str">
        <f>IFERROR(__xludf.DUMMYFUNCTION("""COMPUTED_VALUE"""),"")</f>
        <v/>
      </c>
      <c r="C100" t="str">
        <f>IFERROR(__xludf.DUMMYFUNCTION("""COMPUTED_VALUE"""),"")</f>
        <v/>
      </c>
      <c r="D100" t="str">
        <f>IFERROR(__xludf.DUMMYFUNCTION("""COMPUTED_VALUE"""),"")</f>
        <v/>
      </c>
      <c r="E100" t="str">
        <f>IFERROR(__xludf.DUMMYFUNCTION("""COMPUTED_VALUE"""),"")</f>
        <v/>
      </c>
      <c r="F100" t="str">
        <f>IFERROR(__xludf.DUMMYFUNCTION("""COMPUTED_VALUE"""),"")</f>
        <v/>
      </c>
      <c r="G100" t="str">
        <f>IFERROR(__xludf.DUMMYFUNCTION("""COMPUTED_VALUE"""),"")</f>
        <v/>
      </c>
      <c r="H100" t="str">
        <f>IFERROR(__xludf.DUMMYFUNCTION("""COMPUTED_VALUE"""),"")</f>
        <v/>
      </c>
      <c r="I100" t="str">
        <f>IFERROR(__xludf.DUMMYFUNCTION("""COMPUTED_VALUE"""),"")</f>
        <v/>
      </c>
      <c r="J100" t="str">
        <f>IFERROR(__xludf.DUMMYFUNCTION("""COMPUTED_VALUE"""),"")</f>
        <v/>
      </c>
      <c r="K100" t="str">
        <f>IFERROR(__xludf.DUMMYFUNCTION("""COMPUTED_VALUE"""),"")</f>
        <v/>
      </c>
      <c r="L100" t="str">
        <f>IFERROR(__xludf.DUMMYFUNCTION("""COMPUTED_VALUE"""),"")</f>
        <v/>
      </c>
      <c r="M100" t="str">
        <f>IFERROR(__xludf.DUMMYFUNCTION("""COMPUTED_VALUE"""),"")</f>
        <v/>
      </c>
      <c r="N100" t="str">
        <f>IFERROR(__xludf.DUMMYFUNCTION("""COMPUTED_VALUE"""),"")</f>
        <v/>
      </c>
      <c r="O100" t="str">
        <f>IFERROR(__xludf.DUMMYFUNCTION("""COMPUTED_VALUE"""),"")</f>
        <v/>
      </c>
      <c r="P100" t="str">
        <f>IFERROR(__xludf.DUMMYFUNCTION("""COMPUTED_VALUE"""),"")</f>
        <v/>
      </c>
      <c r="Q100" t="str">
        <f>IFERROR(__xludf.DUMMYFUNCTION("""COMPUTED_VALUE"""),"")</f>
        <v/>
      </c>
      <c r="R100" t="str">
        <f>IFERROR(__xludf.DUMMYFUNCTION("""COMPUTED_VALUE"""),"")</f>
        <v/>
      </c>
      <c r="S100" t="str">
        <f>IFERROR(__xludf.DUMMYFUNCTION("""COMPUTED_VALUE"""),"")</f>
        <v/>
      </c>
      <c r="T100" t="str">
        <f>IFERROR(__xludf.DUMMYFUNCTION("""COMPUTED_VALUE"""),"")</f>
        <v/>
      </c>
      <c r="U100" t="str">
        <f>IFERROR(__xludf.DUMMYFUNCTION("""COMPUTED_VALUE"""),"")</f>
        <v/>
      </c>
      <c r="V100" t="str">
        <f>IFERROR(__xludf.DUMMYFUNCTION("""COMPUTED_VALUE"""),"")</f>
        <v/>
      </c>
      <c r="W100" t="str">
        <f>IFERROR(__xludf.DUMMYFUNCTION("""COMPUTED_VALUE"""),"")</f>
        <v/>
      </c>
    </row>
    <row r="101">
      <c r="A101" t="str">
        <f>IFERROR(__xludf.DUMMYFUNCTION("""COMPUTED_VALUE"""),"")</f>
        <v/>
      </c>
      <c r="B101" t="str">
        <f>IFERROR(__xludf.DUMMYFUNCTION("""COMPUTED_VALUE"""),"")</f>
        <v/>
      </c>
      <c r="C101" t="str">
        <f>IFERROR(__xludf.DUMMYFUNCTION("""COMPUTED_VALUE"""),"")</f>
        <v/>
      </c>
      <c r="D101" t="str">
        <f>IFERROR(__xludf.DUMMYFUNCTION("""COMPUTED_VALUE"""),"")</f>
        <v/>
      </c>
      <c r="E101" t="str">
        <f>IFERROR(__xludf.DUMMYFUNCTION("""COMPUTED_VALUE"""),"")</f>
        <v/>
      </c>
      <c r="F101" t="str">
        <f>IFERROR(__xludf.DUMMYFUNCTION("""COMPUTED_VALUE"""),"")</f>
        <v/>
      </c>
      <c r="G101" t="str">
        <f>IFERROR(__xludf.DUMMYFUNCTION("""COMPUTED_VALUE"""),"")</f>
        <v/>
      </c>
      <c r="H101" t="str">
        <f>IFERROR(__xludf.DUMMYFUNCTION("""COMPUTED_VALUE"""),"")</f>
        <v/>
      </c>
      <c r="I101" t="str">
        <f>IFERROR(__xludf.DUMMYFUNCTION("""COMPUTED_VALUE"""),"")</f>
        <v/>
      </c>
      <c r="J101" t="str">
        <f>IFERROR(__xludf.DUMMYFUNCTION("""COMPUTED_VALUE"""),"")</f>
        <v/>
      </c>
      <c r="K101" t="str">
        <f>IFERROR(__xludf.DUMMYFUNCTION("""COMPUTED_VALUE"""),"")</f>
        <v/>
      </c>
      <c r="L101" t="str">
        <f>IFERROR(__xludf.DUMMYFUNCTION("""COMPUTED_VALUE"""),"")</f>
        <v/>
      </c>
      <c r="M101" t="str">
        <f>IFERROR(__xludf.DUMMYFUNCTION("""COMPUTED_VALUE"""),"")</f>
        <v/>
      </c>
      <c r="N101" t="str">
        <f>IFERROR(__xludf.DUMMYFUNCTION("""COMPUTED_VALUE"""),"")</f>
        <v/>
      </c>
      <c r="O101" t="str">
        <f>IFERROR(__xludf.DUMMYFUNCTION("""COMPUTED_VALUE"""),"")</f>
        <v/>
      </c>
      <c r="P101" t="str">
        <f>IFERROR(__xludf.DUMMYFUNCTION("""COMPUTED_VALUE"""),"")</f>
        <v/>
      </c>
      <c r="Q101" t="str">
        <f>IFERROR(__xludf.DUMMYFUNCTION("""COMPUTED_VALUE"""),"")</f>
        <v/>
      </c>
      <c r="R101" t="str">
        <f>IFERROR(__xludf.DUMMYFUNCTION("""COMPUTED_VALUE"""),"")</f>
        <v/>
      </c>
      <c r="S101" t="str">
        <f>IFERROR(__xludf.DUMMYFUNCTION("""COMPUTED_VALUE"""),"")</f>
        <v/>
      </c>
      <c r="T101" t="str">
        <f>IFERROR(__xludf.DUMMYFUNCTION("""COMPUTED_VALUE"""),"")</f>
        <v/>
      </c>
      <c r="U101" t="str">
        <f>IFERROR(__xludf.DUMMYFUNCTION("""COMPUTED_VALUE"""),"")</f>
        <v/>
      </c>
      <c r="V101" t="str">
        <f>IFERROR(__xludf.DUMMYFUNCTION("""COMPUTED_VALUE"""),"")</f>
        <v/>
      </c>
      <c r="W101" t="str">
        <f>IFERROR(__xludf.DUMMYFUNCTION("""COMPUTED_VALUE"""),"")</f>
        <v/>
      </c>
    </row>
    <row r="102">
      <c r="A102" t="str">
        <f>IFERROR(__xludf.DUMMYFUNCTION("""COMPUTED_VALUE"""),"")</f>
        <v/>
      </c>
      <c r="B102" t="str">
        <f>IFERROR(__xludf.DUMMYFUNCTION("""COMPUTED_VALUE"""),"")</f>
        <v/>
      </c>
      <c r="C102" t="str">
        <f>IFERROR(__xludf.DUMMYFUNCTION("""COMPUTED_VALUE"""),"")</f>
        <v/>
      </c>
      <c r="D102" t="str">
        <f>IFERROR(__xludf.DUMMYFUNCTION("""COMPUTED_VALUE"""),"")</f>
        <v/>
      </c>
      <c r="E102" t="str">
        <f>IFERROR(__xludf.DUMMYFUNCTION("""COMPUTED_VALUE"""),"")</f>
        <v/>
      </c>
      <c r="F102" t="str">
        <f>IFERROR(__xludf.DUMMYFUNCTION("""COMPUTED_VALUE"""),"")</f>
        <v/>
      </c>
      <c r="G102" t="str">
        <f>IFERROR(__xludf.DUMMYFUNCTION("""COMPUTED_VALUE"""),"")</f>
        <v/>
      </c>
      <c r="H102" t="str">
        <f>IFERROR(__xludf.DUMMYFUNCTION("""COMPUTED_VALUE"""),"")</f>
        <v/>
      </c>
      <c r="I102" t="str">
        <f>IFERROR(__xludf.DUMMYFUNCTION("""COMPUTED_VALUE"""),"")</f>
        <v/>
      </c>
      <c r="J102" t="str">
        <f>IFERROR(__xludf.DUMMYFUNCTION("""COMPUTED_VALUE"""),"")</f>
        <v/>
      </c>
      <c r="K102" t="str">
        <f>IFERROR(__xludf.DUMMYFUNCTION("""COMPUTED_VALUE"""),"")</f>
        <v/>
      </c>
      <c r="L102" t="str">
        <f>IFERROR(__xludf.DUMMYFUNCTION("""COMPUTED_VALUE"""),"")</f>
        <v/>
      </c>
      <c r="M102" t="str">
        <f>IFERROR(__xludf.DUMMYFUNCTION("""COMPUTED_VALUE"""),"")</f>
        <v/>
      </c>
      <c r="N102" t="str">
        <f>IFERROR(__xludf.DUMMYFUNCTION("""COMPUTED_VALUE"""),"")</f>
        <v/>
      </c>
      <c r="O102" t="str">
        <f>IFERROR(__xludf.DUMMYFUNCTION("""COMPUTED_VALUE"""),"")</f>
        <v/>
      </c>
      <c r="P102" t="str">
        <f>IFERROR(__xludf.DUMMYFUNCTION("""COMPUTED_VALUE"""),"")</f>
        <v/>
      </c>
      <c r="Q102" t="str">
        <f>IFERROR(__xludf.DUMMYFUNCTION("""COMPUTED_VALUE"""),"")</f>
        <v/>
      </c>
      <c r="R102" t="str">
        <f>IFERROR(__xludf.DUMMYFUNCTION("""COMPUTED_VALUE"""),"")</f>
        <v/>
      </c>
      <c r="S102" t="str">
        <f>IFERROR(__xludf.DUMMYFUNCTION("""COMPUTED_VALUE"""),"")</f>
        <v/>
      </c>
      <c r="T102" t="str">
        <f>IFERROR(__xludf.DUMMYFUNCTION("""COMPUTED_VALUE"""),"")</f>
        <v/>
      </c>
      <c r="U102" t="str">
        <f>IFERROR(__xludf.DUMMYFUNCTION("""COMPUTED_VALUE"""),"")</f>
        <v/>
      </c>
      <c r="V102" t="str">
        <f>IFERROR(__xludf.DUMMYFUNCTION("""COMPUTED_VALUE"""),"")</f>
        <v/>
      </c>
      <c r="W102" t="str">
        <f>IFERROR(__xludf.DUMMYFUNCTION("""COMPUTED_VALUE"""),"")</f>
        <v/>
      </c>
    </row>
    <row r="103">
      <c r="A103" t="str">
        <f>IFERROR(__xludf.DUMMYFUNCTION("""COMPUTED_VALUE"""),"")</f>
        <v/>
      </c>
      <c r="B103" t="str">
        <f>IFERROR(__xludf.DUMMYFUNCTION("""COMPUTED_VALUE"""),"")</f>
        <v/>
      </c>
      <c r="C103" t="str">
        <f>IFERROR(__xludf.DUMMYFUNCTION("""COMPUTED_VALUE"""),"")</f>
        <v/>
      </c>
      <c r="D103" t="str">
        <f>IFERROR(__xludf.DUMMYFUNCTION("""COMPUTED_VALUE"""),"")</f>
        <v/>
      </c>
      <c r="E103" t="str">
        <f>IFERROR(__xludf.DUMMYFUNCTION("""COMPUTED_VALUE"""),"")</f>
        <v/>
      </c>
      <c r="F103" t="str">
        <f>IFERROR(__xludf.DUMMYFUNCTION("""COMPUTED_VALUE"""),"")</f>
        <v/>
      </c>
      <c r="G103" t="str">
        <f>IFERROR(__xludf.DUMMYFUNCTION("""COMPUTED_VALUE"""),"")</f>
        <v/>
      </c>
      <c r="H103" t="str">
        <f>IFERROR(__xludf.DUMMYFUNCTION("""COMPUTED_VALUE"""),"")</f>
        <v/>
      </c>
      <c r="I103" t="str">
        <f>IFERROR(__xludf.DUMMYFUNCTION("""COMPUTED_VALUE"""),"")</f>
        <v/>
      </c>
      <c r="J103" t="str">
        <f>IFERROR(__xludf.DUMMYFUNCTION("""COMPUTED_VALUE"""),"")</f>
        <v/>
      </c>
      <c r="K103" t="str">
        <f>IFERROR(__xludf.DUMMYFUNCTION("""COMPUTED_VALUE"""),"")</f>
        <v/>
      </c>
      <c r="L103" t="str">
        <f>IFERROR(__xludf.DUMMYFUNCTION("""COMPUTED_VALUE"""),"")</f>
        <v/>
      </c>
      <c r="M103" t="str">
        <f>IFERROR(__xludf.DUMMYFUNCTION("""COMPUTED_VALUE"""),"")</f>
        <v/>
      </c>
      <c r="N103" t="str">
        <f>IFERROR(__xludf.DUMMYFUNCTION("""COMPUTED_VALUE"""),"")</f>
        <v/>
      </c>
      <c r="O103" t="str">
        <f>IFERROR(__xludf.DUMMYFUNCTION("""COMPUTED_VALUE"""),"")</f>
        <v/>
      </c>
      <c r="P103" t="str">
        <f>IFERROR(__xludf.DUMMYFUNCTION("""COMPUTED_VALUE"""),"")</f>
        <v/>
      </c>
      <c r="Q103" t="str">
        <f>IFERROR(__xludf.DUMMYFUNCTION("""COMPUTED_VALUE"""),"")</f>
        <v/>
      </c>
      <c r="R103" t="str">
        <f>IFERROR(__xludf.DUMMYFUNCTION("""COMPUTED_VALUE"""),"")</f>
        <v/>
      </c>
      <c r="S103" t="str">
        <f>IFERROR(__xludf.DUMMYFUNCTION("""COMPUTED_VALUE"""),"")</f>
        <v/>
      </c>
      <c r="T103" t="str">
        <f>IFERROR(__xludf.DUMMYFUNCTION("""COMPUTED_VALUE"""),"")</f>
        <v/>
      </c>
      <c r="U103" t="str">
        <f>IFERROR(__xludf.DUMMYFUNCTION("""COMPUTED_VALUE"""),"")</f>
        <v/>
      </c>
      <c r="V103" t="str">
        <f>IFERROR(__xludf.DUMMYFUNCTION("""COMPUTED_VALUE"""),"")</f>
        <v/>
      </c>
      <c r="W103" t="str">
        <f>IFERROR(__xludf.DUMMYFUNCTION("""COMPUTED_VALUE"""),"")</f>
        <v/>
      </c>
    </row>
    <row r="104">
      <c r="A104" t="str">
        <f>IFERROR(__xludf.DUMMYFUNCTION("""COMPUTED_VALUE"""),"")</f>
        <v/>
      </c>
      <c r="B104" t="str">
        <f>IFERROR(__xludf.DUMMYFUNCTION("""COMPUTED_VALUE"""),"")</f>
        <v/>
      </c>
      <c r="C104" t="str">
        <f>IFERROR(__xludf.DUMMYFUNCTION("""COMPUTED_VALUE"""),"")</f>
        <v/>
      </c>
      <c r="D104" t="str">
        <f>IFERROR(__xludf.DUMMYFUNCTION("""COMPUTED_VALUE"""),"")</f>
        <v/>
      </c>
      <c r="E104" t="str">
        <f>IFERROR(__xludf.DUMMYFUNCTION("""COMPUTED_VALUE"""),"")</f>
        <v/>
      </c>
      <c r="F104" t="str">
        <f>IFERROR(__xludf.DUMMYFUNCTION("""COMPUTED_VALUE"""),"")</f>
        <v/>
      </c>
      <c r="G104" t="str">
        <f>IFERROR(__xludf.DUMMYFUNCTION("""COMPUTED_VALUE"""),"")</f>
        <v/>
      </c>
      <c r="H104" t="str">
        <f>IFERROR(__xludf.DUMMYFUNCTION("""COMPUTED_VALUE"""),"")</f>
        <v/>
      </c>
      <c r="I104" t="str">
        <f>IFERROR(__xludf.DUMMYFUNCTION("""COMPUTED_VALUE"""),"")</f>
        <v/>
      </c>
      <c r="J104" t="str">
        <f>IFERROR(__xludf.DUMMYFUNCTION("""COMPUTED_VALUE"""),"")</f>
        <v/>
      </c>
      <c r="K104" t="str">
        <f>IFERROR(__xludf.DUMMYFUNCTION("""COMPUTED_VALUE"""),"")</f>
        <v/>
      </c>
      <c r="L104" t="str">
        <f>IFERROR(__xludf.DUMMYFUNCTION("""COMPUTED_VALUE"""),"")</f>
        <v/>
      </c>
      <c r="M104" t="str">
        <f>IFERROR(__xludf.DUMMYFUNCTION("""COMPUTED_VALUE"""),"")</f>
        <v/>
      </c>
      <c r="N104" t="str">
        <f>IFERROR(__xludf.DUMMYFUNCTION("""COMPUTED_VALUE"""),"")</f>
        <v/>
      </c>
      <c r="O104" t="str">
        <f>IFERROR(__xludf.DUMMYFUNCTION("""COMPUTED_VALUE"""),"")</f>
        <v/>
      </c>
      <c r="P104" t="str">
        <f>IFERROR(__xludf.DUMMYFUNCTION("""COMPUTED_VALUE"""),"")</f>
        <v/>
      </c>
      <c r="Q104" t="str">
        <f>IFERROR(__xludf.DUMMYFUNCTION("""COMPUTED_VALUE"""),"")</f>
        <v/>
      </c>
      <c r="R104" t="str">
        <f>IFERROR(__xludf.DUMMYFUNCTION("""COMPUTED_VALUE"""),"")</f>
        <v/>
      </c>
      <c r="S104" t="str">
        <f>IFERROR(__xludf.DUMMYFUNCTION("""COMPUTED_VALUE"""),"")</f>
        <v/>
      </c>
      <c r="T104" t="str">
        <f>IFERROR(__xludf.DUMMYFUNCTION("""COMPUTED_VALUE"""),"")</f>
        <v/>
      </c>
      <c r="U104" t="str">
        <f>IFERROR(__xludf.DUMMYFUNCTION("""COMPUTED_VALUE"""),"")</f>
        <v/>
      </c>
      <c r="V104" t="str">
        <f>IFERROR(__xludf.DUMMYFUNCTION("""COMPUTED_VALUE"""),"")</f>
        <v/>
      </c>
      <c r="W104" t="str">
        <f>IFERROR(__xludf.DUMMYFUNCTION("""COMPUTED_VALUE"""),"")</f>
        <v/>
      </c>
    </row>
    <row r="105">
      <c r="A105" t="str">
        <f>IFERROR(__xludf.DUMMYFUNCTION("""COMPUTED_VALUE"""),"")</f>
        <v/>
      </c>
      <c r="B105" t="str">
        <f>IFERROR(__xludf.DUMMYFUNCTION("""COMPUTED_VALUE"""),"")</f>
        <v/>
      </c>
      <c r="C105" t="str">
        <f>IFERROR(__xludf.DUMMYFUNCTION("""COMPUTED_VALUE"""),"")</f>
        <v/>
      </c>
      <c r="D105" t="str">
        <f>IFERROR(__xludf.DUMMYFUNCTION("""COMPUTED_VALUE"""),"")</f>
        <v/>
      </c>
      <c r="E105" t="str">
        <f>IFERROR(__xludf.DUMMYFUNCTION("""COMPUTED_VALUE"""),"")</f>
        <v/>
      </c>
      <c r="F105" t="str">
        <f>IFERROR(__xludf.DUMMYFUNCTION("""COMPUTED_VALUE"""),"")</f>
        <v/>
      </c>
      <c r="G105" t="str">
        <f>IFERROR(__xludf.DUMMYFUNCTION("""COMPUTED_VALUE"""),"")</f>
        <v/>
      </c>
      <c r="H105" t="str">
        <f>IFERROR(__xludf.DUMMYFUNCTION("""COMPUTED_VALUE"""),"")</f>
        <v/>
      </c>
      <c r="I105" t="str">
        <f>IFERROR(__xludf.DUMMYFUNCTION("""COMPUTED_VALUE"""),"")</f>
        <v/>
      </c>
      <c r="J105" t="str">
        <f>IFERROR(__xludf.DUMMYFUNCTION("""COMPUTED_VALUE"""),"")</f>
        <v/>
      </c>
      <c r="K105" t="str">
        <f>IFERROR(__xludf.DUMMYFUNCTION("""COMPUTED_VALUE"""),"")</f>
        <v/>
      </c>
      <c r="L105" t="str">
        <f>IFERROR(__xludf.DUMMYFUNCTION("""COMPUTED_VALUE"""),"")</f>
        <v/>
      </c>
      <c r="M105" t="str">
        <f>IFERROR(__xludf.DUMMYFUNCTION("""COMPUTED_VALUE"""),"")</f>
        <v/>
      </c>
      <c r="N105" t="str">
        <f>IFERROR(__xludf.DUMMYFUNCTION("""COMPUTED_VALUE"""),"")</f>
        <v/>
      </c>
      <c r="O105" t="str">
        <f>IFERROR(__xludf.DUMMYFUNCTION("""COMPUTED_VALUE"""),"")</f>
        <v/>
      </c>
      <c r="P105" t="str">
        <f>IFERROR(__xludf.DUMMYFUNCTION("""COMPUTED_VALUE"""),"")</f>
        <v/>
      </c>
      <c r="Q105" t="str">
        <f>IFERROR(__xludf.DUMMYFUNCTION("""COMPUTED_VALUE"""),"")</f>
        <v/>
      </c>
      <c r="R105" t="str">
        <f>IFERROR(__xludf.DUMMYFUNCTION("""COMPUTED_VALUE"""),"")</f>
        <v/>
      </c>
      <c r="S105" t="str">
        <f>IFERROR(__xludf.DUMMYFUNCTION("""COMPUTED_VALUE"""),"")</f>
        <v/>
      </c>
      <c r="T105" t="str">
        <f>IFERROR(__xludf.DUMMYFUNCTION("""COMPUTED_VALUE"""),"")</f>
        <v/>
      </c>
      <c r="U105" t="str">
        <f>IFERROR(__xludf.DUMMYFUNCTION("""COMPUTED_VALUE"""),"")</f>
        <v/>
      </c>
      <c r="V105" t="str">
        <f>IFERROR(__xludf.DUMMYFUNCTION("""COMPUTED_VALUE"""),"")</f>
        <v/>
      </c>
      <c r="W105" t="str">
        <f>IFERROR(__xludf.DUMMYFUNCTION("""COMPUTED_VALUE"""),"")</f>
        <v/>
      </c>
    </row>
    <row r="106">
      <c r="A106" t="str">
        <f>IFERROR(__xludf.DUMMYFUNCTION("""COMPUTED_VALUE"""),"")</f>
        <v/>
      </c>
      <c r="B106" t="str">
        <f>IFERROR(__xludf.DUMMYFUNCTION("""COMPUTED_VALUE"""),"")</f>
        <v/>
      </c>
      <c r="C106" t="str">
        <f>IFERROR(__xludf.DUMMYFUNCTION("""COMPUTED_VALUE"""),"")</f>
        <v/>
      </c>
      <c r="D106" t="str">
        <f>IFERROR(__xludf.DUMMYFUNCTION("""COMPUTED_VALUE"""),"")</f>
        <v/>
      </c>
      <c r="E106" t="str">
        <f>IFERROR(__xludf.DUMMYFUNCTION("""COMPUTED_VALUE"""),"")</f>
        <v/>
      </c>
      <c r="F106" t="str">
        <f>IFERROR(__xludf.DUMMYFUNCTION("""COMPUTED_VALUE"""),"")</f>
        <v/>
      </c>
      <c r="G106" t="str">
        <f>IFERROR(__xludf.DUMMYFUNCTION("""COMPUTED_VALUE"""),"")</f>
        <v/>
      </c>
      <c r="H106" t="str">
        <f>IFERROR(__xludf.DUMMYFUNCTION("""COMPUTED_VALUE"""),"")</f>
        <v/>
      </c>
      <c r="I106" t="str">
        <f>IFERROR(__xludf.DUMMYFUNCTION("""COMPUTED_VALUE"""),"")</f>
        <v/>
      </c>
      <c r="J106" t="str">
        <f>IFERROR(__xludf.DUMMYFUNCTION("""COMPUTED_VALUE"""),"")</f>
        <v/>
      </c>
      <c r="K106" t="str">
        <f>IFERROR(__xludf.DUMMYFUNCTION("""COMPUTED_VALUE"""),"")</f>
        <v/>
      </c>
      <c r="L106" t="str">
        <f>IFERROR(__xludf.DUMMYFUNCTION("""COMPUTED_VALUE"""),"")</f>
        <v/>
      </c>
      <c r="M106" t="str">
        <f>IFERROR(__xludf.DUMMYFUNCTION("""COMPUTED_VALUE"""),"")</f>
        <v/>
      </c>
      <c r="N106" t="str">
        <f>IFERROR(__xludf.DUMMYFUNCTION("""COMPUTED_VALUE"""),"")</f>
        <v/>
      </c>
      <c r="O106" t="str">
        <f>IFERROR(__xludf.DUMMYFUNCTION("""COMPUTED_VALUE"""),"")</f>
        <v/>
      </c>
      <c r="P106" t="str">
        <f>IFERROR(__xludf.DUMMYFUNCTION("""COMPUTED_VALUE"""),"")</f>
        <v/>
      </c>
      <c r="Q106" t="str">
        <f>IFERROR(__xludf.DUMMYFUNCTION("""COMPUTED_VALUE"""),"")</f>
        <v/>
      </c>
      <c r="R106" t="str">
        <f>IFERROR(__xludf.DUMMYFUNCTION("""COMPUTED_VALUE"""),"")</f>
        <v/>
      </c>
      <c r="S106" t="str">
        <f>IFERROR(__xludf.DUMMYFUNCTION("""COMPUTED_VALUE"""),"")</f>
        <v/>
      </c>
      <c r="T106" t="str">
        <f>IFERROR(__xludf.DUMMYFUNCTION("""COMPUTED_VALUE"""),"")</f>
        <v/>
      </c>
      <c r="U106" t="str">
        <f>IFERROR(__xludf.DUMMYFUNCTION("""COMPUTED_VALUE"""),"")</f>
        <v/>
      </c>
      <c r="V106" t="str">
        <f>IFERROR(__xludf.DUMMYFUNCTION("""COMPUTED_VALUE"""),"")</f>
        <v/>
      </c>
      <c r="W106" t="str">
        <f>IFERROR(__xludf.DUMMYFUNCTION("""COMPUTED_VALUE"""),"")</f>
        <v/>
      </c>
    </row>
    <row r="107">
      <c r="A107" t="str">
        <f>IFERROR(__xludf.DUMMYFUNCTION("""COMPUTED_VALUE"""),"")</f>
        <v/>
      </c>
      <c r="B107" t="str">
        <f>IFERROR(__xludf.DUMMYFUNCTION("""COMPUTED_VALUE"""),"")</f>
        <v/>
      </c>
      <c r="C107" t="str">
        <f>IFERROR(__xludf.DUMMYFUNCTION("""COMPUTED_VALUE"""),"")</f>
        <v/>
      </c>
      <c r="D107" t="str">
        <f>IFERROR(__xludf.DUMMYFUNCTION("""COMPUTED_VALUE"""),"")</f>
        <v/>
      </c>
      <c r="E107" t="str">
        <f>IFERROR(__xludf.DUMMYFUNCTION("""COMPUTED_VALUE"""),"")</f>
        <v/>
      </c>
      <c r="F107" t="str">
        <f>IFERROR(__xludf.DUMMYFUNCTION("""COMPUTED_VALUE"""),"")</f>
        <v/>
      </c>
      <c r="G107" t="str">
        <f>IFERROR(__xludf.DUMMYFUNCTION("""COMPUTED_VALUE"""),"")</f>
        <v/>
      </c>
      <c r="H107" t="str">
        <f>IFERROR(__xludf.DUMMYFUNCTION("""COMPUTED_VALUE"""),"")</f>
        <v/>
      </c>
      <c r="I107" t="str">
        <f>IFERROR(__xludf.DUMMYFUNCTION("""COMPUTED_VALUE"""),"")</f>
        <v/>
      </c>
      <c r="J107" t="str">
        <f>IFERROR(__xludf.DUMMYFUNCTION("""COMPUTED_VALUE"""),"")</f>
        <v/>
      </c>
      <c r="K107" t="str">
        <f>IFERROR(__xludf.DUMMYFUNCTION("""COMPUTED_VALUE"""),"")</f>
        <v/>
      </c>
      <c r="L107" t="str">
        <f>IFERROR(__xludf.DUMMYFUNCTION("""COMPUTED_VALUE"""),"")</f>
        <v/>
      </c>
      <c r="M107" t="str">
        <f>IFERROR(__xludf.DUMMYFUNCTION("""COMPUTED_VALUE"""),"")</f>
        <v/>
      </c>
      <c r="N107" t="str">
        <f>IFERROR(__xludf.DUMMYFUNCTION("""COMPUTED_VALUE"""),"")</f>
        <v/>
      </c>
      <c r="O107" t="str">
        <f>IFERROR(__xludf.DUMMYFUNCTION("""COMPUTED_VALUE"""),"")</f>
        <v/>
      </c>
      <c r="P107" t="str">
        <f>IFERROR(__xludf.DUMMYFUNCTION("""COMPUTED_VALUE"""),"")</f>
        <v/>
      </c>
      <c r="Q107" t="str">
        <f>IFERROR(__xludf.DUMMYFUNCTION("""COMPUTED_VALUE"""),"")</f>
        <v/>
      </c>
      <c r="R107" t="str">
        <f>IFERROR(__xludf.DUMMYFUNCTION("""COMPUTED_VALUE"""),"")</f>
        <v/>
      </c>
      <c r="S107" t="str">
        <f>IFERROR(__xludf.DUMMYFUNCTION("""COMPUTED_VALUE"""),"")</f>
        <v/>
      </c>
      <c r="T107" t="str">
        <f>IFERROR(__xludf.DUMMYFUNCTION("""COMPUTED_VALUE"""),"")</f>
        <v/>
      </c>
      <c r="U107" t="str">
        <f>IFERROR(__xludf.DUMMYFUNCTION("""COMPUTED_VALUE"""),"")</f>
        <v/>
      </c>
      <c r="V107" t="str">
        <f>IFERROR(__xludf.DUMMYFUNCTION("""COMPUTED_VALUE"""),"")</f>
        <v/>
      </c>
      <c r="W107" t="str">
        <f>IFERROR(__xludf.DUMMYFUNCTION("""COMPUTED_VALUE"""),"")</f>
        <v/>
      </c>
    </row>
    <row r="108">
      <c r="A108" t="str">
        <f>IFERROR(__xludf.DUMMYFUNCTION("""COMPUTED_VALUE"""),"")</f>
        <v/>
      </c>
      <c r="B108" t="str">
        <f>IFERROR(__xludf.DUMMYFUNCTION("""COMPUTED_VALUE"""),"")</f>
        <v/>
      </c>
      <c r="C108" t="str">
        <f>IFERROR(__xludf.DUMMYFUNCTION("""COMPUTED_VALUE"""),"")</f>
        <v/>
      </c>
      <c r="D108" t="str">
        <f>IFERROR(__xludf.DUMMYFUNCTION("""COMPUTED_VALUE"""),"")</f>
        <v/>
      </c>
      <c r="E108" t="str">
        <f>IFERROR(__xludf.DUMMYFUNCTION("""COMPUTED_VALUE"""),"")</f>
        <v/>
      </c>
      <c r="F108" t="str">
        <f>IFERROR(__xludf.DUMMYFUNCTION("""COMPUTED_VALUE"""),"")</f>
        <v/>
      </c>
      <c r="G108" t="str">
        <f>IFERROR(__xludf.DUMMYFUNCTION("""COMPUTED_VALUE"""),"")</f>
        <v/>
      </c>
      <c r="H108" t="str">
        <f>IFERROR(__xludf.DUMMYFUNCTION("""COMPUTED_VALUE"""),"")</f>
        <v/>
      </c>
      <c r="I108" t="str">
        <f>IFERROR(__xludf.DUMMYFUNCTION("""COMPUTED_VALUE"""),"")</f>
        <v/>
      </c>
      <c r="J108" t="str">
        <f>IFERROR(__xludf.DUMMYFUNCTION("""COMPUTED_VALUE"""),"")</f>
        <v/>
      </c>
      <c r="K108" t="str">
        <f>IFERROR(__xludf.DUMMYFUNCTION("""COMPUTED_VALUE"""),"")</f>
        <v/>
      </c>
      <c r="L108" t="str">
        <f>IFERROR(__xludf.DUMMYFUNCTION("""COMPUTED_VALUE"""),"")</f>
        <v/>
      </c>
      <c r="M108" t="str">
        <f>IFERROR(__xludf.DUMMYFUNCTION("""COMPUTED_VALUE"""),"")</f>
        <v/>
      </c>
      <c r="N108" t="str">
        <f>IFERROR(__xludf.DUMMYFUNCTION("""COMPUTED_VALUE"""),"")</f>
        <v/>
      </c>
      <c r="O108" t="str">
        <f>IFERROR(__xludf.DUMMYFUNCTION("""COMPUTED_VALUE"""),"")</f>
        <v/>
      </c>
      <c r="P108" t="str">
        <f>IFERROR(__xludf.DUMMYFUNCTION("""COMPUTED_VALUE"""),"")</f>
        <v/>
      </c>
      <c r="Q108" t="str">
        <f>IFERROR(__xludf.DUMMYFUNCTION("""COMPUTED_VALUE"""),"")</f>
        <v/>
      </c>
      <c r="R108" t="str">
        <f>IFERROR(__xludf.DUMMYFUNCTION("""COMPUTED_VALUE"""),"")</f>
        <v/>
      </c>
      <c r="S108" t="str">
        <f>IFERROR(__xludf.DUMMYFUNCTION("""COMPUTED_VALUE"""),"")</f>
        <v/>
      </c>
      <c r="T108" t="str">
        <f>IFERROR(__xludf.DUMMYFUNCTION("""COMPUTED_VALUE"""),"")</f>
        <v/>
      </c>
      <c r="U108" t="str">
        <f>IFERROR(__xludf.DUMMYFUNCTION("""COMPUTED_VALUE"""),"")</f>
        <v/>
      </c>
      <c r="V108" t="str">
        <f>IFERROR(__xludf.DUMMYFUNCTION("""COMPUTED_VALUE"""),"")</f>
        <v/>
      </c>
      <c r="W108" t="str">
        <f>IFERROR(__xludf.DUMMYFUNCTION("""COMPUTED_VALUE"""),"")</f>
        <v/>
      </c>
    </row>
    <row r="109">
      <c r="A109" t="str">
        <f>IFERROR(__xludf.DUMMYFUNCTION("""COMPUTED_VALUE"""),"")</f>
        <v/>
      </c>
      <c r="B109" t="str">
        <f>IFERROR(__xludf.DUMMYFUNCTION("""COMPUTED_VALUE"""),"")</f>
        <v/>
      </c>
      <c r="C109" t="str">
        <f>IFERROR(__xludf.DUMMYFUNCTION("""COMPUTED_VALUE"""),"")</f>
        <v/>
      </c>
      <c r="D109" t="str">
        <f>IFERROR(__xludf.DUMMYFUNCTION("""COMPUTED_VALUE"""),"")</f>
        <v/>
      </c>
      <c r="E109" t="str">
        <f>IFERROR(__xludf.DUMMYFUNCTION("""COMPUTED_VALUE"""),"")</f>
        <v/>
      </c>
      <c r="F109" t="str">
        <f>IFERROR(__xludf.DUMMYFUNCTION("""COMPUTED_VALUE"""),"")</f>
        <v/>
      </c>
      <c r="G109" t="str">
        <f>IFERROR(__xludf.DUMMYFUNCTION("""COMPUTED_VALUE"""),"")</f>
        <v/>
      </c>
      <c r="H109" t="str">
        <f>IFERROR(__xludf.DUMMYFUNCTION("""COMPUTED_VALUE"""),"")</f>
        <v/>
      </c>
      <c r="I109" t="str">
        <f>IFERROR(__xludf.DUMMYFUNCTION("""COMPUTED_VALUE"""),"")</f>
        <v/>
      </c>
      <c r="J109" t="str">
        <f>IFERROR(__xludf.DUMMYFUNCTION("""COMPUTED_VALUE"""),"")</f>
        <v/>
      </c>
      <c r="K109" t="str">
        <f>IFERROR(__xludf.DUMMYFUNCTION("""COMPUTED_VALUE"""),"")</f>
        <v/>
      </c>
      <c r="L109" t="str">
        <f>IFERROR(__xludf.DUMMYFUNCTION("""COMPUTED_VALUE"""),"")</f>
        <v/>
      </c>
      <c r="M109" t="str">
        <f>IFERROR(__xludf.DUMMYFUNCTION("""COMPUTED_VALUE"""),"")</f>
        <v/>
      </c>
      <c r="N109" t="str">
        <f>IFERROR(__xludf.DUMMYFUNCTION("""COMPUTED_VALUE"""),"")</f>
        <v/>
      </c>
      <c r="O109" t="str">
        <f>IFERROR(__xludf.DUMMYFUNCTION("""COMPUTED_VALUE"""),"")</f>
        <v/>
      </c>
      <c r="P109" t="str">
        <f>IFERROR(__xludf.DUMMYFUNCTION("""COMPUTED_VALUE"""),"")</f>
        <v/>
      </c>
      <c r="Q109" t="str">
        <f>IFERROR(__xludf.DUMMYFUNCTION("""COMPUTED_VALUE"""),"")</f>
        <v/>
      </c>
      <c r="R109" t="str">
        <f>IFERROR(__xludf.DUMMYFUNCTION("""COMPUTED_VALUE"""),"")</f>
        <v/>
      </c>
      <c r="S109" t="str">
        <f>IFERROR(__xludf.DUMMYFUNCTION("""COMPUTED_VALUE"""),"")</f>
        <v/>
      </c>
      <c r="T109" t="str">
        <f>IFERROR(__xludf.DUMMYFUNCTION("""COMPUTED_VALUE"""),"")</f>
        <v/>
      </c>
      <c r="U109" t="str">
        <f>IFERROR(__xludf.DUMMYFUNCTION("""COMPUTED_VALUE"""),"")</f>
        <v/>
      </c>
      <c r="V109" t="str">
        <f>IFERROR(__xludf.DUMMYFUNCTION("""COMPUTED_VALUE"""),"")</f>
        <v/>
      </c>
      <c r="W109" t="str">
        <f>IFERROR(__xludf.DUMMYFUNCTION("""COMPUTED_VALUE"""),"")</f>
        <v/>
      </c>
    </row>
    <row r="110">
      <c r="A110" t="str">
        <f>IFERROR(__xludf.DUMMYFUNCTION("""COMPUTED_VALUE"""),"")</f>
        <v/>
      </c>
      <c r="B110" t="str">
        <f>IFERROR(__xludf.DUMMYFUNCTION("""COMPUTED_VALUE"""),"")</f>
        <v/>
      </c>
      <c r="C110" t="str">
        <f>IFERROR(__xludf.DUMMYFUNCTION("""COMPUTED_VALUE"""),"")</f>
        <v/>
      </c>
      <c r="D110" t="str">
        <f>IFERROR(__xludf.DUMMYFUNCTION("""COMPUTED_VALUE"""),"")</f>
        <v/>
      </c>
      <c r="E110" t="str">
        <f>IFERROR(__xludf.DUMMYFUNCTION("""COMPUTED_VALUE"""),"")</f>
        <v/>
      </c>
      <c r="F110" t="str">
        <f>IFERROR(__xludf.DUMMYFUNCTION("""COMPUTED_VALUE"""),"")</f>
        <v/>
      </c>
      <c r="G110" t="str">
        <f>IFERROR(__xludf.DUMMYFUNCTION("""COMPUTED_VALUE"""),"")</f>
        <v/>
      </c>
      <c r="H110" t="str">
        <f>IFERROR(__xludf.DUMMYFUNCTION("""COMPUTED_VALUE"""),"")</f>
        <v/>
      </c>
      <c r="I110" t="str">
        <f>IFERROR(__xludf.DUMMYFUNCTION("""COMPUTED_VALUE"""),"")</f>
        <v/>
      </c>
      <c r="J110" t="str">
        <f>IFERROR(__xludf.DUMMYFUNCTION("""COMPUTED_VALUE"""),"")</f>
        <v/>
      </c>
      <c r="K110" t="str">
        <f>IFERROR(__xludf.DUMMYFUNCTION("""COMPUTED_VALUE"""),"")</f>
        <v/>
      </c>
      <c r="L110" t="str">
        <f>IFERROR(__xludf.DUMMYFUNCTION("""COMPUTED_VALUE"""),"")</f>
        <v/>
      </c>
      <c r="M110" t="str">
        <f>IFERROR(__xludf.DUMMYFUNCTION("""COMPUTED_VALUE"""),"")</f>
        <v/>
      </c>
      <c r="N110" t="str">
        <f>IFERROR(__xludf.DUMMYFUNCTION("""COMPUTED_VALUE"""),"")</f>
        <v/>
      </c>
      <c r="O110" t="str">
        <f>IFERROR(__xludf.DUMMYFUNCTION("""COMPUTED_VALUE"""),"")</f>
        <v/>
      </c>
      <c r="P110" t="str">
        <f>IFERROR(__xludf.DUMMYFUNCTION("""COMPUTED_VALUE"""),"")</f>
        <v/>
      </c>
      <c r="Q110" t="str">
        <f>IFERROR(__xludf.DUMMYFUNCTION("""COMPUTED_VALUE"""),"")</f>
        <v/>
      </c>
      <c r="R110" t="str">
        <f>IFERROR(__xludf.DUMMYFUNCTION("""COMPUTED_VALUE"""),"")</f>
        <v/>
      </c>
      <c r="S110" t="str">
        <f>IFERROR(__xludf.DUMMYFUNCTION("""COMPUTED_VALUE"""),"")</f>
        <v/>
      </c>
      <c r="T110" t="str">
        <f>IFERROR(__xludf.DUMMYFUNCTION("""COMPUTED_VALUE"""),"")</f>
        <v/>
      </c>
      <c r="U110" t="str">
        <f>IFERROR(__xludf.DUMMYFUNCTION("""COMPUTED_VALUE"""),"")</f>
        <v/>
      </c>
      <c r="V110" t="str">
        <f>IFERROR(__xludf.DUMMYFUNCTION("""COMPUTED_VALUE"""),"")</f>
        <v/>
      </c>
      <c r="W110" t="str">
        <f>IFERROR(__xludf.DUMMYFUNCTION("""COMPUTED_VALUE"""),"")</f>
        <v/>
      </c>
    </row>
    <row r="111">
      <c r="A111" t="str">
        <f>IFERROR(__xludf.DUMMYFUNCTION("""COMPUTED_VALUE"""),"")</f>
        <v/>
      </c>
      <c r="B111" t="str">
        <f>IFERROR(__xludf.DUMMYFUNCTION("""COMPUTED_VALUE"""),"")</f>
        <v/>
      </c>
      <c r="C111" t="str">
        <f>IFERROR(__xludf.DUMMYFUNCTION("""COMPUTED_VALUE"""),"")</f>
        <v/>
      </c>
      <c r="D111" t="str">
        <f>IFERROR(__xludf.DUMMYFUNCTION("""COMPUTED_VALUE"""),"")</f>
        <v/>
      </c>
      <c r="E111" t="str">
        <f>IFERROR(__xludf.DUMMYFUNCTION("""COMPUTED_VALUE"""),"")</f>
        <v/>
      </c>
      <c r="F111" t="str">
        <f>IFERROR(__xludf.DUMMYFUNCTION("""COMPUTED_VALUE"""),"")</f>
        <v/>
      </c>
      <c r="G111" t="str">
        <f>IFERROR(__xludf.DUMMYFUNCTION("""COMPUTED_VALUE"""),"")</f>
        <v/>
      </c>
      <c r="H111" t="str">
        <f>IFERROR(__xludf.DUMMYFUNCTION("""COMPUTED_VALUE"""),"")</f>
        <v/>
      </c>
      <c r="I111" t="str">
        <f>IFERROR(__xludf.DUMMYFUNCTION("""COMPUTED_VALUE"""),"")</f>
        <v/>
      </c>
      <c r="J111" t="str">
        <f>IFERROR(__xludf.DUMMYFUNCTION("""COMPUTED_VALUE"""),"")</f>
        <v/>
      </c>
      <c r="K111" t="str">
        <f>IFERROR(__xludf.DUMMYFUNCTION("""COMPUTED_VALUE"""),"")</f>
        <v/>
      </c>
      <c r="L111" t="str">
        <f>IFERROR(__xludf.DUMMYFUNCTION("""COMPUTED_VALUE"""),"")</f>
        <v/>
      </c>
      <c r="M111" t="str">
        <f>IFERROR(__xludf.DUMMYFUNCTION("""COMPUTED_VALUE"""),"")</f>
        <v/>
      </c>
      <c r="N111" t="str">
        <f>IFERROR(__xludf.DUMMYFUNCTION("""COMPUTED_VALUE"""),"")</f>
        <v/>
      </c>
      <c r="O111" t="str">
        <f>IFERROR(__xludf.DUMMYFUNCTION("""COMPUTED_VALUE"""),"")</f>
        <v/>
      </c>
      <c r="P111" t="str">
        <f>IFERROR(__xludf.DUMMYFUNCTION("""COMPUTED_VALUE"""),"")</f>
        <v/>
      </c>
      <c r="Q111" t="str">
        <f>IFERROR(__xludf.DUMMYFUNCTION("""COMPUTED_VALUE"""),"")</f>
        <v/>
      </c>
      <c r="R111" t="str">
        <f>IFERROR(__xludf.DUMMYFUNCTION("""COMPUTED_VALUE"""),"")</f>
        <v/>
      </c>
      <c r="S111" t="str">
        <f>IFERROR(__xludf.DUMMYFUNCTION("""COMPUTED_VALUE"""),"")</f>
        <v/>
      </c>
      <c r="T111" t="str">
        <f>IFERROR(__xludf.DUMMYFUNCTION("""COMPUTED_VALUE"""),"")</f>
        <v/>
      </c>
      <c r="U111" t="str">
        <f>IFERROR(__xludf.DUMMYFUNCTION("""COMPUTED_VALUE"""),"")</f>
        <v/>
      </c>
      <c r="V111" t="str">
        <f>IFERROR(__xludf.DUMMYFUNCTION("""COMPUTED_VALUE"""),"")</f>
        <v/>
      </c>
      <c r="W111" t="str">
        <f>IFERROR(__xludf.DUMMYFUNCTION("""COMPUTED_VALUE"""),"")</f>
        <v/>
      </c>
    </row>
    <row r="112">
      <c r="A112" t="str">
        <f>IFERROR(__xludf.DUMMYFUNCTION("""COMPUTED_VALUE"""),"")</f>
        <v/>
      </c>
      <c r="B112" t="str">
        <f>IFERROR(__xludf.DUMMYFUNCTION("""COMPUTED_VALUE"""),"")</f>
        <v/>
      </c>
      <c r="C112" t="str">
        <f>IFERROR(__xludf.DUMMYFUNCTION("""COMPUTED_VALUE"""),"")</f>
        <v/>
      </c>
      <c r="D112" t="str">
        <f>IFERROR(__xludf.DUMMYFUNCTION("""COMPUTED_VALUE"""),"")</f>
        <v/>
      </c>
      <c r="E112" t="str">
        <f>IFERROR(__xludf.DUMMYFUNCTION("""COMPUTED_VALUE"""),"")</f>
        <v/>
      </c>
      <c r="F112" t="str">
        <f>IFERROR(__xludf.DUMMYFUNCTION("""COMPUTED_VALUE"""),"")</f>
        <v/>
      </c>
      <c r="G112" t="str">
        <f>IFERROR(__xludf.DUMMYFUNCTION("""COMPUTED_VALUE"""),"")</f>
        <v/>
      </c>
      <c r="H112" t="str">
        <f>IFERROR(__xludf.DUMMYFUNCTION("""COMPUTED_VALUE"""),"")</f>
        <v/>
      </c>
      <c r="I112" t="str">
        <f>IFERROR(__xludf.DUMMYFUNCTION("""COMPUTED_VALUE"""),"")</f>
        <v/>
      </c>
      <c r="J112" t="str">
        <f>IFERROR(__xludf.DUMMYFUNCTION("""COMPUTED_VALUE"""),"")</f>
        <v/>
      </c>
      <c r="K112" t="str">
        <f>IFERROR(__xludf.DUMMYFUNCTION("""COMPUTED_VALUE"""),"")</f>
        <v/>
      </c>
      <c r="L112" t="str">
        <f>IFERROR(__xludf.DUMMYFUNCTION("""COMPUTED_VALUE"""),"")</f>
        <v/>
      </c>
      <c r="M112" t="str">
        <f>IFERROR(__xludf.DUMMYFUNCTION("""COMPUTED_VALUE"""),"")</f>
        <v/>
      </c>
      <c r="N112" t="str">
        <f>IFERROR(__xludf.DUMMYFUNCTION("""COMPUTED_VALUE"""),"")</f>
        <v/>
      </c>
      <c r="O112" t="str">
        <f>IFERROR(__xludf.DUMMYFUNCTION("""COMPUTED_VALUE"""),"")</f>
        <v/>
      </c>
      <c r="P112" t="str">
        <f>IFERROR(__xludf.DUMMYFUNCTION("""COMPUTED_VALUE"""),"")</f>
        <v/>
      </c>
      <c r="Q112" t="str">
        <f>IFERROR(__xludf.DUMMYFUNCTION("""COMPUTED_VALUE"""),"")</f>
        <v/>
      </c>
      <c r="R112" t="str">
        <f>IFERROR(__xludf.DUMMYFUNCTION("""COMPUTED_VALUE"""),"")</f>
        <v/>
      </c>
      <c r="S112" t="str">
        <f>IFERROR(__xludf.DUMMYFUNCTION("""COMPUTED_VALUE"""),"")</f>
        <v/>
      </c>
      <c r="T112" t="str">
        <f>IFERROR(__xludf.DUMMYFUNCTION("""COMPUTED_VALUE"""),"")</f>
        <v/>
      </c>
      <c r="U112" t="str">
        <f>IFERROR(__xludf.DUMMYFUNCTION("""COMPUTED_VALUE"""),"")</f>
        <v/>
      </c>
      <c r="V112" t="str">
        <f>IFERROR(__xludf.DUMMYFUNCTION("""COMPUTED_VALUE"""),"")</f>
        <v/>
      </c>
      <c r="W112" t="str">
        <f>IFERROR(__xludf.DUMMYFUNCTION("""COMPUTED_VALUE"""),"")</f>
        <v/>
      </c>
    </row>
    <row r="113">
      <c r="A113" t="str">
        <f>IFERROR(__xludf.DUMMYFUNCTION("""COMPUTED_VALUE"""),"")</f>
        <v/>
      </c>
      <c r="B113" t="str">
        <f>IFERROR(__xludf.DUMMYFUNCTION("""COMPUTED_VALUE"""),"")</f>
        <v/>
      </c>
      <c r="C113" t="str">
        <f>IFERROR(__xludf.DUMMYFUNCTION("""COMPUTED_VALUE"""),"")</f>
        <v/>
      </c>
      <c r="D113" t="str">
        <f>IFERROR(__xludf.DUMMYFUNCTION("""COMPUTED_VALUE"""),"")</f>
        <v/>
      </c>
      <c r="E113" t="str">
        <f>IFERROR(__xludf.DUMMYFUNCTION("""COMPUTED_VALUE"""),"")</f>
        <v/>
      </c>
      <c r="F113" t="str">
        <f>IFERROR(__xludf.DUMMYFUNCTION("""COMPUTED_VALUE"""),"")</f>
        <v/>
      </c>
      <c r="G113" t="str">
        <f>IFERROR(__xludf.DUMMYFUNCTION("""COMPUTED_VALUE"""),"")</f>
        <v/>
      </c>
      <c r="H113" t="str">
        <f>IFERROR(__xludf.DUMMYFUNCTION("""COMPUTED_VALUE"""),"")</f>
        <v/>
      </c>
      <c r="I113" t="str">
        <f>IFERROR(__xludf.DUMMYFUNCTION("""COMPUTED_VALUE"""),"")</f>
        <v/>
      </c>
      <c r="J113" t="str">
        <f>IFERROR(__xludf.DUMMYFUNCTION("""COMPUTED_VALUE"""),"")</f>
        <v/>
      </c>
      <c r="K113" t="str">
        <f>IFERROR(__xludf.DUMMYFUNCTION("""COMPUTED_VALUE"""),"")</f>
        <v/>
      </c>
      <c r="L113" t="str">
        <f>IFERROR(__xludf.DUMMYFUNCTION("""COMPUTED_VALUE"""),"")</f>
        <v/>
      </c>
      <c r="M113" t="str">
        <f>IFERROR(__xludf.DUMMYFUNCTION("""COMPUTED_VALUE"""),"")</f>
        <v/>
      </c>
      <c r="N113" t="str">
        <f>IFERROR(__xludf.DUMMYFUNCTION("""COMPUTED_VALUE"""),"")</f>
        <v/>
      </c>
      <c r="O113" t="str">
        <f>IFERROR(__xludf.DUMMYFUNCTION("""COMPUTED_VALUE"""),"")</f>
        <v/>
      </c>
      <c r="P113" t="str">
        <f>IFERROR(__xludf.DUMMYFUNCTION("""COMPUTED_VALUE"""),"")</f>
        <v/>
      </c>
      <c r="Q113" t="str">
        <f>IFERROR(__xludf.DUMMYFUNCTION("""COMPUTED_VALUE"""),"")</f>
        <v/>
      </c>
      <c r="R113" t="str">
        <f>IFERROR(__xludf.DUMMYFUNCTION("""COMPUTED_VALUE"""),"")</f>
        <v/>
      </c>
      <c r="S113" t="str">
        <f>IFERROR(__xludf.DUMMYFUNCTION("""COMPUTED_VALUE"""),"")</f>
        <v/>
      </c>
      <c r="T113" t="str">
        <f>IFERROR(__xludf.DUMMYFUNCTION("""COMPUTED_VALUE"""),"")</f>
        <v/>
      </c>
      <c r="U113" t="str">
        <f>IFERROR(__xludf.DUMMYFUNCTION("""COMPUTED_VALUE"""),"")</f>
        <v/>
      </c>
      <c r="V113" t="str">
        <f>IFERROR(__xludf.DUMMYFUNCTION("""COMPUTED_VALUE"""),"")</f>
        <v/>
      </c>
      <c r="W113" t="str">
        <f>IFERROR(__xludf.DUMMYFUNCTION("""COMPUTED_VALUE"""),"")</f>
        <v/>
      </c>
    </row>
    <row r="114">
      <c r="A114" t="str">
        <f>IFERROR(__xludf.DUMMYFUNCTION("""COMPUTED_VALUE"""),"")</f>
        <v/>
      </c>
      <c r="B114" t="str">
        <f>IFERROR(__xludf.DUMMYFUNCTION("""COMPUTED_VALUE"""),"")</f>
        <v/>
      </c>
      <c r="C114" t="str">
        <f>IFERROR(__xludf.DUMMYFUNCTION("""COMPUTED_VALUE"""),"")</f>
        <v/>
      </c>
      <c r="D114" t="str">
        <f>IFERROR(__xludf.DUMMYFUNCTION("""COMPUTED_VALUE"""),"")</f>
        <v/>
      </c>
      <c r="E114" t="str">
        <f>IFERROR(__xludf.DUMMYFUNCTION("""COMPUTED_VALUE"""),"")</f>
        <v/>
      </c>
      <c r="F114" t="str">
        <f>IFERROR(__xludf.DUMMYFUNCTION("""COMPUTED_VALUE"""),"")</f>
        <v/>
      </c>
      <c r="G114" t="str">
        <f>IFERROR(__xludf.DUMMYFUNCTION("""COMPUTED_VALUE"""),"")</f>
        <v/>
      </c>
      <c r="H114" t="str">
        <f>IFERROR(__xludf.DUMMYFUNCTION("""COMPUTED_VALUE"""),"")</f>
        <v/>
      </c>
      <c r="I114" t="str">
        <f>IFERROR(__xludf.DUMMYFUNCTION("""COMPUTED_VALUE"""),"")</f>
        <v/>
      </c>
      <c r="J114" t="str">
        <f>IFERROR(__xludf.DUMMYFUNCTION("""COMPUTED_VALUE"""),"")</f>
        <v/>
      </c>
      <c r="K114" t="str">
        <f>IFERROR(__xludf.DUMMYFUNCTION("""COMPUTED_VALUE"""),"")</f>
        <v/>
      </c>
      <c r="L114" t="str">
        <f>IFERROR(__xludf.DUMMYFUNCTION("""COMPUTED_VALUE"""),"")</f>
        <v/>
      </c>
      <c r="M114" t="str">
        <f>IFERROR(__xludf.DUMMYFUNCTION("""COMPUTED_VALUE"""),"")</f>
        <v/>
      </c>
      <c r="N114" t="str">
        <f>IFERROR(__xludf.DUMMYFUNCTION("""COMPUTED_VALUE"""),"")</f>
        <v/>
      </c>
      <c r="O114" t="str">
        <f>IFERROR(__xludf.DUMMYFUNCTION("""COMPUTED_VALUE"""),"")</f>
        <v/>
      </c>
      <c r="P114" t="str">
        <f>IFERROR(__xludf.DUMMYFUNCTION("""COMPUTED_VALUE"""),"")</f>
        <v/>
      </c>
      <c r="Q114" t="str">
        <f>IFERROR(__xludf.DUMMYFUNCTION("""COMPUTED_VALUE"""),"")</f>
        <v/>
      </c>
      <c r="R114" t="str">
        <f>IFERROR(__xludf.DUMMYFUNCTION("""COMPUTED_VALUE"""),"")</f>
        <v/>
      </c>
      <c r="S114" t="str">
        <f>IFERROR(__xludf.DUMMYFUNCTION("""COMPUTED_VALUE"""),"")</f>
        <v/>
      </c>
      <c r="T114" t="str">
        <f>IFERROR(__xludf.DUMMYFUNCTION("""COMPUTED_VALUE"""),"")</f>
        <v/>
      </c>
      <c r="U114" t="str">
        <f>IFERROR(__xludf.DUMMYFUNCTION("""COMPUTED_VALUE"""),"")</f>
        <v/>
      </c>
      <c r="V114" t="str">
        <f>IFERROR(__xludf.DUMMYFUNCTION("""COMPUTED_VALUE"""),"")</f>
        <v/>
      </c>
      <c r="W114" t="str">
        <f>IFERROR(__xludf.DUMMYFUNCTION("""COMPUTED_VALUE"""),"")</f>
        <v/>
      </c>
    </row>
    <row r="115">
      <c r="A115" t="str">
        <f>IFERROR(__xludf.DUMMYFUNCTION("""COMPUTED_VALUE"""),"")</f>
        <v/>
      </c>
      <c r="B115" t="str">
        <f>IFERROR(__xludf.DUMMYFUNCTION("""COMPUTED_VALUE"""),"")</f>
        <v/>
      </c>
      <c r="C115" t="str">
        <f>IFERROR(__xludf.DUMMYFUNCTION("""COMPUTED_VALUE"""),"")</f>
        <v/>
      </c>
      <c r="D115" t="str">
        <f>IFERROR(__xludf.DUMMYFUNCTION("""COMPUTED_VALUE"""),"")</f>
        <v/>
      </c>
      <c r="E115" t="str">
        <f>IFERROR(__xludf.DUMMYFUNCTION("""COMPUTED_VALUE"""),"")</f>
        <v/>
      </c>
      <c r="F115" t="str">
        <f>IFERROR(__xludf.DUMMYFUNCTION("""COMPUTED_VALUE"""),"")</f>
        <v/>
      </c>
      <c r="G115" t="str">
        <f>IFERROR(__xludf.DUMMYFUNCTION("""COMPUTED_VALUE"""),"")</f>
        <v/>
      </c>
      <c r="H115" t="str">
        <f>IFERROR(__xludf.DUMMYFUNCTION("""COMPUTED_VALUE"""),"")</f>
        <v/>
      </c>
      <c r="I115" t="str">
        <f>IFERROR(__xludf.DUMMYFUNCTION("""COMPUTED_VALUE"""),"")</f>
        <v/>
      </c>
      <c r="J115" t="str">
        <f>IFERROR(__xludf.DUMMYFUNCTION("""COMPUTED_VALUE"""),"")</f>
        <v/>
      </c>
      <c r="K115" t="str">
        <f>IFERROR(__xludf.DUMMYFUNCTION("""COMPUTED_VALUE"""),"")</f>
        <v/>
      </c>
      <c r="L115" t="str">
        <f>IFERROR(__xludf.DUMMYFUNCTION("""COMPUTED_VALUE"""),"")</f>
        <v/>
      </c>
      <c r="M115" t="str">
        <f>IFERROR(__xludf.DUMMYFUNCTION("""COMPUTED_VALUE"""),"")</f>
        <v/>
      </c>
      <c r="N115" t="str">
        <f>IFERROR(__xludf.DUMMYFUNCTION("""COMPUTED_VALUE"""),"")</f>
        <v/>
      </c>
      <c r="O115" t="str">
        <f>IFERROR(__xludf.DUMMYFUNCTION("""COMPUTED_VALUE"""),"")</f>
        <v/>
      </c>
      <c r="P115" t="str">
        <f>IFERROR(__xludf.DUMMYFUNCTION("""COMPUTED_VALUE"""),"")</f>
        <v/>
      </c>
      <c r="Q115" t="str">
        <f>IFERROR(__xludf.DUMMYFUNCTION("""COMPUTED_VALUE"""),"")</f>
        <v/>
      </c>
      <c r="R115" t="str">
        <f>IFERROR(__xludf.DUMMYFUNCTION("""COMPUTED_VALUE"""),"")</f>
        <v/>
      </c>
      <c r="S115" t="str">
        <f>IFERROR(__xludf.DUMMYFUNCTION("""COMPUTED_VALUE"""),"")</f>
        <v/>
      </c>
      <c r="T115" t="str">
        <f>IFERROR(__xludf.DUMMYFUNCTION("""COMPUTED_VALUE"""),"")</f>
        <v/>
      </c>
      <c r="U115" t="str">
        <f>IFERROR(__xludf.DUMMYFUNCTION("""COMPUTED_VALUE"""),"")</f>
        <v/>
      </c>
      <c r="V115" t="str">
        <f>IFERROR(__xludf.DUMMYFUNCTION("""COMPUTED_VALUE"""),"")</f>
        <v/>
      </c>
      <c r="W115" t="str">
        <f>IFERROR(__xludf.DUMMYFUNCTION("""COMPUTED_VALUE"""),"")</f>
        <v/>
      </c>
    </row>
    <row r="116">
      <c r="A116" t="str">
        <f>IFERROR(__xludf.DUMMYFUNCTION("""COMPUTED_VALUE"""),"")</f>
        <v/>
      </c>
      <c r="B116" t="str">
        <f>IFERROR(__xludf.DUMMYFUNCTION("""COMPUTED_VALUE"""),"")</f>
        <v/>
      </c>
      <c r="C116" t="str">
        <f>IFERROR(__xludf.DUMMYFUNCTION("""COMPUTED_VALUE"""),"")</f>
        <v/>
      </c>
      <c r="D116" t="str">
        <f>IFERROR(__xludf.DUMMYFUNCTION("""COMPUTED_VALUE"""),"")</f>
        <v/>
      </c>
      <c r="E116" t="str">
        <f>IFERROR(__xludf.DUMMYFUNCTION("""COMPUTED_VALUE"""),"")</f>
        <v/>
      </c>
      <c r="F116" t="str">
        <f>IFERROR(__xludf.DUMMYFUNCTION("""COMPUTED_VALUE"""),"")</f>
        <v/>
      </c>
      <c r="G116" t="str">
        <f>IFERROR(__xludf.DUMMYFUNCTION("""COMPUTED_VALUE"""),"")</f>
        <v/>
      </c>
      <c r="H116" t="str">
        <f>IFERROR(__xludf.DUMMYFUNCTION("""COMPUTED_VALUE"""),"")</f>
        <v/>
      </c>
      <c r="I116" t="str">
        <f>IFERROR(__xludf.DUMMYFUNCTION("""COMPUTED_VALUE"""),"")</f>
        <v/>
      </c>
      <c r="J116" t="str">
        <f>IFERROR(__xludf.DUMMYFUNCTION("""COMPUTED_VALUE"""),"")</f>
        <v/>
      </c>
      <c r="K116" t="str">
        <f>IFERROR(__xludf.DUMMYFUNCTION("""COMPUTED_VALUE"""),"")</f>
        <v/>
      </c>
      <c r="L116" t="str">
        <f>IFERROR(__xludf.DUMMYFUNCTION("""COMPUTED_VALUE"""),"")</f>
        <v/>
      </c>
      <c r="M116" t="str">
        <f>IFERROR(__xludf.DUMMYFUNCTION("""COMPUTED_VALUE"""),"")</f>
        <v/>
      </c>
      <c r="N116" t="str">
        <f>IFERROR(__xludf.DUMMYFUNCTION("""COMPUTED_VALUE"""),"")</f>
        <v/>
      </c>
      <c r="O116" t="str">
        <f>IFERROR(__xludf.DUMMYFUNCTION("""COMPUTED_VALUE"""),"")</f>
        <v/>
      </c>
      <c r="P116" t="str">
        <f>IFERROR(__xludf.DUMMYFUNCTION("""COMPUTED_VALUE"""),"")</f>
        <v/>
      </c>
      <c r="Q116" t="str">
        <f>IFERROR(__xludf.DUMMYFUNCTION("""COMPUTED_VALUE"""),"")</f>
        <v/>
      </c>
      <c r="R116" t="str">
        <f>IFERROR(__xludf.DUMMYFUNCTION("""COMPUTED_VALUE"""),"")</f>
        <v/>
      </c>
      <c r="S116" t="str">
        <f>IFERROR(__xludf.DUMMYFUNCTION("""COMPUTED_VALUE"""),"")</f>
        <v/>
      </c>
      <c r="T116" t="str">
        <f>IFERROR(__xludf.DUMMYFUNCTION("""COMPUTED_VALUE"""),"")</f>
        <v/>
      </c>
      <c r="U116" t="str">
        <f>IFERROR(__xludf.DUMMYFUNCTION("""COMPUTED_VALUE"""),"")</f>
        <v/>
      </c>
      <c r="V116" t="str">
        <f>IFERROR(__xludf.DUMMYFUNCTION("""COMPUTED_VALUE"""),"")</f>
        <v/>
      </c>
      <c r="W116" t="str">
        <f>IFERROR(__xludf.DUMMYFUNCTION("""COMPUTED_VALUE"""),"")</f>
        <v/>
      </c>
    </row>
    <row r="117">
      <c r="A117" t="str">
        <f>IFERROR(__xludf.DUMMYFUNCTION("""COMPUTED_VALUE"""),"")</f>
        <v/>
      </c>
      <c r="B117" t="str">
        <f>IFERROR(__xludf.DUMMYFUNCTION("""COMPUTED_VALUE"""),"")</f>
        <v/>
      </c>
      <c r="C117" t="str">
        <f>IFERROR(__xludf.DUMMYFUNCTION("""COMPUTED_VALUE"""),"")</f>
        <v/>
      </c>
      <c r="D117" t="str">
        <f>IFERROR(__xludf.DUMMYFUNCTION("""COMPUTED_VALUE"""),"")</f>
        <v/>
      </c>
      <c r="E117" t="str">
        <f>IFERROR(__xludf.DUMMYFUNCTION("""COMPUTED_VALUE"""),"")</f>
        <v/>
      </c>
      <c r="F117" t="str">
        <f>IFERROR(__xludf.DUMMYFUNCTION("""COMPUTED_VALUE"""),"")</f>
        <v/>
      </c>
      <c r="G117" t="str">
        <f>IFERROR(__xludf.DUMMYFUNCTION("""COMPUTED_VALUE"""),"")</f>
        <v/>
      </c>
      <c r="H117" t="str">
        <f>IFERROR(__xludf.DUMMYFUNCTION("""COMPUTED_VALUE"""),"")</f>
        <v/>
      </c>
      <c r="I117" t="str">
        <f>IFERROR(__xludf.DUMMYFUNCTION("""COMPUTED_VALUE"""),"")</f>
        <v/>
      </c>
      <c r="J117" t="str">
        <f>IFERROR(__xludf.DUMMYFUNCTION("""COMPUTED_VALUE"""),"")</f>
        <v/>
      </c>
      <c r="K117" t="str">
        <f>IFERROR(__xludf.DUMMYFUNCTION("""COMPUTED_VALUE"""),"")</f>
        <v/>
      </c>
      <c r="L117" t="str">
        <f>IFERROR(__xludf.DUMMYFUNCTION("""COMPUTED_VALUE"""),"")</f>
        <v/>
      </c>
      <c r="M117" t="str">
        <f>IFERROR(__xludf.DUMMYFUNCTION("""COMPUTED_VALUE"""),"")</f>
        <v/>
      </c>
      <c r="N117" t="str">
        <f>IFERROR(__xludf.DUMMYFUNCTION("""COMPUTED_VALUE"""),"")</f>
        <v/>
      </c>
      <c r="O117" t="str">
        <f>IFERROR(__xludf.DUMMYFUNCTION("""COMPUTED_VALUE"""),"")</f>
        <v/>
      </c>
      <c r="P117" t="str">
        <f>IFERROR(__xludf.DUMMYFUNCTION("""COMPUTED_VALUE"""),"")</f>
        <v/>
      </c>
      <c r="Q117" t="str">
        <f>IFERROR(__xludf.DUMMYFUNCTION("""COMPUTED_VALUE"""),"")</f>
        <v/>
      </c>
      <c r="R117" t="str">
        <f>IFERROR(__xludf.DUMMYFUNCTION("""COMPUTED_VALUE"""),"")</f>
        <v/>
      </c>
      <c r="S117" t="str">
        <f>IFERROR(__xludf.DUMMYFUNCTION("""COMPUTED_VALUE"""),"")</f>
        <v/>
      </c>
      <c r="T117" t="str">
        <f>IFERROR(__xludf.DUMMYFUNCTION("""COMPUTED_VALUE"""),"")</f>
        <v/>
      </c>
      <c r="U117" t="str">
        <f>IFERROR(__xludf.DUMMYFUNCTION("""COMPUTED_VALUE"""),"")</f>
        <v/>
      </c>
      <c r="V117" t="str">
        <f>IFERROR(__xludf.DUMMYFUNCTION("""COMPUTED_VALUE"""),"")</f>
        <v/>
      </c>
      <c r="W117" t="str">
        <f>IFERROR(__xludf.DUMMYFUNCTION("""COMPUTED_VALUE"""),"")</f>
        <v/>
      </c>
    </row>
    <row r="118">
      <c r="A118" t="str">
        <f>IFERROR(__xludf.DUMMYFUNCTION("""COMPUTED_VALUE"""),"")</f>
        <v/>
      </c>
      <c r="B118" t="str">
        <f>IFERROR(__xludf.DUMMYFUNCTION("""COMPUTED_VALUE"""),"")</f>
        <v/>
      </c>
      <c r="C118" t="str">
        <f>IFERROR(__xludf.DUMMYFUNCTION("""COMPUTED_VALUE"""),"")</f>
        <v/>
      </c>
      <c r="D118" t="str">
        <f>IFERROR(__xludf.DUMMYFUNCTION("""COMPUTED_VALUE"""),"")</f>
        <v/>
      </c>
      <c r="E118" t="str">
        <f>IFERROR(__xludf.DUMMYFUNCTION("""COMPUTED_VALUE"""),"")</f>
        <v/>
      </c>
      <c r="F118" t="str">
        <f>IFERROR(__xludf.DUMMYFUNCTION("""COMPUTED_VALUE"""),"")</f>
        <v/>
      </c>
      <c r="G118" t="str">
        <f>IFERROR(__xludf.DUMMYFUNCTION("""COMPUTED_VALUE"""),"")</f>
        <v/>
      </c>
      <c r="H118" t="str">
        <f>IFERROR(__xludf.DUMMYFUNCTION("""COMPUTED_VALUE"""),"")</f>
        <v/>
      </c>
      <c r="I118" t="str">
        <f>IFERROR(__xludf.DUMMYFUNCTION("""COMPUTED_VALUE"""),"")</f>
        <v/>
      </c>
      <c r="J118" t="str">
        <f>IFERROR(__xludf.DUMMYFUNCTION("""COMPUTED_VALUE"""),"")</f>
        <v/>
      </c>
      <c r="K118" t="str">
        <f>IFERROR(__xludf.DUMMYFUNCTION("""COMPUTED_VALUE"""),"")</f>
        <v/>
      </c>
      <c r="L118" t="str">
        <f>IFERROR(__xludf.DUMMYFUNCTION("""COMPUTED_VALUE"""),"")</f>
        <v/>
      </c>
      <c r="M118" t="str">
        <f>IFERROR(__xludf.DUMMYFUNCTION("""COMPUTED_VALUE"""),"")</f>
        <v/>
      </c>
      <c r="N118" t="str">
        <f>IFERROR(__xludf.DUMMYFUNCTION("""COMPUTED_VALUE"""),"")</f>
        <v/>
      </c>
      <c r="O118" t="str">
        <f>IFERROR(__xludf.DUMMYFUNCTION("""COMPUTED_VALUE"""),"")</f>
        <v/>
      </c>
      <c r="P118" t="str">
        <f>IFERROR(__xludf.DUMMYFUNCTION("""COMPUTED_VALUE"""),"")</f>
        <v/>
      </c>
      <c r="Q118" t="str">
        <f>IFERROR(__xludf.DUMMYFUNCTION("""COMPUTED_VALUE"""),"")</f>
        <v/>
      </c>
      <c r="R118" t="str">
        <f>IFERROR(__xludf.DUMMYFUNCTION("""COMPUTED_VALUE"""),"")</f>
        <v/>
      </c>
      <c r="S118" t="str">
        <f>IFERROR(__xludf.DUMMYFUNCTION("""COMPUTED_VALUE"""),"")</f>
        <v/>
      </c>
      <c r="T118" t="str">
        <f>IFERROR(__xludf.DUMMYFUNCTION("""COMPUTED_VALUE"""),"")</f>
        <v/>
      </c>
      <c r="U118" t="str">
        <f>IFERROR(__xludf.DUMMYFUNCTION("""COMPUTED_VALUE"""),"")</f>
        <v/>
      </c>
      <c r="V118" t="str">
        <f>IFERROR(__xludf.DUMMYFUNCTION("""COMPUTED_VALUE"""),"")</f>
        <v/>
      </c>
      <c r="W118" t="str">
        <f>IFERROR(__xludf.DUMMYFUNCTION("""COMPUTED_VALUE"""),"")</f>
        <v/>
      </c>
    </row>
    <row r="119">
      <c r="A119" t="str">
        <f>IFERROR(__xludf.DUMMYFUNCTION("""COMPUTED_VALUE"""),"")</f>
        <v/>
      </c>
      <c r="B119" t="str">
        <f>IFERROR(__xludf.DUMMYFUNCTION("""COMPUTED_VALUE"""),"")</f>
        <v/>
      </c>
      <c r="C119" t="str">
        <f>IFERROR(__xludf.DUMMYFUNCTION("""COMPUTED_VALUE"""),"")</f>
        <v/>
      </c>
      <c r="D119" t="str">
        <f>IFERROR(__xludf.DUMMYFUNCTION("""COMPUTED_VALUE"""),"")</f>
        <v/>
      </c>
      <c r="E119" t="str">
        <f>IFERROR(__xludf.DUMMYFUNCTION("""COMPUTED_VALUE"""),"")</f>
        <v/>
      </c>
      <c r="F119" t="str">
        <f>IFERROR(__xludf.DUMMYFUNCTION("""COMPUTED_VALUE"""),"")</f>
        <v/>
      </c>
      <c r="G119" t="str">
        <f>IFERROR(__xludf.DUMMYFUNCTION("""COMPUTED_VALUE"""),"")</f>
        <v/>
      </c>
      <c r="H119" t="str">
        <f>IFERROR(__xludf.DUMMYFUNCTION("""COMPUTED_VALUE"""),"")</f>
        <v/>
      </c>
      <c r="I119" t="str">
        <f>IFERROR(__xludf.DUMMYFUNCTION("""COMPUTED_VALUE"""),"")</f>
        <v/>
      </c>
      <c r="J119" t="str">
        <f>IFERROR(__xludf.DUMMYFUNCTION("""COMPUTED_VALUE"""),"")</f>
        <v/>
      </c>
      <c r="K119" t="str">
        <f>IFERROR(__xludf.DUMMYFUNCTION("""COMPUTED_VALUE"""),"")</f>
        <v/>
      </c>
      <c r="L119" t="str">
        <f>IFERROR(__xludf.DUMMYFUNCTION("""COMPUTED_VALUE"""),"")</f>
        <v/>
      </c>
      <c r="M119" t="str">
        <f>IFERROR(__xludf.DUMMYFUNCTION("""COMPUTED_VALUE"""),"")</f>
        <v/>
      </c>
      <c r="N119" t="str">
        <f>IFERROR(__xludf.DUMMYFUNCTION("""COMPUTED_VALUE"""),"")</f>
        <v/>
      </c>
      <c r="O119" t="str">
        <f>IFERROR(__xludf.DUMMYFUNCTION("""COMPUTED_VALUE"""),"")</f>
        <v/>
      </c>
      <c r="P119" t="str">
        <f>IFERROR(__xludf.DUMMYFUNCTION("""COMPUTED_VALUE"""),"")</f>
        <v/>
      </c>
      <c r="Q119" t="str">
        <f>IFERROR(__xludf.DUMMYFUNCTION("""COMPUTED_VALUE"""),"")</f>
        <v/>
      </c>
      <c r="R119" t="str">
        <f>IFERROR(__xludf.DUMMYFUNCTION("""COMPUTED_VALUE"""),"")</f>
        <v/>
      </c>
      <c r="S119" t="str">
        <f>IFERROR(__xludf.DUMMYFUNCTION("""COMPUTED_VALUE"""),"")</f>
        <v/>
      </c>
      <c r="T119" t="str">
        <f>IFERROR(__xludf.DUMMYFUNCTION("""COMPUTED_VALUE"""),"")</f>
        <v/>
      </c>
      <c r="U119" t="str">
        <f>IFERROR(__xludf.DUMMYFUNCTION("""COMPUTED_VALUE"""),"")</f>
        <v/>
      </c>
      <c r="V119" t="str">
        <f>IFERROR(__xludf.DUMMYFUNCTION("""COMPUTED_VALUE"""),"")</f>
        <v/>
      </c>
      <c r="W119" t="str">
        <f>IFERROR(__xludf.DUMMYFUNCTION("""COMPUTED_VALUE"""),"")</f>
        <v/>
      </c>
    </row>
    <row r="120">
      <c r="A120" t="str">
        <f>IFERROR(__xludf.DUMMYFUNCTION("""COMPUTED_VALUE"""),"")</f>
        <v/>
      </c>
      <c r="B120" t="str">
        <f>IFERROR(__xludf.DUMMYFUNCTION("""COMPUTED_VALUE"""),"")</f>
        <v/>
      </c>
      <c r="C120" t="str">
        <f>IFERROR(__xludf.DUMMYFUNCTION("""COMPUTED_VALUE"""),"")</f>
        <v/>
      </c>
      <c r="D120" t="str">
        <f>IFERROR(__xludf.DUMMYFUNCTION("""COMPUTED_VALUE"""),"")</f>
        <v/>
      </c>
      <c r="E120" t="str">
        <f>IFERROR(__xludf.DUMMYFUNCTION("""COMPUTED_VALUE"""),"")</f>
        <v/>
      </c>
      <c r="F120" t="str">
        <f>IFERROR(__xludf.DUMMYFUNCTION("""COMPUTED_VALUE"""),"")</f>
        <v/>
      </c>
      <c r="G120" t="str">
        <f>IFERROR(__xludf.DUMMYFUNCTION("""COMPUTED_VALUE"""),"")</f>
        <v/>
      </c>
      <c r="H120" t="str">
        <f>IFERROR(__xludf.DUMMYFUNCTION("""COMPUTED_VALUE"""),"")</f>
        <v/>
      </c>
      <c r="I120" t="str">
        <f>IFERROR(__xludf.DUMMYFUNCTION("""COMPUTED_VALUE"""),"")</f>
        <v/>
      </c>
      <c r="J120" t="str">
        <f>IFERROR(__xludf.DUMMYFUNCTION("""COMPUTED_VALUE"""),"")</f>
        <v/>
      </c>
      <c r="K120" t="str">
        <f>IFERROR(__xludf.DUMMYFUNCTION("""COMPUTED_VALUE"""),"")</f>
        <v/>
      </c>
      <c r="L120" t="str">
        <f>IFERROR(__xludf.DUMMYFUNCTION("""COMPUTED_VALUE"""),"")</f>
        <v/>
      </c>
      <c r="M120" t="str">
        <f>IFERROR(__xludf.DUMMYFUNCTION("""COMPUTED_VALUE"""),"")</f>
        <v/>
      </c>
      <c r="N120" t="str">
        <f>IFERROR(__xludf.DUMMYFUNCTION("""COMPUTED_VALUE"""),"")</f>
        <v/>
      </c>
      <c r="O120" t="str">
        <f>IFERROR(__xludf.DUMMYFUNCTION("""COMPUTED_VALUE"""),"")</f>
        <v/>
      </c>
      <c r="P120" t="str">
        <f>IFERROR(__xludf.DUMMYFUNCTION("""COMPUTED_VALUE"""),"")</f>
        <v/>
      </c>
      <c r="Q120" t="str">
        <f>IFERROR(__xludf.DUMMYFUNCTION("""COMPUTED_VALUE"""),"")</f>
        <v/>
      </c>
      <c r="R120" t="str">
        <f>IFERROR(__xludf.DUMMYFUNCTION("""COMPUTED_VALUE"""),"")</f>
        <v/>
      </c>
      <c r="S120" t="str">
        <f>IFERROR(__xludf.DUMMYFUNCTION("""COMPUTED_VALUE"""),"")</f>
        <v/>
      </c>
      <c r="T120" t="str">
        <f>IFERROR(__xludf.DUMMYFUNCTION("""COMPUTED_VALUE"""),"")</f>
        <v/>
      </c>
      <c r="U120" t="str">
        <f>IFERROR(__xludf.DUMMYFUNCTION("""COMPUTED_VALUE"""),"")</f>
        <v/>
      </c>
      <c r="V120" t="str">
        <f>IFERROR(__xludf.DUMMYFUNCTION("""COMPUTED_VALUE"""),"")</f>
        <v/>
      </c>
      <c r="W120" t="str">
        <f>IFERROR(__xludf.DUMMYFUNCTION("""COMPUTED_VALUE"""),"")</f>
        <v/>
      </c>
    </row>
    <row r="121">
      <c r="A121" t="str">
        <f>IFERROR(__xludf.DUMMYFUNCTION("""COMPUTED_VALUE"""),"")</f>
        <v/>
      </c>
      <c r="B121" t="str">
        <f>IFERROR(__xludf.DUMMYFUNCTION("""COMPUTED_VALUE"""),"")</f>
        <v/>
      </c>
      <c r="C121" t="str">
        <f>IFERROR(__xludf.DUMMYFUNCTION("""COMPUTED_VALUE"""),"")</f>
        <v/>
      </c>
      <c r="D121" t="str">
        <f>IFERROR(__xludf.DUMMYFUNCTION("""COMPUTED_VALUE"""),"")</f>
        <v/>
      </c>
      <c r="E121" t="str">
        <f>IFERROR(__xludf.DUMMYFUNCTION("""COMPUTED_VALUE"""),"")</f>
        <v/>
      </c>
      <c r="F121" t="str">
        <f>IFERROR(__xludf.DUMMYFUNCTION("""COMPUTED_VALUE"""),"")</f>
        <v/>
      </c>
      <c r="G121" t="str">
        <f>IFERROR(__xludf.DUMMYFUNCTION("""COMPUTED_VALUE"""),"")</f>
        <v/>
      </c>
      <c r="H121" t="str">
        <f>IFERROR(__xludf.DUMMYFUNCTION("""COMPUTED_VALUE"""),"")</f>
        <v/>
      </c>
      <c r="I121" t="str">
        <f>IFERROR(__xludf.DUMMYFUNCTION("""COMPUTED_VALUE"""),"")</f>
        <v/>
      </c>
      <c r="J121" t="str">
        <f>IFERROR(__xludf.DUMMYFUNCTION("""COMPUTED_VALUE"""),"")</f>
        <v/>
      </c>
      <c r="K121" t="str">
        <f>IFERROR(__xludf.DUMMYFUNCTION("""COMPUTED_VALUE"""),"")</f>
        <v/>
      </c>
      <c r="L121" t="str">
        <f>IFERROR(__xludf.DUMMYFUNCTION("""COMPUTED_VALUE"""),"")</f>
        <v/>
      </c>
      <c r="M121" t="str">
        <f>IFERROR(__xludf.DUMMYFUNCTION("""COMPUTED_VALUE"""),"")</f>
        <v/>
      </c>
      <c r="N121" t="str">
        <f>IFERROR(__xludf.DUMMYFUNCTION("""COMPUTED_VALUE"""),"")</f>
        <v/>
      </c>
      <c r="O121" t="str">
        <f>IFERROR(__xludf.DUMMYFUNCTION("""COMPUTED_VALUE"""),"")</f>
        <v/>
      </c>
      <c r="P121" t="str">
        <f>IFERROR(__xludf.DUMMYFUNCTION("""COMPUTED_VALUE"""),"")</f>
        <v/>
      </c>
      <c r="Q121" t="str">
        <f>IFERROR(__xludf.DUMMYFUNCTION("""COMPUTED_VALUE"""),"")</f>
        <v/>
      </c>
      <c r="R121" t="str">
        <f>IFERROR(__xludf.DUMMYFUNCTION("""COMPUTED_VALUE"""),"")</f>
        <v/>
      </c>
      <c r="S121" t="str">
        <f>IFERROR(__xludf.DUMMYFUNCTION("""COMPUTED_VALUE"""),"")</f>
        <v/>
      </c>
      <c r="T121" t="str">
        <f>IFERROR(__xludf.DUMMYFUNCTION("""COMPUTED_VALUE"""),"")</f>
        <v/>
      </c>
      <c r="U121" t="str">
        <f>IFERROR(__xludf.DUMMYFUNCTION("""COMPUTED_VALUE"""),"")</f>
        <v/>
      </c>
      <c r="V121" t="str">
        <f>IFERROR(__xludf.DUMMYFUNCTION("""COMPUTED_VALUE"""),"")</f>
        <v/>
      </c>
      <c r="W121" t="str">
        <f>IFERROR(__xludf.DUMMYFUNCTION("""COMPUTED_VALUE"""),"")</f>
        <v/>
      </c>
    </row>
    <row r="122">
      <c r="A122" t="str">
        <f>IFERROR(__xludf.DUMMYFUNCTION("""COMPUTED_VALUE"""),"")</f>
        <v/>
      </c>
      <c r="B122" t="str">
        <f>IFERROR(__xludf.DUMMYFUNCTION("""COMPUTED_VALUE"""),"")</f>
        <v/>
      </c>
      <c r="C122" t="str">
        <f>IFERROR(__xludf.DUMMYFUNCTION("""COMPUTED_VALUE"""),"")</f>
        <v/>
      </c>
      <c r="D122" t="str">
        <f>IFERROR(__xludf.DUMMYFUNCTION("""COMPUTED_VALUE"""),"")</f>
        <v/>
      </c>
      <c r="E122" t="str">
        <f>IFERROR(__xludf.DUMMYFUNCTION("""COMPUTED_VALUE"""),"")</f>
        <v/>
      </c>
      <c r="F122" t="str">
        <f>IFERROR(__xludf.DUMMYFUNCTION("""COMPUTED_VALUE"""),"")</f>
        <v/>
      </c>
      <c r="G122" t="str">
        <f>IFERROR(__xludf.DUMMYFUNCTION("""COMPUTED_VALUE"""),"")</f>
        <v/>
      </c>
      <c r="H122" t="str">
        <f>IFERROR(__xludf.DUMMYFUNCTION("""COMPUTED_VALUE"""),"")</f>
        <v/>
      </c>
      <c r="I122" t="str">
        <f>IFERROR(__xludf.DUMMYFUNCTION("""COMPUTED_VALUE"""),"")</f>
        <v/>
      </c>
      <c r="J122" t="str">
        <f>IFERROR(__xludf.DUMMYFUNCTION("""COMPUTED_VALUE"""),"")</f>
        <v/>
      </c>
      <c r="K122" t="str">
        <f>IFERROR(__xludf.DUMMYFUNCTION("""COMPUTED_VALUE"""),"")</f>
        <v/>
      </c>
      <c r="L122" t="str">
        <f>IFERROR(__xludf.DUMMYFUNCTION("""COMPUTED_VALUE"""),"")</f>
        <v/>
      </c>
      <c r="M122" t="str">
        <f>IFERROR(__xludf.DUMMYFUNCTION("""COMPUTED_VALUE"""),"")</f>
        <v/>
      </c>
      <c r="N122" t="str">
        <f>IFERROR(__xludf.DUMMYFUNCTION("""COMPUTED_VALUE"""),"")</f>
        <v/>
      </c>
      <c r="O122" t="str">
        <f>IFERROR(__xludf.DUMMYFUNCTION("""COMPUTED_VALUE"""),"")</f>
        <v/>
      </c>
      <c r="P122" t="str">
        <f>IFERROR(__xludf.DUMMYFUNCTION("""COMPUTED_VALUE"""),"")</f>
        <v/>
      </c>
      <c r="Q122" t="str">
        <f>IFERROR(__xludf.DUMMYFUNCTION("""COMPUTED_VALUE"""),"")</f>
        <v/>
      </c>
      <c r="R122" t="str">
        <f>IFERROR(__xludf.DUMMYFUNCTION("""COMPUTED_VALUE"""),"")</f>
        <v/>
      </c>
      <c r="S122" t="str">
        <f>IFERROR(__xludf.DUMMYFUNCTION("""COMPUTED_VALUE"""),"")</f>
        <v/>
      </c>
      <c r="T122" t="str">
        <f>IFERROR(__xludf.DUMMYFUNCTION("""COMPUTED_VALUE"""),"")</f>
        <v/>
      </c>
      <c r="U122" t="str">
        <f>IFERROR(__xludf.DUMMYFUNCTION("""COMPUTED_VALUE"""),"")</f>
        <v/>
      </c>
      <c r="V122" t="str">
        <f>IFERROR(__xludf.DUMMYFUNCTION("""COMPUTED_VALUE"""),"")</f>
        <v/>
      </c>
      <c r="W122" t="str">
        <f>IFERROR(__xludf.DUMMYFUNCTION("""COMPUTED_VALUE"""),"")</f>
        <v/>
      </c>
    </row>
    <row r="123">
      <c r="A123" t="str">
        <f>IFERROR(__xludf.DUMMYFUNCTION("""COMPUTED_VALUE"""),"")</f>
        <v/>
      </c>
      <c r="B123" t="str">
        <f>IFERROR(__xludf.DUMMYFUNCTION("""COMPUTED_VALUE"""),"")</f>
        <v/>
      </c>
      <c r="C123" t="str">
        <f>IFERROR(__xludf.DUMMYFUNCTION("""COMPUTED_VALUE"""),"")</f>
        <v/>
      </c>
      <c r="D123" t="str">
        <f>IFERROR(__xludf.DUMMYFUNCTION("""COMPUTED_VALUE"""),"")</f>
        <v/>
      </c>
      <c r="E123" t="str">
        <f>IFERROR(__xludf.DUMMYFUNCTION("""COMPUTED_VALUE"""),"")</f>
        <v/>
      </c>
      <c r="F123" t="str">
        <f>IFERROR(__xludf.DUMMYFUNCTION("""COMPUTED_VALUE"""),"")</f>
        <v/>
      </c>
      <c r="G123" t="str">
        <f>IFERROR(__xludf.DUMMYFUNCTION("""COMPUTED_VALUE"""),"")</f>
        <v/>
      </c>
      <c r="H123" t="str">
        <f>IFERROR(__xludf.DUMMYFUNCTION("""COMPUTED_VALUE"""),"")</f>
        <v/>
      </c>
      <c r="I123" t="str">
        <f>IFERROR(__xludf.DUMMYFUNCTION("""COMPUTED_VALUE"""),"")</f>
        <v/>
      </c>
      <c r="J123" t="str">
        <f>IFERROR(__xludf.DUMMYFUNCTION("""COMPUTED_VALUE"""),"")</f>
        <v/>
      </c>
      <c r="K123" t="str">
        <f>IFERROR(__xludf.DUMMYFUNCTION("""COMPUTED_VALUE"""),"")</f>
        <v/>
      </c>
      <c r="L123" t="str">
        <f>IFERROR(__xludf.DUMMYFUNCTION("""COMPUTED_VALUE"""),"")</f>
        <v/>
      </c>
      <c r="M123" t="str">
        <f>IFERROR(__xludf.DUMMYFUNCTION("""COMPUTED_VALUE"""),"")</f>
        <v/>
      </c>
      <c r="N123" t="str">
        <f>IFERROR(__xludf.DUMMYFUNCTION("""COMPUTED_VALUE"""),"")</f>
        <v/>
      </c>
      <c r="O123" t="str">
        <f>IFERROR(__xludf.DUMMYFUNCTION("""COMPUTED_VALUE"""),"")</f>
        <v/>
      </c>
      <c r="P123" t="str">
        <f>IFERROR(__xludf.DUMMYFUNCTION("""COMPUTED_VALUE"""),"")</f>
        <v/>
      </c>
      <c r="Q123" t="str">
        <f>IFERROR(__xludf.DUMMYFUNCTION("""COMPUTED_VALUE"""),"")</f>
        <v/>
      </c>
      <c r="R123" t="str">
        <f>IFERROR(__xludf.DUMMYFUNCTION("""COMPUTED_VALUE"""),"")</f>
        <v/>
      </c>
      <c r="S123" t="str">
        <f>IFERROR(__xludf.DUMMYFUNCTION("""COMPUTED_VALUE"""),"")</f>
        <v/>
      </c>
      <c r="T123" t="str">
        <f>IFERROR(__xludf.DUMMYFUNCTION("""COMPUTED_VALUE"""),"")</f>
        <v/>
      </c>
      <c r="U123" t="str">
        <f>IFERROR(__xludf.DUMMYFUNCTION("""COMPUTED_VALUE"""),"")</f>
        <v/>
      </c>
      <c r="V123" t="str">
        <f>IFERROR(__xludf.DUMMYFUNCTION("""COMPUTED_VALUE"""),"")</f>
        <v/>
      </c>
      <c r="W123" t="str">
        <f>IFERROR(__xludf.DUMMYFUNCTION("""COMPUTED_VALUE"""),"")</f>
        <v/>
      </c>
    </row>
    <row r="124">
      <c r="A124" t="str">
        <f>IFERROR(__xludf.DUMMYFUNCTION("""COMPUTED_VALUE"""),"")</f>
        <v/>
      </c>
      <c r="B124" t="str">
        <f>IFERROR(__xludf.DUMMYFUNCTION("""COMPUTED_VALUE"""),"")</f>
        <v/>
      </c>
      <c r="C124" t="str">
        <f>IFERROR(__xludf.DUMMYFUNCTION("""COMPUTED_VALUE"""),"")</f>
        <v/>
      </c>
      <c r="D124" t="str">
        <f>IFERROR(__xludf.DUMMYFUNCTION("""COMPUTED_VALUE"""),"")</f>
        <v/>
      </c>
      <c r="E124" t="str">
        <f>IFERROR(__xludf.DUMMYFUNCTION("""COMPUTED_VALUE"""),"")</f>
        <v/>
      </c>
      <c r="F124" t="str">
        <f>IFERROR(__xludf.DUMMYFUNCTION("""COMPUTED_VALUE"""),"")</f>
        <v/>
      </c>
      <c r="G124" t="str">
        <f>IFERROR(__xludf.DUMMYFUNCTION("""COMPUTED_VALUE"""),"")</f>
        <v/>
      </c>
      <c r="H124" t="str">
        <f>IFERROR(__xludf.DUMMYFUNCTION("""COMPUTED_VALUE"""),"")</f>
        <v/>
      </c>
      <c r="I124" t="str">
        <f>IFERROR(__xludf.DUMMYFUNCTION("""COMPUTED_VALUE"""),"")</f>
        <v/>
      </c>
      <c r="J124" t="str">
        <f>IFERROR(__xludf.DUMMYFUNCTION("""COMPUTED_VALUE"""),"")</f>
        <v/>
      </c>
      <c r="K124" t="str">
        <f>IFERROR(__xludf.DUMMYFUNCTION("""COMPUTED_VALUE"""),"")</f>
        <v/>
      </c>
      <c r="L124" t="str">
        <f>IFERROR(__xludf.DUMMYFUNCTION("""COMPUTED_VALUE"""),"")</f>
        <v/>
      </c>
      <c r="M124" t="str">
        <f>IFERROR(__xludf.DUMMYFUNCTION("""COMPUTED_VALUE"""),"")</f>
        <v/>
      </c>
      <c r="N124" t="str">
        <f>IFERROR(__xludf.DUMMYFUNCTION("""COMPUTED_VALUE"""),"")</f>
        <v/>
      </c>
      <c r="O124" t="str">
        <f>IFERROR(__xludf.DUMMYFUNCTION("""COMPUTED_VALUE"""),"")</f>
        <v/>
      </c>
      <c r="P124" t="str">
        <f>IFERROR(__xludf.DUMMYFUNCTION("""COMPUTED_VALUE"""),"")</f>
        <v/>
      </c>
      <c r="Q124" t="str">
        <f>IFERROR(__xludf.DUMMYFUNCTION("""COMPUTED_VALUE"""),"")</f>
        <v/>
      </c>
      <c r="R124" t="str">
        <f>IFERROR(__xludf.DUMMYFUNCTION("""COMPUTED_VALUE"""),"")</f>
        <v/>
      </c>
      <c r="S124" t="str">
        <f>IFERROR(__xludf.DUMMYFUNCTION("""COMPUTED_VALUE"""),"")</f>
        <v/>
      </c>
      <c r="T124" t="str">
        <f>IFERROR(__xludf.DUMMYFUNCTION("""COMPUTED_VALUE"""),"")</f>
        <v/>
      </c>
      <c r="U124" t="str">
        <f>IFERROR(__xludf.DUMMYFUNCTION("""COMPUTED_VALUE"""),"")</f>
        <v/>
      </c>
      <c r="V124" t="str">
        <f>IFERROR(__xludf.DUMMYFUNCTION("""COMPUTED_VALUE"""),"")</f>
        <v/>
      </c>
      <c r="W124" t="str">
        <f>IFERROR(__xludf.DUMMYFUNCTION("""COMPUTED_VALUE"""),"")</f>
        <v/>
      </c>
    </row>
    <row r="125">
      <c r="A125" t="str">
        <f>IFERROR(__xludf.DUMMYFUNCTION("""COMPUTED_VALUE"""),"")</f>
        <v/>
      </c>
      <c r="B125" t="str">
        <f>IFERROR(__xludf.DUMMYFUNCTION("""COMPUTED_VALUE"""),"")</f>
        <v/>
      </c>
      <c r="C125" t="str">
        <f>IFERROR(__xludf.DUMMYFUNCTION("""COMPUTED_VALUE"""),"")</f>
        <v/>
      </c>
      <c r="D125" t="str">
        <f>IFERROR(__xludf.DUMMYFUNCTION("""COMPUTED_VALUE"""),"")</f>
        <v/>
      </c>
      <c r="E125" t="str">
        <f>IFERROR(__xludf.DUMMYFUNCTION("""COMPUTED_VALUE"""),"")</f>
        <v/>
      </c>
      <c r="F125" t="str">
        <f>IFERROR(__xludf.DUMMYFUNCTION("""COMPUTED_VALUE"""),"")</f>
        <v/>
      </c>
      <c r="G125" t="str">
        <f>IFERROR(__xludf.DUMMYFUNCTION("""COMPUTED_VALUE"""),"")</f>
        <v/>
      </c>
      <c r="H125" t="str">
        <f>IFERROR(__xludf.DUMMYFUNCTION("""COMPUTED_VALUE"""),"")</f>
        <v/>
      </c>
      <c r="I125" t="str">
        <f>IFERROR(__xludf.DUMMYFUNCTION("""COMPUTED_VALUE"""),"")</f>
        <v/>
      </c>
      <c r="J125" t="str">
        <f>IFERROR(__xludf.DUMMYFUNCTION("""COMPUTED_VALUE"""),"")</f>
        <v/>
      </c>
      <c r="K125" t="str">
        <f>IFERROR(__xludf.DUMMYFUNCTION("""COMPUTED_VALUE"""),"")</f>
        <v/>
      </c>
      <c r="L125" t="str">
        <f>IFERROR(__xludf.DUMMYFUNCTION("""COMPUTED_VALUE"""),"")</f>
        <v/>
      </c>
      <c r="M125" t="str">
        <f>IFERROR(__xludf.DUMMYFUNCTION("""COMPUTED_VALUE"""),"")</f>
        <v/>
      </c>
      <c r="N125" t="str">
        <f>IFERROR(__xludf.DUMMYFUNCTION("""COMPUTED_VALUE"""),"")</f>
        <v/>
      </c>
      <c r="O125" t="str">
        <f>IFERROR(__xludf.DUMMYFUNCTION("""COMPUTED_VALUE"""),"")</f>
        <v/>
      </c>
      <c r="P125" t="str">
        <f>IFERROR(__xludf.DUMMYFUNCTION("""COMPUTED_VALUE"""),"")</f>
        <v/>
      </c>
      <c r="Q125" t="str">
        <f>IFERROR(__xludf.DUMMYFUNCTION("""COMPUTED_VALUE"""),"")</f>
        <v/>
      </c>
      <c r="R125" t="str">
        <f>IFERROR(__xludf.DUMMYFUNCTION("""COMPUTED_VALUE"""),"")</f>
        <v/>
      </c>
      <c r="S125" t="str">
        <f>IFERROR(__xludf.DUMMYFUNCTION("""COMPUTED_VALUE"""),"")</f>
        <v/>
      </c>
      <c r="T125" t="str">
        <f>IFERROR(__xludf.DUMMYFUNCTION("""COMPUTED_VALUE"""),"")</f>
        <v/>
      </c>
      <c r="U125" t="str">
        <f>IFERROR(__xludf.DUMMYFUNCTION("""COMPUTED_VALUE"""),"")</f>
        <v/>
      </c>
      <c r="V125" t="str">
        <f>IFERROR(__xludf.DUMMYFUNCTION("""COMPUTED_VALUE"""),"")</f>
        <v/>
      </c>
      <c r="W125" t="str">
        <f>IFERROR(__xludf.DUMMYFUNCTION("""COMPUTED_VALUE"""),"")</f>
        <v/>
      </c>
    </row>
    <row r="126">
      <c r="A126" t="str">
        <f>IFERROR(__xludf.DUMMYFUNCTION("""COMPUTED_VALUE"""),"")</f>
        <v/>
      </c>
      <c r="B126" t="str">
        <f>IFERROR(__xludf.DUMMYFUNCTION("""COMPUTED_VALUE"""),"")</f>
        <v/>
      </c>
      <c r="C126" t="str">
        <f>IFERROR(__xludf.DUMMYFUNCTION("""COMPUTED_VALUE"""),"")</f>
        <v/>
      </c>
      <c r="D126" t="str">
        <f>IFERROR(__xludf.DUMMYFUNCTION("""COMPUTED_VALUE"""),"")</f>
        <v/>
      </c>
      <c r="E126" t="str">
        <f>IFERROR(__xludf.DUMMYFUNCTION("""COMPUTED_VALUE"""),"")</f>
        <v/>
      </c>
      <c r="F126" t="str">
        <f>IFERROR(__xludf.DUMMYFUNCTION("""COMPUTED_VALUE"""),"")</f>
        <v/>
      </c>
      <c r="G126" t="str">
        <f>IFERROR(__xludf.DUMMYFUNCTION("""COMPUTED_VALUE"""),"")</f>
        <v/>
      </c>
      <c r="H126" t="str">
        <f>IFERROR(__xludf.DUMMYFUNCTION("""COMPUTED_VALUE"""),"")</f>
        <v/>
      </c>
      <c r="I126" t="str">
        <f>IFERROR(__xludf.DUMMYFUNCTION("""COMPUTED_VALUE"""),"")</f>
        <v/>
      </c>
      <c r="J126" t="str">
        <f>IFERROR(__xludf.DUMMYFUNCTION("""COMPUTED_VALUE"""),"")</f>
        <v/>
      </c>
      <c r="K126" t="str">
        <f>IFERROR(__xludf.DUMMYFUNCTION("""COMPUTED_VALUE"""),"")</f>
        <v/>
      </c>
      <c r="L126" t="str">
        <f>IFERROR(__xludf.DUMMYFUNCTION("""COMPUTED_VALUE"""),"")</f>
        <v/>
      </c>
      <c r="M126" t="str">
        <f>IFERROR(__xludf.DUMMYFUNCTION("""COMPUTED_VALUE"""),"")</f>
        <v/>
      </c>
      <c r="N126" t="str">
        <f>IFERROR(__xludf.DUMMYFUNCTION("""COMPUTED_VALUE"""),"")</f>
        <v/>
      </c>
      <c r="O126" t="str">
        <f>IFERROR(__xludf.DUMMYFUNCTION("""COMPUTED_VALUE"""),"")</f>
        <v/>
      </c>
      <c r="P126" t="str">
        <f>IFERROR(__xludf.DUMMYFUNCTION("""COMPUTED_VALUE"""),"")</f>
        <v/>
      </c>
      <c r="Q126" t="str">
        <f>IFERROR(__xludf.DUMMYFUNCTION("""COMPUTED_VALUE"""),"")</f>
        <v/>
      </c>
      <c r="R126" t="str">
        <f>IFERROR(__xludf.DUMMYFUNCTION("""COMPUTED_VALUE"""),"")</f>
        <v/>
      </c>
      <c r="S126" t="str">
        <f>IFERROR(__xludf.DUMMYFUNCTION("""COMPUTED_VALUE"""),"")</f>
        <v/>
      </c>
      <c r="T126" t="str">
        <f>IFERROR(__xludf.DUMMYFUNCTION("""COMPUTED_VALUE"""),"")</f>
        <v/>
      </c>
      <c r="U126" t="str">
        <f>IFERROR(__xludf.DUMMYFUNCTION("""COMPUTED_VALUE"""),"")</f>
        <v/>
      </c>
      <c r="V126" t="str">
        <f>IFERROR(__xludf.DUMMYFUNCTION("""COMPUTED_VALUE"""),"")</f>
        <v/>
      </c>
      <c r="W126" t="str">
        <f>IFERROR(__xludf.DUMMYFUNCTION("""COMPUTED_VALUE"""),"")</f>
        <v/>
      </c>
    </row>
    <row r="127">
      <c r="A127" t="str">
        <f>IFERROR(__xludf.DUMMYFUNCTION("""COMPUTED_VALUE"""),"")</f>
        <v/>
      </c>
      <c r="B127" t="str">
        <f>IFERROR(__xludf.DUMMYFUNCTION("""COMPUTED_VALUE"""),"")</f>
        <v/>
      </c>
      <c r="C127" t="str">
        <f>IFERROR(__xludf.DUMMYFUNCTION("""COMPUTED_VALUE"""),"")</f>
        <v/>
      </c>
      <c r="D127" t="str">
        <f>IFERROR(__xludf.DUMMYFUNCTION("""COMPUTED_VALUE"""),"")</f>
        <v/>
      </c>
      <c r="E127" t="str">
        <f>IFERROR(__xludf.DUMMYFUNCTION("""COMPUTED_VALUE"""),"")</f>
        <v/>
      </c>
      <c r="F127" t="str">
        <f>IFERROR(__xludf.DUMMYFUNCTION("""COMPUTED_VALUE"""),"")</f>
        <v/>
      </c>
      <c r="G127" t="str">
        <f>IFERROR(__xludf.DUMMYFUNCTION("""COMPUTED_VALUE"""),"")</f>
        <v/>
      </c>
      <c r="H127" t="str">
        <f>IFERROR(__xludf.DUMMYFUNCTION("""COMPUTED_VALUE"""),"")</f>
        <v/>
      </c>
      <c r="I127" t="str">
        <f>IFERROR(__xludf.DUMMYFUNCTION("""COMPUTED_VALUE"""),"")</f>
        <v/>
      </c>
      <c r="J127" t="str">
        <f>IFERROR(__xludf.DUMMYFUNCTION("""COMPUTED_VALUE"""),"")</f>
        <v/>
      </c>
      <c r="K127" t="str">
        <f>IFERROR(__xludf.DUMMYFUNCTION("""COMPUTED_VALUE"""),"")</f>
        <v/>
      </c>
      <c r="L127" t="str">
        <f>IFERROR(__xludf.DUMMYFUNCTION("""COMPUTED_VALUE"""),"")</f>
        <v/>
      </c>
      <c r="M127" t="str">
        <f>IFERROR(__xludf.DUMMYFUNCTION("""COMPUTED_VALUE"""),"")</f>
        <v/>
      </c>
      <c r="N127" t="str">
        <f>IFERROR(__xludf.DUMMYFUNCTION("""COMPUTED_VALUE"""),"")</f>
        <v/>
      </c>
      <c r="O127" t="str">
        <f>IFERROR(__xludf.DUMMYFUNCTION("""COMPUTED_VALUE"""),"")</f>
        <v/>
      </c>
      <c r="P127" t="str">
        <f>IFERROR(__xludf.DUMMYFUNCTION("""COMPUTED_VALUE"""),"")</f>
        <v/>
      </c>
      <c r="Q127" t="str">
        <f>IFERROR(__xludf.DUMMYFUNCTION("""COMPUTED_VALUE"""),"")</f>
        <v/>
      </c>
      <c r="R127" t="str">
        <f>IFERROR(__xludf.DUMMYFUNCTION("""COMPUTED_VALUE"""),"")</f>
        <v/>
      </c>
      <c r="S127" t="str">
        <f>IFERROR(__xludf.DUMMYFUNCTION("""COMPUTED_VALUE"""),"")</f>
        <v/>
      </c>
      <c r="T127" t="str">
        <f>IFERROR(__xludf.DUMMYFUNCTION("""COMPUTED_VALUE"""),"")</f>
        <v/>
      </c>
      <c r="U127" t="str">
        <f>IFERROR(__xludf.DUMMYFUNCTION("""COMPUTED_VALUE"""),"")</f>
        <v/>
      </c>
      <c r="V127" t="str">
        <f>IFERROR(__xludf.DUMMYFUNCTION("""COMPUTED_VALUE"""),"")</f>
        <v/>
      </c>
      <c r="W127" t="str">
        <f>IFERROR(__xludf.DUMMYFUNCTION("""COMPUTED_VALUE"""),"")</f>
        <v/>
      </c>
    </row>
    <row r="128">
      <c r="A128" t="str">
        <f>IFERROR(__xludf.DUMMYFUNCTION("""COMPUTED_VALUE"""),"")</f>
        <v/>
      </c>
      <c r="B128" t="str">
        <f>IFERROR(__xludf.DUMMYFUNCTION("""COMPUTED_VALUE"""),"")</f>
        <v/>
      </c>
      <c r="C128" t="str">
        <f>IFERROR(__xludf.DUMMYFUNCTION("""COMPUTED_VALUE"""),"")</f>
        <v/>
      </c>
      <c r="D128" t="str">
        <f>IFERROR(__xludf.DUMMYFUNCTION("""COMPUTED_VALUE"""),"")</f>
        <v/>
      </c>
      <c r="E128" t="str">
        <f>IFERROR(__xludf.DUMMYFUNCTION("""COMPUTED_VALUE"""),"")</f>
        <v/>
      </c>
      <c r="F128" t="str">
        <f>IFERROR(__xludf.DUMMYFUNCTION("""COMPUTED_VALUE"""),"")</f>
        <v/>
      </c>
      <c r="G128" t="str">
        <f>IFERROR(__xludf.DUMMYFUNCTION("""COMPUTED_VALUE"""),"")</f>
        <v/>
      </c>
      <c r="H128" t="str">
        <f>IFERROR(__xludf.DUMMYFUNCTION("""COMPUTED_VALUE"""),"")</f>
        <v/>
      </c>
      <c r="I128" t="str">
        <f>IFERROR(__xludf.DUMMYFUNCTION("""COMPUTED_VALUE"""),"")</f>
        <v/>
      </c>
      <c r="J128" t="str">
        <f>IFERROR(__xludf.DUMMYFUNCTION("""COMPUTED_VALUE"""),"")</f>
        <v/>
      </c>
      <c r="K128" t="str">
        <f>IFERROR(__xludf.DUMMYFUNCTION("""COMPUTED_VALUE"""),"")</f>
        <v/>
      </c>
      <c r="L128" t="str">
        <f>IFERROR(__xludf.DUMMYFUNCTION("""COMPUTED_VALUE"""),"")</f>
        <v/>
      </c>
      <c r="M128" t="str">
        <f>IFERROR(__xludf.DUMMYFUNCTION("""COMPUTED_VALUE"""),"")</f>
        <v/>
      </c>
      <c r="N128" t="str">
        <f>IFERROR(__xludf.DUMMYFUNCTION("""COMPUTED_VALUE"""),"")</f>
        <v/>
      </c>
      <c r="O128" t="str">
        <f>IFERROR(__xludf.DUMMYFUNCTION("""COMPUTED_VALUE"""),"")</f>
        <v/>
      </c>
      <c r="P128" t="str">
        <f>IFERROR(__xludf.DUMMYFUNCTION("""COMPUTED_VALUE"""),"")</f>
        <v/>
      </c>
      <c r="Q128" t="str">
        <f>IFERROR(__xludf.DUMMYFUNCTION("""COMPUTED_VALUE"""),"")</f>
        <v/>
      </c>
      <c r="R128" t="str">
        <f>IFERROR(__xludf.DUMMYFUNCTION("""COMPUTED_VALUE"""),"")</f>
        <v/>
      </c>
      <c r="S128" t="str">
        <f>IFERROR(__xludf.DUMMYFUNCTION("""COMPUTED_VALUE"""),"")</f>
        <v/>
      </c>
      <c r="T128" t="str">
        <f>IFERROR(__xludf.DUMMYFUNCTION("""COMPUTED_VALUE"""),"")</f>
        <v/>
      </c>
      <c r="U128" t="str">
        <f>IFERROR(__xludf.DUMMYFUNCTION("""COMPUTED_VALUE"""),"")</f>
        <v/>
      </c>
      <c r="V128" t="str">
        <f>IFERROR(__xludf.DUMMYFUNCTION("""COMPUTED_VALUE"""),"")</f>
        <v/>
      </c>
      <c r="W128" t="str">
        <f>IFERROR(__xludf.DUMMYFUNCTION("""COMPUTED_VALUE"""),"")</f>
        <v/>
      </c>
    </row>
    <row r="129">
      <c r="A129" t="str">
        <f>IFERROR(__xludf.DUMMYFUNCTION("""COMPUTED_VALUE"""),"")</f>
        <v/>
      </c>
      <c r="B129" t="str">
        <f>IFERROR(__xludf.DUMMYFUNCTION("""COMPUTED_VALUE"""),"")</f>
        <v/>
      </c>
      <c r="C129" t="str">
        <f>IFERROR(__xludf.DUMMYFUNCTION("""COMPUTED_VALUE"""),"")</f>
        <v/>
      </c>
      <c r="D129" t="str">
        <f>IFERROR(__xludf.DUMMYFUNCTION("""COMPUTED_VALUE"""),"")</f>
        <v/>
      </c>
      <c r="E129" t="str">
        <f>IFERROR(__xludf.DUMMYFUNCTION("""COMPUTED_VALUE"""),"")</f>
        <v/>
      </c>
      <c r="F129" t="str">
        <f>IFERROR(__xludf.DUMMYFUNCTION("""COMPUTED_VALUE"""),"")</f>
        <v/>
      </c>
      <c r="G129" t="str">
        <f>IFERROR(__xludf.DUMMYFUNCTION("""COMPUTED_VALUE"""),"")</f>
        <v/>
      </c>
      <c r="H129" t="str">
        <f>IFERROR(__xludf.DUMMYFUNCTION("""COMPUTED_VALUE"""),"")</f>
        <v/>
      </c>
      <c r="I129" t="str">
        <f>IFERROR(__xludf.DUMMYFUNCTION("""COMPUTED_VALUE"""),"")</f>
        <v/>
      </c>
      <c r="J129" t="str">
        <f>IFERROR(__xludf.DUMMYFUNCTION("""COMPUTED_VALUE"""),"")</f>
        <v/>
      </c>
      <c r="K129" t="str">
        <f>IFERROR(__xludf.DUMMYFUNCTION("""COMPUTED_VALUE"""),"")</f>
        <v/>
      </c>
      <c r="L129" t="str">
        <f>IFERROR(__xludf.DUMMYFUNCTION("""COMPUTED_VALUE"""),"")</f>
        <v/>
      </c>
      <c r="M129" t="str">
        <f>IFERROR(__xludf.DUMMYFUNCTION("""COMPUTED_VALUE"""),"")</f>
        <v/>
      </c>
      <c r="N129" t="str">
        <f>IFERROR(__xludf.DUMMYFUNCTION("""COMPUTED_VALUE"""),"")</f>
        <v/>
      </c>
      <c r="O129" t="str">
        <f>IFERROR(__xludf.DUMMYFUNCTION("""COMPUTED_VALUE"""),"")</f>
        <v/>
      </c>
      <c r="P129" t="str">
        <f>IFERROR(__xludf.DUMMYFUNCTION("""COMPUTED_VALUE"""),"")</f>
        <v/>
      </c>
      <c r="Q129" t="str">
        <f>IFERROR(__xludf.DUMMYFUNCTION("""COMPUTED_VALUE"""),"")</f>
        <v/>
      </c>
      <c r="R129" t="str">
        <f>IFERROR(__xludf.DUMMYFUNCTION("""COMPUTED_VALUE"""),"")</f>
        <v/>
      </c>
      <c r="S129" t="str">
        <f>IFERROR(__xludf.DUMMYFUNCTION("""COMPUTED_VALUE"""),"")</f>
        <v/>
      </c>
      <c r="T129" t="str">
        <f>IFERROR(__xludf.DUMMYFUNCTION("""COMPUTED_VALUE"""),"")</f>
        <v/>
      </c>
      <c r="U129" t="str">
        <f>IFERROR(__xludf.DUMMYFUNCTION("""COMPUTED_VALUE"""),"")</f>
        <v/>
      </c>
      <c r="V129" t="str">
        <f>IFERROR(__xludf.DUMMYFUNCTION("""COMPUTED_VALUE"""),"")</f>
        <v/>
      </c>
      <c r="W129" t="str">
        <f>IFERROR(__xludf.DUMMYFUNCTION("""COMPUTED_VALUE"""),"")</f>
        <v/>
      </c>
    </row>
    <row r="130">
      <c r="A130" t="str">
        <f>IFERROR(__xludf.DUMMYFUNCTION("""COMPUTED_VALUE"""),"")</f>
        <v/>
      </c>
      <c r="B130" t="str">
        <f>IFERROR(__xludf.DUMMYFUNCTION("""COMPUTED_VALUE"""),"")</f>
        <v/>
      </c>
      <c r="C130" t="str">
        <f>IFERROR(__xludf.DUMMYFUNCTION("""COMPUTED_VALUE"""),"")</f>
        <v/>
      </c>
      <c r="D130" t="str">
        <f>IFERROR(__xludf.DUMMYFUNCTION("""COMPUTED_VALUE"""),"")</f>
        <v/>
      </c>
      <c r="E130" t="str">
        <f>IFERROR(__xludf.DUMMYFUNCTION("""COMPUTED_VALUE"""),"")</f>
        <v/>
      </c>
      <c r="F130" t="str">
        <f>IFERROR(__xludf.DUMMYFUNCTION("""COMPUTED_VALUE"""),"")</f>
        <v/>
      </c>
      <c r="G130" t="str">
        <f>IFERROR(__xludf.DUMMYFUNCTION("""COMPUTED_VALUE"""),"")</f>
        <v/>
      </c>
      <c r="H130" t="str">
        <f>IFERROR(__xludf.DUMMYFUNCTION("""COMPUTED_VALUE"""),"")</f>
        <v/>
      </c>
      <c r="I130" t="str">
        <f>IFERROR(__xludf.DUMMYFUNCTION("""COMPUTED_VALUE"""),"")</f>
        <v/>
      </c>
      <c r="J130" t="str">
        <f>IFERROR(__xludf.DUMMYFUNCTION("""COMPUTED_VALUE"""),"")</f>
        <v/>
      </c>
      <c r="K130" t="str">
        <f>IFERROR(__xludf.DUMMYFUNCTION("""COMPUTED_VALUE"""),"")</f>
        <v/>
      </c>
      <c r="L130" t="str">
        <f>IFERROR(__xludf.DUMMYFUNCTION("""COMPUTED_VALUE"""),"")</f>
        <v/>
      </c>
      <c r="M130" t="str">
        <f>IFERROR(__xludf.DUMMYFUNCTION("""COMPUTED_VALUE"""),"")</f>
        <v/>
      </c>
      <c r="N130" t="str">
        <f>IFERROR(__xludf.DUMMYFUNCTION("""COMPUTED_VALUE"""),"")</f>
        <v/>
      </c>
      <c r="O130" t="str">
        <f>IFERROR(__xludf.DUMMYFUNCTION("""COMPUTED_VALUE"""),"")</f>
        <v/>
      </c>
      <c r="P130" t="str">
        <f>IFERROR(__xludf.DUMMYFUNCTION("""COMPUTED_VALUE"""),"")</f>
        <v/>
      </c>
      <c r="Q130" t="str">
        <f>IFERROR(__xludf.DUMMYFUNCTION("""COMPUTED_VALUE"""),"")</f>
        <v/>
      </c>
      <c r="R130" t="str">
        <f>IFERROR(__xludf.DUMMYFUNCTION("""COMPUTED_VALUE"""),"")</f>
        <v/>
      </c>
      <c r="S130" t="str">
        <f>IFERROR(__xludf.DUMMYFUNCTION("""COMPUTED_VALUE"""),"")</f>
        <v/>
      </c>
      <c r="T130" t="str">
        <f>IFERROR(__xludf.DUMMYFUNCTION("""COMPUTED_VALUE"""),"")</f>
        <v/>
      </c>
      <c r="U130" t="str">
        <f>IFERROR(__xludf.DUMMYFUNCTION("""COMPUTED_VALUE"""),"")</f>
        <v/>
      </c>
      <c r="V130" t="str">
        <f>IFERROR(__xludf.DUMMYFUNCTION("""COMPUTED_VALUE"""),"")</f>
        <v/>
      </c>
      <c r="W130" t="str">
        <f>IFERROR(__xludf.DUMMYFUNCTION("""COMPUTED_VALUE"""),"")</f>
        <v/>
      </c>
    </row>
  </sheetData>
  <drawing r:id="rId1"/>
</worksheet>
</file>