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MYCLOUD-0C8EDF\Kettenmeyer\SMBG Conseil\Recherches\"/>
    </mc:Choice>
  </mc:AlternateContent>
  <xr:revisionPtr revIDLastSave="0" documentId="13_ncr:1_{1BBA5BE8-DF31-4B2A-ADA9-F2A52AE187BC}" xr6:coauthVersionLast="47" xr6:coauthVersionMax="47" xr10:uidLastSave="{00000000-0000-0000-0000-000000000000}"/>
  <bookViews>
    <workbookView xWindow="-110" yWindow="-110" windowWidth="19420" windowHeight="10300" xr2:uid="{169502BA-60CD-4080-B99D-F957FB39AAC1}"/>
  </bookViews>
  <sheets>
    <sheet name="Tableau recherche" sheetId="2" r:id="rId1"/>
    <sheet name="Présentation" sheetId="3" r:id="rId2"/>
    <sheet name="Feuil1" sheetId="4" r:id="rId3"/>
  </sheets>
  <definedNames>
    <definedName name="Tableau">Tableau1[]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" i="2" l="1"/>
  <c r="A2" i="2" s="1"/>
  <c r="C26" i="2"/>
  <c r="A26" i="2" s="1"/>
  <c r="C25" i="2"/>
  <c r="B25" i="2" s="1"/>
  <c r="C24" i="2"/>
  <c r="B24" i="2" s="1"/>
  <c r="C23" i="2"/>
  <c r="A23" i="2" s="1"/>
  <c r="C22" i="2"/>
  <c r="A22" i="2" s="1"/>
  <c r="C21" i="2"/>
  <c r="A21" i="2" s="1"/>
  <c r="C20" i="2"/>
  <c r="A20" i="2" s="1"/>
  <c r="C19" i="2"/>
  <c r="A19" i="2" s="1"/>
  <c r="C18" i="2"/>
  <c r="B18" i="2" s="1"/>
  <c r="C17" i="2"/>
  <c r="B17" i="2" s="1"/>
  <c r="C16" i="2"/>
  <c r="B16" i="2" s="1"/>
  <c r="C15" i="2"/>
  <c r="A15" i="2" s="1"/>
  <c r="C14" i="2"/>
  <c r="B14" i="2" s="1"/>
  <c r="C13" i="2"/>
  <c r="B13" i="2" s="1"/>
  <c r="C12" i="2"/>
  <c r="B12" i="2" s="1"/>
  <c r="C11" i="2"/>
  <c r="B11" i="2" s="1"/>
  <c r="C10" i="2"/>
  <c r="A10" i="2" s="1"/>
  <c r="C9" i="2"/>
  <c r="A9" i="2" s="1"/>
  <c r="C8" i="2"/>
  <c r="B8" i="2" s="1"/>
  <c r="C7" i="2"/>
  <c r="B7" i="2" s="1"/>
  <c r="C6" i="2"/>
  <c r="A6" i="2" s="1"/>
  <c r="C5" i="2"/>
  <c r="B5" i="2" s="1"/>
  <c r="C4" i="2"/>
  <c r="B4" i="2" s="1"/>
  <c r="C3" i="2"/>
  <c r="A3" i="2" s="1"/>
  <c r="J13" i="4"/>
  <c r="I13" i="4"/>
  <c r="L13" i="4"/>
  <c r="G20" i="2"/>
  <c r="G21" i="2"/>
  <c r="G22" i="2"/>
  <c r="G23" i="2"/>
  <c r="G24" i="2"/>
  <c r="G25" i="2"/>
  <c r="G26" i="2"/>
  <c r="G9" i="2"/>
  <c r="G10" i="2"/>
  <c r="G11" i="2"/>
  <c r="G12" i="2"/>
  <c r="G13" i="2"/>
  <c r="G14" i="2"/>
  <c r="G15" i="2"/>
  <c r="G16" i="2"/>
  <c r="G17" i="2"/>
  <c r="G18" i="2"/>
  <c r="G19" i="2"/>
  <c r="G5" i="2"/>
  <c r="G6" i="2"/>
  <c r="G7" i="2"/>
  <c r="G8" i="2"/>
  <c r="G3" i="2"/>
  <c r="G4" i="2"/>
  <c r="G2" i="2"/>
  <c r="S7" i="2"/>
  <c r="S6" i="2"/>
  <c r="B26" i="2" l="1"/>
  <c r="B10" i="2"/>
  <c r="B21" i="2"/>
  <c r="B9" i="2"/>
  <c r="B22" i="2"/>
  <c r="B6" i="2"/>
  <c r="A16" i="2"/>
  <c r="B20" i="2"/>
  <c r="B19" i="2"/>
  <c r="B3" i="2"/>
  <c r="A17" i="2"/>
  <c r="A5" i="2"/>
  <c r="A4" i="2"/>
  <c r="A25" i="2"/>
  <c r="A13" i="2"/>
  <c r="A14" i="2"/>
  <c r="B23" i="2"/>
  <c r="A24" i="2"/>
  <c r="A12" i="2"/>
  <c r="A11" i="2"/>
  <c r="B15" i="2"/>
  <c r="A8" i="2"/>
  <c r="A7" i="2"/>
  <c r="D9" i="3" s="1"/>
  <c r="A18" i="2"/>
  <c r="B2" i="2"/>
  <c r="W19" i="2"/>
  <c r="S19" i="2"/>
  <c r="S14" i="2"/>
  <c r="S17" i="2"/>
  <c r="W17" i="2"/>
  <c r="S20" i="2"/>
  <c r="W20" i="2"/>
  <c r="S13" i="2"/>
  <c r="W13" i="2"/>
  <c r="S15" i="2"/>
  <c r="S16" i="2"/>
  <c r="W15" i="2"/>
  <c r="W16" i="2"/>
  <c r="S26" i="2"/>
  <c r="W5" i="2"/>
  <c r="W9" i="2"/>
  <c r="W11" i="2"/>
  <c r="W12" i="2"/>
  <c r="W18" i="2"/>
  <c r="S5" i="2"/>
  <c r="S8" i="2"/>
  <c r="S9" i="2"/>
  <c r="S10" i="2"/>
  <c r="S11" i="2"/>
  <c r="S12" i="2"/>
  <c r="S18" i="2"/>
  <c r="S22" i="2"/>
  <c r="S24" i="2"/>
  <c r="S21" i="2"/>
  <c r="S23" i="2"/>
  <c r="S25" i="2"/>
  <c r="D24" i="3" l="1"/>
  <c r="D7" i="3"/>
  <c r="D13" i="3"/>
  <c r="D19" i="3"/>
  <c r="D14" i="3"/>
  <c r="D15" i="3"/>
  <c r="D25" i="3"/>
  <c r="D17" i="3"/>
  <c r="D18" i="3"/>
  <c r="D8" i="3"/>
  <c r="D20" i="3"/>
  <c r="D22" i="3"/>
  <c r="D11" i="3"/>
  <c r="D21" i="3"/>
  <c r="D12" i="3"/>
  <c r="D16" i="3"/>
  <c r="W3" i="2"/>
  <c r="W4" i="2"/>
  <c r="W2" i="2"/>
  <c r="S3" i="2"/>
  <c r="S4" i="2"/>
  <c r="S2" i="2"/>
</calcChain>
</file>

<file path=xl/sharedStrings.xml><?xml version="1.0" encoding="utf-8"?>
<sst xmlns="http://schemas.openxmlformats.org/spreadsheetml/2006/main" count="976" uniqueCount="385">
  <si>
    <t>Contact</t>
  </si>
  <si>
    <t>Commentaires</t>
  </si>
  <si>
    <t>Extraction</t>
  </si>
  <si>
    <t>Charges</t>
  </si>
  <si>
    <t>Loyer</t>
  </si>
  <si>
    <t>Adresse</t>
  </si>
  <si>
    <t>Type</t>
  </si>
  <si>
    <t>Location pure</t>
  </si>
  <si>
    <t>Néant</t>
  </si>
  <si>
    <t>Loyer mensuel</t>
  </si>
  <si>
    <t>Charges Mensuelles</t>
  </si>
  <si>
    <t>Numéro</t>
  </si>
  <si>
    <t>Cession / Droit au bail</t>
  </si>
  <si>
    <t>Loyer Mensuel</t>
  </si>
  <si>
    <t>Page Web</t>
  </si>
  <si>
    <t>https://www.google.com/maps/place/53+Rue+Herg%C3%A9,+16000+Angoul%C3%Aame</t>
  </si>
  <si>
    <t>Loyer €/m²</t>
  </si>
  <si>
    <t>Charges €/m²</t>
  </si>
  <si>
    <t>Valeur BP</t>
  </si>
  <si>
    <t>120 €/m² = 50 760 €</t>
  </si>
  <si>
    <t>Praemia</t>
  </si>
  <si>
    <t>Surface GLA</t>
  </si>
  <si>
    <t>Surface Utile</t>
  </si>
  <si>
    <t>https://www.google.com/maps/place/44+Grande+Rue,+25000+Besan%C3%A7on</t>
  </si>
  <si>
    <t>100 €/m² = 32 500 €</t>
  </si>
  <si>
    <t>Ancien cabinet médical. Local voisin de Bagelstein</t>
  </si>
  <si>
    <t>https://www.google.com/maps/place/90+Rue+du+Commerce,+41000+Blois</t>
  </si>
  <si>
    <t>https://maps.app.goo.gl/GSDtaamc2MURnTbV6</t>
  </si>
  <si>
    <t>50 €/m² = 431 400 €</t>
  </si>
  <si>
    <t>https://www.google.com/maps/place/60+Rue+Serpenoise,+57000+Metz</t>
  </si>
  <si>
    <t>100 €/m² = 37 000 €</t>
  </si>
  <si>
    <t>100 €/m² = 48 600 €</t>
  </si>
  <si>
    <t>Ancien Kim K.</t>
  </si>
  <si>
    <t>Ancien Sacha</t>
  </si>
  <si>
    <t>200 €/m²</t>
  </si>
  <si>
    <t>150 €/m²</t>
  </si>
  <si>
    <t>Selon surface</t>
  </si>
  <si>
    <t>https://www.google.com/maps/place/25+Av.+de+Saint-Mand%C3%A9,+75012+Paris</t>
  </si>
  <si>
    <t>85 m²</t>
  </si>
  <si>
    <t>Gecina</t>
  </si>
  <si>
    <t>588 €/m² = 50 000 €</t>
  </si>
  <si>
    <t>A valider</t>
  </si>
  <si>
    <t>https://www.google.com/maps/place/143+Rue+des+Fauvelles,+92250+La+Garenne-Colombes</t>
  </si>
  <si>
    <t>https://www.google.com/maps/place/30+Rue+de+la+Ronce,+92410+Ville-d'Avray</t>
  </si>
  <si>
    <t>Brut de béton. 15 m de linéaire. Terrasse sous réserve de validation de la Mairie</t>
  </si>
  <si>
    <t>238 m²</t>
  </si>
  <si>
    <t>238 €/m² = 55 000 €</t>
  </si>
  <si>
    <t>300 €/m² = 73 500 €</t>
  </si>
  <si>
    <t>https://www.google.com/maps/place/18+Rue+du+G%C3%A9n%C3%A9ral+Mouton-Duvernet,+69003+Lyon</t>
  </si>
  <si>
    <t>https://www.google.com/maps/place/38+Cours+du+Commerce,+92290+Ch%C3%A2tenay-Malabry</t>
  </si>
  <si>
    <t>oui</t>
  </si>
  <si>
    <t>Quartier neuf mixte. 40 000 m² de bureaux commercialisés. Nombreuses surfaces</t>
  </si>
  <si>
    <t>Altixia</t>
  </si>
  <si>
    <t>Valeurs BP</t>
  </si>
  <si>
    <t>Othrys</t>
  </si>
  <si>
    <t>https://maps.app.goo.gl/HLGbMrDwLnc5Q19B6</t>
  </si>
  <si>
    <t>550 €/m²</t>
  </si>
  <si>
    <t>Rue complétement réhabilitée avec 120 logements.</t>
  </si>
  <si>
    <t>225 à 275 €/m²</t>
  </si>
  <si>
    <t>https://maps.app.goo.gl/tZGG28dsqotQhrKCA</t>
  </si>
  <si>
    <t>325 à 400 €/m²</t>
  </si>
  <si>
    <t>20 à 30 €</t>
  </si>
  <si>
    <t>20 à 55 €</t>
  </si>
  <si>
    <t>Quartier neuf résidentiel.</t>
  </si>
  <si>
    <t>En plein centre-ville. Ancien Sephora. RDC + 3 niveaux</t>
  </si>
  <si>
    <t>Ancien Etam. Local en parfait état, utilisé en BDD. Verrière intérieur</t>
  </si>
  <si>
    <t>4 - Exincourt</t>
  </si>
  <si>
    <t>Typologie</t>
  </si>
  <si>
    <t>Emplacement</t>
  </si>
  <si>
    <t>Pied d'immeuble</t>
  </si>
  <si>
    <t>Centre Ville</t>
  </si>
  <si>
    <t>Bailleur</t>
  </si>
  <si>
    <t>Périphérie</t>
  </si>
  <si>
    <t>Boîte</t>
  </si>
  <si>
    <t>Centre Commercial</t>
  </si>
  <si>
    <t>Retail Park</t>
  </si>
  <si>
    <t>Galerie Hyper</t>
  </si>
  <si>
    <t>Ancien Maison Depôt. Quai de livraison et monte-charge</t>
  </si>
  <si>
    <t>Quartier résidentiel, bureau et universitaire</t>
  </si>
  <si>
    <t>Non</t>
  </si>
  <si>
    <t>Inconnue</t>
  </si>
  <si>
    <t>500 €/m²</t>
  </si>
  <si>
    <t>https://maps.app.goo.gl/ngVAd1ZcuWEZcS5U8</t>
  </si>
  <si>
    <t>Activité recherchée : restauration, épicerie, alimentaire. Toutes charges incluses</t>
  </si>
  <si>
    <t>https://www.google.com/maps/place/32+Rue+Marbeuf,+75008+Paris</t>
  </si>
  <si>
    <t>998 €/m² = 680 000 €</t>
  </si>
  <si>
    <t>Proximité Champs-Elysées. 8M de flux devant avec 11m de linéaire et 3 de hsp</t>
  </si>
  <si>
    <t>https://maps.app.goo.gl/PpfHKzPrcLu43Wqw9</t>
  </si>
  <si>
    <t>783 €/m² = 90 000 €</t>
  </si>
  <si>
    <t>Ancien Upper Shoes. 5m de linéaire</t>
  </si>
  <si>
    <t>343 €/m² = 55 000 €</t>
  </si>
  <si>
    <t>9m de linéaire</t>
  </si>
  <si>
    <t>Brut de béton dans un quartier réaménagé. Les 1,2,3 sont fusionnables, ainsi que 4,5</t>
  </si>
  <si>
    <t>188 à 296 €/m²</t>
  </si>
  <si>
    <t>87 m² : 30 (SS) + 55</t>
  </si>
  <si>
    <t>https://maps.app.goo.gl/QpPGTcFJdGH15Gu98</t>
  </si>
  <si>
    <t>https://www.google.com/maps/place/204+Quai+de+Jemmapes,+75010+Paris</t>
  </si>
  <si>
    <t>437 €/m² = 38 000 €</t>
  </si>
  <si>
    <t>Grand ensemble d'habitation</t>
  </si>
  <si>
    <t>375 à 382 €/m²</t>
  </si>
  <si>
    <t>Construction neuve en face d'Engie. Brut de béton</t>
  </si>
  <si>
    <t>https://www.google.com/maps/place/9+Av.+Ledru+Rollin,+75012+Paris</t>
  </si>
  <si>
    <t>Résidence, bureau, étudiant, proximité gare de Lyon</t>
  </si>
  <si>
    <t>452 €/m² = 80 000 €</t>
  </si>
  <si>
    <t>https://www.google.com/maps/place/18+Rue+Treilhard,+75008+Paris</t>
  </si>
  <si>
    <t>672 m² au R-2</t>
  </si>
  <si>
    <t>non</t>
  </si>
  <si>
    <t>Retail Park dans une belle zone commerciale</t>
  </si>
  <si>
    <t>https://maps.app.goo.gl/eqCTz2HAdE1NfPPD8</t>
  </si>
  <si>
    <t>https://maps.app.goo.gl/9Qnnz3L6ZPXTYHCMA</t>
  </si>
  <si>
    <t>Quentin Breton</t>
  </si>
  <si>
    <t>https://maps.app.goo.gl/jcUuEcShVcUDuB7A6</t>
  </si>
  <si>
    <t>223 €/m² = 150 000 €</t>
  </si>
  <si>
    <t>Accès indépendant par escalier et ascenseur. Charges en cours de définition</t>
  </si>
  <si>
    <t>923 €/m² = 24 000 €</t>
  </si>
  <si>
    <t>Quartier commerçant avec fort flux quotidien. A proximité immédiate de la rue de Passy.</t>
  </si>
  <si>
    <t>https://maps.app.goo.gl/yRNFdK1p6sWPThzm7</t>
  </si>
  <si>
    <t>Twenty Two</t>
  </si>
  <si>
    <t>350 à 500 €/m²</t>
  </si>
  <si>
    <t>Oui</t>
  </si>
  <si>
    <t>Toutes charges comprises. Frais de gestion de 2,5 %. Possibilité de fusion de cellules</t>
  </si>
  <si>
    <t>https://maps.app.goo.gl/jKvNrbE9PyvENUPV6</t>
  </si>
  <si>
    <t>1 000 places de parking.
Vib's, Kraft, Bréal, Grain de Malice</t>
  </si>
  <si>
    <t>Ville</t>
  </si>
  <si>
    <t>Lien Google Maps</t>
  </si>
  <si>
    <t>Taxe foncière</t>
  </si>
  <si>
    <t>Marketing</t>
  </si>
  <si>
    <t>Gestion</t>
  </si>
  <si>
    <t>Angoulême</t>
  </si>
  <si>
    <t>Besançon</t>
  </si>
  <si>
    <t>Blois</t>
  </si>
  <si>
    <t>Exincourt</t>
  </si>
  <si>
    <t>Hérouville-Saint-Clair</t>
  </si>
  <si>
    <t>La Mézière</t>
  </si>
  <si>
    <t>Le Mans</t>
  </si>
  <si>
    <t>Lyon</t>
  </si>
  <si>
    <t>Maurepas</t>
  </si>
  <si>
    <t>Metz</t>
  </si>
  <si>
    <t>Paris</t>
  </si>
  <si>
    <t>Boulogne-Billancourt</t>
  </si>
  <si>
    <t>Châtenay-Malabry</t>
  </si>
  <si>
    <t>Ville-d'Avray</t>
  </si>
  <si>
    <t>La Garenne-Colombes</t>
  </si>
  <si>
    <t>Pontoise</t>
  </si>
  <si>
    <t>Pérols</t>
  </si>
  <si>
    <t>Etat de livraison</t>
  </si>
  <si>
    <t>Environnement Commercial</t>
  </si>
  <si>
    <t>Loyer variable</t>
  </si>
  <si>
    <t>Nombre de lots</t>
  </si>
  <si>
    <t>Loyer annuel</t>
  </si>
  <si>
    <t>/</t>
  </si>
  <si>
    <t>Charges anuelles</t>
  </si>
  <si>
    <t>Dépôt de garantie</t>
  </si>
  <si>
    <t>GAPD</t>
  </si>
  <si>
    <t>Latitude</t>
  </si>
  <si>
    <t>Longitude</t>
  </si>
  <si>
    <t>13 lots</t>
  </si>
  <si>
    <t>12 lots</t>
  </si>
  <si>
    <t>5 lots</t>
  </si>
  <si>
    <t>7 lots</t>
  </si>
  <si>
    <t>8 lots</t>
  </si>
  <si>
    <t>2 lots</t>
  </si>
  <si>
    <t>23 lots</t>
  </si>
  <si>
    <t>14 lots</t>
  </si>
  <si>
    <t>30 à 253 m²</t>
  </si>
  <si>
    <t>170 à 1 200 m²</t>
  </si>
  <si>
    <t>15 à 150 m²</t>
  </si>
  <si>
    <t>91 à 2 467 m²</t>
  </si>
  <si>
    <t>45 à 110 m²</t>
  </si>
  <si>
    <t>88 à 444 m²</t>
  </si>
  <si>
    <t>105 à 679 m²</t>
  </si>
  <si>
    <t>84 à 285 m²</t>
  </si>
  <si>
    <t>36 à 265 m²</t>
  </si>
  <si>
    <t>Restauration</t>
  </si>
  <si>
    <t>Actif</t>
  </si>
  <si>
    <t>53 Rue Hergé</t>
  </si>
  <si>
    <t>44 Grande Rue</t>
  </si>
  <si>
    <t>90 Rue du Commerce</t>
  </si>
  <si>
    <t>7 Rue de Sochaux</t>
  </si>
  <si>
    <t>18 Rue du Général Mouton-Duvernet</t>
  </si>
  <si>
    <t>60 Rue Serpenoise</t>
  </si>
  <si>
    <t>204 Quai de Jemmapes</t>
  </si>
  <si>
    <t>14 Rue de Rémusat</t>
  </si>
  <si>
    <t>Rue Stéphane Charbonnier</t>
  </si>
  <si>
    <t>103 Le Val</t>
  </si>
  <si>
    <t>ZAC de Cap Malo</t>
  </si>
  <si>
    <t>18 Avenue Pierre Mendès France</t>
  </si>
  <si>
    <t>3 Avenue Louis Pasteur</t>
  </si>
  <si>
    <t>32 Rue Marbeuf</t>
  </si>
  <si>
    <t>9 Avenue Ledru Rollin</t>
  </si>
  <si>
    <t>25 Avenue de Saint-Mandé</t>
  </si>
  <si>
    <t>16 Avenue Mozart</t>
  </si>
  <si>
    <t>Rue</t>
  </si>
  <si>
    <t>Département</t>
  </si>
  <si>
    <t>Code Postal</t>
  </si>
  <si>
    <t>18 - 20 Rue Treilhard</t>
  </si>
  <si>
    <t>1 Rue de Caumartin</t>
  </si>
  <si>
    <t>Passage Châteaudun</t>
  </si>
  <si>
    <t>143 Rue des Fauvelles</t>
  </si>
  <si>
    <t>Cours du Commerce</t>
  </si>
  <si>
    <t>30 Rue de la Ronce</t>
  </si>
  <si>
    <t>C.C. Auchan Avenue Georges Frêche</t>
  </si>
  <si>
    <t xml:space="preserve">Numéro </t>
  </si>
  <si>
    <t xml:space="preserve">Département </t>
  </si>
  <si>
    <t xml:space="preserve">Région </t>
  </si>
  <si>
    <t>Ain</t>
  </si>
  <si>
    <t>Auvergne-Rhône-Alpes</t>
  </si>
  <si>
    <t>Aisne</t>
  </si>
  <si>
    <t>Hauts-de-France</t>
  </si>
  <si>
    <t>Allier</t>
  </si>
  <si>
    <t>Alpes-de-Haute-Provence</t>
  </si>
  <si>
    <t>Provence-Alpes-Côte d'Azur</t>
  </si>
  <si>
    <t>Hautes-Alpes</t>
  </si>
  <si>
    <t>Alpes-Maritimes</t>
  </si>
  <si>
    <t>Ardèche</t>
  </si>
  <si>
    <t>Ardennes</t>
  </si>
  <si>
    <t>Grand Est</t>
  </si>
  <si>
    <t>Ariège</t>
  </si>
  <si>
    <t>Occitanie</t>
  </si>
  <si>
    <t>Aube</t>
  </si>
  <si>
    <t>Aude</t>
  </si>
  <si>
    <t>Aveyron</t>
  </si>
  <si>
    <t>Bouches-du-Rhône</t>
  </si>
  <si>
    <t>Calvados</t>
  </si>
  <si>
    <t>Normandie</t>
  </si>
  <si>
    <t>Cantal</t>
  </si>
  <si>
    <t>Charente</t>
  </si>
  <si>
    <t>Nouvelle-Aquitaine</t>
  </si>
  <si>
    <t>Charente-Maritime</t>
  </si>
  <si>
    <t>Cher</t>
  </si>
  <si>
    <t>Centre-Val de Loire</t>
  </si>
  <si>
    <t>Corrèze</t>
  </si>
  <si>
    <t>2A</t>
  </si>
  <si>
    <t>Corse-du-Sud</t>
  </si>
  <si>
    <t>Corse</t>
  </si>
  <si>
    <t>2B</t>
  </si>
  <si>
    <t>Haute-Corse</t>
  </si>
  <si>
    <t>Côte-d'Or</t>
  </si>
  <si>
    <t>Bourgogne-Franche-Comté</t>
  </si>
  <si>
    <t>Côtes d'Armor</t>
  </si>
  <si>
    <t>Bretagne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</si>
  <si>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</si>
  <si>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</si>
  <si>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</si>
  <si>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</si>
  <si>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</si>
  <si>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</si>
  <si>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</si>
  <si>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</si>
  <si>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</si>
  <si>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</si>
  <si>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</si>
  <si>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</si>
  <si>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</si>
  <si>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</si>
  <si>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</si>
  <si>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</si>
  <si>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</si>
  <si>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</si>
  <si>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</si>
  <si>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</si>
  <si>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</si>
  <si>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</si>
  <si>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</si>
  <si>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</si>
  <si>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</si>
  <si>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</si>
  <si>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</si>
  <si>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</si>
  <si>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</si>
  <si>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</si>
  <si>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</si>
  <si>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</si>
  <si>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</si>
  <si>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</si>
  <si>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</si>
  <si>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</si>
  <si>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</si>
  <si>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</si>
  <si>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</si>
  <si>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</si>
  <si>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</si>
  <si>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</si>
  <si>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</si>
  <si>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</si>
  <si>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</si>
  <si>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</si>
  <si>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</si>
  <si>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</si>
  <si>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</si>
  <si>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</si>
  <si>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</si>
  <si>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</si>
  <si>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</si>
  <si>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</si>
  <si>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</si>
  <si>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</si>
  <si>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</si>
  <si>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</si>
  <si>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</si>
  <si>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</si>
  <si>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</si>
  <si>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</si>
  <si>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</si>
  <si>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</si>
  <si>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</si>
  <si>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</si>
  <si>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</si>
  <si>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</si>
  <si>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</si>
  <si>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</si>
  <si>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</si>
  <si>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</si>
  <si>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</si>
  <si>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</si>
  <si>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</si>
  <si>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</si>
  <si>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</si>
  <si>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Réunion</t>
  </si>
  <si>
    <t>Mayotte</t>
  </si>
  <si>
    <t>Région</t>
  </si>
  <si>
    <t>N° Département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</si>
  <si>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</si>
  <si>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</si>
  <si>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</si>
  <si>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</si>
  <si>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</si>
  <si>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</si>
  <si>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</si>
  <si>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</si>
  <si>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</si>
  <si>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</si>
  <si>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</si>
  <si>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</si>
  <si>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</si>
  <si>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</si>
  <si>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</si>
  <si>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</si>
  <si>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</si>
  <si>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</si>
  <si>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</si>
  <si>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</si>
  <si>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</si>
  <si>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</si>
  <si>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</si>
  <si>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</si>
  <si>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</si>
  <si>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Géocodage statut</t>
  </si>
  <si>
    <t>Géocodage date</t>
  </si>
  <si>
    <t>Photos annonce</t>
  </si>
  <si>
    <t>Référence annonce</t>
  </si>
  <si>
    <t>Répartition surface GLA</t>
  </si>
  <si>
    <t>Surface utile</t>
  </si>
  <si>
    <t>Répartition surface utile</t>
  </si>
  <si>
    <t>451 m²</t>
  </si>
  <si>
    <t>325 m²</t>
  </si>
  <si>
    <t>264 m²</t>
  </si>
  <si>
    <t>9 030 m²</t>
  </si>
  <si>
    <t>370 m²</t>
  </si>
  <si>
    <t>486 m²</t>
  </si>
  <si>
    <t>681 m²</t>
  </si>
  <si>
    <t>357 + 40 + 21 + 31</t>
  </si>
  <si>
    <t>214 (SS) + 110</t>
  </si>
  <si>
    <t>205 + 59</t>
  </si>
  <si>
    <t>2 999 (SS) + 2 978 + 2981 (R+1) + 72 (mezz)</t>
  </si>
  <si>
    <t>127 (SS) + 242</t>
  </si>
  <si>
    <t>255 (SS) + 231</t>
  </si>
  <si>
    <t>436 m² + 245 réserve déportée</t>
  </si>
  <si>
    <t>115 m²</t>
  </si>
  <si>
    <t>189 m²</t>
  </si>
  <si>
    <t>177 m²</t>
  </si>
  <si>
    <t>26 m²</t>
  </si>
  <si>
    <t>87 m²</t>
  </si>
  <si>
    <t>30 (SS) + 85</t>
  </si>
  <si>
    <t>72 (SS) + 117</t>
  </si>
  <si>
    <t>10 (SS) + 165 + 24m² &lt; 1m80</t>
  </si>
  <si>
    <t>12 (SS) + 14</t>
  </si>
  <si>
    <t>80 à 110 m²</t>
  </si>
  <si>
    <t>423 m²</t>
  </si>
  <si>
    <t>342 + 34 + 17 + 28</t>
  </si>
  <si>
    <t>244 m²</t>
  </si>
  <si>
    <t>190 + 54</t>
  </si>
  <si>
    <t>8 628 m²</t>
  </si>
  <si>
    <t>2 843 (SS) + 2 870 + 2 871 (R+1) + 44 (mezz)</t>
  </si>
  <si>
    <t>82 à 2 361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</si>
</sst>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\ [$€-40C];[Red]\-#,##0\ [$€-40C]"/>
    <numFmt numFmtId="165" formatCode="#,##0\ &quot;€&quot;"/>
  </numFmts>
  <fonts count="10"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u/>
      <sz val="11"/>
      <color theme="10"/>
      <name val="Aptos Narrow"/>
      <family val="2"/>
      <scheme val="minor"/>
    </font>
    <font>
      <sz val="10"/>
      <color rgb="FF0000FF"/>
      <name val="Arial"/>
      <family val="2"/>
      <charset val="1"/>
    </font>
    <font>
      <u/>
      <sz val="11"/>
      <color theme="10"/>
      <name val="Futura"/>
      <charset val="1"/>
    </font>
    <font>
      <sz val="11"/>
      <name val="Futura"/>
      <charset val="1"/>
    </font>
    <font>
      <b/>
      <sz val="11"/>
      <name val="Futura"/>
      <charset val="1"/>
    </font>
    <font>
      <u/>
      <sz val="14"/>
      <color theme="10"/>
      <name val="Futura"/>
      <charset val="1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2" fillId="0" borderId="0" xfId="2"/>
    <xf numFmtId="0" fontId="1" fillId="0" borderId="0" xfId="1" applyFill="1"/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164" fontId="1" fillId="0" borderId="0" xfId="1" applyNumberFormat="1" applyAlignment="1">
      <alignment horizontal="center" vertical="center"/>
    </xf>
    <xf numFmtId="6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1" fillId="0" borderId="0" xfId="1" applyFill="1" applyAlignment="1">
      <alignment horizontal="center" vertical="center"/>
    </xf>
    <xf numFmtId="0" fontId="1" fillId="0" borderId="0" xfId="1" applyFill="1" applyAlignment="1">
      <alignment horizontal="center" vertical="center" wrapText="1"/>
    </xf>
    <xf numFmtId="164" fontId="1" fillId="0" borderId="0" xfId="1" applyNumberFormat="1" applyFill="1" applyAlignment="1">
      <alignment horizontal="center" vertical="center"/>
    </xf>
    <xf numFmtId="0" fontId="1" fillId="0" borderId="0" xfId="1" applyFill="1" applyAlignment="1">
      <alignment horizontal="left" vertical="center" wrapText="1"/>
    </xf>
    <xf numFmtId="0" fontId="3" fillId="0" borderId="0" xfId="1" applyFont="1" applyFill="1" applyAlignment="1">
      <alignment horizontal="left" vertical="center"/>
    </xf>
    <xf numFmtId="0" fontId="2" fillId="0" borderId="0" xfId="2" applyFill="1" applyAlignment="1"/>
    <xf numFmtId="0" fontId="2" fillId="0" borderId="0" xfId="2" applyFill="1" applyAlignment="1">
      <alignment horizontal="left" vertical="center"/>
    </xf>
    <xf numFmtId="0" fontId="4" fillId="0" borderId="0" xfId="2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1" fillId="0" borderId="0" xfId="1" applyNumberFormat="1" applyFont="1" applyBorder="1" applyAlignment="1">
      <alignment horizontal="center" vertical="center"/>
    </xf>
    <xf numFmtId="3" fontId="1" fillId="0" borderId="0" xfId="1" applyNumberFormat="1" applyAlignment="1">
      <alignment horizontal="center" vertical="center"/>
    </xf>
    <xf numFmtId="3" fontId="1" fillId="0" borderId="0" xfId="1" applyNumberForma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3" fontId="0" fillId="0" borderId="0" xfId="0" applyNumberFormat="1"/>
    <xf numFmtId="49" fontId="1" fillId="0" borderId="0" xfId="1" applyNumberFormat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Normal 2" xfId="1" xr:uid="{4EE763AE-B02B-43D6-BC8E-83B5996D9CAB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6A065-E5CA-44EF-B6AE-AC366F12DAEC}" name="Tableau1" displayName="Tableau1" ref="A1:AR26" totalsRowShown="0" headerRowCellStyle="Normal 2" dataCellStyle="Normal 2">
  <autoFilter ref="A1:AR26" xr:uid="{C496A065-E5CA-44EF-B6AE-AC366F12DAEC}"/>
  <tableColumns count="44">
    <tableColumn id="43" xr3:uid="{DE1D6443-0E1C-43C0-8BC8-BDC69562CB95}" name="Région" dataDxfId="43" dataCellStyle="Normal 2">
      <calculatedColumnFormula>VLOOKUP(Tableau1[[#This Row],[N° Département]],Feuil1!$C$6:$E$106,3)</calculatedColumnFormula>
    </tableColumn>
    <tableColumn id="45" xr3:uid="{EA09E10C-F31A-414B-B7AE-01100FDFFB35}" name="Département" dataDxfId="42" dataCellStyle="Normal 2">
      <calculatedColumnFormula>VLOOKUP(Tableau1[[#This Row],[N° Département]],Feuil1!$C$6:$E$106,2)</calculatedColumnFormula>
    </tableColumn>
    <tableColumn id="44" xr3:uid="{B8B116FD-A2D6-4640-B53A-B27BF55F77D2}" name="N° Département" dataDxfId="41" dataCellStyle="Normal 2">
      <calculatedColumnFormula>LEFT(Tableau1[[#This Row],[Code Postal]],2)*1</calculatedColumnFormula>
    </tableColumn>
    <tableColumn id="22" xr3:uid="{807881FC-FCFC-4E58-94E6-974968140DE0}" name="Rue" dataDxfId="40" dataCellStyle="Normal 2"/>
    <tableColumn id="24" xr3:uid="{5BC55846-88AA-4EB3-AA6F-8E4CFB785641}" name="Code Postal" dataDxfId="39" dataCellStyle="Normal 2"/>
    <tableColumn id="17" xr3:uid="{35EE7115-51F8-4E1F-AD3E-33A05B4BE6AA}" name="Ville" dataDxfId="38" dataCellStyle="Normal 2"/>
    <tableColumn id="34" xr3:uid="{BCDF1767-53B8-4755-BA69-6972BF82336C}" name="Adresse" dataDxfId="37" dataCellStyle="Normal 2">
      <calculatedColumnFormula>Tableau1[[#This Row],[Rue]]&amp;Tableau1[[#This Row],[Code Postal]]&amp;Tableau1[[#This Row],[Ville]]</calculatedColumnFormula>
    </tableColumn>
    <tableColumn id="18" xr3:uid="{F16F96D2-ED03-45AB-90ED-8D480A7B0261}" name="Lien Google Maps" dataDxfId="36" dataCellStyle="Normal 2">
      <calculatedColumnFormula array="1">Extrait_hyperlien(#REF!)</calculatedColumnFormula>
    </tableColumn>
    <tableColumn id="15" xr3:uid="{172E07C4-0318-49AC-A621-9C0E3C5C5B5D}" name="Emplacement" dataDxfId="35" dataCellStyle="Normal 2"/>
    <tableColumn id="14" xr3:uid="{95EAECC7-A016-42C4-9C47-2CABFEAEC577}" name="Typologie" dataDxfId="34" dataCellStyle="Normal 2"/>
    <tableColumn id="3" xr3:uid="{8C8D77C7-8B55-471A-B479-215BC0D77604}" name="Type" dataDxfId="33" dataCellStyle="Normal 2"/>
    <tableColumn id="4" xr3:uid="{87D84239-5323-4A47-9424-F0CADB050723}" name="Cession / Droit au bail" dataDxfId="32" dataCellStyle="Normal 2"/>
    <tableColumn id="31" xr3:uid="{86770348-6586-45F2-A401-94B68504976F}" name="Nombre de lots" dataDxfId="31" dataCellStyle="Normal 2"/>
    <tableColumn id="1" xr3:uid="{3888DEAC-D743-4A06-B622-0805DADF7B24}" name="Surface GLA" dataDxfId="30" dataCellStyle="Normal 2"/>
    <tableColumn id="9" xr3:uid="{0D61162C-F920-419C-993E-EDC2DF105B61}" name="Répartition surface GLA" dataDxfId="29" dataCellStyle="Normal 2"/>
    <tableColumn id="2" xr3:uid="{9969DD5B-5EA2-4595-B887-2E9B21053A55}" name="Surface utile" dataDxfId="28" dataCellStyle="Normal 2"/>
    <tableColumn id="21" xr3:uid="{3DFB9473-7064-409A-A47B-5544538EC4AE}" name="Répartition surface utile" dataDxfId="27" dataCellStyle="Normal 2"/>
    <tableColumn id="5" xr3:uid="{A744513A-B9BE-426C-9A67-F73FDBDA82D8}" name="Loyer annuel" dataDxfId="26" dataCellStyle="Normal 2"/>
    <tableColumn id="6" xr3:uid="{356A37C1-BF3E-4357-A954-82A182007A4A}" name="Loyer Mensuel" dataDxfId="25" dataCellStyle="Normal 2">
      <calculatedColumnFormula>Tableau1[[#This Row],[Loyer annuel]]/12</calculatedColumnFormula>
    </tableColumn>
    <tableColumn id="11" xr3:uid="{767012B1-AABD-475A-8A4D-3B7DA0A65895}" name="Loyer €/m²" dataDxfId="24" dataCellStyle="Normal 2"/>
    <tableColumn id="30" xr3:uid="{1B20B1A4-ACFD-45E3-955E-514E88115368}" name="Loyer variable" dataDxfId="23" dataCellStyle="Normal 2"/>
    <tableColumn id="7" xr3:uid="{2A7DA589-64F1-4CF6-8C82-38781BD9EC1D}" name="Charges anuelles" dataDxfId="22" dataCellStyle="Normal 2"/>
    <tableColumn id="8" xr3:uid="{440DF5B1-3CC3-4785-9C23-94B007AF5E1B}" name="Charges Mensuelles" dataDxfId="21" dataCellStyle="Normal 2">
      <calculatedColumnFormula>Tableau1[[#This Row],[Charges anuelles]]/12</calculatedColumnFormula>
    </tableColumn>
    <tableColumn id="19" xr3:uid="{4129B281-2FE2-4CF1-9B2A-1383495B75F8}" name="Charges €/m²" dataDxfId="20" dataCellStyle="Normal 2"/>
    <tableColumn id="32" xr3:uid="{95C0AA56-6C81-4449-BBAF-48D6559B29F4}" name="Dépôt de garantie" dataDxfId="19" dataCellStyle="Normal 2"/>
    <tableColumn id="33" xr3:uid="{5D2CDDBF-0016-4D42-9FA2-C6BE7187A781}" name="GAPD" dataDxfId="18" dataCellStyle="Normal 2"/>
    <tableColumn id="25" xr3:uid="{3ED0377F-0AC3-483C-A382-DCE0304838BB}" name="Taxe foncière" dataDxfId="17" dataCellStyle="Normal 2"/>
    <tableColumn id="26" xr3:uid="{0670F3CF-44F2-4728-8A06-52C034D6BD30}" name="Marketing" dataDxfId="16" dataCellStyle="Normal 2"/>
    <tableColumn id="27" xr3:uid="{AE6532DB-DF7C-4137-958E-CF0878BAF4EA}" name="Gestion" dataDxfId="15" dataCellStyle="Normal 2"/>
    <tableColumn id="29" xr3:uid="{C7D740EB-05A5-4C80-B626-4AE327C99B0E}" name="Etat de livraison" dataDxfId="14" dataCellStyle="Normal 2"/>
    <tableColumn id="10" xr3:uid="{F202F9CF-E361-49F7-BCB2-41601DB0A090}" name="Extraction" dataDxfId="13" dataCellStyle="Normal 2"/>
    <tableColumn id="38" xr3:uid="{1E22D9C1-89FA-49FF-9893-8AC79191E4A6}" name="Restauration" dataDxfId="12" dataCellStyle="Normal 2"/>
    <tableColumn id="28" xr3:uid="{BF030FEC-E7AF-42C6-AC39-B670759A4BC7}" name="Environnement Commercial" dataDxfId="11" dataCellStyle="Normal 2"/>
    <tableColumn id="16" xr3:uid="{D3CC4D5A-911C-4939-9024-731260442272}" name="Commentaires" dataDxfId="10" dataCellStyle="Normal 2"/>
    <tableColumn id="36" xr3:uid="{EBABBF90-FEC0-4C48-8EB4-A8DB85141CEF}" name="Latitude" dataDxfId="9" dataCellStyle="Normal 2"/>
    <tableColumn id="35" xr3:uid="{FDA62BB3-971D-4771-BFF4-42A78D749576}" name="Longitude" dataDxfId="8" dataCellStyle="Normal 2"/>
    <tableColumn id="39" xr3:uid="{C234F4EA-DC6D-4D1E-8095-B0EC2957EAA5}" name="Géocodage statut" dataDxfId="7" dataCellStyle="Normal 2"/>
    <tableColumn id="40" xr3:uid="{2D63A2C2-7A97-4408-B145-C220F1FCA4B5}" name="Géocodage date" dataDxfId="6" dataCellStyle="Normal 2"/>
    <tableColumn id="41" xr3:uid="{0B5CFD66-9BAF-42E4-85BA-98CEF40CC994}" name="Référence annonce" dataDxfId="5" dataCellStyle="Normal 2"/>
    <tableColumn id="46" xr3:uid="{ED041E73-B65A-464D-8E38-4CD520F93F57}" name="Photos annonce" dataDxfId="4" dataCellStyle="Normal 2"/>
    <tableColumn id="42" xr3:uid="{31DE41E2-CE5A-45AD-B999-11A9307EA50B}" name="Actif" dataDxfId="3" dataCellStyle="Normal 2"/>
    <tableColumn id="20" xr3:uid="{D2AE6F16-4821-49DE-B56C-155BB51A6204}" name="Valeur BP" dataDxfId="2" dataCellStyle="Normal 2"/>
    <tableColumn id="12" xr3:uid="{80CF5A8D-23B2-4B36-80CB-91ECBC7FF3FE}" name="Contact" dataDxfId="1" dataCellStyle="Normal 2"/>
    <tableColumn id="13" xr3:uid="{E28C924B-61DC-4BBD-ABE7-33B29A5037B4}" name="Page Web" dataDxfId="0" dataCellStyle="Normal 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25+Av.+de+Saint-Mand%C3%A9,+75012+Paris" TargetMode="External"/><Relationship Id="rId13" Type="http://schemas.openxmlformats.org/officeDocument/2006/relationships/hyperlink" Target="https://www.google.com/maps/place/38+Cours+du+Commerce,+92290+Ch%C3%A2tenay-Malabry" TargetMode="External"/><Relationship Id="rId18" Type="http://schemas.openxmlformats.org/officeDocument/2006/relationships/hyperlink" Target="https://maps.app.goo.gl/PpfHKzPrcLu43Wqw9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google.com/maps/place/90+Rue+du+Commerce,+41000+Blois" TargetMode="External"/><Relationship Id="rId21" Type="http://schemas.openxmlformats.org/officeDocument/2006/relationships/hyperlink" Target="https://www.google.com/maps/place/9+Av.+Ledru+Rollin,+75012+Paris" TargetMode="External"/><Relationship Id="rId7" Type="http://schemas.openxmlformats.org/officeDocument/2006/relationships/hyperlink" Target="https://www.google.com/maps/place/60+Rue+Serpenoise,+57000+Metz" TargetMode="External"/><Relationship Id="rId12" Type="http://schemas.openxmlformats.org/officeDocument/2006/relationships/hyperlink" Target="https://maps.app.goo.gl/HLGbMrDwLnc5Q19B6" TargetMode="External"/><Relationship Id="rId17" Type="http://schemas.openxmlformats.org/officeDocument/2006/relationships/hyperlink" Target="https://www.google.com/maps/place/32+Rue+Marbeuf,+75008+Paris" TargetMode="External"/><Relationship Id="rId25" Type="http://schemas.openxmlformats.org/officeDocument/2006/relationships/hyperlink" Target="https://maps.app.goo.gl/jKvNrbE9PyvENUPV6" TargetMode="External"/><Relationship Id="rId2" Type="http://schemas.openxmlformats.org/officeDocument/2006/relationships/hyperlink" Target="https://www.google.com/maps/place/44+Grande+Rue,+25000+Besan%C3%A7on" TargetMode="External"/><Relationship Id="rId16" Type="http://schemas.openxmlformats.org/officeDocument/2006/relationships/hyperlink" Target="https://maps.app.goo.gl/ngVAd1ZcuWEZcS5U8" TargetMode="External"/><Relationship Id="rId20" Type="http://schemas.openxmlformats.org/officeDocument/2006/relationships/hyperlink" Target="https://maps.app.goo.gl/QpPGTcFJdGH15Gu98" TargetMode="External"/><Relationship Id="rId1" Type="http://schemas.openxmlformats.org/officeDocument/2006/relationships/hyperlink" Target="https://www.google.com/maps/place/53+Rue+Herg%C3%A9,+16000+Angoul%C3%Aame" TargetMode="External"/><Relationship Id="rId6" Type="http://schemas.openxmlformats.org/officeDocument/2006/relationships/hyperlink" Target="https://maps.app.goo.gl/GSDtaamc2MURnTbV6" TargetMode="External"/><Relationship Id="rId11" Type="http://schemas.openxmlformats.org/officeDocument/2006/relationships/hyperlink" Target="https://www.google.com/maps/place/18+Rue+du+G%C3%A9n%C3%A9ral+Mouton-Duvernet,+69003+Lyon" TargetMode="External"/><Relationship Id="rId24" Type="http://schemas.openxmlformats.org/officeDocument/2006/relationships/hyperlink" Target="https://maps.app.goo.gl/yRNFdK1p6sWPThzm7" TargetMode="External"/><Relationship Id="rId5" Type="http://schemas.openxmlformats.org/officeDocument/2006/relationships/hyperlink" Target="https://www.google.com/maps/place/60+Rue+Serpenoise,+57000+Metz" TargetMode="External"/><Relationship Id="rId15" Type="http://schemas.openxmlformats.org/officeDocument/2006/relationships/hyperlink" Target="https://maps.app.goo.gl/jcUuEcShVcUDuB7A6" TargetMode="External"/><Relationship Id="rId23" Type="http://schemas.openxmlformats.org/officeDocument/2006/relationships/hyperlink" Target="https://maps.app.goo.gl/9Qnnz3L6ZPXTYHCMA" TargetMode="External"/><Relationship Id="rId10" Type="http://schemas.openxmlformats.org/officeDocument/2006/relationships/hyperlink" Target="https://www.google.com/maps/place/30+Rue+de+la+Ronce,+92410+Ville-d'Avray" TargetMode="External"/><Relationship Id="rId19" Type="http://schemas.openxmlformats.org/officeDocument/2006/relationships/hyperlink" Target="https://www.google.com/maps/place/204+Quai+de+Jemmapes,+75010+Paris" TargetMode="External"/><Relationship Id="rId4" Type="http://schemas.openxmlformats.org/officeDocument/2006/relationships/hyperlink" Target="https://maps.app.goo.gl/eqCTz2HAdE1NfPPD8" TargetMode="External"/><Relationship Id="rId9" Type="http://schemas.openxmlformats.org/officeDocument/2006/relationships/hyperlink" Target="https://www.google.com/maps/place/143+Rue+des+Fauvelles,+92250+La+Garenne-Colombes" TargetMode="External"/><Relationship Id="rId14" Type="http://schemas.openxmlformats.org/officeDocument/2006/relationships/hyperlink" Target="https://maps.app.goo.gl/tZGG28dsqotQhrKCA" TargetMode="External"/><Relationship Id="rId22" Type="http://schemas.openxmlformats.org/officeDocument/2006/relationships/hyperlink" Target="https://www.google.com/maps/place/18+Rue+Treilhard,+75008+Pa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A860-D730-4E53-986A-F9417B64BAFA}">
  <sheetPr codeName="Feuil2"/>
  <dimension ref="A1:AZ48"/>
  <sheetViews>
    <sheetView tabSelected="1" topLeftCell="B1" zoomScale="80" zoomScaleNormal="80" workbookViewId="0">
      <selection activeCell="O21" sqref="O21:O26"/>
    </sheetView>
  </sheetViews>
  <sheetFormatPr baseColWidth="10" defaultColWidth="11.58203125" defaultRowHeight="14"/>
  <cols>
    <col min="1" max="1" width="21.75" style="1" customWidth="1"/>
    <col min="2" max="2" width="15" style="1" bestFit="1" customWidth="1"/>
    <col min="3" max="3" width="17.08203125" style="1" bestFit="1" customWidth="1"/>
    <col min="4" max="4" width="30.25" style="1" bestFit="1" customWidth="1"/>
    <col min="5" max="5" width="14" style="1" bestFit="1" customWidth="1"/>
    <col min="6" max="6" width="18.08203125" style="1" bestFit="1" customWidth="1"/>
    <col min="7" max="7" width="30.25" bestFit="1" customWidth="1"/>
    <col min="8" max="8" width="29" style="1" bestFit="1" customWidth="1"/>
    <col min="9" max="9" width="11.58203125" style="1"/>
    <col min="10" max="11" width="17.33203125" style="1" bestFit="1" customWidth="1"/>
    <col min="13" max="13" width="15.58203125" style="1" bestFit="1" customWidth="1"/>
    <col min="14" max="14" width="13.5" style="1" bestFit="1" customWidth="1"/>
    <col min="15" max="15" width="34.9140625" style="1" bestFit="1" customWidth="1"/>
    <col min="16" max="16" width="13.4140625" style="1" bestFit="1" customWidth="1"/>
    <col min="17" max="17" width="35.4140625" style="1" bestFit="1" customWidth="1"/>
    <col min="18" max="18" width="13.9140625" style="1" bestFit="1" customWidth="1"/>
    <col min="19" max="19" width="15.1640625" style="1" bestFit="1" customWidth="1"/>
    <col min="20" max="20" width="11.83203125" style="1" bestFit="1" customWidth="1"/>
    <col min="21" max="21" width="14.75" style="1" bestFit="1" customWidth="1"/>
    <col min="22" max="22" width="14.75" style="1" customWidth="1"/>
    <col min="23" max="23" width="17.25" bestFit="1" customWidth="1"/>
    <col min="24" max="24" width="19.75" bestFit="1" customWidth="1"/>
    <col min="25" max="25" width="14" style="1" bestFit="1" customWidth="1"/>
    <col min="26" max="26" width="17.5" style="1" bestFit="1" customWidth="1"/>
    <col min="27" max="27" width="8.25" style="1" bestFit="1" customWidth="1"/>
    <col min="28" max="28" width="14.25" style="1" bestFit="1" customWidth="1"/>
    <col min="29" max="29" width="11.25" style="1" bestFit="1" customWidth="1"/>
    <col min="30" max="30" width="9.58203125" bestFit="1" customWidth="1"/>
    <col min="31" max="31" width="16.25" style="1" bestFit="1" customWidth="1"/>
    <col min="32" max="32" width="11.58203125" style="1" bestFit="1" customWidth="1"/>
    <col min="33" max="33" width="11.58203125" style="1" customWidth="1"/>
    <col min="34" max="34" width="25.75" style="1" bestFit="1" customWidth="1"/>
    <col min="35" max="35" width="10.75" style="1" bestFit="1" customWidth="1"/>
    <col min="36" max="36" width="12.5" style="1" bestFit="1" customWidth="1"/>
    <col min="37" max="37" width="18.83203125" style="1" bestFit="1" customWidth="1"/>
    <col min="38" max="38" width="17.58203125" style="1" bestFit="1" customWidth="1"/>
    <col min="39" max="39" width="21.5" style="1" bestFit="1" customWidth="1"/>
    <col min="40" max="40" width="17.58203125" style="1" bestFit="1" customWidth="1"/>
    <col min="41" max="41" width="13.33203125" style="1" bestFit="1" customWidth="1"/>
    <col min="42" max="42" width="13.33203125" style="1" customWidth="1"/>
    <col min="43" max="43" width="25.75" bestFit="1" customWidth="1"/>
    <col min="44" max="44" width="28" bestFit="1" customWidth="1"/>
    <col min="45" max="45" width="19.83203125" bestFit="1" customWidth="1"/>
    <col min="46" max="46" width="40.58203125" style="1" customWidth="1"/>
    <col min="47" max="47" width="27.75" style="1" customWidth="1"/>
    <col min="48" max="49" width="44.25" style="1" customWidth="1"/>
    <col min="50" max="50" width="33" style="1" bestFit="1" customWidth="1"/>
    <col min="51" max="51" width="93.58203125" style="1" bestFit="1" customWidth="1"/>
    <col min="53" max="16384" width="11.58203125" style="1"/>
  </cols>
  <sheetData>
    <row r="1" spans="1:52" ht="12.5">
      <c r="A1" s="1" t="s">
        <v>320</v>
      </c>
      <c r="B1" s="1" t="s">
        <v>193</v>
      </c>
      <c r="C1" s="1" t="s">
        <v>321</v>
      </c>
      <c r="D1" s="1" t="s">
        <v>192</v>
      </c>
      <c r="E1" s="1" t="s">
        <v>194</v>
      </c>
      <c r="F1" s="1" t="s">
        <v>123</v>
      </c>
      <c r="G1" s="1" t="s">
        <v>5</v>
      </c>
      <c r="H1" s="3" t="s">
        <v>124</v>
      </c>
      <c r="I1" s="3" t="s">
        <v>68</v>
      </c>
      <c r="J1" s="3" t="s">
        <v>67</v>
      </c>
      <c r="K1" s="1" t="s">
        <v>6</v>
      </c>
      <c r="L1" s="1" t="s">
        <v>12</v>
      </c>
      <c r="M1" s="1" t="s">
        <v>148</v>
      </c>
      <c r="N1" s="1" t="s">
        <v>21</v>
      </c>
      <c r="O1" s="1" t="s">
        <v>351</v>
      </c>
      <c r="P1" s="1" t="s">
        <v>352</v>
      </c>
      <c r="Q1" s="1" t="s">
        <v>353</v>
      </c>
      <c r="R1" s="1" t="s">
        <v>149</v>
      </c>
      <c r="S1" s="1" t="s">
        <v>13</v>
      </c>
      <c r="T1" s="1" t="s">
        <v>16</v>
      </c>
      <c r="U1" s="1" t="s">
        <v>147</v>
      </c>
      <c r="V1" s="1" t="s">
        <v>151</v>
      </c>
      <c r="W1" s="1" t="s">
        <v>10</v>
      </c>
      <c r="X1" s="1" t="s">
        <v>17</v>
      </c>
      <c r="Y1" s="1" t="s">
        <v>152</v>
      </c>
      <c r="Z1" s="1" t="s">
        <v>153</v>
      </c>
      <c r="AA1" s="1" t="s">
        <v>125</v>
      </c>
      <c r="AB1" s="1" t="s">
        <v>126</v>
      </c>
      <c r="AC1" s="1" t="s">
        <v>127</v>
      </c>
      <c r="AD1" s="1" t="s">
        <v>145</v>
      </c>
      <c r="AE1" s="1" t="s">
        <v>2</v>
      </c>
      <c r="AF1" s="1" t="s">
        <v>173</v>
      </c>
      <c r="AG1" s="1" t="s">
        <v>146</v>
      </c>
      <c r="AH1" s="1" t="s">
        <v>1</v>
      </c>
      <c r="AI1" s="1" t="s">
        <v>154</v>
      </c>
      <c r="AJ1" s="1" t="s">
        <v>155</v>
      </c>
      <c r="AK1" s="1" t="s">
        <v>347</v>
      </c>
      <c r="AL1" s="1" t="s">
        <v>348</v>
      </c>
      <c r="AM1" s="1" t="s">
        <v>350</v>
      </c>
      <c r="AN1" s="1" t="s">
        <v>349</v>
      </c>
      <c r="AO1" s="1" t="s">
        <v>174</v>
      </c>
      <c r="AP1" s="1" t="s">
        <v>18</v>
      </c>
      <c r="AQ1" s="1" t="s">
        <v>0</v>
      </c>
      <c r="AR1" s="1" t="s">
        <v>14</v>
      </c>
      <c r="AS1" s="1"/>
      <c r="AZ1" s="1"/>
    </row>
    <row r="2" spans="1:52" ht="25">
      <c r="A2" s="4" t="str">
        <f>VLOOKUP(Tableau1[[#This Row],[N° Département]],Feuil1!$C$6:$E$106,3)</f>
        <v>Nouvelle-Aquitaine</v>
      </c>
      <c r="B2" s="4" t="str">
        <f>VLOOKUP(Tableau1[[#This Row],[N° Département]],Feuil1!$C$6:$E$106,2)</f>
        <v>Charente</v>
      </c>
      <c r="C2" s="4">
        <f>LEFT(Tableau1[[#This Row],[Code Postal]],2)*1</f>
        <v>16</v>
      </c>
      <c r="D2" s="4" t="s">
        <v>175</v>
      </c>
      <c r="E2" s="27">
        <v>16000</v>
      </c>
      <c r="F2" s="4" t="s">
        <v>128</v>
      </c>
      <c r="G2" s="5" t="str">
        <f>Tableau1[[#This Row],[Rue]]&amp;CHAR(10)&amp;Tableau1[[#This Row],[Code Postal]]&amp;" - "&amp;Tableau1[[#This Row],[Ville]]</f>
        <v>53 Rue Hergé
16000 - Angoulême</v>
      </c>
      <c r="H2" s="16" t="s">
        <v>15</v>
      </c>
      <c r="I2" s="6" t="s">
        <v>70</v>
      </c>
      <c r="J2" s="6" t="s">
        <v>69</v>
      </c>
      <c r="K2" s="4" t="s">
        <v>7</v>
      </c>
      <c r="L2" s="6" t="s">
        <v>8</v>
      </c>
      <c r="M2" s="6" t="s">
        <v>150</v>
      </c>
      <c r="N2" s="6" t="s">
        <v>354</v>
      </c>
      <c r="O2" s="4" t="s">
        <v>361</v>
      </c>
      <c r="P2" s="4" t="s">
        <v>378</v>
      </c>
      <c r="Q2" s="4" t="s">
        <v>379</v>
      </c>
      <c r="R2" s="6">
        <v>84600</v>
      </c>
      <c r="S2" s="6">
        <f>IFERROR(Tableau1[[#This Row],[Loyer annuel]]/12,"")</f>
        <v>7050</v>
      </c>
      <c r="T2" s="6">
        <v>200</v>
      </c>
      <c r="U2" s="6" t="s">
        <v>150</v>
      </c>
      <c r="V2" s="6">
        <v>12282</v>
      </c>
      <c r="W2" s="6">
        <f>IFERROR(Tableau1[[#This Row],[Charges anuelles]]/12,"")</f>
        <v>1023.5</v>
      </c>
      <c r="X2" s="6">
        <v>29</v>
      </c>
      <c r="Y2" s="6" t="s">
        <v>150</v>
      </c>
      <c r="Z2" s="6" t="s">
        <v>150</v>
      </c>
      <c r="AA2" s="6" t="s">
        <v>150</v>
      </c>
      <c r="AB2" s="6" t="s">
        <v>150</v>
      </c>
      <c r="AC2" s="6" t="s">
        <v>150</v>
      </c>
      <c r="AD2" s="6" t="s">
        <v>150</v>
      </c>
      <c r="AE2" s="4" t="s">
        <v>80</v>
      </c>
      <c r="AF2" s="4" t="s">
        <v>150</v>
      </c>
      <c r="AG2" s="4" t="s">
        <v>150</v>
      </c>
      <c r="AH2" s="5" t="s">
        <v>64</v>
      </c>
      <c r="AI2" s="5"/>
      <c r="AJ2" s="5"/>
      <c r="AK2" s="5"/>
      <c r="AL2" s="5"/>
      <c r="AM2" s="34" t="s">
        <v>322</v>
      </c>
      <c r="AN2" s="34"/>
      <c r="AO2" s="5" t="s">
        <v>119</v>
      </c>
      <c r="AP2" s="5" t="s">
        <v>19</v>
      </c>
      <c r="AQ2" s="8" t="s">
        <v>20</v>
      </c>
      <c r="AR2" s="8"/>
      <c r="AS2" s="1"/>
      <c r="AZ2" s="1"/>
    </row>
    <row r="3" spans="1:52" ht="25">
      <c r="A3" s="4" t="str">
        <f>VLOOKUP(Tableau1[[#This Row],[N° Département]],Feuil1!$C$6:$E$106,3)</f>
        <v>Bourgogne-Franche-Comté</v>
      </c>
      <c r="B3" s="4" t="str">
        <f>VLOOKUP(Tableau1[[#This Row],[N° Département]],Feuil1!$C$6:$E$106,2)</f>
        <v>Doubs</v>
      </c>
      <c r="C3" s="4">
        <f>LEFT(Tableau1[[#This Row],[Code Postal]],2)*1</f>
        <v>25</v>
      </c>
      <c r="D3" s="4" t="s">
        <v>176</v>
      </c>
      <c r="E3" s="27">
        <v>25000</v>
      </c>
      <c r="F3" s="4" t="s">
        <v>129</v>
      </c>
      <c r="G3" s="5" t="str">
        <f>Tableau1[[#This Row],[Rue]]&amp;CHAR(10)&amp;Tableau1[[#This Row],[Code Postal]]&amp;" - "&amp;Tableau1[[#This Row],[Ville]]</f>
        <v>44 Grande Rue
25000 - Besançon</v>
      </c>
      <c r="H3" s="16" t="s">
        <v>23</v>
      </c>
      <c r="I3" s="6" t="s">
        <v>70</v>
      </c>
      <c r="J3" s="6" t="s">
        <v>69</v>
      </c>
      <c r="K3" s="4" t="s">
        <v>7</v>
      </c>
      <c r="L3" s="4" t="s">
        <v>8</v>
      </c>
      <c r="M3" s="6" t="s">
        <v>150</v>
      </c>
      <c r="N3" s="6" t="s">
        <v>355</v>
      </c>
      <c r="O3" s="4" t="s">
        <v>362</v>
      </c>
      <c r="P3" s="6" t="s">
        <v>150</v>
      </c>
      <c r="Q3" s="6" t="s">
        <v>150</v>
      </c>
      <c r="R3" s="6">
        <v>81250</v>
      </c>
      <c r="S3" s="6">
        <f>IFERROR(Tableau1[[#This Row],[Loyer annuel]]/12,"")</f>
        <v>6770.833333333333</v>
      </c>
      <c r="T3" s="6">
        <v>250</v>
      </c>
      <c r="U3" s="6" t="s">
        <v>150</v>
      </c>
      <c r="V3" s="6">
        <v>8700</v>
      </c>
      <c r="W3" s="6">
        <f>IFERROR(Tableau1[[#This Row],[Charges anuelles]]/12,"")</f>
        <v>725</v>
      </c>
      <c r="X3" s="6">
        <v>26</v>
      </c>
      <c r="Y3" s="6" t="s">
        <v>150</v>
      </c>
      <c r="Z3" s="6" t="s">
        <v>150</v>
      </c>
      <c r="AA3" s="6" t="s">
        <v>150</v>
      </c>
      <c r="AB3" s="6" t="s">
        <v>150</v>
      </c>
      <c r="AC3" s="6" t="s">
        <v>150</v>
      </c>
      <c r="AD3" s="6" t="s">
        <v>150</v>
      </c>
      <c r="AE3" s="4" t="s">
        <v>80</v>
      </c>
      <c r="AF3" s="4" t="s">
        <v>150</v>
      </c>
      <c r="AG3" s="4" t="s">
        <v>150</v>
      </c>
      <c r="AH3" s="5" t="s">
        <v>25</v>
      </c>
      <c r="AI3" s="5"/>
      <c r="AJ3" s="5"/>
      <c r="AK3" s="5"/>
      <c r="AL3" s="5"/>
      <c r="AM3" s="34" t="s">
        <v>323</v>
      </c>
      <c r="AN3" s="34"/>
      <c r="AO3" s="5" t="s">
        <v>119</v>
      </c>
      <c r="AP3" s="5" t="s">
        <v>24</v>
      </c>
      <c r="AQ3" s="8" t="s">
        <v>20</v>
      </c>
      <c r="AR3" s="10"/>
      <c r="AS3" s="1"/>
      <c r="AZ3" s="1"/>
    </row>
    <row r="4" spans="1:52" ht="37.5">
      <c r="A4" s="4" t="str">
        <f>VLOOKUP(Tableau1[[#This Row],[N° Département]],Feuil1!$C$6:$E$106,3)</f>
        <v>Centre-Val de Loire</v>
      </c>
      <c r="B4" s="4" t="str">
        <f>VLOOKUP(Tableau1[[#This Row],[N° Département]],Feuil1!$C$6:$E$106,2)</f>
        <v>Loir-et-Cher</v>
      </c>
      <c r="C4" s="4">
        <f>LEFT(Tableau1[[#This Row],[Code Postal]],2)*1</f>
        <v>41</v>
      </c>
      <c r="D4" s="4" t="s">
        <v>177</v>
      </c>
      <c r="E4" s="27">
        <v>41000</v>
      </c>
      <c r="F4" s="4" t="s">
        <v>130</v>
      </c>
      <c r="G4" s="5" t="str">
        <f>Tableau1[[#This Row],[Rue]]&amp;CHAR(10)&amp;Tableau1[[#This Row],[Code Postal]]&amp;" - "&amp;Tableau1[[#This Row],[Ville]]</f>
        <v>90 Rue du Commerce
41000 - Blois</v>
      </c>
      <c r="H4" s="16" t="s">
        <v>26</v>
      </c>
      <c r="I4" s="6" t="s">
        <v>70</v>
      </c>
      <c r="J4" s="6" t="s">
        <v>69</v>
      </c>
      <c r="K4" s="4" t="s">
        <v>7</v>
      </c>
      <c r="L4" s="4" t="s">
        <v>8</v>
      </c>
      <c r="M4" s="6" t="s">
        <v>150</v>
      </c>
      <c r="N4" s="6" t="s">
        <v>356</v>
      </c>
      <c r="O4" s="4" t="s">
        <v>363</v>
      </c>
      <c r="P4" s="4" t="s">
        <v>380</v>
      </c>
      <c r="Q4" s="4" t="s">
        <v>381</v>
      </c>
      <c r="R4" s="6">
        <v>92400</v>
      </c>
      <c r="S4" s="6">
        <f>IFERROR(Tableau1[[#This Row],[Loyer annuel]]/12,"")</f>
        <v>7700</v>
      </c>
      <c r="T4" s="6">
        <v>350</v>
      </c>
      <c r="U4" s="6" t="s">
        <v>150</v>
      </c>
      <c r="V4" s="6">
        <v>12455</v>
      </c>
      <c r="W4" s="6">
        <f>IFERROR(Tableau1[[#This Row],[Charges anuelles]]/12,"")</f>
        <v>1037.9166666666667</v>
      </c>
      <c r="X4" s="6">
        <v>10</v>
      </c>
      <c r="Y4" s="6" t="s">
        <v>150</v>
      </c>
      <c r="Z4" s="6" t="s">
        <v>150</v>
      </c>
      <c r="AA4" s="6" t="s">
        <v>150</v>
      </c>
      <c r="AB4" s="6" t="s">
        <v>150</v>
      </c>
      <c r="AC4" s="6" t="s">
        <v>150</v>
      </c>
      <c r="AD4" s="6" t="s">
        <v>150</v>
      </c>
      <c r="AE4" s="4" t="s">
        <v>80</v>
      </c>
      <c r="AF4" s="4" t="s">
        <v>150</v>
      </c>
      <c r="AG4" s="4" t="s">
        <v>150</v>
      </c>
      <c r="AH4" s="5" t="s">
        <v>65</v>
      </c>
      <c r="AI4" s="5"/>
      <c r="AJ4" s="5"/>
      <c r="AK4" s="5"/>
      <c r="AL4" s="5"/>
      <c r="AM4" s="34" t="s">
        <v>324</v>
      </c>
      <c r="AN4" s="34"/>
      <c r="AO4" s="5" t="s">
        <v>119</v>
      </c>
      <c r="AP4" s="5" t="s">
        <v>47</v>
      </c>
      <c r="AQ4" s="8" t="s">
        <v>20</v>
      </c>
      <c r="AR4" s="9"/>
      <c r="AS4" s="1"/>
      <c r="AZ4" s="1"/>
    </row>
    <row r="5" spans="1:52" ht="25">
      <c r="A5" s="4" t="str">
        <f>VLOOKUP(Tableau1[[#This Row],[N° Département]],Feuil1!$C$6:$E$106,3)</f>
        <v>Bourgogne-Franche-Comté</v>
      </c>
      <c r="B5" s="4" t="str">
        <f>VLOOKUP(Tableau1[[#This Row],[N° Département]],Feuil1!$C$6:$E$106,2)</f>
        <v>Doubs</v>
      </c>
      <c r="C5" s="4">
        <f>LEFT(Tableau1[[#This Row],[Code Postal]],2)*1</f>
        <v>25</v>
      </c>
      <c r="D5" s="4" t="s">
        <v>178</v>
      </c>
      <c r="E5" s="27">
        <v>25400</v>
      </c>
      <c r="F5" s="4" t="s">
        <v>131</v>
      </c>
      <c r="G5" s="5" t="str">
        <f>Tableau1[[#This Row],[Rue]]&amp;CHAR(10)&amp;Tableau1[[#This Row],[Code Postal]]&amp;" - "&amp;Tableau1[[#This Row],[Ville]]</f>
        <v>7 Rue de Sochaux
25400 - Exincourt</v>
      </c>
      <c r="H5" s="16" t="s">
        <v>27</v>
      </c>
      <c r="I5" s="6" t="s">
        <v>72</v>
      </c>
      <c r="J5" s="6" t="s">
        <v>73</v>
      </c>
      <c r="K5" s="4" t="s">
        <v>7</v>
      </c>
      <c r="L5" s="6" t="s">
        <v>8</v>
      </c>
      <c r="M5" s="6" t="s">
        <v>150</v>
      </c>
      <c r="N5" s="6" t="s">
        <v>357</v>
      </c>
      <c r="O5" s="4" t="s">
        <v>364</v>
      </c>
      <c r="P5" s="4" t="s">
        <v>382</v>
      </c>
      <c r="Q5" s="4" t="s">
        <v>383</v>
      </c>
      <c r="R5" s="6">
        <v>541800</v>
      </c>
      <c r="S5" s="6">
        <f>IFERROR(Tableau1[[#This Row],[Loyer annuel]]/12,"")</f>
        <v>45150</v>
      </c>
      <c r="T5" s="6">
        <v>60</v>
      </c>
      <c r="U5" s="6" t="s">
        <v>150</v>
      </c>
      <c r="V5" s="6">
        <v>90100</v>
      </c>
      <c r="W5" s="6">
        <f>IFERROR(Tableau1[[#This Row],[Charges anuelles]]/12,"")</f>
        <v>7508.333333333333</v>
      </c>
      <c r="X5" s="6">
        <v>10</v>
      </c>
      <c r="Y5" s="6" t="s">
        <v>150</v>
      </c>
      <c r="Z5" s="6" t="s">
        <v>150</v>
      </c>
      <c r="AA5" s="6" t="s">
        <v>150</v>
      </c>
      <c r="AB5" s="6" t="s">
        <v>150</v>
      </c>
      <c r="AC5" s="6" t="s">
        <v>150</v>
      </c>
      <c r="AD5" s="6" t="s">
        <v>150</v>
      </c>
      <c r="AE5" s="4" t="s">
        <v>80</v>
      </c>
      <c r="AF5" s="4" t="s">
        <v>150</v>
      </c>
      <c r="AG5" s="4" t="s">
        <v>150</v>
      </c>
      <c r="AH5" s="5" t="s">
        <v>77</v>
      </c>
      <c r="AI5" s="5"/>
      <c r="AJ5" s="5"/>
      <c r="AK5" s="5"/>
      <c r="AL5" s="5"/>
      <c r="AM5" s="34" t="s">
        <v>325</v>
      </c>
      <c r="AN5" s="34"/>
      <c r="AO5" s="5" t="s">
        <v>119</v>
      </c>
      <c r="AP5" s="5" t="s">
        <v>28</v>
      </c>
      <c r="AQ5" s="8" t="s">
        <v>20</v>
      </c>
      <c r="AR5" s="9"/>
      <c r="AS5" s="1"/>
      <c r="AZ5" s="1"/>
    </row>
    <row r="6" spans="1:52" ht="37.5">
      <c r="A6" s="11" t="str">
        <f>VLOOKUP(Tableau1[[#This Row],[N° Département]],Feuil1!$C$6:$E$106,3)</f>
        <v>Normandie</v>
      </c>
      <c r="B6" s="4" t="str">
        <f>VLOOKUP(Tableau1[[#This Row],[N° Département]],Feuil1!$C$6:$E$106,2)</f>
        <v>Calvados</v>
      </c>
      <c r="C6" s="11">
        <f>LEFT(Tableau1[[#This Row],[Code Postal]],2)*1</f>
        <v>14</v>
      </c>
      <c r="D6" s="11" t="s">
        <v>184</v>
      </c>
      <c r="E6" s="28">
        <v>14200</v>
      </c>
      <c r="F6" s="11" t="s">
        <v>132</v>
      </c>
      <c r="G6" s="5" t="str">
        <f>Tableau1[[#This Row],[Rue]]&amp;CHAR(10)&amp;Tableau1[[#This Row],[Code Postal]]&amp;" - "&amp;Tableau1[[#This Row],[Ville]]</f>
        <v>103 Le Val
14200 - Hérouville-Saint-Clair</v>
      </c>
      <c r="H6" s="16" t="s">
        <v>116</v>
      </c>
      <c r="I6" s="13" t="s">
        <v>72</v>
      </c>
      <c r="J6" s="13" t="s">
        <v>74</v>
      </c>
      <c r="K6" s="11" t="s">
        <v>7</v>
      </c>
      <c r="L6" s="13" t="s">
        <v>8</v>
      </c>
      <c r="M6" s="13" t="s">
        <v>156</v>
      </c>
      <c r="N6" s="11" t="s">
        <v>164</v>
      </c>
      <c r="O6" s="6" t="s">
        <v>150</v>
      </c>
      <c r="P6" s="6" t="s">
        <v>150</v>
      </c>
      <c r="Q6" s="6" t="s">
        <v>150</v>
      </c>
      <c r="R6" s="13" t="s">
        <v>36</v>
      </c>
      <c r="S6" s="6" t="str">
        <f>IFERROR(Tableau1[[#This Row],[Loyer annuel]]/12,"")</f>
        <v/>
      </c>
      <c r="T6" s="13">
        <v>500</v>
      </c>
      <c r="U6" s="6" t="s">
        <v>150</v>
      </c>
      <c r="V6" s="13" t="s">
        <v>36</v>
      </c>
      <c r="W6" s="6" t="s">
        <v>150</v>
      </c>
      <c r="X6" s="13">
        <v>118</v>
      </c>
      <c r="Y6" s="6" t="s">
        <v>150</v>
      </c>
      <c r="Z6" s="6" t="s">
        <v>150</v>
      </c>
      <c r="AA6" s="6" t="s">
        <v>150</v>
      </c>
      <c r="AB6" s="6" t="s">
        <v>150</v>
      </c>
      <c r="AC6" s="6" t="s">
        <v>150</v>
      </c>
      <c r="AD6" s="6" t="s">
        <v>150</v>
      </c>
      <c r="AE6" s="11" t="s">
        <v>119</v>
      </c>
      <c r="AF6" s="4" t="s">
        <v>150</v>
      </c>
      <c r="AG6" s="4" t="s">
        <v>150</v>
      </c>
      <c r="AH6" s="12" t="s">
        <v>120</v>
      </c>
      <c r="AI6" s="12"/>
      <c r="AJ6" s="12"/>
      <c r="AK6" s="12"/>
      <c r="AL6" s="12"/>
      <c r="AM6" s="34" t="s">
        <v>326</v>
      </c>
      <c r="AN6" s="34"/>
      <c r="AO6" s="5" t="s">
        <v>119</v>
      </c>
      <c r="AP6" s="12" t="s">
        <v>118</v>
      </c>
      <c r="AQ6" s="14" t="s">
        <v>117</v>
      </c>
      <c r="AR6" s="15"/>
      <c r="AS6" s="1"/>
      <c r="AZ6" s="1"/>
    </row>
    <row r="7" spans="1:52" ht="37.5">
      <c r="A7" s="11" t="str">
        <f>VLOOKUP(Tableau1[[#This Row],[N° Département]],Feuil1!$C$6:$E$106,3)</f>
        <v>Bretagne</v>
      </c>
      <c r="B7" s="4" t="str">
        <f>VLOOKUP(Tableau1[[#This Row],[N° Département]],Feuil1!$C$6:$E$106,2)</f>
        <v>Ille-et-Vilaine</v>
      </c>
      <c r="C7" s="11">
        <f>LEFT(Tableau1[[#This Row],[Code Postal]],2)*1</f>
        <v>35</v>
      </c>
      <c r="D7" s="11" t="s">
        <v>185</v>
      </c>
      <c r="E7" s="28">
        <v>35520</v>
      </c>
      <c r="F7" s="11" t="s">
        <v>133</v>
      </c>
      <c r="G7" s="5" t="str">
        <f>Tableau1[[#This Row],[Rue]]&amp;CHAR(10)&amp;Tableau1[[#This Row],[Code Postal]]&amp;" - "&amp;Tableau1[[#This Row],[Ville]]</f>
        <v>ZAC de Cap Malo
35520 - La Mézière</v>
      </c>
      <c r="H7" s="16" t="s">
        <v>121</v>
      </c>
      <c r="I7" s="13" t="s">
        <v>72</v>
      </c>
      <c r="J7" s="13" t="s">
        <v>75</v>
      </c>
      <c r="K7" s="11" t="s">
        <v>7</v>
      </c>
      <c r="L7" s="13" t="s">
        <v>8</v>
      </c>
      <c r="M7" s="13" t="s">
        <v>157</v>
      </c>
      <c r="N7" s="11" t="s">
        <v>165</v>
      </c>
      <c r="O7" s="6" t="s">
        <v>150</v>
      </c>
      <c r="P7" s="6" t="s">
        <v>150</v>
      </c>
      <c r="Q7" s="6" t="s">
        <v>150</v>
      </c>
      <c r="R7" s="13" t="s">
        <v>36</v>
      </c>
      <c r="S7" s="6" t="str">
        <f>IFERROR(Tableau1[[#This Row],[Loyer annuel]]/12,"")</f>
        <v/>
      </c>
      <c r="T7" s="13">
        <v>200</v>
      </c>
      <c r="U7" s="6" t="s">
        <v>150</v>
      </c>
      <c r="V7" s="13" t="s">
        <v>36</v>
      </c>
      <c r="W7" s="6" t="s">
        <v>150</v>
      </c>
      <c r="X7" s="13">
        <v>32</v>
      </c>
      <c r="Y7" s="6" t="s">
        <v>150</v>
      </c>
      <c r="Z7" s="6" t="s">
        <v>150</v>
      </c>
      <c r="AA7" s="6" t="s">
        <v>150</v>
      </c>
      <c r="AB7" s="6" t="s">
        <v>150</v>
      </c>
      <c r="AC7" s="6" t="s">
        <v>150</v>
      </c>
      <c r="AD7" s="6" t="s">
        <v>150</v>
      </c>
      <c r="AE7" s="11" t="s">
        <v>119</v>
      </c>
      <c r="AF7" s="4" t="s">
        <v>150</v>
      </c>
      <c r="AG7" s="4" t="s">
        <v>150</v>
      </c>
      <c r="AH7" s="12" t="s">
        <v>122</v>
      </c>
      <c r="AI7" s="12"/>
      <c r="AJ7" s="12"/>
      <c r="AK7" s="12"/>
      <c r="AL7" s="12"/>
      <c r="AM7" s="34" t="s">
        <v>327</v>
      </c>
      <c r="AN7" s="34"/>
      <c r="AO7" s="5" t="s">
        <v>119</v>
      </c>
      <c r="AP7" s="12">
        <v>0</v>
      </c>
      <c r="AQ7" s="14" t="s">
        <v>117</v>
      </c>
      <c r="AR7" s="15"/>
      <c r="AS7" s="1"/>
      <c r="AZ7" s="1"/>
    </row>
    <row r="8" spans="1:52" ht="37.5">
      <c r="A8" s="11" t="str">
        <f>VLOOKUP(Tableau1[[#This Row],[N° Département]],Feuil1!$C$6:$E$106,3)</f>
        <v>Pays de la Loire</v>
      </c>
      <c r="B8" s="4" t="str">
        <f>VLOOKUP(Tableau1[[#This Row],[N° Département]],Feuil1!$C$6:$E$106,2)</f>
        <v>Sarthe</v>
      </c>
      <c r="C8" s="11">
        <f>LEFT(Tableau1[[#This Row],[Code Postal]],2)*1</f>
        <v>72</v>
      </c>
      <c r="D8" s="11" t="s">
        <v>186</v>
      </c>
      <c r="E8" s="28">
        <v>72100</v>
      </c>
      <c r="F8" s="11" t="s">
        <v>134</v>
      </c>
      <c r="G8" s="5" t="str">
        <f>Tableau1[[#This Row],[Rue]]&amp;CHAR(10)&amp;Tableau1[[#This Row],[Code Postal]]&amp;" - "&amp;Tableau1[[#This Row],[Ville]]</f>
        <v>18 Avenue Pierre Mendès France
72100 - Le Mans</v>
      </c>
      <c r="H8" s="16" t="s">
        <v>82</v>
      </c>
      <c r="I8" s="6" t="s">
        <v>70</v>
      </c>
      <c r="J8" s="6" t="s">
        <v>74</v>
      </c>
      <c r="K8" s="4" t="s">
        <v>7</v>
      </c>
      <c r="L8" s="6" t="s">
        <v>8</v>
      </c>
      <c r="M8" s="6" t="s">
        <v>158</v>
      </c>
      <c r="N8" s="11" t="s">
        <v>166</v>
      </c>
      <c r="O8" s="6" t="s">
        <v>150</v>
      </c>
      <c r="P8" s="6" t="s">
        <v>150</v>
      </c>
      <c r="Q8" s="6" t="s">
        <v>150</v>
      </c>
      <c r="R8" s="13" t="s">
        <v>36</v>
      </c>
      <c r="S8" s="6" t="str">
        <f>IFERROR(Tableau1[[#This Row],[Loyer annuel]]/12,"")</f>
        <v/>
      </c>
      <c r="T8" s="13">
        <v>600</v>
      </c>
      <c r="U8" s="6" t="s">
        <v>150</v>
      </c>
      <c r="V8" s="13" t="s">
        <v>36</v>
      </c>
      <c r="W8" s="6" t="s">
        <v>150</v>
      </c>
      <c r="X8" s="13">
        <v>220</v>
      </c>
      <c r="Y8" s="6" t="s">
        <v>150</v>
      </c>
      <c r="Z8" s="6" t="s">
        <v>150</v>
      </c>
      <c r="AA8" s="6" t="s">
        <v>150</v>
      </c>
      <c r="AB8" s="6" t="s">
        <v>150</v>
      </c>
      <c r="AC8" s="6" t="s">
        <v>150</v>
      </c>
      <c r="AD8" s="6" t="s">
        <v>150</v>
      </c>
      <c r="AE8" s="11" t="s">
        <v>41</v>
      </c>
      <c r="AF8" s="4" t="s">
        <v>150</v>
      </c>
      <c r="AG8" s="4" t="s">
        <v>150</v>
      </c>
      <c r="AH8" s="12" t="s">
        <v>83</v>
      </c>
      <c r="AI8" s="12"/>
      <c r="AJ8" s="12"/>
      <c r="AK8" s="12"/>
      <c r="AL8" s="12"/>
      <c r="AM8" s="34" t="s">
        <v>328</v>
      </c>
      <c r="AN8" s="34"/>
      <c r="AO8" s="5" t="s">
        <v>119</v>
      </c>
      <c r="AP8" s="12" t="s">
        <v>81</v>
      </c>
      <c r="AQ8" s="14" t="s">
        <v>54</v>
      </c>
      <c r="AR8" s="15"/>
      <c r="AS8" s="1"/>
      <c r="AZ8" s="1"/>
    </row>
    <row r="9" spans="1:52" ht="37.5">
      <c r="A9" s="11" t="str">
        <f>VLOOKUP(Tableau1[[#This Row],[N° Département]],Feuil1!$C$6:$E$106,3)</f>
        <v>Auvergne-Rhône-Alpes</v>
      </c>
      <c r="B9" s="4" t="str">
        <f>VLOOKUP(Tableau1[[#This Row],[N° Département]],Feuil1!$C$6:$E$106,2)</f>
        <v>Rhône</v>
      </c>
      <c r="C9" s="11">
        <f>LEFT(Tableau1[[#This Row],[Code Postal]],2)*1</f>
        <v>69</v>
      </c>
      <c r="D9" s="11" t="s">
        <v>179</v>
      </c>
      <c r="E9" s="28">
        <v>69003</v>
      </c>
      <c r="F9" s="11" t="s">
        <v>135</v>
      </c>
      <c r="G9" s="5" t="str">
        <f>Tableau1[[#This Row],[Rue]]&amp;CHAR(10)&amp;Tableau1[[#This Row],[Code Postal]]&amp;" - "&amp;Tableau1[[#This Row],[Ville]]</f>
        <v>18 Rue du Général Mouton-Duvernet
69003 - Lyon</v>
      </c>
      <c r="H9" s="16" t="s">
        <v>48</v>
      </c>
      <c r="I9" s="6" t="s">
        <v>70</v>
      </c>
      <c r="J9" s="6" t="s">
        <v>69</v>
      </c>
      <c r="K9" s="4" t="s">
        <v>7</v>
      </c>
      <c r="L9" s="6" t="s">
        <v>8</v>
      </c>
      <c r="M9" s="6" t="s">
        <v>150</v>
      </c>
      <c r="N9" s="11" t="s">
        <v>45</v>
      </c>
      <c r="O9" s="6" t="s">
        <v>150</v>
      </c>
      <c r="P9" s="6" t="s">
        <v>150</v>
      </c>
      <c r="Q9" s="6" t="s">
        <v>150</v>
      </c>
      <c r="R9" s="13">
        <v>95200</v>
      </c>
      <c r="S9" s="6">
        <f>IFERROR(Tableau1[[#This Row],[Loyer annuel]]/12,"")</f>
        <v>7933.333333333333</v>
      </c>
      <c r="T9" s="13">
        <v>400</v>
      </c>
      <c r="U9" s="6" t="s">
        <v>150</v>
      </c>
      <c r="V9" s="13">
        <v>26000</v>
      </c>
      <c r="W9" s="6">
        <f>IFERROR(Tableau1[[#This Row],[Charges anuelles]]/12,"")</f>
        <v>2166.6666666666665</v>
      </c>
      <c r="X9" s="13">
        <v>109</v>
      </c>
      <c r="Y9" s="6" t="s">
        <v>150</v>
      </c>
      <c r="Z9" s="6" t="s">
        <v>150</v>
      </c>
      <c r="AA9" s="6" t="s">
        <v>150</v>
      </c>
      <c r="AB9" s="6" t="s">
        <v>150</v>
      </c>
      <c r="AC9" s="6" t="s">
        <v>150</v>
      </c>
      <c r="AD9" s="6" t="s">
        <v>150</v>
      </c>
      <c r="AE9" s="11" t="s">
        <v>50</v>
      </c>
      <c r="AF9" s="4" t="s">
        <v>150</v>
      </c>
      <c r="AG9" s="4" t="s">
        <v>150</v>
      </c>
      <c r="AH9" s="5" t="s">
        <v>44</v>
      </c>
      <c r="AI9" s="5"/>
      <c r="AJ9" s="5"/>
      <c r="AK9" s="5"/>
      <c r="AL9" s="5"/>
      <c r="AM9" s="34" t="s">
        <v>329</v>
      </c>
      <c r="AN9" s="34"/>
      <c r="AO9" s="5" t="s">
        <v>119</v>
      </c>
      <c r="AP9" s="12" t="s">
        <v>46</v>
      </c>
      <c r="AQ9" s="14" t="s">
        <v>39</v>
      </c>
      <c r="AR9" s="15"/>
      <c r="AS9" s="1"/>
      <c r="AZ9" s="1"/>
    </row>
    <row r="10" spans="1:52" ht="25">
      <c r="A10" s="4" t="str">
        <f>VLOOKUP(Tableau1[[#This Row],[N° Département]],Feuil1!$C$6:$E$106,3)</f>
        <v>Ile-de-France</v>
      </c>
      <c r="B10" s="4" t="str">
        <f>VLOOKUP(Tableau1[[#This Row],[N° Département]],Feuil1!$C$6:$E$106,2)</f>
        <v>Yvelines</v>
      </c>
      <c r="C10" s="4">
        <f>LEFT(Tableau1[[#This Row],[Code Postal]],2)*1</f>
        <v>78</v>
      </c>
      <c r="D10" s="4" t="s">
        <v>187</v>
      </c>
      <c r="E10" s="27">
        <v>78310</v>
      </c>
      <c r="F10" s="4" t="s">
        <v>136</v>
      </c>
      <c r="G10" s="5" t="str">
        <f>Tableau1[[#This Row],[Rue]]&amp;CHAR(10)&amp;Tableau1[[#This Row],[Code Postal]]&amp;" - "&amp;Tableau1[[#This Row],[Ville]]</f>
        <v>3 Avenue Louis Pasteur
78310 - Maurepas</v>
      </c>
      <c r="H10" s="16" t="s">
        <v>108</v>
      </c>
      <c r="I10" s="6" t="s">
        <v>72</v>
      </c>
      <c r="J10" s="6" t="s">
        <v>75</v>
      </c>
      <c r="K10" s="4" t="s">
        <v>7</v>
      </c>
      <c r="L10" s="6" t="s">
        <v>8</v>
      </c>
      <c r="M10" s="6" t="s">
        <v>159</v>
      </c>
      <c r="N10" s="4" t="s">
        <v>167</v>
      </c>
      <c r="O10" s="6" t="s">
        <v>150</v>
      </c>
      <c r="P10" s="4" t="s">
        <v>384</v>
      </c>
      <c r="Q10" s="6" t="s">
        <v>150</v>
      </c>
      <c r="R10" s="7" t="s">
        <v>36</v>
      </c>
      <c r="S10" s="6" t="str">
        <f>IFERROR(Tableau1[[#This Row],[Loyer annuel]]/12,"")</f>
        <v/>
      </c>
      <c r="T10" s="6">
        <v>300</v>
      </c>
      <c r="U10" s="6" t="s">
        <v>150</v>
      </c>
      <c r="V10" s="4" t="s">
        <v>36</v>
      </c>
      <c r="W10" s="6" t="s">
        <v>150</v>
      </c>
      <c r="X10" s="6">
        <v>35</v>
      </c>
      <c r="Y10" s="6" t="s">
        <v>150</v>
      </c>
      <c r="Z10" s="6" t="s">
        <v>150</v>
      </c>
      <c r="AA10" s="6" t="s">
        <v>150</v>
      </c>
      <c r="AB10" s="6" t="s">
        <v>150</v>
      </c>
      <c r="AC10" s="6" t="s">
        <v>150</v>
      </c>
      <c r="AD10" s="6" t="s">
        <v>150</v>
      </c>
      <c r="AE10" s="4" t="s">
        <v>50</v>
      </c>
      <c r="AF10" s="4" t="s">
        <v>150</v>
      </c>
      <c r="AG10" s="4" t="s">
        <v>150</v>
      </c>
      <c r="AH10" s="5" t="s">
        <v>107</v>
      </c>
      <c r="AI10" s="5"/>
      <c r="AJ10" s="5"/>
      <c r="AK10" s="5"/>
      <c r="AL10" s="5"/>
      <c r="AM10" s="34" t="s">
        <v>330</v>
      </c>
      <c r="AN10" s="34"/>
      <c r="AO10" s="5" t="s">
        <v>119</v>
      </c>
      <c r="AP10" s="5" t="s">
        <v>35</v>
      </c>
      <c r="AQ10" s="8" t="s">
        <v>20</v>
      </c>
      <c r="AR10" s="10"/>
      <c r="AS10" s="1"/>
      <c r="AZ10" s="1"/>
    </row>
    <row r="11" spans="1:52" ht="25">
      <c r="A11" s="4" t="str">
        <f>VLOOKUP(Tableau1[[#This Row],[N° Département]],Feuil1!$C$6:$E$106,3)</f>
        <v>Grand Est</v>
      </c>
      <c r="B11" s="4" t="str">
        <f>VLOOKUP(Tableau1[[#This Row],[N° Département]],Feuil1!$C$6:$E$106,2)</f>
        <v>Moselle</v>
      </c>
      <c r="C11" s="4">
        <f>LEFT(Tableau1[[#This Row],[Code Postal]],2)*1</f>
        <v>57</v>
      </c>
      <c r="D11" s="4" t="s">
        <v>180</v>
      </c>
      <c r="E11" s="27">
        <v>57000</v>
      </c>
      <c r="F11" s="4" t="s">
        <v>137</v>
      </c>
      <c r="G11" s="5" t="str">
        <f>Tableau1[[#This Row],[Rue]]&amp;CHAR(10)&amp;Tableau1[[#This Row],[Code Postal]]&amp;" - "&amp;Tableau1[[#This Row],[Ville]]</f>
        <v>60 Rue Serpenoise
57000 - Metz</v>
      </c>
      <c r="H11" s="16" t="s">
        <v>29</v>
      </c>
      <c r="I11" s="6" t="s">
        <v>70</v>
      </c>
      <c r="J11" s="6" t="s">
        <v>69</v>
      </c>
      <c r="K11" s="4" t="s">
        <v>7</v>
      </c>
      <c r="L11" s="6" t="s">
        <v>8</v>
      </c>
      <c r="M11" s="6" t="s">
        <v>150</v>
      </c>
      <c r="N11" s="6" t="s">
        <v>358</v>
      </c>
      <c r="O11" s="4" t="s">
        <v>365</v>
      </c>
      <c r="P11" s="6" t="s">
        <v>150</v>
      </c>
      <c r="Q11" s="6" t="s">
        <v>150</v>
      </c>
      <c r="R11" s="6">
        <v>92500</v>
      </c>
      <c r="S11" s="6">
        <f>IFERROR(Tableau1[[#This Row],[Loyer annuel]]/12,"")</f>
        <v>7708.333333333333</v>
      </c>
      <c r="T11" s="6">
        <v>250</v>
      </c>
      <c r="U11" s="6" t="s">
        <v>150</v>
      </c>
      <c r="V11" s="6">
        <v>22435</v>
      </c>
      <c r="W11" s="6">
        <f>IFERROR(Tableau1[[#This Row],[Charges anuelles]]/12,"")</f>
        <v>1869.5833333333333</v>
      </c>
      <c r="X11" s="6">
        <v>60</v>
      </c>
      <c r="Y11" s="6" t="s">
        <v>150</v>
      </c>
      <c r="Z11" s="6" t="s">
        <v>150</v>
      </c>
      <c r="AA11" s="6" t="s">
        <v>150</v>
      </c>
      <c r="AB11" s="6" t="s">
        <v>150</v>
      </c>
      <c r="AC11" s="6" t="s">
        <v>150</v>
      </c>
      <c r="AD11" s="6" t="s">
        <v>150</v>
      </c>
      <c r="AE11" s="4" t="s">
        <v>106</v>
      </c>
      <c r="AF11" s="4" t="s">
        <v>150</v>
      </c>
      <c r="AG11" s="4" t="s">
        <v>150</v>
      </c>
      <c r="AH11" s="5" t="s">
        <v>32</v>
      </c>
      <c r="AI11" s="5"/>
      <c r="AJ11" s="5"/>
      <c r="AK11" s="5"/>
      <c r="AL11" s="5"/>
      <c r="AM11" s="34" t="s">
        <v>331</v>
      </c>
      <c r="AN11" s="34"/>
      <c r="AO11" s="5" t="s">
        <v>119</v>
      </c>
      <c r="AP11" s="5" t="s">
        <v>30</v>
      </c>
      <c r="AQ11" s="8" t="s">
        <v>20</v>
      </c>
      <c r="AR11" s="9"/>
      <c r="AS11" s="1"/>
      <c r="AZ11" s="1"/>
    </row>
    <row r="12" spans="1:52" ht="25">
      <c r="A12" s="4" t="str">
        <f>VLOOKUP(Tableau1[[#This Row],[N° Département]],Feuil1!$C$6:$E$106,3)</f>
        <v>Grand Est</v>
      </c>
      <c r="B12" s="4" t="str">
        <f>VLOOKUP(Tableau1[[#This Row],[N° Département]],Feuil1!$C$6:$E$106,2)</f>
        <v>Moselle</v>
      </c>
      <c r="C12" s="4">
        <f>LEFT(Tableau1[[#This Row],[Code Postal]],2)*1</f>
        <v>57</v>
      </c>
      <c r="D12" s="4" t="s">
        <v>180</v>
      </c>
      <c r="E12" s="27">
        <v>57000</v>
      </c>
      <c r="F12" s="4" t="s">
        <v>137</v>
      </c>
      <c r="G12" s="5" t="str">
        <f>Tableau1[[#This Row],[Rue]]&amp;CHAR(10)&amp;Tableau1[[#This Row],[Code Postal]]&amp;" - "&amp;Tableau1[[#This Row],[Ville]]</f>
        <v>60 Rue Serpenoise
57000 - Metz</v>
      </c>
      <c r="H12" s="16" t="s">
        <v>29</v>
      </c>
      <c r="I12" s="6" t="s">
        <v>70</v>
      </c>
      <c r="J12" s="6" t="s">
        <v>69</v>
      </c>
      <c r="K12" s="4" t="s">
        <v>7</v>
      </c>
      <c r="L12" s="6" t="s">
        <v>8</v>
      </c>
      <c r="M12" s="6" t="s">
        <v>150</v>
      </c>
      <c r="N12" s="6" t="s">
        <v>359</v>
      </c>
      <c r="O12" s="11" t="s">
        <v>366</v>
      </c>
      <c r="P12" s="6" t="s">
        <v>150</v>
      </c>
      <c r="Q12" s="6" t="s">
        <v>150</v>
      </c>
      <c r="R12" s="13">
        <v>109350</v>
      </c>
      <c r="S12" s="6">
        <f>IFERROR(Tableau1[[#This Row],[Loyer annuel]]/12,"")</f>
        <v>9112.5</v>
      </c>
      <c r="T12" s="13">
        <v>225</v>
      </c>
      <c r="U12" s="6" t="s">
        <v>150</v>
      </c>
      <c r="V12" s="13">
        <v>29740</v>
      </c>
      <c r="W12" s="6">
        <f>IFERROR(Tableau1[[#This Row],[Charges anuelles]]/12,"")</f>
        <v>2478.3333333333335</v>
      </c>
      <c r="X12" s="13">
        <v>61</v>
      </c>
      <c r="Y12" s="6" t="s">
        <v>150</v>
      </c>
      <c r="Z12" s="6" t="s">
        <v>150</v>
      </c>
      <c r="AA12" s="6" t="s">
        <v>150</v>
      </c>
      <c r="AB12" s="6" t="s">
        <v>150</v>
      </c>
      <c r="AC12" s="6" t="s">
        <v>150</v>
      </c>
      <c r="AD12" s="6" t="s">
        <v>150</v>
      </c>
      <c r="AE12" s="11" t="s">
        <v>106</v>
      </c>
      <c r="AF12" s="4" t="s">
        <v>150</v>
      </c>
      <c r="AG12" s="4" t="s">
        <v>150</v>
      </c>
      <c r="AH12" s="12" t="s">
        <v>33</v>
      </c>
      <c r="AI12" s="12"/>
      <c r="AJ12" s="12"/>
      <c r="AK12" s="12"/>
      <c r="AL12" s="12"/>
      <c r="AM12" s="34" t="s">
        <v>332</v>
      </c>
      <c r="AN12" s="34"/>
      <c r="AO12" s="5" t="s">
        <v>119</v>
      </c>
      <c r="AP12" s="12" t="s">
        <v>31</v>
      </c>
      <c r="AQ12" s="8" t="s">
        <v>20</v>
      </c>
      <c r="AR12" s="15"/>
      <c r="AS12" s="1"/>
      <c r="AZ12" s="1"/>
    </row>
    <row r="13" spans="1:52" ht="37.5">
      <c r="A13" s="11" t="str">
        <f>VLOOKUP(Tableau1[[#This Row],[N° Département]],Feuil1!$C$6:$E$106,3)</f>
        <v>Ile-de-France</v>
      </c>
      <c r="B13" s="4" t="str">
        <f>VLOOKUP(Tableau1[[#This Row],[N° Département]],Feuil1!$C$6:$E$106,2)</f>
        <v>Paris</v>
      </c>
      <c r="C13" s="11">
        <f>LEFT(Tableau1[[#This Row],[Code Postal]],2)*1</f>
        <v>75</v>
      </c>
      <c r="D13" s="11" t="s">
        <v>188</v>
      </c>
      <c r="E13" s="28">
        <v>75008</v>
      </c>
      <c r="F13" s="11" t="s">
        <v>138</v>
      </c>
      <c r="G13" s="5" t="str">
        <f>Tableau1[[#This Row],[Rue]]&amp;CHAR(10)&amp;Tableau1[[#This Row],[Code Postal]]&amp;" - "&amp;Tableau1[[#This Row],[Ville]]</f>
        <v>32 Rue Marbeuf
75008 - Paris</v>
      </c>
      <c r="H13" s="16" t="s">
        <v>84</v>
      </c>
      <c r="I13" s="13" t="s">
        <v>70</v>
      </c>
      <c r="J13" s="13" t="s">
        <v>69</v>
      </c>
      <c r="K13" s="11" t="s">
        <v>7</v>
      </c>
      <c r="L13" s="13" t="s">
        <v>8</v>
      </c>
      <c r="M13" s="6" t="s">
        <v>150</v>
      </c>
      <c r="N13" s="6" t="s">
        <v>360</v>
      </c>
      <c r="O13" s="11" t="s">
        <v>367</v>
      </c>
      <c r="P13" s="6" t="s">
        <v>150</v>
      </c>
      <c r="Q13" s="6" t="s">
        <v>150</v>
      </c>
      <c r="R13" s="13">
        <v>817200</v>
      </c>
      <c r="S13" s="13">
        <f>Tableau1[[#This Row],[Loyer annuel]]/12</f>
        <v>68100</v>
      </c>
      <c r="T13" s="13">
        <v>1200</v>
      </c>
      <c r="U13" s="6" t="s">
        <v>150</v>
      </c>
      <c r="V13" s="13">
        <v>91254</v>
      </c>
      <c r="W13" s="13">
        <f>Tableau1[[#This Row],[Charges anuelles]]/12</f>
        <v>7604.5</v>
      </c>
      <c r="X13" s="13">
        <v>134</v>
      </c>
      <c r="Y13" s="6" t="s">
        <v>150</v>
      </c>
      <c r="Z13" s="6" t="s">
        <v>150</v>
      </c>
      <c r="AA13" s="6" t="s">
        <v>150</v>
      </c>
      <c r="AB13" s="6" t="s">
        <v>150</v>
      </c>
      <c r="AC13" s="6" t="s">
        <v>150</v>
      </c>
      <c r="AD13" s="6" t="s">
        <v>150</v>
      </c>
      <c r="AE13" s="11" t="s">
        <v>106</v>
      </c>
      <c r="AF13" s="4" t="s">
        <v>150</v>
      </c>
      <c r="AG13" s="4" t="s">
        <v>150</v>
      </c>
      <c r="AH13" s="12" t="s">
        <v>86</v>
      </c>
      <c r="AI13" s="12"/>
      <c r="AJ13" s="12"/>
      <c r="AK13" s="12"/>
      <c r="AL13" s="12"/>
      <c r="AM13" s="34" t="s">
        <v>333</v>
      </c>
      <c r="AN13" s="34"/>
      <c r="AO13" s="5" t="s">
        <v>119</v>
      </c>
      <c r="AP13" s="12" t="s">
        <v>85</v>
      </c>
      <c r="AQ13" s="14" t="s">
        <v>39</v>
      </c>
      <c r="AR13" s="15"/>
      <c r="AS13" s="1"/>
      <c r="AZ13" s="1"/>
    </row>
    <row r="14" spans="1:52" ht="37.5">
      <c r="A14" s="11" t="str">
        <f>VLOOKUP(Tableau1[[#This Row],[N° Département]],Feuil1!$C$6:$E$106,3)</f>
        <v>Ile-de-France</v>
      </c>
      <c r="B14" s="4" t="str">
        <f>VLOOKUP(Tableau1[[#This Row],[N° Département]],Feuil1!$C$6:$E$106,2)</f>
        <v>Paris</v>
      </c>
      <c r="C14" s="11">
        <f>LEFT(Tableau1[[#This Row],[Code Postal]],2)*1</f>
        <v>75</v>
      </c>
      <c r="D14" s="11" t="s">
        <v>195</v>
      </c>
      <c r="E14" s="28">
        <v>75008</v>
      </c>
      <c r="F14" s="11" t="s">
        <v>138</v>
      </c>
      <c r="G14" s="5" t="str">
        <f>Tableau1[[#This Row],[Rue]]&amp;CHAR(10)&amp;Tableau1[[#This Row],[Code Postal]]&amp;" - "&amp;Tableau1[[#This Row],[Ville]]</f>
        <v>18 - 20 Rue Treilhard
75008 - Paris</v>
      </c>
      <c r="H14" s="16" t="s">
        <v>104</v>
      </c>
      <c r="I14" s="13" t="s">
        <v>70</v>
      </c>
      <c r="J14" s="13" t="s">
        <v>69</v>
      </c>
      <c r="K14" s="11" t="s">
        <v>7</v>
      </c>
      <c r="L14" s="13" t="s">
        <v>8</v>
      </c>
      <c r="M14" s="6" t="s">
        <v>150</v>
      </c>
      <c r="N14" s="11" t="s">
        <v>105</v>
      </c>
      <c r="O14" s="6" t="s">
        <v>150</v>
      </c>
      <c r="P14" s="6" t="s">
        <v>150</v>
      </c>
      <c r="Q14" s="6" t="s">
        <v>150</v>
      </c>
      <c r="R14" s="13">
        <v>200000</v>
      </c>
      <c r="S14" s="13">
        <f>Tableau1[[#This Row],[Loyer annuel]]/12</f>
        <v>16666.666666666668</v>
      </c>
      <c r="T14" s="13">
        <v>297</v>
      </c>
      <c r="U14" s="6" t="s">
        <v>150</v>
      </c>
      <c r="V14" s="13"/>
      <c r="W14" s="13" t="s">
        <v>80</v>
      </c>
      <c r="X14" s="13"/>
      <c r="Y14" s="6" t="s">
        <v>150</v>
      </c>
      <c r="Z14" s="6" t="s">
        <v>150</v>
      </c>
      <c r="AA14" s="6" t="s">
        <v>150</v>
      </c>
      <c r="AB14" s="6" t="s">
        <v>150</v>
      </c>
      <c r="AC14" s="6" t="s">
        <v>150</v>
      </c>
      <c r="AD14" s="6" t="s">
        <v>150</v>
      </c>
      <c r="AE14" s="11" t="s">
        <v>50</v>
      </c>
      <c r="AF14" s="4" t="s">
        <v>150</v>
      </c>
      <c r="AG14" s="4" t="s">
        <v>150</v>
      </c>
      <c r="AH14" s="12" t="s">
        <v>113</v>
      </c>
      <c r="AI14" s="12"/>
      <c r="AJ14" s="12"/>
      <c r="AK14" s="12"/>
      <c r="AL14" s="12"/>
      <c r="AM14" s="34" t="s">
        <v>334</v>
      </c>
      <c r="AN14" s="34"/>
      <c r="AO14" s="5" t="s">
        <v>119</v>
      </c>
      <c r="AP14" s="12" t="s">
        <v>112</v>
      </c>
      <c r="AQ14" s="14" t="s">
        <v>39</v>
      </c>
      <c r="AR14" s="15"/>
      <c r="AS14" s="1"/>
      <c r="AZ14" s="1"/>
    </row>
    <row r="15" spans="1:52" ht="25">
      <c r="A15" s="11" t="str">
        <f>VLOOKUP(Tableau1[[#This Row],[N° Département]],Feuil1!$C$6:$E$106,3)</f>
        <v>Ile-de-France</v>
      </c>
      <c r="B15" s="4" t="str">
        <f>VLOOKUP(Tableau1[[#This Row],[N° Département]],Feuil1!$C$6:$E$106,2)</f>
        <v>Paris</v>
      </c>
      <c r="C15" s="11">
        <f>LEFT(Tableau1[[#This Row],[Code Postal]],2)*1</f>
        <v>75</v>
      </c>
      <c r="D15" s="11" t="s">
        <v>196</v>
      </c>
      <c r="E15" s="28">
        <v>75009</v>
      </c>
      <c r="F15" s="11" t="s">
        <v>138</v>
      </c>
      <c r="G15" s="5" t="str">
        <f>Tableau1[[#This Row],[Rue]]&amp;CHAR(10)&amp;Tableau1[[#This Row],[Code Postal]]&amp;" - "&amp;Tableau1[[#This Row],[Ville]]</f>
        <v>1 Rue de Caumartin
75009 - Paris</v>
      </c>
      <c r="H15" s="16" t="s">
        <v>87</v>
      </c>
      <c r="I15" s="13" t="s">
        <v>70</v>
      </c>
      <c r="J15" s="13" t="s">
        <v>69</v>
      </c>
      <c r="K15" s="11" t="s">
        <v>7</v>
      </c>
      <c r="L15" s="13" t="s">
        <v>8</v>
      </c>
      <c r="M15" s="6" t="s">
        <v>150</v>
      </c>
      <c r="N15" s="6" t="s">
        <v>368</v>
      </c>
      <c r="O15" s="11" t="s">
        <v>373</v>
      </c>
      <c r="P15" s="6" t="s">
        <v>150</v>
      </c>
      <c r="Q15" s="6" t="s">
        <v>150</v>
      </c>
      <c r="R15" s="13">
        <v>115000</v>
      </c>
      <c r="S15" s="13">
        <f>Tableau1[[#This Row],[Loyer annuel]]/12</f>
        <v>9583.3333333333339</v>
      </c>
      <c r="T15" s="13">
        <v>1000</v>
      </c>
      <c r="U15" s="6" t="s">
        <v>150</v>
      </c>
      <c r="V15" s="13">
        <v>11654</v>
      </c>
      <c r="W15" s="13">
        <f>Tableau1[[#This Row],[Charges anuelles]]/12</f>
        <v>971.16666666666663</v>
      </c>
      <c r="X15" s="13">
        <v>101</v>
      </c>
      <c r="Y15" s="6" t="s">
        <v>150</v>
      </c>
      <c r="Z15" s="6" t="s">
        <v>150</v>
      </c>
      <c r="AA15" s="6" t="s">
        <v>150</v>
      </c>
      <c r="AB15" s="6" t="s">
        <v>150</v>
      </c>
      <c r="AC15" s="6" t="s">
        <v>150</v>
      </c>
      <c r="AD15" s="6" t="s">
        <v>150</v>
      </c>
      <c r="AE15" s="11" t="s">
        <v>106</v>
      </c>
      <c r="AF15" s="4" t="s">
        <v>150</v>
      </c>
      <c r="AG15" s="4" t="s">
        <v>150</v>
      </c>
      <c r="AH15" s="12" t="s">
        <v>89</v>
      </c>
      <c r="AI15" s="12"/>
      <c r="AJ15" s="12"/>
      <c r="AK15" s="12"/>
      <c r="AL15" s="12"/>
      <c r="AM15" s="34" t="s">
        <v>335</v>
      </c>
      <c r="AN15" s="34"/>
      <c r="AO15" s="5" t="s">
        <v>119</v>
      </c>
      <c r="AP15" s="12" t="s">
        <v>88</v>
      </c>
      <c r="AQ15" s="14" t="s">
        <v>39</v>
      </c>
      <c r="AR15" s="15"/>
      <c r="AS15" s="1"/>
      <c r="AZ15" s="1"/>
    </row>
    <row r="16" spans="1:52" ht="25">
      <c r="A16" s="11" t="str">
        <f>VLOOKUP(Tableau1[[#This Row],[N° Département]],Feuil1!$C$6:$E$106,3)</f>
        <v>Ile-de-France</v>
      </c>
      <c r="B16" s="4" t="str">
        <f>VLOOKUP(Tableau1[[#This Row],[N° Département]],Feuil1!$C$6:$E$106,2)</f>
        <v>Paris</v>
      </c>
      <c r="C16" s="11">
        <f>LEFT(Tableau1[[#This Row],[Code Postal]],2)*1</f>
        <v>75</v>
      </c>
      <c r="D16" s="11" t="s">
        <v>181</v>
      </c>
      <c r="E16" s="28">
        <v>75010</v>
      </c>
      <c r="F16" s="11" t="s">
        <v>138</v>
      </c>
      <c r="G16" s="5" t="str">
        <f>Tableau1[[#This Row],[Rue]]&amp;CHAR(10)&amp;Tableau1[[#This Row],[Code Postal]]&amp;" - "&amp;Tableau1[[#This Row],[Ville]]</f>
        <v>204 Quai de Jemmapes
75010 - Paris</v>
      </c>
      <c r="H16" s="16" t="s">
        <v>96</v>
      </c>
      <c r="I16" s="13" t="s">
        <v>70</v>
      </c>
      <c r="J16" s="13" t="s">
        <v>69</v>
      </c>
      <c r="K16" s="11" t="s">
        <v>7</v>
      </c>
      <c r="L16" s="13" t="s">
        <v>8</v>
      </c>
      <c r="M16" s="6" t="s">
        <v>150</v>
      </c>
      <c r="N16" s="6" t="s">
        <v>369</v>
      </c>
      <c r="O16" s="11" t="s">
        <v>374</v>
      </c>
      <c r="P16" s="6" t="s">
        <v>150</v>
      </c>
      <c r="Q16" s="6" t="s">
        <v>150</v>
      </c>
      <c r="R16" s="13">
        <v>94500</v>
      </c>
      <c r="S16" s="13">
        <f>Tableau1[[#This Row],[Loyer annuel]]/12</f>
        <v>7875</v>
      </c>
      <c r="T16" s="13">
        <v>500</v>
      </c>
      <c r="U16" s="6" t="s">
        <v>150</v>
      </c>
      <c r="V16" s="13">
        <v>13612</v>
      </c>
      <c r="W16" s="13">
        <f>Tableau1[[#This Row],[Charges anuelles]]/12</f>
        <v>1134.3333333333333</v>
      </c>
      <c r="X16" s="13">
        <v>72</v>
      </c>
      <c r="Y16" s="6" t="s">
        <v>150</v>
      </c>
      <c r="Z16" s="6" t="s">
        <v>150</v>
      </c>
      <c r="AA16" s="6" t="s">
        <v>150</v>
      </c>
      <c r="AB16" s="6" t="s">
        <v>150</v>
      </c>
      <c r="AC16" s="6" t="s">
        <v>150</v>
      </c>
      <c r="AD16" s="6" t="s">
        <v>150</v>
      </c>
      <c r="AE16" s="11" t="s">
        <v>106</v>
      </c>
      <c r="AF16" s="4" t="s">
        <v>150</v>
      </c>
      <c r="AG16" s="4" t="s">
        <v>150</v>
      </c>
      <c r="AH16" s="12" t="s">
        <v>91</v>
      </c>
      <c r="AI16" s="12"/>
      <c r="AJ16" s="12"/>
      <c r="AK16" s="12"/>
      <c r="AL16" s="12"/>
      <c r="AM16" s="34" t="s">
        <v>336</v>
      </c>
      <c r="AN16" s="34"/>
      <c r="AO16" s="5" t="s">
        <v>119</v>
      </c>
      <c r="AP16" s="12" t="s">
        <v>90</v>
      </c>
      <c r="AQ16" s="14" t="s">
        <v>39</v>
      </c>
      <c r="AR16" s="15"/>
      <c r="AS16" s="1"/>
      <c r="AZ16" s="1"/>
    </row>
    <row r="17" spans="1:52" ht="25">
      <c r="A17" s="11" t="str">
        <f>VLOOKUP(Tableau1[[#This Row],[N° Département]],Feuil1!$C$6:$E$106,3)</f>
        <v>Ile-de-France</v>
      </c>
      <c r="B17" s="4" t="str">
        <f>VLOOKUP(Tableau1[[#This Row],[N° Département]],Feuil1!$C$6:$E$106,2)</f>
        <v>Paris</v>
      </c>
      <c r="C17" s="11">
        <f>LEFT(Tableau1[[#This Row],[Code Postal]],2)*1</f>
        <v>75</v>
      </c>
      <c r="D17" s="11" t="s">
        <v>189</v>
      </c>
      <c r="E17" s="28">
        <v>75012</v>
      </c>
      <c r="F17" s="11" t="s">
        <v>138</v>
      </c>
      <c r="G17" s="5" t="str">
        <f>Tableau1[[#This Row],[Rue]]&amp;CHAR(10)&amp;Tableau1[[#This Row],[Code Postal]]&amp;" - "&amp;Tableau1[[#This Row],[Ville]]</f>
        <v>9 Avenue Ledru Rollin
75012 - Paris</v>
      </c>
      <c r="H17" s="16" t="s">
        <v>101</v>
      </c>
      <c r="I17" s="13" t="s">
        <v>70</v>
      </c>
      <c r="J17" s="13" t="s">
        <v>69</v>
      </c>
      <c r="K17" s="11" t="s">
        <v>7</v>
      </c>
      <c r="L17" s="13" t="s">
        <v>8</v>
      </c>
      <c r="M17" s="6" t="s">
        <v>150</v>
      </c>
      <c r="N17" s="6" t="s">
        <v>370</v>
      </c>
      <c r="O17" s="11" t="s">
        <v>375</v>
      </c>
      <c r="P17" s="6" t="s">
        <v>150</v>
      </c>
      <c r="Q17" s="6" t="s">
        <v>150</v>
      </c>
      <c r="R17" s="13">
        <v>106200</v>
      </c>
      <c r="S17" s="13">
        <f>Tableau1[[#This Row],[Loyer annuel]]/12</f>
        <v>8850</v>
      </c>
      <c r="T17" s="13">
        <v>600</v>
      </c>
      <c r="U17" s="6" t="s">
        <v>150</v>
      </c>
      <c r="V17" s="13">
        <v>11500</v>
      </c>
      <c r="W17" s="13">
        <f>Tableau1[[#This Row],[Charges anuelles]]/12</f>
        <v>958.33333333333337</v>
      </c>
      <c r="X17" s="13">
        <v>65</v>
      </c>
      <c r="Y17" s="6" t="s">
        <v>150</v>
      </c>
      <c r="Z17" s="6" t="s">
        <v>150</v>
      </c>
      <c r="AA17" s="6" t="s">
        <v>150</v>
      </c>
      <c r="AB17" s="6" t="s">
        <v>150</v>
      </c>
      <c r="AC17" s="6" t="s">
        <v>150</v>
      </c>
      <c r="AD17" s="6" t="s">
        <v>150</v>
      </c>
      <c r="AE17" s="11" t="s">
        <v>106</v>
      </c>
      <c r="AF17" s="4" t="s">
        <v>150</v>
      </c>
      <c r="AG17" s="4" t="s">
        <v>150</v>
      </c>
      <c r="AH17" s="12" t="s">
        <v>102</v>
      </c>
      <c r="AI17" s="12"/>
      <c r="AJ17" s="12"/>
      <c r="AK17" s="12"/>
      <c r="AL17" s="12"/>
      <c r="AM17" s="34" t="s">
        <v>337</v>
      </c>
      <c r="AN17" s="34"/>
      <c r="AO17" s="5" t="s">
        <v>119</v>
      </c>
      <c r="AP17" s="12" t="s">
        <v>103</v>
      </c>
      <c r="AQ17" s="14" t="s">
        <v>39</v>
      </c>
      <c r="AR17" s="15"/>
      <c r="AS17" s="1"/>
      <c r="AZ17" s="1"/>
    </row>
    <row r="18" spans="1:52" ht="25">
      <c r="A18" s="11" t="str">
        <f>VLOOKUP(Tableau1[[#This Row],[N° Département]],Feuil1!$C$6:$E$106,3)</f>
        <v>Ile-de-France</v>
      </c>
      <c r="B18" s="4" t="str">
        <f>VLOOKUP(Tableau1[[#This Row],[N° Département]],Feuil1!$C$6:$E$106,2)</f>
        <v>Paris</v>
      </c>
      <c r="C18" s="11">
        <f>LEFT(Tableau1[[#This Row],[Code Postal]],2)*1</f>
        <v>75</v>
      </c>
      <c r="D18" s="11" t="s">
        <v>190</v>
      </c>
      <c r="E18" s="28">
        <v>75012</v>
      </c>
      <c r="F18" s="11" t="s">
        <v>138</v>
      </c>
      <c r="G18" s="5" t="str">
        <f>Tableau1[[#This Row],[Rue]]&amp;CHAR(10)&amp;Tableau1[[#This Row],[Code Postal]]&amp;" - "&amp;Tableau1[[#This Row],[Ville]]</f>
        <v>25 Avenue de Saint-Mandé
75012 - Paris</v>
      </c>
      <c r="H18" s="16" t="s">
        <v>37</v>
      </c>
      <c r="I18" s="6" t="s">
        <v>70</v>
      </c>
      <c r="J18" s="6" t="s">
        <v>69</v>
      </c>
      <c r="K18" s="11" t="s">
        <v>7</v>
      </c>
      <c r="L18" s="6" t="s">
        <v>8</v>
      </c>
      <c r="M18" s="6" t="s">
        <v>150</v>
      </c>
      <c r="N18" s="11" t="s">
        <v>38</v>
      </c>
      <c r="O18" s="6" t="s">
        <v>150</v>
      </c>
      <c r="P18" s="6" t="s">
        <v>150</v>
      </c>
      <c r="Q18" s="6" t="s">
        <v>150</v>
      </c>
      <c r="R18" s="13">
        <v>59500</v>
      </c>
      <c r="S18" s="6">
        <f>IFERROR(Tableau1[[#This Row],[Loyer annuel]]/12,"")</f>
        <v>4958.333333333333</v>
      </c>
      <c r="T18" s="13">
        <v>700</v>
      </c>
      <c r="U18" s="6" t="s">
        <v>150</v>
      </c>
      <c r="V18" s="13">
        <v>8000</v>
      </c>
      <c r="W18" s="6">
        <f>IFERROR(Tableau1[[#This Row],[Charges anuelles]]/12,"")</f>
        <v>666.66666666666663</v>
      </c>
      <c r="X18" s="13">
        <v>94</v>
      </c>
      <c r="Y18" s="6" t="s">
        <v>150</v>
      </c>
      <c r="Z18" s="6" t="s">
        <v>150</v>
      </c>
      <c r="AA18" s="6" t="s">
        <v>150</v>
      </c>
      <c r="AB18" s="6" t="s">
        <v>150</v>
      </c>
      <c r="AC18" s="6" t="s">
        <v>150</v>
      </c>
      <c r="AD18" s="6" t="s">
        <v>150</v>
      </c>
      <c r="AE18" s="11" t="s">
        <v>41</v>
      </c>
      <c r="AF18" s="4" t="s">
        <v>150</v>
      </c>
      <c r="AG18" s="4" t="s">
        <v>150</v>
      </c>
      <c r="AH18" s="12" t="s">
        <v>78</v>
      </c>
      <c r="AI18" s="12"/>
      <c r="AJ18" s="12"/>
      <c r="AK18" s="12"/>
      <c r="AL18" s="12"/>
      <c r="AM18" s="34" t="s">
        <v>338</v>
      </c>
      <c r="AN18" s="34"/>
      <c r="AO18" s="5" t="s">
        <v>119</v>
      </c>
      <c r="AP18" s="12" t="s">
        <v>40</v>
      </c>
      <c r="AQ18" s="14" t="s">
        <v>39</v>
      </c>
      <c r="AR18" s="15"/>
      <c r="AS18" s="1"/>
      <c r="AZ18" s="1"/>
    </row>
    <row r="19" spans="1:52" ht="37.5">
      <c r="A19" s="11" t="str">
        <f>VLOOKUP(Tableau1[[#This Row],[N° Département]],Feuil1!$C$6:$E$106,3)</f>
        <v>Ile-de-France</v>
      </c>
      <c r="B19" s="4" t="str">
        <f>VLOOKUP(Tableau1[[#This Row],[N° Département]],Feuil1!$C$6:$E$106,2)</f>
        <v>Paris</v>
      </c>
      <c r="C19" s="11">
        <f>LEFT(Tableau1[[#This Row],[Code Postal]],2)*1</f>
        <v>75</v>
      </c>
      <c r="D19" s="11" t="s">
        <v>191</v>
      </c>
      <c r="E19" s="28">
        <v>75016</v>
      </c>
      <c r="F19" s="11" t="s">
        <v>138</v>
      </c>
      <c r="G19" s="5" t="str">
        <f>Tableau1[[#This Row],[Rue]]&amp;CHAR(10)&amp;Tableau1[[#This Row],[Code Postal]]&amp;" - "&amp;Tableau1[[#This Row],[Ville]]</f>
        <v>16 Avenue Mozart
75016 - Paris</v>
      </c>
      <c r="H19" s="16" t="s">
        <v>109</v>
      </c>
      <c r="I19" s="13" t="s">
        <v>70</v>
      </c>
      <c r="J19" s="13" t="s">
        <v>69</v>
      </c>
      <c r="K19" s="11" t="s">
        <v>7</v>
      </c>
      <c r="L19" s="13" t="s">
        <v>8</v>
      </c>
      <c r="M19" s="6" t="s">
        <v>150</v>
      </c>
      <c r="N19" s="6" t="s">
        <v>371</v>
      </c>
      <c r="O19" s="11" t="s">
        <v>376</v>
      </c>
      <c r="P19" s="6" t="s">
        <v>150</v>
      </c>
      <c r="Q19" s="6" t="s">
        <v>150</v>
      </c>
      <c r="R19" s="13">
        <v>36000</v>
      </c>
      <c r="S19" s="13">
        <f>Tableau1[[#This Row],[Loyer annuel]]/12</f>
        <v>3000</v>
      </c>
      <c r="T19" s="13">
        <v>1500</v>
      </c>
      <c r="U19" s="6" t="s">
        <v>150</v>
      </c>
      <c r="V19" s="13">
        <v>1200</v>
      </c>
      <c r="W19" s="13">
        <f>Tableau1[[#This Row],[Charges anuelles]]/12</f>
        <v>100</v>
      </c>
      <c r="X19" s="13">
        <v>50</v>
      </c>
      <c r="Y19" s="6" t="s">
        <v>150</v>
      </c>
      <c r="Z19" s="6" t="s">
        <v>150</v>
      </c>
      <c r="AA19" s="6" t="s">
        <v>150</v>
      </c>
      <c r="AB19" s="6" t="s">
        <v>150</v>
      </c>
      <c r="AC19" s="6" t="s">
        <v>150</v>
      </c>
      <c r="AD19" s="6" t="s">
        <v>150</v>
      </c>
      <c r="AE19" s="11" t="s">
        <v>79</v>
      </c>
      <c r="AF19" s="4" t="s">
        <v>150</v>
      </c>
      <c r="AG19" s="4" t="s">
        <v>150</v>
      </c>
      <c r="AH19" s="12" t="s">
        <v>115</v>
      </c>
      <c r="AI19" s="12"/>
      <c r="AJ19" s="12"/>
      <c r="AK19" s="12"/>
      <c r="AL19" s="12"/>
      <c r="AM19" s="34" t="s">
        <v>339</v>
      </c>
      <c r="AN19" s="34"/>
      <c r="AO19" s="5" t="s">
        <v>119</v>
      </c>
      <c r="AP19" s="12" t="s">
        <v>114</v>
      </c>
      <c r="AQ19" s="14" t="s">
        <v>110</v>
      </c>
      <c r="AR19" s="15"/>
      <c r="AS19" s="1"/>
      <c r="AZ19" s="1"/>
    </row>
    <row r="20" spans="1:52" ht="25">
      <c r="A20" s="11" t="str">
        <f>VLOOKUP(Tableau1[[#This Row],[N° Département]],Feuil1!$C$6:$E$106,3)</f>
        <v>Ile-de-France</v>
      </c>
      <c r="B20" s="4" t="str">
        <f>VLOOKUP(Tableau1[[#This Row],[N° Département]],Feuil1!$C$6:$E$106,2)</f>
        <v>Paris</v>
      </c>
      <c r="C20" s="11">
        <f>LEFT(Tableau1[[#This Row],[Code Postal]],2)*1</f>
        <v>75</v>
      </c>
      <c r="D20" s="11" t="s">
        <v>182</v>
      </c>
      <c r="E20" s="28">
        <v>75016</v>
      </c>
      <c r="F20" s="11" t="s">
        <v>138</v>
      </c>
      <c r="G20" s="5" t="str">
        <f>Tableau1[[#This Row],[Rue]]&amp;CHAR(10)&amp;Tableau1[[#This Row],[Code Postal]]&amp;" - "&amp;Tableau1[[#This Row],[Ville]]</f>
        <v>14 Rue de Rémusat
75016 - Paris</v>
      </c>
      <c r="H20" s="16" t="s">
        <v>95</v>
      </c>
      <c r="I20" s="13" t="s">
        <v>70</v>
      </c>
      <c r="J20" s="13" t="s">
        <v>69</v>
      </c>
      <c r="K20" s="11" t="s">
        <v>7</v>
      </c>
      <c r="L20" s="13" t="s">
        <v>8</v>
      </c>
      <c r="M20" s="6" t="s">
        <v>150</v>
      </c>
      <c r="N20" s="6" t="s">
        <v>372</v>
      </c>
      <c r="O20" s="11" t="s">
        <v>94</v>
      </c>
      <c r="P20" s="6" t="s">
        <v>150</v>
      </c>
      <c r="Q20" s="6" t="s">
        <v>150</v>
      </c>
      <c r="R20" s="13">
        <v>56550</v>
      </c>
      <c r="S20" s="13">
        <f>Tableau1[[#This Row],[Loyer annuel]]/12</f>
        <v>4712.5</v>
      </c>
      <c r="T20" s="13">
        <v>650</v>
      </c>
      <c r="U20" s="6" t="s">
        <v>150</v>
      </c>
      <c r="V20" s="13">
        <v>4150</v>
      </c>
      <c r="W20" s="13">
        <f>Tableau1[[#This Row],[Charges anuelles]]/12</f>
        <v>345.83333333333331</v>
      </c>
      <c r="X20" s="13">
        <v>47</v>
      </c>
      <c r="Y20" s="6" t="s">
        <v>150</v>
      </c>
      <c r="Z20" s="6" t="s">
        <v>150</v>
      </c>
      <c r="AA20" s="6" t="s">
        <v>150</v>
      </c>
      <c r="AB20" s="6" t="s">
        <v>150</v>
      </c>
      <c r="AC20" s="6" t="s">
        <v>150</v>
      </c>
      <c r="AD20" s="6" t="s">
        <v>150</v>
      </c>
      <c r="AE20" s="11" t="s">
        <v>106</v>
      </c>
      <c r="AF20" s="4" t="s">
        <v>150</v>
      </c>
      <c r="AG20" s="4" t="s">
        <v>150</v>
      </c>
      <c r="AH20" s="12" t="s">
        <v>98</v>
      </c>
      <c r="AI20" s="12"/>
      <c r="AJ20" s="12"/>
      <c r="AK20" s="12"/>
      <c r="AL20" s="12"/>
      <c r="AM20" s="34" t="s">
        <v>340</v>
      </c>
      <c r="AN20" s="34"/>
      <c r="AO20" s="5" t="s">
        <v>119</v>
      </c>
      <c r="AP20" s="12" t="s">
        <v>97</v>
      </c>
      <c r="AQ20" s="14" t="s">
        <v>39</v>
      </c>
      <c r="AR20" s="15"/>
      <c r="AS20" s="1"/>
      <c r="AZ20" s="1"/>
    </row>
    <row r="21" spans="1:52" ht="25">
      <c r="A21" s="11" t="str">
        <f>VLOOKUP(Tableau1[[#This Row],[N° Département]],Feuil1!$C$6:$E$106,3)</f>
        <v>Ile-de-France</v>
      </c>
      <c r="B21" s="4" t="str">
        <f>VLOOKUP(Tableau1[[#This Row],[N° Département]],Feuil1!$C$6:$E$106,2)</f>
        <v>Hauts-de-Seine</v>
      </c>
      <c r="C21" s="11">
        <f>LEFT(Tableau1[[#This Row],[Code Postal]],2)*1</f>
        <v>92</v>
      </c>
      <c r="D21" s="11" t="s">
        <v>197</v>
      </c>
      <c r="E21" s="28">
        <v>92100</v>
      </c>
      <c r="F21" s="11" t="s">
        <v>139</v>
      </c>
      <c r="G21" s="5" t="str">
        <f>Tableau1[[#This Row],[Rue]]&amp;CHAR(10)&amp;Tableau1[[#This Row],[Code Postal]]&amp;" - "&amp;Tableau1[[#This Row],[Ville]]</f>
        <v>Passage Châteaudun
92100 - Boulogne-Billancourt</v>
      </c>
      <c r="H21" s="16" t="s">
        <v>55</v>
      </c>
      <c r="I21" s="6" t="s">
        <v>70</v>
      </c>
      <c r="J21" s="6" t="s">
        <v>69</v>
      </c>
      <c r="K21" s="11" t="s">
        <v>7</v>
      </c>
      <c r="L21" s="6" t="s">
        <v>8</v>
      </c>
      <c r="M21" s="6" t="s">
        <v>160</v>
      </c>
      <c r="N21" s="11" t="s">
        <v>168</v>
      </c>
      <c r="O21" s="6" t="s">
        <v>150</v>
      </c>
      <c r="P21" s="6" t="s">
        <v>150</v>
      </c>
      <c r="Q21" s="6" t="s">
        <v>150</v>
      </c>
      <c r="R21" s="13" t="s">
        <v>36</v>
      </c>
      <c r="S21" s="6" t="str">
        <f>IFERROR(Tableau1[[#This Row],[Loyer annuel]]/12,"")</f>
        <v/>
      </c>
      <c r="T21" s="13">
        <v>700</v>
      </c>
      <c r="U21" s="6" t="s">
        <v>150</v>
      </c>
      <c r="V21" s="13" t="s">
        <v>36</v>
      </c>
      <c r="W21" s="6" t="s">
        <v>150</v>
      </c>
      <c r="X21" s="13">
        <v>20</v>
      </c>
      <c r="Y21" s="6" t="s">
        <v>150</v>
      </c>
      <c r="Z21" s="6" t="s">
        <v>150</v>
      </c>
      <c r="AA21" s="6" t="s">
        <v>150</v>
      </c>
      <c r="AB21" s="6" t="s">
        <v>150</v>
      </c>
      <c r="AC21" s="6" t="s">
        <v>150</v>
      </c>
      <c r="AD21" s="6" t="s">
        <v>150</v>
      </c>
      <c r="AE21" s="11" t="s">
        <v>50</v>
      </c>
      <c r="AF21" s="4" t="s">
        <v>150</v>
      </c>
      <c r="AG21" s="4" t="s">
        <v>150</v>
      </c>
      <c r="AH21" s="5" t="s">
        <v>57</v>
      </c>
      <c r="AI21" s="5"/>
      <c r="AJ21" s="5"/>
      <c r="AK21" s="5"/>
      <c r="AL21" s="5"/>
      <c r="AM21" s="34" t="s">
        <v>341</v>
      </c>
      <c r="AN21" s="34"/>
      <c r="AO21" s="5" t="s">
        <v>119</v>
      </c>
      <c r="AP21" s="12" t="s">
        <v>56</v>
      </c>
      <c r="AQ21" s="14" t="s">
        <v>52</v>
      </c>
      <c r="AR21" s="15"/>
      <c r="AS21" s="1"/>
      <c r="AZ21" s="1"/>
    </row>
    <row r="22" spans="1:52" ht="25">
      <c r="A22" s="11" t="str">
        <f>VLOOKUP(Tableau1[[#This Row],[N° Département]],Feuil1!$C$6:$E$106,3)</f>
        <v>Ile-de-France</v>
      </c>
      <c r="B22" s="4" t="str">
        <f>VLOOKUP(Tableau1[[#This Row],[N° Département]],Feuil1!$C$6:$E$106,2)</f>
        <v>Hauts-de-Seine</v>
      </c>
      <c r="C22" s="11">
        <f>LEFT(Tableau1[[#This Row],[Code Postal]],2)*1</f>
        <v>92</v>
      </c>
      <c r="D22" s="11" t="s">
        <v>198</v>
      </c>
      <c r="E22" s="28">
        <v>92250</v>
      </c>
      <c r="F22" s="11" t="s">
        <v>142</v>
      </c>
      <c r="G22" s="5" t="str">
        <f>Tableau1[[#This Row],[Rue]]&amp;CHAR(10)&amp;Tableau1[[#This Row],[Code Postal]]&amp;" - "&amp;Tableau1[[#This Row],[Ville]]</f>
        <v>143 Rue des Fauvelles
92250 - La Garenne-Colombes</v>
      </c>
      <c r="H22" s="16" t="s">
        <v>42</v>
      </c>
      <c r="I22" s="6" t="s">
        <v>70</v>
      </c>
      <c r="J22" s="6" t="s">
        <v>69</v>
      </c>
      <c r="K22" s="11" t="s">
        <v>7</v>
      </c>
      <c r="L22" s="6" t="s">
        <v>8</v>
      </c>
      <c r="M22" s="6" t="s">
        <v>161</v>
      </c>
      <c r="N22" s="11" t="s">
        <v>377</v>
      </c>
      <c r="O22" s="6" t="s">
        <v>150</v>
      </c>
      <c r="P22" s="6" t="s">
        <v>150</v>
      </c>
      <c r="Q22" s="6" t="s">
        <v>150</v>
      </c>
      <c r="R22" s="13" t="s">
        <v>36</v>
      </c>
      <c r="S22" s="6" t="str">
        <f>IFERROR(Tableau1[[#This Row],[Loyer annuel]]/12,"")</f>
        <v/>
      </c>
      <c r="T22" s="13">
        <v>550</v>
      </c>
      <c r="U22" s="6" t="s">
        <v>150</v>
      </c>
      <c r="V22" s="13" t="s">
        <v>36</v>
      </c>
      <c r="W22" s="6" t="s">
        <v>150</v>
      </c>
      <c r="X22" s="13">
        <v>23</v>
      </c>
      <c r="Y22" s="6" t="s">
        <v>150</v>
      </c>
      <c r="Z22" s="6" t="s">
        <v>150</v>
      </c>
      <c r="AA22" s="6" t="s">
        <v>150</v>
      </c>
      <c r="AB22" s="6" t="s">
        <v>150</v>
      </c>
      <c r="AC22" s="6" t="s">
        <v>150</v>
      </c>
      <c r="AD22" s="6" t="s">
        <v>150</v>
      </c>
      <c r="AE22" s="11" t="s">
        <v>41</v>
      </c>
      <c r="AF22" s="4" t="s">
        <v>150</v>
      </c>
      <c r="AG22" s="4" t="s">
        <v>150</v>
      </c>
      <c r="AH22" s="5" t="s">
        <v>100</v>
      </c>
      <c r="AI22" s="5"/>
      <c r="AJ22" s="5"/>
      <c r="AK22" s="5"/>
      <c r="AL22" s="5"/>
      <c r="AM22" s="34" t="s">
        <v>342</v>
      </c>
      <c r="AN22" s="34"/>
      <c r="AO22" s="5" t="s">
        <v>119</v>
      </c>
      <c r="AP22" s="12" t="s">
        <v>99</v>
      </c>
      <c r="AQ22" s="14" t="s">
        <v>39</v>
      </c>
      <c r="AR22" s="15"/>
      <c r="AS22" s="1"/>
      <c r="AZ22" s="1"/>
    </row>
    <row r="23" spans="1:52" ht="37.5">
      <c r="A23" s="11" t="str">
        <f>VLOOKUP(Tableau1[[#This Row],[N° Département]],Feuil1!$C$6:$E$106,3)</f>
        <v>Ile-de-France</v>
      </c>
      <c r="B23" s="4" t="str">
        <f>VLOOKUP(Tableau1[[#This Row],[N° Département]],Feuil1!$C$6:$E$106,2)</f>
        <v>Hauts-de-Seine</v>
      </c>
      <c r="C23" s="11">
        <f>LEFT(Tableau1[[#This Row],[Code Postal]],2)*1</f>
        <v>92</v>
      </c>
      <c r="D23" s="11" t="s">
        <v>199</v>
      </c>
      <c r="E23" s="28">
        <v>92290</v>
      </c>
      <c r="F23" s="11" t="s">
        <v>140</v>
      </c>
      <c r="G23" s="5" t="str">
        <f>Tableau1[[#This Row],[Rue]]&amp;CHAR(10)&amp;Tableau1[[#This Row],[Code Postal]]&amp;" - "&amp;Tableau1[[#This Row],[Ville]]</f>
        <v>Cours du Commerce
92290 - Châtenay-Malabry</v>
      </c>
      <c r="H23" s="16" t="s">
        <v>49</v>
      </c>
      <c r="I23" s="6" t="s">
        <v>70</v>
      </c>
      <c r="J23" s="6" t="s">
        <v>69</v>
      </c>
      <c r="K23" s="11" t="s">
        <v>7</v>
      </c>
      <c r="L23" s="6" t="s">
        <v>8</v>
      </c>
      <c r="M23" s="6" t="s">
        <v>162</v>
      </c>
      <c r="N23" s="11" t="s">
        <v>169</v>
      </c>
      <c r="O23" s="6" t="s">
        <v>150</v>
      </c>
      <c r="P23" s="6" t="s">
        <v>150</v>
      </c>
      <c r="Q23" s="6" t="s">
        <v>150</v>
      </c>
      <c r="R23" s="13" t="s">
        <v>36</v>
      </c>
      <c r="S23" s="6" t="str">
        <f>IFERROR(Tableau1[[#This Row],[Loyer annuel]]/12,"")</f>
        <v/>
      </c>
      <c r="T23" s="13">
        <v>500</v>
      </c>
      <c r="U23" s="6" t="s">
        <v>150</v>
      </c>
      <c r="V23" s="13" t="s">
        <v>36</v>
      </c>
      <c r="W23" s="6" t="s">
        <v>150</v>
      </c>
      <c r="X23" s="13" t="s">
        <v>61</v>
      </c>
      <c r="Y23" s="6" t="s">
        <v>150</v>
      </c>
      <c r="Z23" s="6" t="s">
        <v>150</v>
      </c>
      <c r="AA23" s="6" t="s">
        <v>150</v>
      </c>
      <c r="AB23" s="6" t="s">
        <v>150</v>
      </c>
      <c r="AC23" s="6" t="s">
        <v>150</v>
      </c>
      <c r="AD23" s="6" t="s">
        <v>150</v>
      </c>
      <c r="AE23" s="11" t="s">
        <v>50</v>
      </c>
      <c r="AF23" s="4" t="s">
        <v>150</v>
      </c>
      <c r="AG23" s="4" t="s">
        <v>150</v>
      </c>
      <c r="AH23" s="5" t="s">
        <v>51</v>
      </c>
      <c r="AI23" s="5"/>
      <c r="AJ23" s="5"/>
      <c r="AK23" s="5"/>
      <c r="AL23" s="5"/>
      <c r="AM23" s="34" t="s">
        <v>343</v>
      </c>
      <c r="AN23" s="34"/>
      <c r="AO23" s="5" t="s">
        <v>119</v>
      </c>
      <c r="AP23" s="12" t="s">
        <v>60</v>
      </c>
      <c r="AQ23" s="14" t="s">
        <v>52</v>
      </c>
      <c r="AR23" s="15"/>
      <c r="AS23" s="1"/>
      <c r="AZ23" s="1"/>
    </row>
    <row r="24" spans="1:52" ht="37.5">
      <c r="A24" s="11" t="str">
        <f>VLOOKUP(Tableau1[[#This Row],[N° Département]],Feuil1!$C$6:$E$106,3)</f>
        <v>Ile-de-France</v>
      </c>
      <c r="B24" s="4" t="str">
        <f>VLOOKUP(Tableau1[[#This Row],[N° Département]],Feuil1!$C$6:$E$106,2)</f>
        <v>Hauts-de-Seine</v>
      </c>
      <c r="C24" s="11">
        <f>LEFT(Tableau1[[#This Row],[Code Postal]],2)*1</f>
        <v>92</v>
      </c>
      <c r="D24" s="11" t="s">
        <v>200</v>
      </c>
      <c r="E24" s="28">
        <v>92410</v>
      </c>
      <c r="F24" s="11" t="s">
        <v>141</v>
      </c>
      <c r="G24" s="5" t="str">
        <f>Tableau1[[#This Row],[Rue]]&amp;CHAR(10)&amp;Tableau1[[#This Row],[Code Postal]]&amp;" - "&amp;Tableau1[[#This Row],[Ville]]</f>
        <v>30 Rue de la Ronce
92410 - Ville-d'Avray</v>
      </c>
      <c r="H24" s="16" t="s">
        <v>43</v>
      </c>
      <c r="I24" s="6" t="s">
        <v>70</v>
      </c>
      <c r="J24" s="6" t="s">
        <v>69</v>
      </c>
      <c r="K24" s="11" t="s">
        <v>7</v>
      </c>
      <c r="L24" s="6" t="s">
        <v>8</v>
      </c>
      <c r="M24" s="6" t="s">
        <v>159</v>
      </c>
      <c r="N24" s="11" t="s">
        <v>170</v>
      </c>
      <c r="O24" s="6" t="s">
        <v>150</v>
      </c>
      <c r="P24" s="6" t="s">
        <v>150</v>
      </c>
      <c r="Q24" s="6" t="s">
        <v>150</v>
      </c>
      <c r="R24" s="13" t="s">
        <v>36</v>
      </c>
      <c r="S24" s="6" t="str">
        <f>IFERROR(Tableau1[[#This Row],[Loyer annuel]]/12,"")</f>
        <v/>
      </c>
      <c r="T24" s="13">
        <v>350</v>
      </c>
      <c r="U24" s="6" t="s">
        <v>150</v>
      </c>
      <c r="V24" s="13" t="s">
        <v>36</v>
      </c>
      <c r="W24" s="6" t="s">
        <v>150</v>
      </c>
      <c r="X24" s="13">
        <v>26</v>
      </c>
      <c r="Y24" s="6" t="s">
        <v>150</v>
      </c>
      <c r="Z24" s="6" t="s">
        <v>150</v>
      </c>
      <c r="AA24" s="6" t="s">
        <v>150</v>
      </c>
      <c r="AB24" s="6" t="s">
        <v>150</v>
      </c>
      <c r="AC24" s="6" t="s">
        <v>150</v>
      </c>
      <c r="AD24" s="6" t="s">
        <v>150</v>
      </c>
      <c r="AE24" s="11" t="s">
        <v>50</v>
      </c>
      <c r="AF24" s="4" t="s">
        <v>150</v>
      </c>
      <c r="AG24" s="4" t="s">
        <v>150</v>
      </c>
      <c r="AH24" s="5" t="s">
        <v>92</v>
      </c>
      <c r="AI24" s="5"/>
      <c r="AJ24" s="5"/>
      <c r="AK24" s="5"/>
      <c r="AL24" s="5"/>
      <c r="AM24" s="34" t="s">
        <v>344</v>
      </c>
      <c r="AN24" s="34"/>
      <c r="AO24" s="5" t="s">
        <v>119</v>
      </c>
      <c r="AP24" s="12" t="s">
        <v>93</v>
      </c>
      <c r="AQ24" s="14" t="s">
        <v>39</v>
      </c>
      <c r="AR24" s="15"/>
      <c r="AS24" s="1"/>
      <c r="AZ24" s="1"/>
    </row>
    <row r="25" spans="1:52" ht="25">
      <c r="A25" s="11" t="str">
        <f>VLOOKUP(Tableau1[[#This Row],[N° Département]],Feuil1!$C$6:$E$106,3)</f>
        <v>Ile-de-France</v>
      </c>
      <c r="B25" s="4" t="str">
        <f>VLOOKUP(Tableau1[[#This Row],[N° Département]],Feuil1!$C$6:$E$106,2)</f>
        <v>Val-D'Oise</v>
      </c>
      <c r="C25" s="11">
        <f>LEFT(Tableau1[[#This Row],[Code Postal]],2)*1</f>
        <v>95</v>
      </c>
      <c r="D25" s="11" t="s">
        <v>183</v>
      </c>
      <c r="E25" s="28">
        <v>95000</v>
      </c>
      <c r="F25" s="11" t="s">
        <v>143</v>
      </c>
      <c r="G25" s="5" t="str">
        <f>Tableau1[[#This Row],[Rue]]&amp;CHAR(10)&amp;Tableau1[[#This Row],[Code Postal]]&amp;" - "&amp;Tableau1[[#This Row],[Ville]]</f>
        <v>Rue Stéphane Charbonnier
95000 - Pontoise</v>
      </c>
      <c r="H25" s="16" t="s">
        <v>59</v>
      </c>
      <c r="I25" s="6" t="s">
        <v>70</v>
      </c>
      <c r="J25" s="6" t="s">
        <v>69</v>
      </c>
      <c r="K25" s="11" t="s">
        <v>7</v>
      </c>
      <c r="L25" s="6" t="s">
        <v>8</v>
      </c>
      <c r="M25" s="6" t="s">
        <v>158</v>
      </c>
      <c r="N25" s="11" t="s">
        <v>171</v>
      </c>
      <c r="O25" s="6" t="s">
        <v>150</v>
      </c>
      <c r="P25" s="6" t="s">
        <v>150</v>
      </c>
      <c r="Q25" s="6" t="s">
        <v>150</v>
      </c>
      <c r="R25" s="13" t="s">
        <v>36</v>
      </c>
      <c r="S25" s="6" t="str">
        <f>IFERROR(Tableau1[[#This Row],[Loyer annuel]]/12,"")</f>
        <v/>
      </c>
      <c r="T25" s="13">
        <v>400</v>
      </c>
      <c r="U25" s="6" t="s">
        <v>150</v>
      </c>
      <c r="V25" s="13" t="s">
        <v>36</v>
      </c>
      <c r="W25" s="6" t="s">
        <v>150</v>
      </c>
      <c r="X25" s="13" t="s">
        <v>62</v>
      </c>
      <c r="Y25" s="6" t="s">
        <v>150</v>
      </c>
      <c r="Z25" s="6" t="s">
        <v>150</v>
      </c>
      <c r="AA25" s="6" t="s">
        <v>150</v>
      </c>
      <c r="AB25" s="6" t="s">
        <v>150</v>
      </c>
      <c r="AC25" s="6" t="s">
        <v>150</v>
      </c>
      <c r="AD25" s="6" t="s">
        <v>150</v>
      </c>
      <c r="AE25" s="11" t="s">
        <v>50</v>
      </c>
      <c r="AF25" s="4" t="s">
        <v>150</v>
      </c>
      <c r="AG25" s="4" t="s">
        <v>150</v>
      </c>
      <c r="AH25" s="5" t="s">
        <v>63</v>
      </c>
      <c r="AI25" s="5"/>
      <c r="AJ25" s="5"/>
      <c r="AK25" s="5"/>
      <c r="AL25" s="5"/>
      <c r="AM25" s="34" t="s">
        <v>345</v>
      </c>
      <c r="AN25" s="34"/>
      <c r="AO25" s="5" t="s">
        <v>119</v>
      </c>
      <c r="AP25" s="12" t="s">
        <v>58</v>
      </c>
      <c r="AQ25" s="14" t="s">
        <v>52</v>
      </c>
      <c r="AR25" s="15"/>
      <c r="AS25" s="1"/>
      <c r="AZ25" s="1"/>
    </row>
    <row r="26" spans="1:52" ht="25">
      <c r="A26" s="11" t="str">
        <f>VLOOKUP(Tableau1[[#This Row],[N° Département]],Feuil1!$C$6:$E$106,3)</f>
        <v>Occitanie</v>
      </c>
      <c r="B26" s="4" t="str">
        <f>VLOOKUP(Tableau1[[#This Row],[N° Département]],Feuil1!$C$6:$E$106,2)</f>
        <v>Hérault</v>
      </c>
      <c r="C26" s="11">
        <f>LEFT(Tableau1[[#This Row],[Code Postal]],2)*1</f>
        <v>34</v>
      </c>
      <c r="D26" s="4" t="s">
        <v>201</v>
      </c>
      <c r="E26" s="27">
        <v>34470</v>
      </c>
      <c r="F26" s="11" t="s">
        <v>144</v>
      </c>
      <c r="G26" s="5" t="str">
        <f>Tableau1[[#This Row],[Rue]]&amp;CHAR(10)&amp;Tableau1[[#This Row],[Code Postal]]&amp;" - "&amp;Tableau1[[#This Row],[Ville]]</f>
        <v>C.C. Auchan Avenue Georges Frêche
34470 - Pérols</v>
      </c>
      <c r="H26" s="16" t="s">
        <v>111</v>
      </c>
      <c r="I26" s="6" t="s">
        <v>72</v>
      </c>
      <c r="J26" s="6" t="s">
        <v>76</v>
      </c>
      <c r="K26" s="11" t="s">
        <v>7</v>
      </c>
      <c r="L26" s="6" t="s">
        <v>8</v>
      </c>
      <c r="M26" s="6" t="s">
        <v>163</v>
      </c>
      <c r="N26" s="11" t="s">
        <v>172</v>
      </c>
      <c r="O26" s="6" t="s">
        <v>150</v>
      </c>
      <c r="P26" s="6" t="s">
        <v>150</v>
      </c>
      <c r="Q26" s="6" t="s">
        <v>150</v>
      </c>
      <c r="R26" s="13" t="s">
        <v>36</v>
      </c>
      <c r="S26" s="6" t="str">
        <f>IFERROR(Tableau1[[#This Row],[Loyer annuel]]/12,"")</f>
        <v/>
      </c>
      <c r="T26" s="13">
        <v>400</v>
      </c>
      <c r="U26" s="6" t="s">
        <v>150</v>
      </c>
      <c r="V26" s="13" t="s">
        <v>36</v>
      </c>
      <c r="W26" s="6" t="s">
        <v>150</v>
      </c>
      <c r="X26" s="13">
        <v>120</v>
      </c>
      <c r="Y26" s="6" t="s">
        <v>150</v>
      </c>
      <c r="Z26" s="6" t="s">
        <v>150</v>
      </c>
      <c r="AA26" s="6" t="s">
        <v>150</v>
      </c>
      <c r="AB26" s="6" t="s">
        <v>150</v>
      </c>
      <c r="AC26" s="6" t="s">
        <v>150</v>
      </c>
      <c r="AD26" s="6" t="s">
        <v>150</v>
      </c>
      <c r="AE26" s="11" t="s">
        <v>80</v>
      </c>
      <c r="AF26" s="4" t="s">
        <v>150</v>
      </c>
      <c r="AG26" s="4" t="s">
        <v>150</v>
      </c>
      <c r="AH26" s="12"/>
      <c r="AI26" s="12"/>
      <c r="AJ26" s="12"/>
      <c r="AK26" s="12"/>
      <c r="AL26" s="12"/>
      <c r="AM26" s="34" t="s">
        <v>346</v>
      </c>
      <c r="AN26" s="34"/>
      <c r="AO26" s="5" t="s">
        <v>119</v>
      </c>
      <c r="AP26" s="12" t="s">
        <v>34</v>
      </c>
      <c r="AQ26" s="8" t="s">
        <v>20</v>
      </c>
      <c r="AR26" s="17"/>
      <c r="AS26" s="1"/>
      <c r="AZ26" s="1"/>
    </row>
    <row r="27" spans="1:52">
      <c r="A27" s="4"/>
      <c r="B27" s="4"/>
      <c r="C27" s="4"/>
      <c r="D27" s="4"/>
      <c r="E27" s="4"/>
      <c r="F27" s="4"/>
      <c r="H27" s="12"/>
      <c r="I27" s="16"/>
      <c r="J27" s="16"/>
      <c r="K27" s="16"/>
      <c r="M27" s="11"/>
      <c r="N27" s="11"/>
      <c r="O27" s="11"/>
      <c r="P27" s="11"/>
      <c r="Q27" s="13"/>
      <c r="R27" s="11"/>
      <c r="S27" s="13"/>
      <c r="T27" s="13"/>
      <c r="U27" s="13"/>
      <c r="V27" s="13"/>
      <c r="Y27" s="13"/>
      <c r="Z27" s="13"/>
      <c r="AA27" s="13"/>
      <c r="AB27" s="13"/>
      <c r="AC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T27" s="11"/>
      <c r="AU27" s="11"/>
      <c r="AV27" s="12"/>
      <c r="AW27" s="12"/>
      <c r="AX27" s="14"/>
      <c r="AY27" s="17"/>
    </row>
    <row r="35" spans="4:52">
      <c r="K35"/>
      <c r="L35" s="1"/>
      <c r="V35"/>
      <c r="X35" s="1"/>
      <c r="AC35"/>
      <c r="AD35" s="1"/>
      <c r="AP35"/>
      <c r="AS35" s="1"/>
      <c r="AY35"/>
      <c r="AZ35" s="1"/>
    </row>
    <row r="36" spans="4:52">
      <c r="K36"/>
      <c r="L36" s="1"/>
      <c r="V36"/>
      <c r="X36" s="1"/>
      <c r="AC36"/>
      <c r="AD36" s="1"/>
      <c r="AP36"/>
      <c r="AS36" s="1"/>
      <c r="AY36"/>
      <c r="AZ36" s="1"/>
    </row>
    <row r="37" spans="4:52">
      <c r="K37"/>
      <c r="L37" s="1"/>
      <c r="V37"/>
      <c r="X37" s="1"/>
      <c r="AC37"/>
      <c r="AD37" s="1"/>
      <c r="AP37"/>
      <c r="AS37" s="1"/>
      <c r="AY37"/>
      <c r="AZ37" s="1"/>
    </row>
    <row r="38" spans="4:52">
      <c r="D38" s="26"/>
      <c r="E38" s="26"/>
      <c r="F38" s="26"/>
      <c r="K38"/>
      <c r="L38" s="1"/>
      <c r="V38"/>
      <c r="X38" s="1"/>
      <c r="AC38"/>
      <c r="AD38" s="1"/>
      <c r="AP38"/>
      <c r="AS38" s="1"/>
      <c r="AY38"/>
      <c r="AZ38" s="1"/>
    </row>
    <row r="39" spans="4:52">
      <c r="D39" s="26"/>
      <c r="E39" s="26"/>
      <c r="F39" s="26"/>
      <c r="K39"/>
      <c r="L39" s="1"/>
      <c r="V39"/>
      <c r="X39" s="1"/>
      <c r="AC39"/>
      <c r="AD39" s="1"/>
      <c r="AP39"/>
      <c r="AS39" s="1"/>
      <c r="AY39"/>
      <c r="AZ39" s="1"/>
    </row>
    <row r="40" spans="4:52">
      <c r="D40" s="26"/>
      <c r="E40" s="26"/>
      <c r="F40" s="26"/>
      <c r="K40"/>
      <c r="L40" s="1"/>
      <c r="V40"/>
      <c r="X40" s="1"/>
      <c r="AC40"/>
      <c r="AD40" s="1"/>
      <c r="AP40"/>
      <c r="AS40" s="1"/>
      <c r="AY40"/>
      <c r="AZ40" s="1"/>
    </row>
    <row r="41" spans="4:52">
      <c r="D41" s="26"/>
      <c r="E41" s="26"/>
      <c r="F41" s="26"/>
      <c r="K41"/>
      <c r="L41" s="1"/>
      <c r="V41"/>
      <c r="X41" s="1"/>
      <c r="AC41"/>
      <c r="AD41" s="1"/>
      <c r="AP41"/>
      <c r="AS41" s="1"/>
      <c r="AY41"/>
      <c r="AZ41" s="1"/>
    </row>
    <row r="42" spans="4:52">
      <c r="D42" s="26"/>
      <c r="E42" s="26"/>
      <c r="F42" s="26"/>
      <c r="K42"/>
      <c r="L42" s="1"/>
      <c r="V42"/>
      <c r="X42" s="1"/>
      <c r="AC42"/>
      <c r="AD42" s="1"/>
      <c r="AP42"/>
      <c r="AS42" s="1"/>
      <c r="AY42"/>
      <c r="AZ42" s="1"/>
    </row>
    <row r="43" spans="4:52">
      <c r="D43" s="26"/>
      <c r="E43" s="26"/>
      <c r="F43" s="26"/>
      <c r="K43"/>
      <c r="L43" s="1"/>
      <c r="V43"/>
      <c r="X43" s="1"/>
      <c r="AC43"/>
      <c r="AD43" s="1"/>
      <c r="AP43"/>
      <c r="AS43" s="1"/>
      <c r="AY43"/>
      <c r="AZ43" s="1"/>
    </row>
    <row r="44" spans="4:52">
      <c r="D44" s="26"/>
      <c r="E44" s="26"/>
      <c r="F44" s="26"/>
      <c r="K44"/>
      <c r="L44" s="1"/>
      <c r="V44"/>
      <c r="X44" s="1"/>
      <c r="AC44"/>
      <c r="AD44" s="1"/>
      <c r="AP44"/>
      <c r="AS44" s="1"/>
      <c r="AY44"/>
      <c r="AZ44" s="1"/>
    </row>
    <row r="45" spans="4:52">
      <c r="D45" s="26"/>
      <c r="E45" s="26"/>
      <c r="F45" s="26"/>
      <c r="K45"/>
      <c r="L45" s="1"/>
      <c r="V45"/>
      <c r="X45" s="1"/>
      <c r="AC45"/>
      <c r="AD45" s="1"/>
      <c r="AP45"/>
      <c r="AS45" s="1"/>
      <c r="AY45"/>
      <c r="AZ45" s="1"/>
    </row>
    <row r="46" spans="4:52">
      <c r="D46" s="26"/>
      <c r="E46" s="26"/>
      <c r="F46" s="26"/>
      <c r="K46"/>
      <c r="L46" s="1"/>
      <c r="V46"/>
      <c r="X46" s="1"/>
      <c r="AC46"/>
      <c r="AD46" s="1"/>
      <c r="AP46"/>
      <c r="AS46" s="1"/>
      <c r="AY46"/>
      <c r="AZ46" s="1"/>
    </row>
    <row r="47" spans="4:52">
      <c r="D47" s="26"/>
      <c r="E47" s="26"/>
      <c r="F47" s="26"/>
      <c r="K47"/>
      <c r="L47" s="1"/>
      <c r="V47"/>
      <c r="X47" s="1"/>
      <c r="AC47"/>
      <c r="AD47" s="1"/>
      <c r="AP47"/>
      <c r="AS47" s="1"/>
      <c r="AY47"/>
      <c r="AZ47" s="1"/>
    </row>
    <row r="48" spans="4:52">
      <c r="K48"/>
      <c r="L48" s="1"/>
      <c r="V48"/>
      <c r="X48" s="1"/>
      <c r="AC48"/>
      <c r="AD48" s="1"/>
      <c r="AP48"/>
      <c r="AS48" s="1"/>
      <c r="AY48"/>
      <c r="AZ48" s="1"/>
    </row>
  </sheetData>
  <phoneticPr fontId="8" type="noConversion"/>
  <hyperlinks>
    <hyperlink ref="H2" r:id="rId1" xr:uid="{CD85D032-5820-46AF-9FFC-79747F62EED8}"/>
    <hyperlink ref="H3" r:id="rId2" xr:uid="{C016E116-6CEA-4B59-BEB4-1A53C2267FFF}"/>
    <hyperlink ref="H4" r:id="rId3" xr:uid="{EFA3AA7B-21CA-4B0C-B5A4-131C5F8F61EC}"/>
    <hyperlink ref="H10" r:id="rId4" xr:uid="{29C67202-ED42-417B-BB3C-178F881968AE}"/>
    <hyperlink ref="H11" r:id="rId5" xr:uid="{7907AC58-6548-4B09-B6E9-3C0E9FAD730F}"/>
    <hyperlink ref="H5" r:id="rId6" xr:uid="{C63DEED2-C78C-4977-963D-FE5233E145E3}"/>
    <hyperlink ref="H12" r:id="rId7" xr:uid="{681AECBA-0F83-4E1D-A1D3-9E317A033B0C}"/>
    <hyperlink ref="H18" r:id="rId8" xr:uid="{1522CEC9-B716-43D1-B4D2-7EDC7B29FAA2}"/>
    <hyperlink ref="H22" r:id="rId9" xr:uid="{B4658778-E2B8-4746-AFF9-C6D475BF7B3C}"/>
    <hyperlink ref="H24" r:id="rId10" xr:uid="{84F53B3E-0269-4221-937E-809B7FFF5921}"/>
    <hyperlink ref="H9" r:id="rId11" xr:uid="{A30387D9-03F1-42B0-9A63-51582677874F}"/>
    <hyperlink ref="H21" r:id="rId12" xr:uid="{F286610A-13F7-4549-B1BB-C9277FAC09DA}"/>
    <hyperlink ref="H23" r:id="rId13" xr:uid="{6489742E-6CB7-4B2D-9BD5-BCE583DA02E1}"/>
    <hyperlink ref="H25" r:id="rId14" xr:uid="{9921E03B-7AD4-4088-BD74-E954C2DF13DC}"/>
    <hyperlink ref="H26" r:id="rId15" xr:uid="{824D5FB0-BFE1-4BA8-97C3-CDB2631ADD8E}"/>
    <hyperlink ref="H8" r:id="rId16" xr:uid="{82681F26-76E5-47ED-BE60-56D53DBAB160}"/>
    <hyperlink ref="H13" r:id="rId17" xr:uid="{85341D4C-8FE9-4F0D-BD3D-CD952268444D}"/>
    <hyperlink ref="H15" r:id="rId18" xr:uid="{B7F2B0BA-1DF5-499B-ADDF-A27F6468EBB3}"/>
    <hyperlink ref="H16" r:id="rId19" xr:uid="{7CB92180-45AB-4B57-BDBB-7AC67F29B668}"/>
    <hyperlink ref="H20" r:id="rId20" xr:uid="{ACD6762E-CD26-4D0A-AD4F-C041B0068CAE}"/>
    <hyperlink ref="H17" r:id="rId21" xr:uid="{8304414E-0B5C-4D5A-8539-E67F32B13039}"/>
    <hyperlink ref="H14" r:id="rId22" xr:uid="{890573CC-8625-42AA-9B54-79AE3F466D56}"/>
    <hyperlink ref="H19" r:id="rId23" xr:uid="{792E9F3C-5904-4CAA-83A0-31B112CA02F6}"/>
    <hyperlink ref="H6" r:id="rId24" xr:uid="{42F5695A-0B34-4F82-8607-286FB54CDEFF}"/>
    <hyperlink ref="H7" r:id="rId25" xr:uid="{D03EB5C5-D4CD-426E-960B-50DCDC5A7DA5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5E11-A520-44B3-A5D4-B219183F341C}">
  <sheetPr codeName="Feuil3"/>
  <dimension ref="C5:G32"/>
  <sheetViews>
    <sheetView topLeftCell="A2" workbookViewId="0">
      <selection activeCell="B32" sqref="B31:B32"/>
    </sheetView>
  </sheetViews>
  <sheetFormatPr baseColWidth="10" defaultRowHeight="14"/>
  <cols>
    <col min="3" max="3" width="22" bestFit="1" customWidth="1"/>
    <col min="4" max="4" width="35.25" bestFit="1" customWidth="1"/>
  </cols>
  <sheetData>
    <row r="5" spans="3:7" ht="14.5">
      <c r="C5" s="19" t="s">
        <v>11</v>
      </c>
      <c r="D5" s="19" t="s">
        <v>66</v>
      </c>
    </row>
    <row r="6" spans="3:7" ht="14.5">
      <c r="C6" s="19"/>
      <c r="D6" s="19"/>
    </row>
    <row r="7" spans="3:7" ht="18.5">
      <c r="C7" s="20" t="s">
        <v>5</v>
      </c>
      <c r="D7" s="25" t="e">
        <f>HYPERLINK(VLOOKUP($D$5,Tableau,3,FALSE),VLOOKUP($D$5,Tableau,2,FALSE))</f>
        <v>#N/A</v>
      </c>
    </row>
    <row r="8" spans="3:7" ht="14.5">
      <c r="C8" s="20" t="s">
        <v>68</v>
      </c>
      <c r="D8" s="21" t="e">
        <f>VLOOKUP($D$5,Tableau1[],4,FALSE)</f>
        <v>#N/A</v>
      </c>
    </row>
    <row r="9" spans="3:7" ht="14.5">
      <c r="C9" s="20" t="s">
        <v>67</v>
      </c>
      <c r="D9" s="21" t="e">
        <f>VLOOKUP($D$5,Tableau1[],5,FALSE)</f>
        <v>#N/A</v>
      </c>
    </row>
    <row r="10" spans="3:7" ht="14.5">
      <c r="C10" s="20"/>
      <c r="D10" s="18"/>
    </row>
    <row r="11" spans="3:7" ht="14.5">
      <c r="C11" s="20" t="s">
        <v>21</v>
      </c>
      <c r="D11" s="21" t="e">
        <f>VLOOKUP($D$5,Tableau1[],14,FALSE)</f>
        <v>#N/A</v>
      </c>
    </row>
    <row r="12" spans="3:7" ht="14.5">
      <c r="C12" s="20" t="s">
        <v>22</v>
      </c>
      <c r="D12" s="21" t="e">
        <f>VLOOKUP($D$5,Tableau1[],15,FALSE)</f>
        <v>#N/A</v>
      </c>
    </row>
    <row r="13" spans="3:7" ht="14.5">
      <c r="C13" s="20" t="s">
        <v>6</v>
      </c>
      <c r="D13" s="21" t="e">
        <f>VLOOKUP($D$5,Tableau1[],6,FALSE)</f>
        <v>#N/A</v>
      </c>
      <c r="G13" s="2"/>
    </row>
    <row r="14" spans="3:7" ht="14.5">
      <c r="C14" s="20" t="s">
        <v>12</v>
      </c>
      <c r="D14" s="22" t="e">
        <f>VLOOKUP($D$5,Tableau1[],7,FALSE)</f>
        <v>#N/A</v>
      </c>
    </row>
    <row r="15" spans="3:7" ht="15.5">
      <c r="C15" s="20" t="s">
        <v>4</v>
      </c>
      <c r="D15" s="23" t="e">
        <f>VLOOKUP($D$5,Tableau1[],8,FALSE)</f>
        <v>#N/A</v>
      </c>
    </row>
    <row r="16" spans="3:7" ht="14.5">
      <c r="C16" s="20" t="s">
        <v>9</v>
      </c>
      <c r="D16" s="22" t="e">
        <f>VLOOKUP($D$5,Tableau1[],9,FALSE)</f>
        <v>#N/A</v>
      </c>
    </row>
    <row r="17" spans="3:6" ht="14.5">
      <c r="C17" s="20" t="s">
        <v>16</v>
      </c>
      <c r="D17" s="22" t="e">
        <f>VLOOKUP($D$5,Tableau1[],10,FALSE)</f>
        <v>#N/A</v>
      </c>
    </row>
    <row r="18" spans="3:6" ht="15.5">
      <c r="C18" s="20" t="s">
        <v>3</v>
      </c>
      <c r="D18" s="23" t="e">
        <f>VLOOKUP($D$5,Tableau1[],11,FALSE)</f>
        <v>#N/A</v>
      </c>
    </row>
    <row r="19" spans="3:6" ht="14.5">
      <c r="C19" s="20" t="s">
        <v>10</v>
      </c>
      <c r="D19" s="22" t="e">
        <f>VLOOKUP($D$5,Tableau1[],12,FALSE)</f>
        <v>#N/A</v>
      </c>
    </row>
    <row r="20" spans="3:6" ht="14.5">
      <c r="C20" s="20" t="s">
        <v>17</v>
      </c>
      <c r="D20" s="22" t="e">
        <f>VLOOKUP($D$5,Tableau1[],13,FALSE)</f>
        <v>#N/A</v>
      </c>
    </row>
    <row r="21" spans="3:6" ht="14.5">
      <c r="C21" s="20" t="s">
        <v>2</v>
      </c>
      <c r="D21" s="22" t="e">
        <f>VLOOKUP($D$5,Tableau1[],16,FALSE)</f>
        <v>#N/A</v>
      </c>
    </row>
    <row r="22" spans="3:6" ht="69.75" customHeight="1">
      <c r="C22" s="20" t="s">
        <v>1</v>
      </c>
      <c r="D22" s="24" t="e">
        <f>VLOOKUP($D$5,Tableau1[],17,FALSE)</f>
        <v>#N/A</v>
      </c>
    </row>
    <row r="23" spans="3:6" ht="14.5">
      <c r="C23" s="20"/>
      <c r="D23" s="21"/>
    </row>
    <row r="24" spans="3:6" ht="14.5">
      <c r="C24" s="20" t="s">
        <v>53</v>
      </c>
      <c r="D24" s="24" t="e">
        <f>VLOOKUP($D$5,Tableau1[],18,FALSE)</f>
        <v>#N/A</v>
      </c>
    </row>
    <row r="25" spans="3:6" ht="57" customHeight="1">
      <c r="C25" s="20" t="s">
        <v>71</v>
      </c>
      <c r="D25" s="18" t="e">
        <f>HYPERLINK(VLOOKUP($D$5,Tableau1[],19,FALSE),VLOOKUP($D$5,Tableau1[],19,FALSE))</f>
        <v>#N/A</v>
      </c>
    </row>
    <row r="32" spans="3:6">
      <c r="F32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83DAC5-DA31-4FC0-A4E3-68C28F9FEF98}">
          <x14:formula1>
            <xm:f>'Tableau recherche'!#REF!</xm:f>
          </x14:formula1>
          <xm:sqref>D5:D6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568B-3EC6-468D-91B9-4ADDA7A3C567}">
  <dimension ref="C5:M106"/>
  <sheetViews>
    <sheetView workbookViewId="0">
      <selection activeCell="L15" sqref="L15"/>
    </sheetView>
  </sheetViews>
  <sheetFormatPr baseColWidth="10" defaultRowHeight="14"/>
  <cols>
    <col min="3" max="3" width="7.83203125" customWidth="1"/>
    <col min="4" max="4" width="22" bestFit="1" customWidth="1"/>
    <col min="5" max="5" width="24.08203125" bestFit="1" customWidth="1"/>
  </cols>
  <sheetData>
    <row r="5" spans="3:13">
      <c r="C5" s="29" t="s">
        <v>202</v>
      </c>
      <c r="D5" s="29" t="s">
        <v>203</v>
      </c>
      <c r="E5" s="29" t="s">
        <v>204</v>
      </c>
    </row>
    <row r="6" spans="3:13">
      <c r="C6" s="29">
        <v>1</v>
      </c>
      <c r="D6" s="30" t="s">
        <v>205</v>
      </c>
      <c r="E6" s="30" t="s">
        <v>206</v>
      </c>
    </row>
    <row r="7" spans="3:13">
      <c r="C7" s="29">
        <v>2</v>
      </c>
      <c r="D7" s="30" t="s">
        <v>207</v>
      </c>
      <c r="E7" s="30" t="s">
        <v>208</v>
      </c>
    </row>
    <row r="8" spans="3:13">
      <c r="C8" s="29">
        <v>3</v>
      </c>
      <c r="D8" s="30" t="s">
        <v>209</v>
      </c>
      <c r="E8" s="30" t="s">
        <v>206</v>
      </c>
    </row>
    <row r="9" spans="3:13">
      <c r="C9" s="29">
        <v>4</v>
      </c>
      <c r="D9" s="30" t="s">
        <v>210</v>
      </c>
      <c r="E9" s="30" t="s">
        <v>211</v>
      </c>
    </row>
    <row r="10" spans="3:13">
      <c r="C10" s="29">
        <v>5</v>
      </c>
      <c r="D10" s="30" t="s">
        <v>212</v>
      </c>
      <c r="E10" s="30" t="s">
        <v>211</v>
      </c>
    </row>
    <row r="11" spans="3:13">
      <c r="C11" s="29">
        <v>6</v>
      </c>
      <c r="D11" s="30" t="s">
        <v>213</v>
      </c>
      <c r="E11" s="30" t="s">
        <v>211</v>
      </c>
    </row>
    <row r="12" spans="3:13">
      <c r="C12" s="29">
        <v>7</v>
      </c>
      <c r="D12" s="30" t="s">
        <v>214</v>
      </c>
      <c r="E12" s="30" t="s">
        <v>206</v>
      </c>
    </row>
    <row r="13" spans="3:13">
      <c r="C13" s="29">
        <v>8</v>
      </c>
      <c r="D13" s="30" t="s">
        <v>215</v>
      </c>
      <c r="E13" s="30" t="s">
        <v>216</v>
      </c>
      <c r="I13" t="str">
        <f>VLOOKUP(K13,$C$6:$E$106,2)</f>
        <v>Val-de-Marne</v>
      </c>
      <c r="J13" t="str">
        <f>VLOOKUP(L13,$C$6:$E$106,2)</f>
        <v>Haute-Corse</v>
      </c>
      <c r="K13">
        <v>94</v>
      </c>
      <c r="L13" t="str">
        <f>LEFT(M13,2)</f>
        <v>94</v>
      </c>
      <c r="M13" s="33">
        <v>94300</v>
      </c>
    </row>
    <row r="14" spans="3:13">
      <c r="C14" s="29">
        <v>9</v>
      </c>
      <c r="D14" s="30" t="s">
        <v>217</v>
      </c>
      <c r="E14" s="30" t="s">
        <v>218</v>
      </c>
    </row>
    <row r="15" spans="3:13">
      <c r="C15" s="29">
        <v>10</v>
      </c>
      <c r="D15" s="30" t="s">
        <v>219</v>
      </c>
      <c r="E15" s="30" t="s">
        <v>216</v>
      </c>
    </row>
    <row r="16" spans="3:13">
      <c r="C16" s="29">
        <v>11</v>
      </c>
      <c r="D16" s="30" t="s">
        <v>220</v>
      </c>
      <c r="E16" s="30" t="s">
        <v>218</v>
      </c>
    </row>
    <row r="17" spans="3:5">
      <c r="C17" s="29">
        <v>12</v>
      </c>
      <c r="D17" s="30" t="s">
        <v>221</v>
      </c>
      <c r="E17" s="30" t="s">
        <v>218</v>
      </c>
    </row>
    <row r="18" spans="3:5">
      <c r="C18" s="29">
        <v>13</v>
      </c>
      <c r="D18" s="30" t="s">
        <v>222</v>
      </c>
      <c r="E18" s="30" t="s">
        <v>211</v>
      </c>
    </row>
    <row r="19" spans="3:5">
      <c r="C19" s="29">
        <v>14</v>
      </c>
      <c r="D19" s="30" t="s">
        <v>223</v>
      </c>
      <c r="E19" s="30" t="s">
        <v>224</v>
      </c>
    </row>
    <row r="20" spans="3:5">
      <c r="C20" s="29">
        <v>15</v>
      </c>
      <c r="D20" s="30" t="s">
        <v>225</v>
      </c>
      <c r="E20" s="30" t="s">
        <v>206</v>
      </c>
    </row>
    <row r="21" spans="3:5">
      <c r="C21" s="29">
        <v>16</v>
      </c>
      <c r="D21" s="30" t="s">
        <v>226</v>
      </c>
      <c r="E21" s="30" t="s">
        <v>227</v>
      </c>
    </row>
    <row r="22" spans="3:5">
      <c r="C22" s="29">
        <v>17</v>
      </c>
      <c r="D22" s="30" t="s">
        <v>228</v>
      </c>
      <c r="E22" s="30" t="s">
        <v>227</v>
      </c>
    </row>
    <row r="23" spans="3:5">
      <c r="C23" s="29">
        <v>18</v>
      </c>
      <c r="D23" s="30" t="s">
        <v>229</v>
      </c>
      <c r="E23" s="30" t="s">
        <v>230</v>
      </c>
    </row>
    <row r="24" spans="3:5">
      <c r="C24" s="29">
        <v>19</v>
      </c>
      <c r="D24" s="30" t="s">
        <v>231</v>
      </c>
      <c r="E24" s="30" t="s">
        <v>227</v>
      </c>
    </row>
    <row r="25" spans="3:5">
      <c r="C25" s="31" t="s">
        <v>232</v>
      </c>
      <c r="D25" s="32" t="s">
        <v>233</v>
      </c>
      <c r="E25" s="32" t="s">
        <v>234</v>
      </c>
    </row>
    <row r="26" spans="3:5">
      <c r="C26" s="31" t="s">
        <v>235</v>
      </c>
      <c r="D26" s="32" t="s">
        <v>236</v>
      </c>
      <c r="E26" s="32" t="s">
        <v>234</v>
      </c>
    </row>
    <row r="27" spans="3:5">
      <c r="C27" s="29">
        <v>21</v>
      </c>
      <c r="D27" s="30" t="s">
        <v>237</v>
      </c>
      <c r="E27" s="30" t="s">
        <v>238</v>
      </c>
    </row>
    <row r="28" spans="3:5">
      <c r="C28" s="29">
        <v>22</v>
      </c>
      <c r="D28" s="30" t="s">
        <v>239</v>
      </c>
      <c r="E28" s="30" t="s">
        <v>240</v>
      </c>
    </row>
    <row r="29" spans="3:5">
      <c r="C29" s="29">
        <v>23</v>
      </c>
      <c r="D29" s="30" t="s">
        <v>241</v>
      </c>
      <c r="E29" s="30" t="s">
        <v>227</v>
      </c>
    </row>
    <row r="30" spans="3:5">
      <c r="C30" s="29">
        <v>24</v>
      </c>
      <c r="D30" s="30" t="s">
        <v>242</v>
      </c>
      <c r="E30" s="30" t="s">
        <v>227</v>
      </c>
    </row>
    <row r="31" spans="3:5">
      <c r="C31" s="29">
        <v>25</v>
      </c>
      <c r="D31" s="30" t="s">
        <v>243</v>
      </c>
      <c r="E31" s="30" t="s">
        <v>238</v>
      </c>
    </row>
    <row r="32" spans="3:5">
      <c r="C32" s="29">
        <v>26</v>
      </c>
      <c r="D32" s="30" t="s">
        <v>244</v>
      </c>
      <c r="E32" s="30" t="s">
        <v>206</v>
      </c>
    </row>
    <row r="33" spans="3:5">
      <c r="C33" s="29">
        <v>27</v>
      </c>
      <c r="D33" s="30" t="s">
        <v>245</v>
      </c>
      <c r="E33" s="30" t="s">
        <v>224</v>
      </c>
    </row>
    <row r="34" spans="3:5">
      <c r="C34" s="29">
        <v>28</v>
      </c>
      <c r="D34" s="30" t="s">
        <v>246</v>
      </c>
      <c r="E34" s="30" t="s">
        <v>230</v>
      </c>
    </row>
    <row r="35" spans="3:5">
      <c r="C35" s="29">
        <v>29</v>
      </c>
      <c r="D35" s="30" t="s">
        <v>247</v>
      </c>
      <c r="E35" s="30" t="s">
        <v>240</v>
      </c>
    </row>
    <row r="36" spans="3:5">
      <c r="C36" s="29">
        <v>30</v>
      </c>
      <c r="D36" s="30" t="s">
        <v>248</v>
      </c>
      <c r="E36" s="30" t="s">
        <v>218</v>
      </c>
    </row>
    <row r="37" spans="3:5">
      <c r="C37" s="29">
        <v>31</v>
      </c>
      <c r="D37" s="30" t="s">
        <v>249</v>
      </c>
      <c r="E37" s="30" t="s">
        <v>218</v>
      </c>
    </row>
    <row r="38" spans="3:5">
      <c r="C38" s="29">
        <v>32</v>
      </c>
      <c r="D38" s="30" t="s">
        <v>250</v>
      </c>
      <c r="E38" s="30" t="s">
        <v>218</v>
      </c>
    </row>
    <row r="39" spans="3:5">
      <c r="C39" s="29">
        <v>33</v>
      </c>
      <c r="D39" s="30" t="s">
        <v>251</v>
      </c>
      <c r="E39" s="30" t="s">
        <v>227</v>
      </c>
    </row>
    <row r="40" spans="3:5">
      <c r="C40" s="29">
        <v>34</v>
      </c>
      <c r="D40" s="30" t="s">
        <v>252</v>
      </c>
      <c r="E40" s="30" t="s">
        <v>218</v>
      </c>
    </row>
    <row r="41" spans="3:5">
      <c r="C41" s="29">
        <v>35</v>
      </c>
      <c r="D41" s="30" t="s">
        <v>253</v>
      </c>
      <c r="E41" s="30" t="s">
        <v>240</v>
      </c>
    </row>
    <row r="42" spans="3:5">
      <c r="C42" s="29">
        <v>36</v>
      </c>
      <c r="D42" s="30" t="s">
        <v>254</v>
      </c>
      <c r="E42" s="30" t="s">
        <v>230</v>
      </c>
    </row>
    <row r="43" spans="3:5">
      <c r="C43" s="29">
        <v>37</v>
      </c>
      <c r="D43" s="30" t="s">
        <v>255</v>
      </c>
      <c r="E43" s="30" t="s">
        <v>230</v>
      </c>
    </row>
    <row r="44" spans="3:5">
      <c r="C44" s="29">
        <v>38</v>
      </c>
      <c r="D44" s="30" t="s">
        <v>256</v>
      </c>
      <c r="E44" s="30" t="s">
        <v>206</v>
      </c>
    </row>
    <row r="45" spans="3:5">
      <c r="C45" s="29">
        <v>39</v>
      </c>
      <c r="D45" s="30" t="s">
        <v>257</v>
      </c>
      <c r="E45" s="30" t="s">
        <v>238</v>
      </c>
    </row>
    <row r="46" spans="3:5">
      <c r="C46" s="29">
        <v>40</v>
      </c>
      <c r="D46" s="30" t="s">
        <v>258</v>
      </c>
      <c r="E46" s="30" t="s">
        <v>227</v>
      </c>
    </row>
    <row r="47" spans="3:5">
      <c r="C47" s="29">
        <v>41</v>
      </c>
      <c r="D47" s="30" t="s">
        <v>259</v>
      </c>
      <c r="E47" s="30" t="s">
        <v>230</v>
      </c>
    </row>
    <row r="48" spans="3:5">
      <c r="C48" s="29">
        <v>42</v>
      </c>
      <c r="D48" s="30" t="s">
        <v>260</v>
      </c>
      <c r="E48" s="30" t="s">
        <v>206</v>
      </c>
    </row>
    <row r="49" spans="3:5">
      <c r="C49" s="29">
        <v>43</v>
      </c>
      <c r="D49" s="30" t="s">
        <v>261</v>
      </c>
      <c r="E49" s="30" t="s">
        <v>206</v>
      </c>
    </row>
    <row r="50" spans="3:5">
      <c r="C50" s="29">
        <v>44</v>
      </c>
      <c r="D50" s="30" t="s">
        <v>262</v>
      </c>
      <c r="E50" s="30" t="s">
        <v>263</v>
      </c>
    </row>
    <row r="51" spans="3:5">
      <c r="C51" s="29">
        <v>45</v>
      </c>
      <c r="D51" s="30" t="s">
        <v>264</v>
      </c>
      <c r="E51" s="30" t="s">
        <v>230</v>
      </c>
    </row>
    <row r="52" spans="3:5">
      <c r="C52" s="29">
        <v>46</v>
      </c>
      <c r="D52" s="30" t="s">
        <v>265</v>
      </c>
      <c r="E52" s="30" t="s">
        <v>218</v>
      </c>
    </row>
    <row r="53" spans="3:5">
      <c r="C53" s="29">
        <v>47</v>
      </c>
      <c r="D53" s="30" t="s">
        <v>266</v>
      </c>
      <c r="E53" s="30" t="s">
        <v>227</v>
      </c>
    </row>
    <row r="54" spans="3:5">
      <c r="C54" s="29">
        <v>48</v>
      </c>
      <c r="D54" s="30" t="s">
        <v>267</v>
      </c>
      <c r="E54" s="30" t="s">
        <v>218</v>
      </c>
    </row>
    <row r="55" spans="3:5">
      <c r="C55" s="29">
        <v>49</v>
      </c>
      <c r="D55" s="30" t="s">
        <v>268</v>
      </c>
      <c r="E55" s="30" t="s">
        <v>263</v>
      </c>
    </row>
    <row r="56" spans="3:5">
      <c r="C56" s="29">
        <v>50</v>
      </c>
      <c r="D56" s="30" t="s">
        <v>269</v>
      </c>
      <c r="E56" s="30" t="s">
        <v>224</v>
      </c>
    </row>
    <row r="57" spans="3:5">
      <c r="C57" s="29">
        <v>51</v>
      </c>
      <c r="D57" s="30" t="s">
        <v>270</v>
      </c>
      <c r="E57" s="30" t="s">
        <v>216</v>
      </c>
    </row>
    <row r="58" spans="3:5">
      <c r="C58" s="29">
        <v>52</v>
      </c>
      <c r="D58" s="30" t="s">
        <v>271</v>
      </c>
      <c r="E58" s="30" t="s">
        <v>216</v>
      </c>
    </row>
    <row r="59" spans="3:5">
      <c r="C59" s="29">
        <v>53</v>
      </c>
      <c r="D59" s="30" t="s">
        <v>272</v>
      </c>
      <c r="E59" s="30" t="s">
        <v>263</v>
      </c>
    </row>
    <row r="60" spans="3:5">
      <c r="C60" s="29">
        <v>54</v>
      </c>
      <c r="D60" s="30" t="s">
        <v>273</v>
      </c>
      <c r="E60" s="30" t="s">
        <v>216</v>
      </c>
    </row>
    <row r="61" spans="3:5">
      <c r="C61" s="29">
        <v>55</v>
      </c>
      <c r="D61" s="30" t="s">
        <v>274</v>
      </c>
      <c r="E61" s="30" t="s">
        <v>216</v>
      </c>
    </row>
    <row r="62" spans="3:5">
      <c r="C62" s="29">
        <v>56</v>
      </c>
      <c r="D62" s="30" t="s">
        <v>275</v>
      </c>
      <c r="E62" s="30" t="s">
        <v>240</v>
      </c>
    </row>
    <row r="63" spans="3:5">
      <c r="C63" s="29">
        <v>57</v>
      </c>
      <c r="D63" s="30" t="s">
        <v>276</v>
      </c>
      <c r="E63" s="30" t="s">
        <v>216</v>
      </c>
    </row>
    <row r="64" spans="3:5">
      <c r="C64" s="29">
        <v>58</v>
      </c>
      <c r="D64" s="30" t="s">
        <v>277</v>
      </c>
      <c r="E64" s="30" t="s">
        <v>238</v>
      </c>
    </row>
    <row r="65" spans="3:5">
      <c r="C65" s="29">
        <v>59</v>
      </c>
      <c r="D65" s="30" t="s">
        <v>278</v>
      </c>
      <c r="E65" s="30" t="s">
        <v>208</v>
      </c>
    </row>
    <row r="66" spans="3:5">
      <c r="C66" s="29">
        <v>60</v>
      </c>
      <c r="D66" s="30" t="s">
        <v>279</v>
      </c>
      <c r="E66" s="30" t="s">
        <v>208</v>
      </c>
    </row>
    <row r="67" spans="3:5">
      <c r="C67" s="29">
        <v>61</v>
      </c>
      <c r="D67" s="30" t="s">
        <v>280</v>
      </c>
      <c r="E67" s="30" t="s">
        <v>224</v>
      </c>
    </row>
    <row r="68" spans="3:5">
      <c r="C68" s="29">
        <v>62</v>
      </c>
      <c r="D68" s="30" t="s">
        <v>281</v>
      </c>
      <c r="E68" s="30" t="s">
        <v>208</v>
      </c>
    </row>
    <row r="69" spans="3:5">
      <c r="C69" s="29">
        <v>63</v>
      </c>
      <c r="D69" s="30" t="s">
        <v>282</v>
      </c>
      <c r="E69" s="30" t="s">
        <v>206</v>
      </c>
    </row>
    <row r="70" spans="3:5">
      <c r="C70" s="29">
        <v>64</v>
      </c>
      <c r="D70" s="30" t="s">
        <v>283</v>
      </c>
      <c r="E70" s="30" t="s">
        <v>227</v>
      </c>
    </row>
    <row r="71" spans="3:5">
      <c r="C71" s="29">
        <v>65</v>
      </c>
      <c r="D71" s="30" t="s">
        <v>284</v>
      </c>
      <c r="E71" s="30" t="s">
        <v>218</v>
      </c>
    </row>
    <row r="72" spans="3:5">
      <c r="C72" s="29">
        <v>66</v>
      </c>
      <c r="D72" s="30" t="s">
        <v>285</v>
      </c>
      <c r="E72" s="30" t="s">
        <v>218</v>
      </c>
    </row>
    <row r="73" spans="3:5">
      <c r="C73" s="29">
        <v>67</v>
      </c>
      <c r="D73" s="30" t="s">
        <v>286</v>
      </c>
      <c r="E73" s="30" t="s">
        <v>216</v>
      </c>
    </row>
    <row r="74" spans="3:5">
      <c r="C74" s="29">
        <v>68</v>
      </c>
      <c r="D74" s="30" t="s">
        <v>287</v>
      </c>
      <c r="E74" s="30" t="s">
        <v>216</v>
      </c>
    </row>
    <row r="75" spans="3:5">
      <c r="C75" s="29">
        <v>69</v>
      </c>
      <c r="D75" s="30" t="s">
        <v>288</v>
      </c>
      <c r="E75" s="30" t="s">
        <v>206</v>
      </c>
    </row>
    <row r="76" spans="3:5">
      <c r="C76" s="29">
        <v>70</v>
      </c>
      <c r="D76" s="30" t="s">
        <v>289</v>
      </c>
      <c r="E76" s="30" t="s">
        <v>238</v>
      </c>
    </row>
    <row r="77" spans="3:5">
      <c r="C77" s="29">
        <v>71</v>
      </c>
      <c r="D77" s="30" t="s">
        <v>290</v>
      </c>
      <c r="E77" s="30" t="s">
        <v>238</v>
      </c>
    </row>
    <row r="78" spans="3:5">
      <c r="C78" s="29">
        <v>72</v>
      </c>
      <c r="D78" s="30" t="s">
        <v>291</v>
      </c>
      <c r="E78" s="30" t="s">
        <v>263</v>
      </c>
    </row>
    <row r="79" spans="3:5">
      <c r="C79" s="29">
        <v>73</v>
      </c>
      <c r="D79" s="30" t="s">
        <v>292</v>
      </c>
      <c r="E79" s="30" t="s">
        <v>206</v>
      </c>
    </row>
    <row r="80" spans="3:5">
      <c r="C80" s="29">
        <v>74</v>
      </c>
      <c r="D80" s="30" t="s">
        <v>293</v>
      </c>
      <c r="E80" s="30" t="s">
        <v>206</v>
      </c>
    </row>
    <row r="81" spans="3:5">
      <c r="C81" s="29">
        <v>75</v>
      </c>
      <c r="D81" s="30" t="s">
        <v>138</v>
      </c>
      <c r="E81" s="30" t="s">
        <v>294</v>
      </c>
    </row>
    <row r="82" spans="3:5">
      <c r="C82" s="29">
        <v>76</v>
      </c>
      <c r="D82" s="30" t="s">
        <v>295</v>
      </c>
      <c r="E82" s="30" t="s">
        <v>224</v>
      </c>
    </row>
    <row r="83" spans="3:5">
      <c r="C83" s="29">
        <v>77</v>
      </c>
      <c r="D83" s="30" t="s">
        <v>296</v>
      </c>
      <c r="E83" s="30" t="s">
        <v>294</v>
      </c>
    </row>
    <row r="84" spans="3:5">
      <c r="C84" s="29">
        <v>78</v>
      </c>
      <c r="D84" s="30" t="s">
        <v>297</v>
      </c>
      <c r="E84" s="30" t="s">
        <v>294</v>
      </c>
    </row>
    <row r="85" spans="3:5">
      <c r="C85" s="29">
        <v>79</v>
      </c>
      <c r="D85" s="30" t="s">
        <v>298</v>
      </c>
      <c r="E85" s="30" t="s">
        <v>227</v>
      </c>
    </row>
    <row r="86" spans="3:5">
      <c r="C86" s="29">
        <v>80</v>
      </c>
      <c r="D86" s="30" t="s">
        <v>299</v>
      </c>
      <c r="E86" s="30" t="s">
        <v>208</v>
      </c>
    </row>
    <row r="87" spans="3:5">
      <c r="C87" s="29">
        <v>81</v>
      </c>
      <c r="D87" s="30" t="s">
        <v>300</v>
      </c>
      <c r="E87" s="30" t="s">
        <v>218</v>
      </c>
    </row>
    <row r="88" spans="3:5">
      <c r="C88" s="29">
        <v>82</v>
      </c>
      <c r="D88" s="30" t="s">
        <v>301</v>
      </c>
      <c r="E88" s="30" t="s">
        <v>218</v>
      </c>
    </row>
    <row r="89" spans="3:5">
      <c r="C89" s="29">
        <v>83</v>
      </c>
      <c r="D89" s="30" t="s">
        <v>302</v>
      </c>
      <c r="E89" s="30" t="s">
        <v>211</v>
      </c>
    </row>
    <row r="90" spans="3:5">
      <c r="C90" s="29">
        <v>84</v>
      </c>
      <c r="D90" s="30" t="s">
        <v>303</v>
      </c>
      <c r="E90" s="30" t="s">
        <v>211</v>
      </c>
    </row>
    <row r="91" spans="3:5">
      <c r="C91" s="29">
        <v>85</v>
      </c>
      <c r="D91" s="30" t="s">
        <v>304</v>
      </c>
      <c r="E91" s="30" t="s">
        <v>263</v>
      </c>
    </row>
    <row r="92" spans="3:5">
      <c r="C92" s="29">
        <v>86</v>
      </c>
      <c r="D92" s="30" t="s">
        <v>305</v>
      </c>
      <c r="E92" s="30" t="s">
        <v>227</v>
      </c>
    </row>
    <row r="93" spans="3:5">
      <c r="C93" s="29">
        <v>87</v>
      </c>
      <c r="D93" s="30" t="s">
        <v>306</v>
      </c>
      <c r="E93" s="30" t="s">
        <v>227</v>
      </c>
    </row>
    <row r="94" spans="3:5">
      <c r="C94" s="29">
        <v>88</v>
      </c>
      <c r="D94" s="30" t="s">
        <v>307</v>
      </c>
      <c r="E94" s="30" t="s">
        <v>216</v>
      </c>
    </row>
    <row r="95" spans="3:5">
      <c r="C95" s="29">
        <v>89</v>
      </c>
      <c r="D95" s="30" t="s">
        <v>308</v>
      </c>
      <c r="E95" s="30" t="s">
        <v>238</v>
      </c>
    </row>
    <row r="96" spans="3:5">
      <c r="C96" s="29">
        <v>90</v>
      </c>
      <c r="D96" s="30" t="s">
        <v>309</v>
      </c>
      <c r="E96" s="30" t="s">
        <v>238</v>
      </c>
    </row>
    <row r="97" spans="3:5">
      <c r="C97" s="29">
        <v>91</v>
      </c>
      <c r="D97" s="30" t="s">
        <v>310</v>
      </c>
      <c r="E97" s="30" t="s">
        <v>294</v>
      </c>
    </row>
    <row r="98" spans="3:5">
      <c r="C98" s="29">
        <v>92</v>
      </c>
      <c r="D98" s="30" t="s">
        <v>311</v>
      </c>
      <c r="E98" s="30" t="s">
        <v>294</v>
      </c>
    </row>
    <row r="99" spans="3:5">
      <c r="C99" s="29">
        <v>93</v>
      </c>
      <c r="D99" s="30" t="s">
        <v>312</v>
      </c>
      <c r="E99" s="30" t="s">
        <v>294</v>
      </c>
    </row>
    <row r="100" spans="3:5">
      <c r="C100" s="29">
        <v>94</v>
      </c>
      <c r="D100" s="30" t="s">
        <v>313</v>
      </c>
      <c r="E100" s="30" t="s">
        <v>294</v>
      </c>
    </row>
    <row r="101" spans="3:5">
      <c r="C101" s="29">
        <v>95</v>
      </c>
      <c r="D101" s="30" t="s">
        <v>314</v>
      </c>
      <c r="E101" s="30" t="s">
        <v>294</v>
      </c>
    </row>
    <row r="102" spans="3:5">
      <c r="C102" s="29">
        <v>971</v>
      </c>
      <c r="D102" s="30" t="s">
        <v>315</v>
      </c>
      <c r="E102" s="30" t="s">
        <v>315</v>
      </c>
    </row>
    <row r="103" spans="3:5">
      <c r="C103" s="29">
        <v>972</v>
      </c>
      <c r="D103" s="30" t="s">
        <v>316</v>
      </c>
      <c r="E103" s="30" t="s">
        <v>316</v>
      </c>
    </row>
    <row r="104" spans="3:5">
      <c r="C104" s="29">
        <v>973</v>
      </c>
      <c r="D104" s="30" t="s">
        <v>317</v>
      </c>
      <c r="E104" s="30" t="s">
        <v>317</v>
      </c>
    </row>
    <row r="105" spans="3:5">
      <c r="C105" s="29">
        <v>974</v>
      </c>
      <c r="D105" s="30" t="s">
        <v>318</v>
      </c>
      <c r="E105" s="30" t="s">
        <v>318</v>
      </c>
    </row>
    <row r="106" spans="3:5">
      <c r="C106" s="29">
        <v>976</v>
      </c>
      <c r="D106" s="30" t="s">
        <v>319</v>
      </c>
      <c r="E106" s="30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Tableau recherche</vt:lpstr>
      <vt:lpstr>Présentation</vt:lpstr>
      <vt:lpstr>Feuil1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Kettenmeyer</dc:creator>
  <cp:lastModifiedBy>Guillaume Kettenmeyer</cp:lastModifiedBy>
  <dcterms:created xsi:type="dcterms:W3CDTF">2025-06-30T16:55:03Z</dcterms:created>
  <dcterms:modified xsi:type="dcterms:W3CDTF">2025-10-13T20:42:14Z</dcterms:modified>
</cp:coreProperties>
</file>