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<sst xmlns="http://schemas.openxmlformats.org/spreadsheetml/2006/main" count="98" uniqueCount="98">
  <si>
    <t>Habitants per Km2</t>
  </si>
  <si>
    <t>Area
(km2)</t>
  </si>
  <si>
    <t>Census Population
1 November 2001</t>
  </si>
  <si>
    <t>Census Population
1 November 2011</t>
  </si>
  <si>
    <t>Estimated Population
1 January 2019</t>
  </si>
  <si>
    <t>Alaró</t>
  </si>
  <si>
    <t>Alcúdia</t>
  </si>
  <si>
    <t>Algaida</t>
  </si>
  <si>
    <t>Andratx</t>
  </si>
  <si>
    <t>Ariany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</si>
  <si>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</si>
  <si>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</si>
  <si>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</si>
  <si>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</si>
  <si>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</si>
  <si>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</si>
  <si>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</si>
  <si>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</si>
  <si>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</si>
  <si>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124.9</t>
  </si>
  <si>
    <t>Consell</t>
  </si>
  <si>
    <t>139.4</t>
  </si>
  <si>
    <t>Costitx</t>
  </si>
  <si>
    <t>139.8</t>
  </si>
  <si>
    <t>Deià</t>
  </si>
  <si>
    <t>145.0</t>
  </si>
  <si>
    <t>Escorca</t>
  </si>
  <si>
    <t>149.7</t>
  </si>
  <si>
    <t>Esporles</t>
  </si>
  <si>
    <t>151.7</t>
  </si>
  <si>
    <t>Estellencs</t>
  </si>
  <si>
    <t>169.8</t>
  </si>
  <si>
    <t>Felanitx</t>
  </si>
  <si>
    <t>208.7</t>
  </si>
  <si>
    <t>Fornalutx</t>
  </si>
  <si>
    <t>24.0</t>
  </si>
  <si>
    <t>Inca</t>
  </si>
  <si>
    <t>260.3</t>
  </si>
  <si>
    <t>Lloret de Vistalegre</t>
  </si>
  <si>
    <t>327.3</t>
  </si>
  <si>
    <t>Lloseta</t>
  </si>
  <si>
    <t>34.6</t>
  </si>
  <si>
    <t>Llubí</t>
  </si>
  <si>
    <t>34.9</t>
  </si>
  <si>
    <t>Llucmajor</t>
  </si>
  <si>
    <t>35.3</t>
  </si>
  <si>
    <t>Manacor</t>
  </si>
  <si>
    <t>37.6</t>
  </si>
  <si>
    <t>Mancor de la Vall</t>
  </si>
  <si>
    <t>38.5</t>
  </si>
  <si>
    <t>Maria de la Salut</t>
  </si>
  <si>
    <t>39.1</t>
  </si>
  <si>
    <t>Marratxí</t>
  </si>
  <si>
    <t>41.1</t>
  </si>
  <si>
    <t>Montuïri</t>
  </si>
  <si>
    <t>42.3</t>
  </si>
  <si>
    <t>Muro</t>
  </si>
  <si>
    <t>42.6</t>
  </si>
  <si>
    <t>Palma</t>
  </si>
  <si>
    <t>42.8</t>
  </si>
  <si>
    <t>Petra</t>
  </si>
  <si>
    <t>42.9</t>
  </si>
  <si>
    <t>Pollença</t>
  </si>
  <si>
    <t>45.7</t>
  </si>
  <si>
    <t>Porreres</t>
  </si>
  <si>
    <t>47.7</t>
  </si>
  <si>
    <t>Puigpunyent</t>
  </si>
  <si>
    <t>48.6</t>
  </si>
  <si>
    <t>Santa Eugènia</t>
  </si>
  <si>
    <t>48.8</t>
  </si>
  <si>
    <t>Santa Margalida</t>
  </si>
  <si>
    <t>52.9</t>
  </si>
  <si>
    <t>Santa María del Camí</t>
  </si>
  <si>
    <t>54.2</t>
  </si>
  <si>
    <t>Santanyí</t>
  </si>
  <si>
    <t>54.9</t>
  </si>
  <si>
    <t>Sant Joan</t>
  </si>
  <si>
    <t>58.3</t>
  </si>
  <si>
    <t>Sant Llorenç des Cardassar</t>
  </si>
  <si>
    <t>58.6</t>
  </si>
  <si>
    <t>Sa Pobla</t>
  </si>
  <si>
    <t>60.0</t>
  </si>
  <si>
    <t>Selva</t>
  </si>
  <si>
    <t>70.0</t>
  </si>
  <si>
    <t>Sencelles</t>
  </si>
  <si>
    <t>8.29</t>
  </si>
  <si>
    <t>Ses Salines</t>
  </si>
  <si>
    <t>81.5</t>
  </si>
  <si>
    <t>Sineu</t>
  </si>
  <si>
    <t>82.1</t>
  </si>
  <si>
    <t>Sóller</t>
  </si>
  <si>
    <t>84.7</t>
  </si>
  <si>
    <t>Son Servera</t>
  </si>
  <si>
    <t>86.5</t>
  </si>
  <si>
    <t>Valldemossa</t>
  </si>
  <si>
    <t>86.9</t>
  </si>
  <si>
    <t>Vilafranca de Bonany</t>
  </si>
  <si>
    <t>89.8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</si>
</sst>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4" xfId="0" applyFont="1" applyNumberFormat="1"/>
    <xf borderId="0" fillId="0" fontId="1" numFmtId="164" xfId="0" applyAlignment="1" applyFont="1" applyNumberFormat="1">
      <alignment horizontal="left"/>
    </xf>
    <xf borderId="0" fillId="0" fontId="1" numFmtId="4" xfId="0" applyAlignment="1" applyFont="1" applyNumberForma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IFERROR(__xludf.DUMMYFUNCTION("IMPORTHTML(""https://en.wikipedia.org/wiki/Mallorca"",""table"",5)
"),"Municipality")</f>
        <v>Municipality</v>
      </c>
      <c r="B1" s="1" t="str">
        <f>IFERROR(__xludf.DUMMYFUNCTION("""COMPUTED_VALUE"""),"Area
(km2)")</f>
        <v>Area
(km2)</v>
      </c>
      <c r="C1" s="1" t="str">
        <f>IFERROR(__xludf.DUMMYFUNCTION("""COMPUTED_VALUE"""),"Census Population
1 November 2001")</f>
        <v>Census Population
1 November 2001</v>
      </c>
      <c r="D1" s="1" t="str">
        <f>IFERROR(__xludf.DUMMYFUNCTION("""COMPUTED_VALUE"""),"Census Population
1 November 2011")</f>
        <v>Census Population
1 November 2011</v>
      </c>
      <c r="E1" s="1" t="str">
        <f>IFERROR(__xludf.DUMMYFUNCTION("""COMPUTED_VALUE"""),"Estimated Population
1 January 2019")</f>
        <v>Estimated Population
1 January 2019</v>
      </c>
      <c r="F1" s="2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>
      <c r="A2" s="1" t="str">
        <f>IFERROR(__xludf.DUMMYFUNCTION("""COMPUTED_VALUE"""),"Alaró")</f>
        <v>Alaró</v>
      </c>
      <c r="B2" s="3" t="str">
        <f>IFERROR(__xludf.DUMMYFUNCTION("""COMPUTED_VALUE"""),"45.7")</f>
        <v>45.7</v>
      </c>
      <c r="C2" s="4">
        <f>IFERROR(__xludf.DUMMYFUNCTION("""COMPUTED_VALUE"""),4.05)</f>
        <v>4.05</v>
      </c>
      <c r="D2" s="1">
        <f>IFERROR(__xludf.DUMMYFUNCTION("""COMPUTED_VALUE"""),5.273)</f>
        <v>5.273</v>
      </c>
      <c r="E2" s="1">
        <f>IFERROR(__xludf.DUMMYFUNCTION("""COMPUTED_VALUE"""),5.572)</f>
        <v>5.572</v>
      </c>
      <c r="F2" s="1" t="str">
        <f t="shared" ref="F2:F3" si="1">DIVIDE(B2,C2)</f>
        <v>#VALUE!</v>
      </c>
      <c r="H2" s="1" t="s">
        <v>5</v>
      </c>
      <c r="I2" s="5">
        <v>44938.0</v>
      </c>
      <c r="J2" s="1">
        <v>4.05</v>
      </c>
      <c r="K2" s="1">
        <v>5.273</v>
      </c>
      <c r="L2" s="1">
        <v>5.572</v>
      </c>
    </row>
    <row r="3">
      <c r="A3" s="1" t="str">
        <f>IFERROR(__xludf.DUMMYFUNCTION("""COMPUTED_VALUE"""),"Alcúdia")</f>
        <v>Alcúdia</v>
      </c>
      <c r="B3" s="6" t="str">
        <f>IFERROR(__xludf.DUMMYFUNCTION("""COMPUTED_VALUE"""),"60.0")</f>
        <v>60.0</v>
      </c>
      <c r="C3" s="4">
        <f>IFERROR(__xludf.DUMMYFUNCTION("""COMPUTED_VALUE"""),12.5)</f>
        <v>12.5</v>
      </c>
      <c r="D3" s="1">
        <f>IFERROR(__xludf.DUMMYFUNCTION("""COMPUTED_VALUE"""),18.914)</f>
        <v>18.914</v>
      </c>
      <c r="E3" s="1">
        <f>IFERROR(__xludf.DUMMYFUNCTION("""COMPUTED_VALUE"""),20.241)</f>
        <v>20.241</v>
      </c>
      <c r="F3" s="1" t="str">
        <f t="shared" si="1"/>
        <v>#VALUE!</v>
      </c>
      <c r="H3" s="1" t="s">
        <v>6</v>
      </c>
      <c r="I3" s="5">
        <v>44944.0</v>
      </c>
      <c r="J3" s="1">
        <v>12.5</v>
      </c>
      <c r="K3" s="1">
        <v>18.914</v>
      </c>
      <c r="L3" s="1">
        <v>20.241</v>
      </c>
    </row>
    <row r="4">
      <c r="A4" s="1" t="str">
        <f>IFERROR(__xludf.DUMMYFUNCTION("""COMPUTED_VALUE"""),"Algaida")</f>
        <v>Algaida</v>
      </c>
      <c r="B4" s="6" t="str">
        <f>IFERROR(__xludf.DUMMYFUNCTION("""COMPUTED_VALUE"""),"89.8")</f>
        <v>89.8</v>
      </c>
      <c r="C4" s="4">
        <f>IFERROR(__xludf.DUMMYFUNCTION("""COMPUTED_VALUE"""),3.749)</f>
        <v>3.749</v>
      </c>
      <c r="D4" s="1">
        <f>IFERROR(__xludf.DUMMYFUNCTION("""COMPUTED_VALUE"""),5.272)</f>
        <v>5.272</v>
      </c>
      <c r="E4" s="1">
        <f>IFERROR(__xludf.DUMMYFUNCTION("""COMPUTED_VALUE"""),5.642)</f>
        <v>5.642</v>
      </c>
      <c r="H4" s="1" t="s">
        <v>7</v>
      </c>
      <c r="I4" s="5">
        <v>44949.0</v>
      </c>
      <c r="J4" s="1">
        <v>3.749</v>
      </c>
      <c r="K4" s="1">
        <v>5.272</v>
      </c>
      <c r="L4" s="1">
        <v>5.642</v>
      </c>
    </row>
    <row r="5">
      <c r="A5" s="1" t="str">
        <f>IFERROR(__xludf.DUMMYFUNCTION("""COMPUTED_VALUE"""),"Andratx")</f>
        <v>Andratx</v>
      </c>
      <c r="B5" s="6" t="str">
        <f>IFERROR(__xludf.DUMMYFUNCTION("""COMPUTED_VALUE"""),"81.5")</f>
        <v>81.5</v>
      </c>
      <c r="C5" s="4">
        <f>IFERROR(__xludf.DUMMYFUNCTION("""COMPUTED_VALUE"""),7.753)</f>
        <v>7.753</v>
      </c>
      <c r="D5" s="1">
        <f>IFERROR(__xludf.DUMMYFUNCTION("""COMPUTED_VALUE"""),11.234)</f>
        <v>11.234</v>
      </c>
      <c r="E5" s="1">
        <f>IFERROR(__xludf.DUMMYFUNCTION("""COMPUTED_VALUE"""),11.271)</f>
        <v>11.271</v>
      </c>
      <c r="H5" s="1" t="s">
        <v>8</v>
      </c>
      <c r="I5" s="5">
        <v>44972.0</v>
      </c>
      <c r="J5" s="1">
        <v>7.753</v>
      </c>
      <c r="K5" s="1">
        <v>11.234</v>
      </c>
      <c r="L5" s="1">
        <v>11.271</v>
      </c>
    </row>
    <row r="6">
      <c r="A6" s="1" t="str">
        <f>IFERROR(__xludf.DUMMYFUNCTION("""COMPUTED_VALUE"""),"Ariany")</f>
        <v>Ariany</v>
      </c>
      <c r="B6" s="6">
        <f>IFERROR(__xludf.DUMMYFUNCTION("""COMPUTED_VALUE"""),44949.0)</f>
        <v>44949</v>
      </c>
      <c r="C6" s="4">
        <f>IFERROR(__xludf.DUMMYFUNCTION("""COMPUTED_VALUE"""),766.0)</f>
        <v>766</v>
      </c>
      <c r="D6" s="1">
        <f>IFERROR(__xludf.DUMMYFUNCTION("""COMPUTED_VALUE"""),892.0)</f>
        <v>892</v>
      </c>
      <c r="E6" s="1">
        <f>IFERROR(__xludf.DUMMYFUNCTION("""COMPUTED_VALUE"""),868.0)</f>
        <v>868</v>
      </c>
      <c r="H6" s="1" t="s">
        <v>9</v>
      </c>
      <c r="I6" s="5">
        <v>45005.0</v>
      </c>
      <c r="J6" s="1">
        <v>766.0</v>
      </c>
      <c r="K6" s="1">
        <v>892.0</v>
      </c>
      <c r="L6" s="1">
        <v>868.0</v>
      </c>
    </row>
    <row r="7">
      <c r="A7" s="1" t="str">
        <f>IFERROR(__xludf.DUMMYFUNCTION("""COMPUTED_VALUE"""),"Artà")</f>
        <v>Artà</v>
      </c>
      <c r="B7" s="6" t="str">
        <f>IFERROR(__xludf.DUMMYFUNCTION("""COMPUTED_VALUE"""),"139.8")</f>
        <v>139.8</v>
      </c>
      <c r="C7" s="4">
        <f>IFERROR(__xludf.DUMMYFUNCTION("""COMPUTED_VALUE"""),6.176)</f>
        <v>6.176</v>
      </c>
      <c r="D7" s="1">
        <f>IFERROR(__xludf.DUMMYFUNCTION("""COMPUTED_VALUE"""),7.562)</f>
        <v>7.562</v>
      </c>
      <c r="E7" s="1">
        <f>IFERROR(__xludf.DUMMYFUNCTION("""COMPUTED_VALUE"""),7.845)</f>
        <v>7.845</v>
      </c>
      <c r="H7" s="1" t="s">
        <v>10</v>
      </c>
      <c r="I7" s="5">
        <v>45029.0</v>
      </c>
      <c r="J7" s="1">
        <v>6.176</v>
      </c>
      <c r="K7" s="1">
        <v>7.562</v>
      </c>
      <c r="L7" s="1">
        <v>7.845</v>
      </c>
    </row>
    <row r="8">
      <c r="A8" s="1" t="str">
        <f>IFERROR(__xludf.DUMMYFUNCTION("""COMPUTED_VALUE"""),"Banyalbufar")</f>
        <v>Banyalbufar</v>
      </c>
      <c r="B8" s="6">
        <f>IFERROR(__xludf.DUMMYFUNCTION("""COMPUTED_VALUE"""),44944.0)</f>
        <v>44944</v>
      </c>
      <c r="C8" s="4">
        <f>IFERROR(__xludf.DUMMYFUNCTION("""COMPUTED_VALUE"""),517.0)</f>
        <v>517</v>
      </c>
      <c r="D8" s="1">
        <f>IFERROR(__xludf.DUMMYFUNCTION("""COMPUTED_VALUE"""),559.0)</f>
        <v>559</v>
      </c>
      <c r="E8" s="1">
        <f>IFERROR(__xludf.DUMMYFUNCTION("""COMPUTED_VALUE"""),515.0)</f>
        <v>515</v>
      </c>
      <c r="H8" s="1" t="s">
        <v>11</v>
      </c>
      <c r="I8" s="5">
        <v>45031.0</v>
      </c>
      <c r="J8" s="1">
        <v>517.0</v>
      </c>
      <c r="K8" s="1">
        <v>559.0</v>
      </c>
      <c r="L8" s="1">
        <v>515.0</v>
      </c>
    </row>
    <row r="9">
      <c r="A9" s="1" t="str">
        <f>IFERROR(__xludf.DUMMYFUNCTION("""COMPUTED_VALUE"""),"Binissalem")</f>
        <v>Binissalem</v>
      </c>
      <c r="B9" s="6">
        <f>IFERROR(__xludf.DUMMYFUNCTION("""COMPUTED_VALUE"""),45167.0)</f>
        <v>45167</v>
      </c>
      <c r="C9" s="4">
        <f>IFERROR(__xludf.DUMMYFUNCTION("""COMPUTED_VALUE"""),5.166)</f>
        <v>5.166</v>
      </c>
      <c r="D9" s="1">
        <f>IFERROR(__xludf.DUMMYFUNCTION("""COMPUTED_VALUE"""),7.64)</f>
        <v>7.64</v>
      </c>
      <c r="E9" s="1">
        <f>IFERROR(__xludf.DUMMYFUNCTION("""COMPUTED_VALUE"""),8.567)</f>
        <v>8.567</v>
      </c>
      <c r="H9" s="1" t="s">
        <v>12</v>
      </c>
      <c r="I9" s="5">
        <v>45033.0</v>
      </c>
      <c r="J9" s="1">
        <v>5.166</v>
      </c>
      <c r="K9" s="1">
        <v>7.64</v>
      </c>
      <c r="L9" s="1">
        <v>8.567</v>
      </c>
    </row>
    <row r="10">
      <c r="A10" s="1" t="str">
        <f>IFERROR(__xludf.DUMMYFUNCTION("""COMPUTED_VALUE"""),"Búger")</f>
        <v>Búger</v>
      </c>
      <c r="B10" s="6" t="str">
        <f>IFERROR(__xludf.DUMMYFUNCTION("""COMPUTED_VALUE"""),"8.29")</f>
        <v>8.29</v>
      </c>
      <c r="C10" s="4">
        <f>IFERROR(__xludf.DUMMYFUNCTION("""COMPUTED_VALUE"""),950.0)</f>
        <v>950</v>
      </c>
      <c r="D10" s="1">
        <f>IFERROR(__xludf.DUMMYFUNCTION("""COMPUTED_VALUE"""),1.014)</f>
        <v>1.014</v>
      </c>
      <c r="E10" s="1">
        <f>IFERROR(__xludf.DUMMYFUNCTION("""COMPUTED_VALUE"""),1.05)</f>
        <v>1.05</v>
      </c>
      <c r="H10" s="1" t="s">
        <v>13</v>
      </c>
      <c r="I10" s="5">
        <v>45065.0</v>
      </c>
      <c r="J10" s="1">
        <v>950.0</v>
      </c>
      <c r="K10" s="1">
        <v>1.014</v>
      </c>
      <c r="L10" s="1">
        <v>1.05</v>
      </c>
    </row>
    <row r="11">
      <c r="A11" s="1" t="str">
        <f>IFERROR(__xludf.DUMMYFUNCTION("""COMPUTED_VALUE"""),"Bunyola")</f>
        <v>Bunyola</v>
      </c>
      <c r="B11" s="6" t="str">
        <f>IFERROR(__xludf.DUMMYFUNCTION("""COMPUTED_VALUE"""),"84.7")</f>
        <v>84.7</v>
      </c>
      <c r="C11" s="4">
        <f>IFERROR(__xludf.DUMMYFUNCTION("""COMPUTED_VALUE"""),5.029)</f>
        <v>5.029</v>
      </c>
      <c r="D11" s="1">
        <f>IFERROR(__xludf.DUMMYFUNCTION("""COMPUTED_VALUE"""),6.27)</f>
        <v>6.27</v>
      </c>
      <c r="E11" s="1">
        <f>IFERROR(__xludf.DUMMYFUNCTION("""COMPUTED_VALUE"""),6.809)</f>
        <v>6.809</v>
      </c>
      <c r="H11" s="1" t="s">
        <v>14</v>
      </c>
      <c r="I11" s="5">
        <v>45076.0</v>
      </c>
      <c r="J11" s="1">
        <v>5.029</v>
      </c>
      <c r="K11" s="1">
        <v>6.27</v>
      </c>
      <c r="L11" s="1">
        <v>6.809</v>
      </c>
    </row>
    <row r="12">
      <c r="A12" s="1" t="str">
        <f>IFERROR(__xludf.DUMMYFUNCTION("""COMPUTED_VALUE"""),"Calvià")</f>
        <v>Calvià</v>
      </c>
      <c r="B12" s="6" t="str">
        <f>IFERROR(__xludf.DUMMYFUNCTION("""COMPUTED_VALUE"""),"145.0")</f>
        <v>145.0</v>
      </c>
      <c r="C12" s="4">
        <f>IFERROR(__xludf.DUMMYFUNCTION("""COMPUTED_VALUE"""),35.977)</f>
        <v>35.977</v>
      </c>
      <c r="D12" s="1">
        <f>IFERROR(__xludf.DUMMYFUNCTION("""COMPUTED_VALUE"""),49.807)</f>
        <v>49.807</v>
      </c>
      <c r="E12" s="1">
        <f>IFERROR(__xludf.DUMMYFUNCTION("""COMPUTED_VALUE"""),50.559)</f>
        <v>50.559</v>
      </c>
      <c r="H12" s="1" t="s">
        <v>15</v>
      </c>
      <c r="I12" s="5">
        <v>45120.0</v>
      </c>
      <c r="J12" s="1">
        <v>35.977</v>
      </c>
      <c r="K12" s="1">
        <v>49.807</v>
      </c>
      <c r="L12" s="1">
        <v>50.559</v>
      </c>
    </row>
    <row r="13">
      <c r="A13" s="1" t="str">
        <f>IFERROR(__xludf.DUMMYFUNCTION("""COMPUTED_VALUE"""),"Campanet")</f>
        <v>Campanet</v>
      </c>
      <c r="B13" s="6" t="str">
        <f>IFERROR(__xludf.DUMMYFUNCTION("""COMPUTED_VALUE"""),"34.6")</f>
        <v>34.6</v>
      </c>
      <c r="C13" s="4">
        <f>IFERROR(__xludf.DUMMYFUNCTION("""COMPUTED_VALUE"""),2.309)</f>
        <v>2.309</v>
      </c>
      <c r="D13" s="1">
        <f>IFERROR(__xludf.DUMMYFUNCTION("""COMPUTED_VALUE"""),2.536)</f>
        <v>2.536</v>
      </c>
      <c r="E13" s="1">
        <f>IFERROR(__xludf.DUMMYFUNCTION("""COMPUTED_VALUE"""),2.64)</f>
        <v>2.64</v>
      </c>
      <c r="H13" s="1" t="s">
        <v>16</v>
      </c>
      <c r="I13" s="5">
        <v>45167.0</v>
      </c>
      <c r="J13" s="1">
        <v>2.309</v>
      </c>
      <c r="K13" s="1">
        <v>2.536</v>
      </c>
      <c r="L13" s="1">
        <v>2.64</v>
      </c>
    </row>
    <row r="14">
      <c r="A14" s="1" t="str">
        <f>IFERROR(__xludf.DUMMYFUNCTION("""COMPUTED_VALUE"""),"Campos")</f>
        <v>Campos</v>
      </c>
      <c r="B14" s="6" t="str">
        <f>IFERROR(__xludf.DUMMYFUNCTION("""COMPUTED_VALUE"""),"149.7")</f>
        <v>149.7</v>
      </c>
      <c r="C14" s="4">
        <f>IFERROR(__xludf.DUMMYFUNCTION("""COMPUTED_VALUE"""),6.36)</f>
        <v>6.36</v>
      </c>
      <c r="D14" s="1">
        <f>IFERROR(__xludf.DUMMYFUNCTION("""COMPUTED_VALUE"""),9.712)</f>
        <v>9.712</v>
      </c>
      <c r="E14" s="1">
        <f>IFERROR(__xludf.DUMMYFUNCTION("""COMPUTED_VALUE"""),10.862)</f>
        <v>10.862</v>
      </c>
      <c r="H14" s="1" t="s">
        <v>17</v>
      </c>
      <c r="I14" s="5">
        <v>45188.0</v>
      </c>
      <c r="J14" s="1">
        <v>6.36</v>
      </c>
      <c r="K14" s="1">
        <v>9.712</v>
      </c>
      <c r="L14" s="1">
        <v>10.862</v>
      </c>
    </row>
    <row r="15">
      <c r="A15" s="1" t="str">
        <f>IFERROR(__xludf.DUMMYFUNCTION("""COMPUTED_VALUE"""),"Capdepera")</f>
        <v>Capdepera</v>
      </c>
      <c r="B15" s="6" t="str">
        <f>IFERROR(__xludf.DUMMYFUNCTION("""COMPUTED_VALUE"""),"54.9")</f>
        <v>54.9</v>
      </c>
      <c r="C15" s="4">
        <f>IFERROR(__xludf.DUMMYFUNCTION("""COMPUTED_VALUE"""),8.239)</f>
        <v>8.239</v>
      </c>
      <c r="D15" s="1">
        <f>IFERROR(__xludf.DUMMYFUNCTION("""COMPUTED_VALUE"""),11.281)</f>
        <v>11.281</v>
      </c>
      <c r="E15" s="1">
        <f>IFERROR(__xludf.DUMMYFUNCTION("""COMPUTED_VALUE"""),11.868)</f>
        <v>11.868</v>
      </c>
      <c r="H15" s="1" t="s">
        <v>18</v>
      </c>
      <c r="I15" s="7" t="s">
        <v>19</v>
      </c>
      <c r="J15" s="1">
        <v>8.239</v>
      </c>
      <c r="K15" s="1">
        <v>11.281</v>
      </c>
      <c r="L15" s="1">
        <v>11.868</v>
      </c>
    </row>
    <row r="16">
      <c r="A16" s="1" t="str">
        <f>IFERROR(__xludf.DUMMYFUNCTION("""COMPUTED_VALUE"""),"Consell")</f>
        <v>Consell</v>
      </c>
      <c r="B16" s="6">
        <f>IFERROR(__xludf.DUMMYFUNCTION("""COMPUTED_VALUE"""),45120.0)</f>
        <v>45120</v>
      </c>
      <c r="C16" s="4">
        <f>IFERROR(__xludf.DUMMYFUNCTION("""COMPUTED_VALUE"""),2.407)</f>
        <v>2.407</v>
      </c>
      <c r="D16" s="1">
        <f>IFERROR(__xludf.DUMMYFUNCTION("""COMPUTED_VALUE"""),3.778)</f>
        <v>3.778</v>
      </c>
      <c r="E16" s="1">
        <f>IFERROR(__xludf.DUMMYFUNCTION("""COMPUTED_VALUE"""),4.053)</f>
        <v>4.053</v>
      </c>
      <c r="H16" s="1" t="s">
        <v>20</v>
      </c>
      <c r="I16" s="7" t="s">
        <v>21</v>
      </c>
      <c r="J16" s="1">
        <v>2.407</v>
      </c>
      <c r="K16" s="1">
        <v>3.778</v>
      </c>
      <c r="L16" s="1">
        <v>4.053</v>
      </c>
    </row>
    <row r="17">
      <c r="A17" s="1" t="str">
        <f>IFERROR(__xludf.DUMMYFUNCTION("""COMPUTED_VALUE"""),"Costitx")</f>
        <v>Costitx</v>
      </c>
      <c r="B17" s="6">
        <f>IFERROR(__xludf.DUMMYFUNCTION("""COMPUTED_VALUE"""),45031.0)</f>
        <v>45031</v>
      </c>
      <c r="C17" s="4">
        <f>IFERROR(__xludf.DUMMYFUNCTION("""COMPUTED_VALUE"""),924.0)</f>
        <v>924</v>
      </c>
      <c r="D17" s="1">
        <f>IFERROR(__xludf.DUMMYFUNCTION("""COMPUTED_VALUE"""),1.113)</f>
        <v>1.113</v>
      </c>
      <c r="E17" s="1">
        <f>IFERROR(__xludf.DUMMYFUNCTION("""COMPUTED_VALUE"""),1.288)</f>
        <v>1.288</v>
      </c>
      <c r="H17" s="1" t="s">
        <v>22</v>
      </c>
      <c r="I17" s="7" t="s">
        <v>23</v>
      </c>
      <c r="J17" s="1">
        <v>924.0</v>
      </c>
      <c r="K17" s="1">
        <v>1.113</v>
      </c>
      <c r="L17" s="1">
        <v>1.288</v>
      </c>
    </row>
    <row r="18">
      <c r="A18" s="1" t="str">
        <f>IFERROR(__xludf.DUMMYFUNCTION("""COMPUTED_VALUE"""),"Deià")</f>
        <v>Deià</v>
      </c>
      <c r="B18" s="6">
        <f>IFERROR(__xludf.DUMMYFUNCTION("""COMPUTED_VALUE"""),44972.0)</f>
        <v>44972</v>
      </c>
      <c r="C18" s="4">
        <f>IFERROR(__xludf.DUMMYFUNCTION("""COMPUTED_VALUE"""),654.0)</f>
        <v>654</v>
      </c>
      <c r="D18" s="1">
        <f>IFERROR(__xludf.DUMMYFUNCTION("""COMPUTED_VALUE"""),684.0)</f>
        <v>684</v>
      </c>
      <c r="E18" s="1">
        <f>IFERROR(__xludf.DUMMYFUNCTION("""COMPUTED_VALUE"""),617.0)</f>
        <v>617</v>
      </c>
      <c r="H18" s="1" t="s">
        <v>24</v>
      </c>
      <c r="I18" s="7" t="s">
        <v>25</v>
      </c>
      <c r="J18" s="1">
        <v>654.0</v>
      </c>
      <c r="K18" s="1">
        <v>684.0</v>
      </c>
      <c r="L18" s="1">
        <v>617.0</v>
      </c>
    </row>
    <row r="19">
      <c r="A19" s="1" t="str">
        <f>IFERROR(__xludf.DUMMYFUNCTION("""COMPUTED_VALUE"""),"Escorca")</f>
        <v>Escorca</v>
      </c>
      <c r="B19" s="6" t="str">
        <f>IFERROR(__xludf.DUMMYFUNCTION("""COMPUTED_VALUE"""),"139.4")</f>
        <v>139.4</v>
      </c>
      <c r="C19" s="4">
        <f>IFERROR(__xludf.DUMMYFUNCTION("""COMPUTED_VALUE"""),257.0)</f>
        <v>257</v>
      </c>
      <c r="D19" s="1">
        <f>IFERROR(__xludf.DUMMYFUNCTION("""COMPUTED_VALUE"""),258.0)</f>
        <v>258</v>
      </c>
      <c r="E19" s="1">
        <f>IFERROR(__xludf.DUMMYFUNCTION("""COMPUTED_VALUE"""),212.0)</f>
        <v>212</v>
      </c>
      <c r="H19" s="1" t="s">
        <v>26</v>
      </c>
      <c r="I19" s="7" t="s">
        <v>27</v>
      </c>
      <c r="J19" s="1">
        <v>257.0</v>
      </c>
      <c r="K19" s="1">
        <v>258.0</v>
      </c>
      <c r="L19" s="1">
        <v>212.0</v>
      </c>
    </row>
    <row r="20">
      <c r="A20" s="1" t="str">
        <f>IFERROR(__xludf.DUMMYFUNCTION("""COMPUTED_VALUE"""),"Esporles")</f>
        <v>Esporles</v>
      </c>
      <c r="B20" s="6" t="str">
        <f>IFERROR(__xludf.DUMMYFUNCTION("""COMPUTED_VALUE"""),"35.3")</f>
        <v>35.3</v>
      </c>
      <c r="C20" s="4">
        <f>IFERROR(__xludf.DUMMYFUNCTION("""COMPUTED_VALUE"""),4.066)</f>
        <v>4.066</v>
      </c>
      <c r="D20" s="1">
        <f>IFERROR(__xludf.DUMMYFUNCTION("""COMPUTED_VALUE"""),4.845)</f>
        <v>4.845</v>
      </c>
      <c r="E20" s="1">
        <f>IFERROR(__xludf.DUMMYFUNCTION("""COMPUTED_VALUE"""),5.062)</f>
        <v>5.062</v>
      </c>
      <c r="H20" s="1" t="s">
        <v>28</v>
      </c>
      <c r="I20" s="7" t="s">
        <v>29</v>
      </c>
      <c r="J20" s="1">
        <v>4.066</v>
      </c>
      <c r="K20" s="1">
        <v>4.845</v>
      </c>
      <c r="L20" s="1">
        <v>5.062</v>
      </c>
    </row>
    <row r="21">
      <c r="A21" s="1" t="str">
        <f>IFERROR(__xludf.DUMMYFUNCTION("""COMPUTED_VALUE"""),"Estellencs")</f>
        <v>Estellencs</v>
      </c>
      <c r="B21" s="6">
        <f>IFERROR(__xludf.DUMMYFUNCTION("""COMPUTED_VALUE"""),45029.0)</f>
        <v>45029</v>
      </c>
      <c r="C21" s="4">
        <f>IFERROR(__xludf.DUMMYFUNCTION("""COMPUTED_VALUE"""),347.0)</f>
        <v>347</v>
      </c>
      <c r="D21" s="1">
        <f>IFERROR(__xludf.DUMMYFUNCTION("""COMPUTED_VALUE"""),363.0)</f>
        <v>363</v>
      </c>
      <c r="E21" s="1">
        <f>IFERROR(__xludf.DUMMYFUNCTION("""COMPUTED_VALUE"""),315.0)</f>
        <v>315</v>
      </c>
      <c r="H21" s="1" t="s">
        <v>30</v>
      </c>
      <c r="I21" s="7" t="s">
        <v>31</v>
      </c>
      <c r="J21" s="1">
        <v>347.0</v>
      </c>
      <c r="K21" s="1">
        <v>363.0</v>
      </c>
      <c r="L21" s="1">
        <v>315.0</v>
      </c>
    </row>
    <row r="22">
      <c r="A22" s="1" t="str">
        <f>IFERROR(__xludf.DUMMYFUNCTION("""COMPUTED_VALUE"""),"Felanitx")</f>
        <v>Felanitx</v>
      </c>
      <c r="B22" s="6" t="str">
        <f>IFERROR(__xludf.DUMMYFUNCTION("""COMPUTED_VALUE"""),"169.8")</f>
        <v>169.8</v>
      </c>
      <c r="C22" s="4">
        <f>IFERROR(__xludf.DUMMYFUNCTION("""COMPUTED_VALUE"""),14.882)</f>
        <v>14.882</v>
      </c>
      <c r="D22" s="1">
        <f>IFERROR(__xludf.DUMMYFUNCTION("""COMPUTED_VALUE"""),18.045)</f>
        <v>18.045</v>
      </c>
      <c r="E22" s="1">
        <f>IFERROR(__xludf.DUMMYFUNCTION("""COMPUTED_VALUE"""),17.78)</f>
        <v>17.78</v>
      </c>
      <c r="H22" s="1" t="s">
        <v>32</v>
      </c>
      <c r="I22" s="7" t="s">
        <v>33</v>
      </c>
      <c r="J22" s="1">
        <v>14.882</v>
      </c>
      <c r="K22" s="1">
        <v>18.045</v>
      </c>
      <c r="L22" s="1">
        <v>17.78</v>
      </c>
    </row>
    <row r="23">
      <c r="A23" s="1" t="str">
        <f>IFERROR(__xludf.DUMMYFUNCTION("""COMPUTED_VALUE"""),"Fornalutx")</f>
        <v>Fornalutx</v>
      </c>
      <c r="B23" s="6">
        <f>IFERROR(__xludf.DUMMYFUNCTION("""COMPUTED_VALUE"""),45065.0)</f>
        <v>45065</v>
      </c>
      <c r="C23" s="4">
        <f>IFERROR(__xludf.DUMMYFUNCTION("""COMPUTED_VALUE"""),618.0)</f>
        <v>618</v>
      </c>
      <c r="D23" s="1">
        <f>IFERROR(__xludf.DUMMYFUNCTION("""COMPUTED_VALUE"""),695.0)</f>
        <v>695</v>
      </c>
      <c r="E23" s="1">
        <f>IFERROR(__xludf.DUMMYFUNCTION("""COMPUTED_VALUE"""),660.0)</f>
        <v>660</v>
      </c>
      <c r="H23" s="1" t="s">
        <v>34</v>
      </c>
      <c r="I23" s="1" t="s">
        <v>35</v>
      </c>
      <c r="J23" s="1">
        <v>618.0</v>
      </c>
      <c r="K23" s="1">
        <v>695.0</v>
      </c>
      <c r="L23" s="1">
        <v>660.0</v>
      </c>
    </row>
    <row r="24">
      <c r="A24" s="1" t="str">
        <f>IFERROR(__xludf.DUMMYFUNCTION("""COMPUTED_VALUE"""),"Inca")</f>
        <v>Inca</v>
      </c>
      <c r="B24" s="6" t="str">
        <f>IFERROR(__xludf.DUMMYFUNCTION("""COMPUTED_VALUE"""),"58.3")</f>
        <v>58.3</v>
      </c>
      <c r="C24" s="4">
        <f>IFERROR(__xludf.DUMMYFUNCTION("""COMPUTED_VALUE"""),23.029)</f>
        <v>23.029</v>
      </c>
      <c r="D24" s="1">
        <f>IFERROR(__xludf.DUMMYFUNCTION("""COMPUTED_VALUE"""),30.359)</f>
        <v>30.359</v>
      </c>
      <c r="E24" s="1">
        <f>IFERROR(__xludf.DUMMYFUNCTION("""COMPUTED_VALUE"""),33.319)</f>
        <v>33.319</v>
      </c>
      <c r="H24" s="1" t="s">
        <v>36</v>
      </c>
      <c r="I24" s="7" t="s">
        <v>37</v>
      </c>
      <c r="J24" s="1">
        <v>23.029</v>
      </c>
      <c r="K24" s="1">
        <v>30.359</v>
      </c>
      <c r="L24" s="1">
        <v>33.319</v>
      </c>
    </row>
    <row r="25">
      <c r="A25" s="1" t="str">
        <f>IFERROR(__xludf.DUMMYFUNCTION("""COMPUTED_VALUE"""),"Lloret de Vistalegre")</f>
        <v>Lloret de Vistalegre</v>
      </c>
      <c r="B25" s="6">
        <f>IFERROR(__xludf.DUMMYFUNCTION("""COMPUTED_VALUE"""),45033.0)</f>
        <v>45033</v>
      </c>
      <c r="C25" s="4">
        <f>IFERROR(__xludf.DUMMYFUNCTION("""COMPUTED_VALUE"""),981.0)</f>
        <v>981</v>
      </c>
      <c r="D25" s="1">
        <f>IFERROR(__xludf.DUMMYFUNCTION("""COMPUTED_VALUE"""),1.308)</f>
        <v>1.308</v>
      </c>
      <c r="E25" s="1">
        <f>IFERROR(__xludf.DUMMYFUNCTION("""COMPUTED_VALUE"""),1.372)</f>
        <v>1.372</v>
      </c>
      <c r="H25" s="1" t="s">
        <v>38</v>
      </c>
      <c r="I25" s="7" t="s">
        <v>39</v>
      </c>
      <c r="J25" s="1">
        <v>981.0</v>
      </c>
      <c r="K25" s="1">
        <v>1.308</v>
      </c>
      <c r="L25" s="1">
        <v>1.372</v>
      </c>
    </row>
    <row r="26">
      <c r="A26" s="1" t="str">
        <f>IFERROR(__xludf.DUMMYFUNCTION("""COMPUTED_VALUE"""),"Lloseta")</f>
        <v>Lloseta</v>
      </c>
      <c r="B26" s="6">
        <f>IFERROR(__xludf.DUMMYFUNCTION("""COMPUTED_VALUE"""),44938.0)</f>
        <v>44938</v>
      </c>
      <c r="C26" s="4">
        <f>IFERROR(__xludf.DUMMYFUNCTION("""COMPUTED_VALUE"""),4.76)</f>
        <v>4.76</v>
      </c>
      <c r="D26" s="1">
        <f>IFERROR(__xludf.DUMMYFUNCTION("""COMPUTED_VALUE"""),5.69)</f>
        <v>5.69</v>
      </c>
      <c r="E26" s="1">
        <f>IFERROR(__xludf.DUMMYFUNCTION("""COMPUTED_VALUE"""),5.988)</f>
        <v>5.988</v>
      </c>
      <c r="H26" s="1" t="s">
        <v>40</v>
      </c>
      <c r="I26" s="7" t="s">
        <v>41</v>
      </c>
      <c r="J26" s="1">
        <v>4.76</v>
      </c>
      <c r="K26" s="1">
        <v>5.69</v>
      </c>
      <c r="L26" s="1">
        <v>5.988</v>
      </c>
    </row>
    <row r="27">
      <c r="A27" s="1" t="str">
        <f>IFERROR(__xludf.DUMMYFUNCTION("""COMPUTED_VALUE"""),"Llubí")</f>
        <v>Llubí</v>
      </c>
      <c r="B27" s="6" t="str">
        <f>IFERROR(__xludf.DUMMYFUNCTION("""COMPUTED_VALUE"""),"34.9")</f>
        <v>34.9</v>
      </c>
      <c r="C27" s="4">
        <f>IFERROR(__xludf.DUMMYFUNCTION("""COMPUTED_VALUE"""),1.806)</f>
        <v>1.806</v>
      </c>
      <c r="D27" s="1">
        <f>IFERROR(__xludf.DUMMYFUNCTION("""COMPUTED_VALUE"""),2.235)</f>
        <v>2.235</v>
      </c>
      <c r="E27" s="1">
        <f>IFERROR(__xludf.DUMMYFUNCTION("""COMPUTED_VALUE"""),2.273)</f>
        <v>2.273</v>
      </c>
      <c r="H27" s="1" t="s">
        <v>42</v>
      </c>
      <c r="I27" s="7" t="s">
        <v>43</v>
      </c>
      <c r="J27" s="1">
        <v>1.806</v>
      </c>
      <c r="K27" s="1">
        <v>2.235</v>
      </c>
      <c r="L27" s="1">
        <v>2.273</v>
      </c>
    </row>
    <row r="28">
      <c r="A28" s="1" t="str">
        <f>IFERROR(__xludf.DUMMYFUNCTION("""COMPUTED_VALUE"""),"Llucmajor")</f>
        <v>Llucmajor</v>
      </c>
      <c r="B28" s="6" t="str">
        <f>IFERROR(__xludf.DUMMYFUNCTION("""COMPUTED_VALUE"""),"327.3")</f>
        <v>327.3</v>
      </c>
      <c r="C28" s="4">
        <f>IFERROR(__xludf.DUMMYFUNCTION("""COMPUTED_VALUE"""),24.277)</f>
        <v>24.277</v>
      </c>
      <c r="D28" s="1">
        <f>IFERROR(__xludf.DUMMYFUNCTION("""COMPUTED_VALUE"""),35.995)</f>
        <v>35.995</v>
      </c>
      <c r="E28" s="1">
        <f>IFERROR(__xludf.DUMMYFUNCTION("""COMPUTED_VALUE"""),36.914)</f>
        <v>36.914</v>
      </c>
      <c r="H28" s="1" t="s">
        <v>44</v>
      </c>
      <c r="I28" s="7" t="s">
        <v>45</v>
      </c>
      <c r="J28" s="1">
        <v>24.277</v>
      </c>
      <c r="K28" s="1">
        <v>35.995</v>
      </c>
      <c r="L28" s="1">
        <v>36.914</v>
      </c>
    </row>
    <row r="29">
      <c r="A29" s="1" t="str">
        <f>IFERROR(__xludf.DUMMYFUNCTION("""COMPUTED_VALUE"""),"Manacor")</f>
        <v>Manacor</v>
      </c>
      <c r="B29" s="6" t="str">
        <f>IFERROR(__xludf.DUMMYFUNCTION("""COMPUTED_VALUE"""),"260.3")</f>
        <v>260.3</v>
      </c>
      <c r="C29" s="4">
        <f>IFERROR(__xludf.DUMMYFUNCTION("""COMPUTED_VALUE"""),31.255)</f>
        <v>31.255</v>
      </c>
      <c r="D29" s="1">
        <f>IFERROR(__xludf.DUMMYFUNCTION("""COMPUTED_VALUE"""),40.348)</f>
        <v>40.348</v>
      </c>
      <c r="E29" s="1">
        <f>IFERROR(__xludf.DUMMYFUNCTION("""COMPUTED_VALUE"""),43.808)</f>
        <v>43.808</v>
      </c>
      <c r="H29" s="1" t="s">
        <v>46</v>
      </c>
      <c r="I29" s="7" t="s">
        <v>47</v>
      </c>
      <c r="J29" s="1">
        <v>31.255</v>
      </c>
      <c r="K29" s="1">
        <v>40.348</v>
      </c>
      <c r="L29" s="1">
        <v>43.808</v>
      </c>
    </row>
    <row r="30">
      <c r="A30" s="1" t="str">
        <f>IFERROR(__xludf.DUMMYFUNCTION("""COMPUTED_VALUE"""),"Mancor de la Vall")</f>
        <v>Mancor de la Vall</v>
      </c>
      <c r="B30" s="6">
        <f>IFERROR(__xludf.DUMMYFUNCTION("""COMPUTED_VALUE"""),45188.0)</f>
        <v>45188</v>
      </c>
      <c r="C30" s="4">
        <f>IFERROR(__xludf.DUMMYFUNCTION("""COMPUTED_VALUE"""),892.0)</f>
        <v>892</v>
      </c>
      <c r="D30" s="1">
        <f>IFERROR(__xludf.DUMMYFUNCTION("""COMPUTED_VALUE"""),1.321)</f>
        <v>1.321</v>
      </c>
      <c r="E30" s="1">
        <f>IFERROR(__xludf.DUMMYFUNCTION("""COMPUTED_VALUE"""),1.509)</f>
        <v>1.509</v>
      </c>
      <c r="H30" s="1" t="s">
        <v>48</v>
      </c>
      <c r="I30" s="7" t="s">
        <v>49</v>
      </c>
      <c r="J30" s="1">
        <v>892.0</v>
      </c>
      <c r="K30" s="1">
        <v>1.321</v>
      </c>
      <c r="L30" s="1">
        <v>1.509</v>
      </c>
    </row>
    <row r="31">
      <c r="A31" s="1" t="str">
        <f>IFERROR(__xludf.DUMMYFUNCTION("""COMPUTED_VALUE"""),"Maria de la Salut")</f>
        <v>Maria de la Salut</v>
      </c>
      <c r="B31" s="6">
        <f>IFERROR(__xludf.DUMMYFUNCTION("""COMPUTED_VALUE"""),45076.0)</f>
        <v>45076</v>
      </c>
      <c r="C31" s="4">
        <f>IFERROR(__xludf.DUMMYFUNCTION("""COMPUTED_VALUE"""),1.972)</f>
        <v>1.972</v>
      </c>
      <c r="D31" s="1">
        <f>IFERROR(__xludf.DUMMYFUNCTION("""COMPUTED_VALUE"""),2.122)</f>
        <v>2.122</v>
      </c>
      <c r="E31" s="1">
        <f>IFERROR(__xludf.DUMMYFUNCTION("""COMPUTED_VALUE"""),2.227)</f>
        <v>2.227</v>
      </c>
      <c r="H31" s="1" t="s">
        <v>50</v>
      </c>
      <c r="I31" s="1" t="s">
        <v>51</v>
      </c>
      <c r="J31" s="1">
        <v>1.972</v>
      </c>
      <c r="K31" s="1">
        <v>2.122</v>
      </c>
      <c r="L31" s="1">
        <v>2.227</v>
      </c>
    </row>
    <row r="32">
      <c r="A32" s="1" t="str">
        <f>IFERROR(__xludf.DUMMYFUNCTION("""COMPUTED_VALUE"""),"Marratxí")</f>
        <v>Marratxí</v>
      </c>
      <c r="B32" s="6" t="str">
        <f>IFERROR(__xludf.DUMMYFUNCTION("""COMPUTED_VALUE"""),"54.2")</f>
        <v>54.2</v>
      </c>
      <c r="C32" s="4">
        <f>IFERROR(__xludf.DUMMYFUNCTION("""COMPUTED_VALUE"""),23.41)</f>
        <v>23.41</v>
      </c>
      <c r="D32" s="1">
        <f>IFERROR(__xludf.DUMMYFUNCTION("""COMPUTED_VALUE"""),34.538)</f>
        <v>34.538</v>
      </c>
      <c r="E32" s="1">
        <f>IFERROR(__xludf.DUMMYFUNCTION("""COMPUTED_VALUE"""),37.193)</f>
        <v>37.193</v>
      </c>
      <c r="H32" s="1" t="s">
        <v>52</v>
      </c>
      <c r="I32" s="7" t="s">
        <v>53</v>
      </c>
      <c r="J32" s="1">
        <v>23.41</v>
      </c>
      <c r="K32" s="1">
        <v>34.538</v>
      </c>
      <c r="L32" s="1">
        <v>37.193</v>
      </c>
    </row>
    <row r="33">
      <c r="A33" s="1" t="str">
        <f>IFERROR(__xludf.DUMMYFUNCTION("""COMPUTED_VALUE"""),"Montuïri")</f>
        <v>Montuïri</v>
      </c>
      <c r="B33" s="6" t="str">
        <f>IFERROR(__xludf.DUMMYFUNCTION("""COMPUTED_VALUE"""),"41.1")</f>
        <v>41.1</v>
      </c>
      <c r="C33" s="4">
        <f>IFERROR(__xludf.DUMMYFUNCTION("""COMPUTED_VALUE"""),2.344)</f>
        <v>2.344</v>
      </c>
      <c r="D33" s="1">
        <f>IFERROR(__xludf.DUMMYFUNCTION("""COMPUTED_VALUE"""),2.856)</f>
        <v>2.856</v>
      </c>
      <c r="E33" s="1">
        <f>IFERROR(__xludf.DUMMYFUNCTION("""COMPUTED_VALUE"""),2.912)</f>
        <v>2.912</v>
      </c>
      <c r="H33" s="1" t="s">
        <v>54</v>
      </c>
      <c r="I33" s="7" t="s">
        <v>55</v>
      </c>
      <c r="J33" s="1">
        <v>2.344</v>
      </c>
      <c r="K33" s="1">
        <v>2.856</v>
      </c>
      <c r="L33" s="1">
        <v>2.912</v>
      </c>
    </row>
    <row r="34">
      <c r="A34" s="1" t="str">
        <f>IFERROR(__xludf.DUMMYFUNCTION("""COMPUTED_VALUE"""),"Muro")</f>
        <v>Muro</v>
      </c>
      <c r="B34" s="6" t="str">
        <f>IFERROR(__xludf.DUMMYFUNCTION("""COMPUTED_VALUE"""),"58.6")</f>
        <v>58.6</v>
      </c>
      <c r="C34" s="4">
        <f>IFERROR(__xludf.DUMMYFUNCTION("""COMPUTED_VALUE"""),6.107)</f>
        <v>6.107</v>
      </c>
      <c r="D34" s="1">
        <f>IFERROR(__xludf.DUMMYFUNCTION("""COMPUTED_VALUE"""),7.01)</f>
        <v>7.01</v>
      </c>
      <c r="E34" s="1">
        <f>IFERROR(__xludf.DUMMYFUNCTION("""COMPUTED_VALUE"""),7.085)</f>
        <v>7.085</v>
      </c>
      <c r="H34" s="1" t="s">
        <v>56</v>
      </c>
      <c r="I34" s="1" t="s">
        <v>57</v>
      </c>
      <c r="J34" s="1">
        <v>6.107</v>
      </c>
      <c r="K34" s="1">
        <v>7.01</v>
      </c>
      <c r="L34" s="1">
        <v>7.085</v>
      </c>
    </row>
    <row r="35">
      <c r="A35" s="1" t="str">
        <f>IFERROR(__xludf.DUMMYFUNCTION("""COMPUTED_VALUE"""),"Palma")</f>
        <v>Palma</v>
      </c>
      <c r="B35" s="6" t="str">
        <f>IFERROR(__xludf.DUMMYFUNCTION("""COMPUTED_VALUE"""),"208.7")</f>
        <v>208.7</v>
      </c>
      <c r="C35" s="4">
        <f>IFERROR(__xludf.DUMMYFUNCTION("""COMPUTED_VALUE"""),333.801)</f>
        <v>333.801</v>
      </c>
      <c r="D35" s="1">
        <f>IFERROR(__xludf.DUMMYFUNCTION("""COMPUTED_VALUE"""),402.044)</f>
        <v>402.044</v>
      </c>
      <c r="E35" s="1">
        <f>IFERROR(__xludf.DUMMYFUNCTION("""COMPUTED_VALUE"""),416.065)</f>
        <v>416.065</v>
      </c>
      <c r="H35" s="1" t="s">
        <v>58</v>
      </c>
      <c r="I35" s="1" t="s">
        <v>59</v>
      </c>
      <c r="J35" s="1">
        <v>333.801</v>
      </c>
      <c r="K35" s="1">
        <v>402.044</v>
      </c>
      <c r="L35" s="1">
        <v>416.065</v>
      </c>
    </row>
    <row r="36">
      <c r="A36" s="1" t="str">
        <f>IFERROR(__xludf.DUMMYFUNCTION("""COMPUTED_VALUE"""),"Petra")</f>
        <v>Petra</v>
      </c>
      <c r="B36" s="6" t="str">
        <f>IFERROR(__xludf.DUMMYFUNCTION("""COMPUTED_VALUE"""),"70.0")</f>
        <v>70.0</v>
      </c>
      <c r="C36" s="4">
        <f>IFERROR(__xludf.DUMMYFUNCTION("""COMPUTED_VALUE"""),1.911)</f>
        <v>1.911</v>
      </c>
      <c r="D36" s="1">
        <f>IFERROR(__xludf.DUMMYFUNCTION("""COMPUTED_VALUE"""),2.876)</f>
        <v>2.876</v>
      </c>
      <c r="E36" s="1">
        <f>IFERROR(__xludf.DUMMYFUNCTION("""COMPUTED_VALUE"""),2.86)</f>
        <v>2.86</v>
      </c>
      <c r="H36" s="1" t="s">
        <v>60</v>
      </c>
      <c r="I36" s="1" t="s">
        <v>61</v>
      </c>
      <c r="J36" s="1">
        <v>1.911</v>
      </c>
      <c r="K36" s="1">
        <v>2.876</v>
      </c>
      <c r="L36" s="1">
        <v>2.86</v>
      </c>
    </row>
    <row r="37">
      <c r="A37" s="1" t="str">
        <f>IFERROR(__xludf.DUMMYFUNCTION("""COMPUTED_VALUE"""),"Pollença")</f>
        <v>Pollença</v>
      </c>
      <c r="B37" s="6" t="str">
        <f>IFERROR(__xludf.DUMMYFUNCTION("""COMPUTED_VALUE"""),"151.7")</f>
        <v>151.7</v>
      </c>
      <c r="C37" s="4">
        <f>IFERROR(__xludf.DUMMYFUNCTION("""COMPUTED_VALUE"""),13.808)</f>
        <v>13.808</v>
      </c>
      <c r="D37" s="1">
        <f>IFERROR(__xludf.DUMMYFUNCTION("""COMPUTED_VALUE"""),16.057)</f>
        <v>16.057</v>
      </c>
      <c r="E37" s="1">
        <f>IFERROR(__xludf.DUMMYFUNCTION("""COMPUTED_VALUE"""),16.283)</f>
        <v>16.283</v>
      </c>
      <c r="H37" s="1" t="s">
        <v>62</v>
      </c>
      <c r="I37" s="7" t="s">
        <v>63</v>
      </c>
      <c r="J37" s="1">
        <v>13.808</v>
      </c>
      <c r="K37" s="1">
        <v>16.057</v>
      </c>
      <c r="L37" s="1">
        <v>16.283</v>
      </c>
    </row>
    <row r="38">
      <c r="A38" s="1" t="str">
        <f>IFERROR(__xludf.DUMMYFUNCTION("""COMPUTED_VALUE"""),"Porreres")</f>
        <v>Porreres</v>
      </c>
      <c r="B38" s="6" t="str">
        <f>IFERROR(__xludf.DUMMYFUNCTION("""COMPUTED_VALUE"""),"86.9")</f>
        <v>86.9</v>
      </c>
      <c r="C38" s="4">
        <f>IFERROR(__xludf.DUMMYFUNCTION("""COMPUTED_VALUE"""),4.069)</f>
        <v>4.069</v>
      </c>
      <c r="D38" s="1">
        <f>IFERROR(__xludf.DUMMYFUNCTION("""COMPUTED_VALUE"""),5.459)</f>
        <v>5.459</v>
      </c>
      <c r="E38" s="1">
        <f>IFERROR(__xludf.DUMMYFUNCTION("""COMPUTED_VALUE"""),5.502)</f>
        <v>5.502</v>
      </c>
      <c r="H38" s="1" t="s">
        <v>64</v>
      </c>
      <c r="I38" s="1" t="s">
        <v>65</v>
      </c>
      <c r="J38" s="1">
        <v>4.069</v>
      </c>
      <c r="K38" s="1">
        <v>5.459</v>
      </c>
      <c r="L38" s="1">
        <v>5.502</v>
      </c>
    </row>
    <row r="39">
      <c r="A39" s="1" t="str">
        <f>IFERROR(__xludf.DUMMYFUNCTION("""COMPUTED_VALUE"""),"Puigpunyent")</f>
        <v>Puigpunyent</v>
      </c>
      <c r="B39" s="6" t="str">
        <f>IFERROR(__xludf.DUMMYFUNCTION("""COMPUTED_VALUE"""),"42.3")</f>
        <v>42.3</v>
      </c>
      <c r="C39" s="4">
        <f>IFERROR(__xludf.DUMMYFUNCTION("""COMPUTED_VALUE"""),1.25)</f>
        <v>1.25</v>
      </c>
      <c r="D39" s="1">
        <f>IFERROR(__xludf.DUMMYFUNCTION("""COMPUTED_VALUE"""),1.878)</f>
        <v>1.878</v>
      </c>
      <c r="E39" s="1">
        <f>IFERROR(__xludf.DUMMYFUNCTION("""COMPUTED_VALUE"""),2.012)</f>
        <v>2.012</v>
      </c>
      <c r="H39" s="1" t="s">
        <v>66</v>
      </c>
      <c r="I39" s="1" t="s">
        <v>67</v>
      </c>
      <c r="J39" s="1">
        <v>1.25</v>
      </c>
      <c r="K39" s="1">
        <v>1.878</v>
      </c>
      <c r="L39" s="1">
        <v>2.012</v>
      </c>
    </row>
    <row r="40">
      <c r="A40" s="1" t="str">
        <f>IFERROR(__xludf.DUMMYFUNCTION("""COMPUTED_VALUE"""),"Santa Eugènia")</f>
        <v>Santa Eugènia</v>
      </c>
      <c r="B40" s="6">
        <f>IFERROR(__xludf.DUMMYFUNCTION("""COMPUTED_VALUE"""),45005.0)</f>
        <v>45005</v>
      </c>
      <c r="C40" s="4">
        <f>IFERROR(__xludf.DUMMYFUNCTION("""COMPUTED_VALUE"""),1.224)</f>
        <v>1.224</v>
      </c>
      <c r="D40" s="1">
        <f>IFERROR(__xludf.DUMMYFUNCTION("""COMPUTED_VALUE"""),1.686)</f>
        <v>1.686</v>
      </c>
      <c r="E40" s="1">
        <f>IFERROR(__xludf.DUMMYFUNCTION("""COMPUTED_VALUE"""),1.561)</f>
        <v>1.561</v>
      </c>
      <c r="H40" s="1" t="s">
        <v>68</v>
      </c>
      <c r="I40" s="1" t="s">
        <v>69</v>
      </c>
      <c r="J40" s="1">
        <v>1.224</v>
      </c>
      <c r="K40" s="1">
        <v>1.686</v>
      </c>
      <c r="L40" s="1">
        <v>1.561</v>
      </c>
    </row>
    <row r="41">
      <c r="A41" s="1" t="str">
        <f>IFERROR(__xludf.DUMMYFUNCTION("""COMPUTED_VALUE"""),"Santa Margalida")</f>
        <v>Santa Margalida</v>
      </c>
      <c r="B41" s="6" t="str">
        <f>IFERROR(__xludf.DUMMYFUNCTION("""COMPUTED_VALUE"""),"86.5")</f>
        <v>86.5</v>
      </c>
      <c r="C41" s="4">
        <f>IFERROR(__xludf.DUMMYFUNCTION("""COMPUTED_VALUE"""),7.8)</f>
        <v>7.8</v>
      </c>
      <c r="D41" s="1">
        <f>IFERROR(__xludf.DUMMYFUNCTION("""COMPUTED_VALUE"""),11.725)</f>
        <v>11.725</v>
      </c>
      <c r="E41" s="1">
        <f>IFERROR(__xludf.DUMMYFUNCTION("""COMPUTED_VALUE"""),12.485)</f>
        <v>12.485</v>
      </c>
      <c r="H41" s="1" t="s">
        <v>70</v>
      </c>
      <c r="I41" s="1" t="s">
        <v>71</v>
      </c>
      <c r="J41" s="1">
        <v>7.8</v>
      </c>
      <c r="K41" s="1">
        <v>11.725</v>
      </c>
      <c r="L41" s="1">
        <v>12.485</v>
      </c>
    </row>
    <row r="42">
      <c r="A42" s="1" t="str">
        <f>IFERROR(__xludf.DUMMYFUNCTION("""COMPUTED_VALUE"""),"Santa María del Camí")</f>
        <v>Santa María del Camí</v>
      </c>
      <c r="B42" s="6" t="str">
        <f>IFERROR(__xludf.DUMMYFUNCTION("""COMPUTED_VALUE"""),"37.6")</f>
        <v>37.6</v>
      </c>
      <c r="C42" s="4">
        <f>IFERROR(__xludf.DUMMYFUNCTION("""COMPUTED_VALUE"""),4.959)</f>
        <v>4.959</v>
      </c>
      <c r="D42" s="1">
        <f>IFERROR(__xludf.DUMMYFUNCTION("""COMPUTED_VALUE"""),6.443)</f>
        <v>6.443</v>
      </c>
      <c r="E42" s="1">
        <f>IFERROR(__xludf.DUMMYFUNCTION("""COMPUTED_VALUE"""),7.375)</f>
        <v>7.375</v>
      </c>
      <c r="H42" s="1" t="s">
        <v>72</v>
      </c>
      <c r="I42" s="7" t="s">
        <v>73</v>
      </c>
      <c r="J42" s="1">
        <v>4.959</v>
      </c>
      <c r="K42" s="1">
        <v>6.443</v>
      </c>
      <c r="L42" s="1">
        <v>7.375</v>
      </c>
    </row>
    <row r="43">
      <c r="A43" s="1" t="str">
        <f>IFERROR(__xludf.DUMMYFUNCTION("""COMPUTED_VALUE"""),"Santanyí")</f>
        <v>Santanyí</v>
      </c>
      <c r="B43" s="6" t="str">
        <f>IFERROR(__xludf.DUMMYFUNCTION("""COMPUTED_VALUE"""),"124.9")</f>
        <v>124.9</v>
      </c>
      <c r="C43" s="4">
        <f>IFERROR(__xludf.DUMMYFUNCTION("""COMPUTED_VALUE"""),8.875)</f>
        <v>8.875</v>
      </c>
      <c r="D43" s="1">
        <f>IFERROR(__xludf.DUMMYFUNCTION("""COMPUTED_VALUE"""),12.427)</f>
        <v>12.427</v>
      </c>
      <c r="E43" s="1">
        <f>IFERROR(__xludf.DUMMYFUNCTION("""COMPUTED_VALUE"""),12.237)</f>
        <v>12.237</v>
      </c>
      <c r="H43" s="1" t="s">
        <v>74</v>
      </c>
      <c r="I43" s="7" t="s">
        <v>75</v>
      </c>
      <c r="J43" s="1">
        <v>8.875</v>
      </c>
      <c r="K43" s="1">
        <v>12.427</v>
      </c>
      <c r="L43" s="1">
        <v>12.237</v>
      </c>
    </row>
    <row r="44">
      <c r="A44" s="1" t="str">
        <f>IFERROR(__xludf.DUMMYFUNCTION("""COMPUTED_VALUE"""),"Sant Joan")</f>
        <v>Sant Joan</v>
      </c>
      <c r="B44" s="6" t="str">
        <f>IFERROR(__xludf.DUMMYFUNCTION("""COMPUTED_VALUE"""),"38.5")</f>
        <v>38.5</v>
      </c>
      <c r="C44" s="4">
        <f>IFERROR(__xludf.DUMMYFUNCTION("""COMPUTED_VALUE"""),1.634)</f>
        <v>1.634</v>
      </c>
      <c r="D44" s="1">
        <f>IFERROR(__xludf.DUMMYFUNCTION("""COMPUTED_VALUE"""),2.029)</f>
        <v>2.029</v>
      </c>
      <c r="E44" s="1">
        <f>IFERROR(__xludf.DUMMYFUNCTION("""COMPUTED_VALUE"""),2.108)</f>
        <v>2.108</v>
      </c>
      <c r="H44" s="1" t="s">
        <v>76</v>
      </c>
      <c r="I44" s="7" t="s">
        <v>77</v>
      </c>
      <c r="J44" s="1">
        <v>1.634</v>
      </c>
      <c r="K44" s="1">
        <v>2.029</v>
      </c>
      <c r="L44" s="1">
        <v>2.108</v>
      </c>
    </row>
    <row r="45">
      <c r="A45" s="1" t="str">
        <f>IFERROR(__xludf.DUMMYFUNCTION("""COMPUTED_VALUE"""),"Sant Llorenç des Cardassar")</f>
        <v>Sant Llorenç des Cardassar</v>
      </c>
      <c r="B45" s="6" t="str">
        <f>IFERROR(__xludf.DUMMYFUNCTION("""COMPUTED_VALUE"""),"82.1")</f>
        <v>82.1</v>
      </c>
      <c r="C45" s="4">
        <f>IFERROR(__xludf.DUMMYFUNCTION("""COMPUTED_VALUE"""),6.503)</f>
        <v>6.503</v>
      </c>
      <c r="D45" s="1">
        <f>IFERROR(__xludf.DUMMYFUNCTION("""COMPUTED_VALUE"""),8.49)</f>
        <v>8.49</v>
      </c>
      <c r="E45" s="1">
        <f>IFERROR(__xludf.DUMMYFUNCTION("""COMPUTED_VALUE"""),8.431)</f>
        <v>8.431</v>
      </c>
      <c r="H45" s="1" t="s">
        <v>78</v>
      </c>
      <c r="I45" s="7" t="s">
        <v>79</v>
      </c>
      <c r="J45" s="1">
        <v>6.503</v>
      </c>
      <c r="K45" s="1">
        <v>8.49</v>
      </c>
      <c r="L45" s="1">
        <v>8.431</v>
      </c>
    </row>
    <row r="46">
      <c r="A46" s="1" t="str">
        <f>IFERROR(__xludf.DUMMYFUNCTION("""COMPUTED_VALUE"""),"Sa Pobla")</f>
        <v>Sa Pobla</v>
      </c>
      <c r="B46" s="6" t="str">
        <f>IFERROR(__xludf.DUMMYFUNCTION("""COMPUTED_VALUE"""),"48.6")</f>
        <v>48.6</v>
      </c>
      <c r="C46" s="4">
        <f>IFERROR(__xludf.DUMMYFUNCTION("""COMPUTED_VALUE"""),10.388)</f>
        <v>10.388</v>
      </c>
      <c r="D46" s="1">
        <f>IFERROR(__xludf.DUMMYFUNCTION("""COMPUTED_VALUE"""),12.999)</f>
        <v>12.999</v>
      </c>
      <c r="E46" s="1">
        <f>IFERROR(__xludf.DUMMYFUNCTION("""COMPUTED_VALUE"""),13.475)</f>
        <v>13.475</v>
      </c>
      <c r="H46" s="1" t="s">
        <v>80</v>
      </c>
      <c r="I46" s="7" t="s">
        <v>81</v>
      </c>
      <c r="J46" s="1">
        <v>10.388</v>
      </c>
      <c r="K46" s="1">
        <v>12.999</v>
      </c>
      <c r="L46" s="1">
        <v>13.475</v>
      </c>
    </row>
    <row r="47">
      <c r="A47" s="1" t="str">
        <f>IFERROR(__xludf.DUMMYFUNCTION("""COMPUTED_VALUE"""),"Selva")</f>
        <v>Selva</v>
      </c>
      <c r="B47" s="6" t="str">
        <f>IFERROR(__xludf.DUMMYFUNCTION("""COMPUTED_VALUE"""),"48.8")</f>
        <v>48.8</v>
      </c>
      <c r="C47" s="4">
        <f>IFERROR(__xludf.DUMMYFUNCTION("""COMPUTED_VALUE"""),2.927)</f>
        <v>2.927</v>
      </c>
      <c r="D47" s="1">
        <f>IFERROR(__xludf.DUMMYFUNCTION("""COMPUTED_VALUE"""),3.699)</f>
        <v>3.699</v>
      </c>
      <c r="E47" s="1">
        <f>IFERROR(__xludf.DUMMYFUNCTION("""COMPUTED_VALUE"""),4.014)</f>
        <v>4.014</v>
      </c>
      <c r="H47" s="1" t="s">
        <v>82</v>
      </c>
      <c r="I47" s="7" t="s">
        <v>83</v>
      </c>
      <c r="J47" s="1">
        <v>2.927</v>
      </c>
      <c r="K47" s="1">
        <v>3.699</v>
      </c>
      <c r="L47" s="1">
        <v>4.014</v>
      </c>
    </row>
    <row r="48">
      <c r="A48" s="1" t="str">
        <f>IFERROR(__xludf.DUMMYFUNCTION("""COMPUTED_VALUE"""),"Sencelles")</f>
        <v>Sencelles</v>
      </c>
      <c r="B48" s="6" t="str">
        <f>IFERROR(__xludf.DUMMYFUNCTION("""COMPUTED_VALUE"""),"52.9")</f>
        <v>52.9</v>
      </c>
      <c r="C48" s="4">
        <f>IFERROR(__xludf.DUMMYFUNCTION("""COMPUTED_VALUE"""),2.146)</f>
        <v>2.146</v>
      </c>
      <c r="D48" s="1">
        <f>IFERROR(__xludf.DUMMYFUNCTION("""COMPUTED_VALUE"""),3.113)</f>
        <v>3.113</v>
      </c>
      <c r="E48" s="1">
        <f>IFERROR(__xludf.DUMMYFUNCTION("""COMPUTED_VALUE"""),3.29)</f>
        <v>3.29</v>
      </c>
      <c r="H48" s="1" t="s">
        <v>84</v>
      </c>
      <c r="I48" s="7" t="s">
        <v>85</v>
      </c>
      <c r="J48" s="1">
        <v>2.146</v>
      </c>
      <c r="K48" s="1">
        <v>3.113</v>
      </c>
      <c r="L48" s="1">
        <v>3.29</v>
      </c>
    </row>
    <row r="49">
      <c r="A49" s="1" t="str">
        <f>IFERROR(__xludf.DUMMYFUNCTION("""COMPUTED_VALUE"""),"Ses Salines")</f>
        <v>Ses Salines</v>
      </c>
      <c r="B49" s="6" t="str">
        <f>IFERROR(__xludf.DUMMYFUNCTION("""COMPUTED_VALUE"""),"39.1")</f>
        <v>39.1</v>
      </c>
      <c r="C49" s="4">
        <f>IFERROR(__xludf.DUMMYFUNCTION("""COMPUTED_VALUE"""),3.389)</f>
        <v>3.389</v>
      </c>
      <c r="D49" s="1">
        <f>IFERROR(__xludf.DUMMYFUNCTION("""COMPUTED_VALUE"""),5.007)</f>
        <v>5.007</v>
      </c>
      <c r="E49" s="1">
        <f>IFERROR(__xludf.DUMMYFUNCTION("""COMPUTED_VALUE"""),4.96)</f>
        <v>4.96</v>
      </c>
      <c r="H49" s="1" t="s">
        <v>86</v>
      </c>
      <c r="I49" s="7" t="s">
        <v>87</v>
      </c>
      <c r="J49" s="1">
        <v>3.389</v>
      </c>
      <c r="K49" s="1">
        <v>5.007</v>
      </c>
      <c r="L49" s="1">
        <v>4.96</v>
      </c>
    </row>
    <row r="50">
      <c r="A50" s="1" t="str">
        <f>IFERROR(__xludf.DUMMYFUNCTION("""COMPUTED_VALUE"""),"Sineu")</f>
        <v>Sineu</v>
      </c>
      <c r="B50" s="6" t="str">
        <f>IFERROR(__xludf.DUMMYFUNCTION("""COMPUTED_VALUE"""),"47.7")</f>
        <v>47.7</v>
      </c>
      <c r="C50" s="4">
        <f>IFERROR(__xludf.DUMMYFUNCTION("""COMPUTED_VALUE"""),2.736)</f>
        <v>2.736</v>
      </c>
      <c r="D50" s="1">
        <f>IFERROR(__xludf.DUMMYFUNCTION("""COMPUTED_VALUE"""),3.696)</f>
        <v>3.696</v>
      </c>
      <c r="E50" s="1">
        <f>IFERROR(__xludf.DUMMYFUNCTION("""COMPUTED_VALUE"""),3.862)</f>
        <v>3.862</v>
      </c>
      <c r="H50" s="1" t="s">
        <v>88</v>
      </c>
      <c r="I50" s="1" t="s">
        <v>89</v>
      </c>
      <c r="J50" s="1">
        <v>2.736</v>
      </c>
      <c r="K50" s="1">
        <v>3.696</v>
      </c>
      <c r="L50" s="1">
        <v>3.862</v>
      </c>
    </row>
    <row r="51">
      <c r="A51" s="1" t="str">
        <f>IFERROR(__xludf.DUMMYFUNCTION("""COMPUTED_VALUE"""),"Sóller")</f>
        <v>Sóller</v>
      </c>
      <c r="B51" s="6" t="str">
        <f>IFERROR(__xludf.DUMMYFUNCTION("""COMPUTED_VALUE"""),"42.8")</f>
        <v>42.8</v>
      </c>
      <c r="C51" s="4">
        <f>IFERROR(__xludf.DUMMYFUNCTION("""COMPUTED_VALUE"""),10.961)</f>
        <v>10.961</v>
      </c>
      <c r="D51" s="1">
        <f>IFERROR(__xludf.DUMMYFUNCTION("""COMPUTED_VALUE"""),13.882)</f>
        <v>13.882</v>
      </c>
      <c r="E51" s="1">
        <f>IFERROR(__xludf.DUMMYFUNCTION("""COMPUTED_VALUE"""),13.705)</f>
        <v>13.705</v>
      </c>
      <c r="H51" s="1" t="s">
        <v>90</v>
      </c>
      <c r="I51" s="7" t="s">
        <v>91</v>
      </c>
      <c r="J51" s="1">
        <v>10.961</v>
      </c>
      <c r="K51" s="1">
        <v>13.882</v>
      </c>
      <c r="L51" s="1">
        <v>13.705</v>
      </c>
    </row>
    <row r="52">
      <c r="A52" s="1" t="str">
        <f>IFERROR(__xludf.DUMMYFUNCTION("""COMPUTED_VALUE"""),"Son Servera")</f>
        <v>Son Servera</v>
      </c>
      <c r="B52" s="6" t="str">
        <f>IFERROR(__xludf.DUMMYFUNCTION("""COMPUTED_VALUE"""),"42.6")</f>
        <v>42.6</v>
      </c>
      <c r="C52" s="4">
        <f>IFERROR(__xludf.DUMMYFUNCTION("""COMPUTED_VALUE"""),9.432)</f>
        <v>9.432</v>
      </c>
      <c r="D52" s="1">
        <f>IFERROR(__xludf.DUMMYFUNCTION("""COMPUTED_VALUE"""),11.915)</f>
        <v>11.915</v>
      </c>
      <c r="E52" s="1">
        <f>IFERROR(__xludf.DUMMYFUNCTION("""COMPUTED_VALUE"""),11.568)</f>
        <v>11.568</v>
      </c>
      <c r="H52" s="1" t="s">
        <v>92</v>
      </c>
      <c r="I52" s="7" t="s">
        <v>93</v>
      </c>
      <c r="J52" s="1">
        <v>9.432</v>
      </c>
      <c r="K52" s="1">
        <v>11.915</v>
      </c>
      <c r="L52" s="1">
        <v>11.568</v>
      </c>
    </row>
    <row r="53">
      <c r="A53" s="1" t="str">
        <f>IFERROR(__xludf.DUMMYFUNCTION("""COMPUTED_VALUE"""),"Valldemossa")</f>
        <v>Valldemossa</v>
      </c>
      <c r="B53" s="6" t="str">
        <f>IFERROR(__xludf.DUMMYFUNCTION("""COMPUTED_VALUE"""),"42.9")</f>
        <v>42.9</v>
      </c>
      <c r="C53" s="4">
        <f>IFERROR(__xludf.DUMMYFUNCTION("""COMPUTED_VALUE"""),1.708)</f>
        <v>1.708</v>
      </c>
      <c r="D53" s="1">
        <f>IFERROR(__xludf.DUMMYFUNCTION("""COMPUTED_VALUE"""),1.99)</f>
        <v>1.99</v>
      </c>
      <c r="E53" s="1">
        <f>IFERROR(__xludf.DUMMYFUNCTION("""COMPUTED_VALUE"""),1.969)</f>
        <v>1.969</v>
      </c>
      <c r="H53" s="1" t="s">
        <v>94</v>
      </c>
      <c r="I53" s="7" t="s">
        <v>95</v>
      </c>
      <c r="J53" s="1">
        <v>1.708</v>
      </c>
      <c r="K53" s="1">
        <v>1.99</v>
      </c>
      <c r="L53" s="1">
        <v>1.969</v>
      </c>
    </row>
    <row r="54">
      <c r="A54" s="1" t="str">
        <f>IFERROR(__xludf.DUMMYFUNCTION("""COMPUTED_VALUE"""),"Vilafranca de Bonany")</f>
        <v>Vilafranca de Bonany</v>
      </c>
      <c r="B54" s="6" t="str">
        <f>IFERROR(__xludf.DUMMYFUNCTION("""COMPUTED_VALUE"""),"24.0")</f>
        <v>24.0</v>
      </c>
      <c r="C54" s="4">
        <f>IFERROR(__xludf.DUMMYFUNCTION("""COMPUTED_VALUE"""),2.466)</f>
        <v>2.466</v>
      </c>
      <c r="D54" s="1">
        <f>IFERROR(__xludf.DUMMYFUNCTION("""COMPUTED_VALUE"""),2.984)</f>
        <v>2.984</v>
      </c>
      <c r="E54" s="1">
        <f>IFERROR(__xludf.DUMMYFUNCTION("""COMPUTED_VALUE"""),3.38)</f>
        <v>3.38</v>
      </c>
      <c r="H54" s="1" t="s">
        <v>96</v>
      </c>
      <c r="I54" s="7" t="s">
        <v>97</v>
      </c>
      <c r="J54" s="1">
        <v>2.466</v>
      </c>
      <c r="K54" s="1">
        <v>2.984</v>
      </c>
      <c r="L54" s="1">
        <v>3.38</v>
      </c>
    </row>
  </sheetData>
  <drawing r:id="rId1"/>
</worksheet>
</file>