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325" i="1" l="1"/>
  <c r="AO325" i="1"/>
  <c r="AA325" i="1"/>
  <c r="U325" i="1"/>
  <c r="T325" i="1"/>
  <c r="S325" i="1"/>
  <c r="Q325" i="1"/>
  <c r="P325" i="1"/>
  <c r="O325" i="1"/>
  <c r="N325" i="1"/>
  <c r="M325" i="1"/>
  <c r="Z325" i="1" s="1"/>
  <c r="J325" i="1"/>
  <c r="H325" i="1"/>
  <c r="BI324" i="1"/>
  <c r="AO324" i="1"/>
  <c r="AA324" i="1"/>
  <c r="U324" i="1"/>
  <c r="T324" i="1"/>
  <c r="S324" i="1"/>
  <c r="Q324" i="1"/>
  <c r="P324" i="1"/>
  <c r="N324" i="1"/>
  <c r="M324" i="1"/>
  <c r="Z324" i="1" s="1"/>
  <c r="J324" i="1"/>
  <c r="H324" i="1"/>
  <c r="BI323" i="1"/>
  <c r="AT323" i="1"/>
  <c r="AO323" i="1"/>
  <c r="AA323" i="1"/>
  <c r="U323" i="1"/>
  <c r="T323" i="1"/>
  <c r="S323" i="1"/>
  <c r="Q323" i="1"/>
  <c r="P323" i="1"/>
  <c r="N323" i="1"/>
  <c r="M323" i="1"/>
  <c r="Z323" i="1" s="1"/>
  <c r="J323" i="1"/>
  <c r="H323" i="1"/>
  <c r="BI322" i="1"/>
  <c r="AO322" i="1"/>
  <c r="AA322" i="1"/>
  <c r="U322" i="1"/>
  <c r="T322" i="1"/>
  <c r="S322" i="1"/>
  <c r="Q322" i="1"/>
  <c r="P322" i="1"/>
  <c r="O322" i="1"/>
  <c r="N322" i="1"/>
  <c r="M322" i="1"/>
  <c r="Z322" i="1" s="1"/>
  <c r="J322" i="1"/>
  <c r="H322" i="1"/>
  <c r="BI321" i="1"/>
  <c r="AO321" i="1"/>
  <c r="AA321" i="1"/>
  <c r="U321" i="1"/>
  <c r="T321" i="1"/>
  <c r="S321" i="1"/>
  <c r="Q321" i="1"/>
  <c r="P321" i="1"/>
  <c r="O321" i="1"/>
  <c r="N321" i="1"/>
  <c r="M321" i="1"/>
  <c r="Z321" i="1" s="1"/>
  <c r="J321" i="1"/>
  <c r="H321" i="1"/>
  <c r="BI320" i="1"/>
  <c r="AO320" i="1"/>
  <c r="AA320" i="1"/>
  <c r="U320" i="1"/>
  <c r="T320" i="1"/>
  <c r="S320" i="1"/>
  <c r="Q320" i="1"/>
  <c r="P320" i="1"/>
  <c r="O320" i="1"/>
  <c r="N320" i="1"/>
  <c r="M320" i="1"/>
  <c r="Z320" i="1" s="1"/>
  <c r="J320" i="1"/>
  <c r="H320" i="1"/>
  <c r="BI319" i="1"/>
  <c r="AO319" i="1"/>
  <c r="AA319" i="1"/>
  <c r="U319" i="1"/>
  <c r="T319" i="1"/>
  <c r="S319" i="1"/>
  <c r="Q319" i="1"/>
  <c r="P319" i="1"/>
  <c r="N319" i="1"/>
  <c r="M319" i="1"/>
  <c r="Z319" i="1" s="1"/>
  <c r="J319" i="1"/>
  <c r="H319" i="1"/>
  <c r="BI318" i="1"/>
  <c r="AO318" i="1"/>
  <c r="AA318" i="1"/>
  <c r="U318" i="1"/>
  <c r="T318" i="1"/>
  <c r="S318" i="1"/>
  <c r="Q318" i="1"/>
  <c r="P318" i="1"/>
  <c r="O318" i="1"/>
  <c r="N318" i="1"/>
  <c r="M318" i="1"/>
  <c r="Z318" i="1" s="1"/>
  <c r="J318" i="1"/>
  <c r="H318" i="1"/>
  <c r="BI317" i="1"/>
  <c r="AO317" i="1"/>
  <c r="AA317" i="1"/>
  <c r="U317" i="1"/>
  <c r="T317" i="1"/>
  <c r="S317" i="1"/>
  <c r="Q317" i="1"/>
  <c r="P317" i="1"/>
  <c r="O317" i="1"/>
  <c r="N317" i="1"/>
  <c r="M317" i="1"/>
  <c r="Z317" i="1" s="1"/>
  <c r="J317" i="1"/>
  <c r="H317" i="1"/>
  <c r="BI316" i="1"/>
  <c r="AO316" i="1"/>
  <c r="AA316" i="1"/>
  <c r="U316" i="1"/>
  <c r="T316" i="1"/>
  <c r="S316" i="1"/>
  <c r="Q316" i="1"/>
  <c r="P316" i="1"/>
  <c r="O316" i="1"/>
  <c r="N316" i="1"/>
  <c r="M316" i="1"/>
  <c r="Z316" i="1" s="1"/>
  <c r="J316" i="1"/>
  <c r="H316" i="1"/>
  <c r="BI315" i="1"/>
  <c r="AO315" i="1"/>
  <c r="AA315" i="1"/>
  <c r="Z315" i="1"/>
  <c r="U315" i="1"/>
  <c r="T315" i="1"/>
  <c r="S315" i="1"/>
  <c r="Q315" i="1"/>
  <c r="P315" i="1"/>
  <c r="N315" i="1"/>
  <c r="M315" i="1"/>
  <c r="O315" i="1" s="1"/>
  <c r="J315" i="1"/>
  <c r="H315" i="1"/>
  <c r="BI314" i="1"/>
  <c r="AO314" i="1"/>
  <c r="AA314" i="1"/>
  <c r="U314" i="1"/>
  <c r="T314" i="1"/>
  <c r="S314" i="1"/>
  <c r="Q314" i="1"/>
  <c r="P314" i="1"/>
  <c r="O314" i="1"/>
  <c r="N314" i="1"/>
  <c r="M314" i="1"/>
  <c r="Z314" i="1" s="1"/>
  <c r="J314" i="1"/>
  <c r="H314" i="1"/>
  <c r="BI313" i="1"/>
  <c r="AO313" i="1"/>
  <c r="AA313" i="1"/>
  <c r="U313" i="1"/>
  <c r="T313" i="1"/>
  <c r="S313" i="1"/>
  <c r="Q313" i="1"/>
  <c r="P313" i="1"/>
  <c r="O313" i="1"/>
  <c r="N313" i="1"/>
  <c r="M313" i="1"/>
  <c r="Z313" i="1" s="1"/>
  <c r="J313" i="1"/>
  <c r="H313" i="1"/>
  <c r="BI312" i="1"/>
  <c r="AO312" i="1"/>
  <c r="AA312" i="1"/>
  <c r="U312" i="1"/>
  <c r="T312" i="1"/>
  <c r="S312" i="1"/>
  <c r="Q312" i="1"/>
  <c r="P312" i="1"/>
  <c r="O312" i="1"/>
  <c r="N312" i="1"/>
  <c r="M312" i="1"/>
  <c r="Z312" i="1" s="1"/>
  <c r="I312" i="1"/>
  <c r="J312" i="1" s="1"/>
  <c r="H312" i="1"/>
  <c r="BI311" i="1"/>
  <c r="AO311" i="1"/>
  <c r="AA311" i="1"/>
  <c r="U311" i="1"/>
  <c r="T311" i="1"/>
  <c r="S311" i="1"/>
  <c r="Q311" i="1"/>
  <c r="P311" i="1"/>
  <c r="N311" i="1"/>
  <c r="M311" i="1"/>
  <c r="Z311" i="1" s="1"/>
  <c r="J311" i="1"/>
  <c r="H311" i="1"/>
  <c r="BI310" i="1"/>
  <c r="AO310" i="1"/>
  <c r="AA310" i="1"/>
  <c r="U310" i="1"/>
  <c r="T310" i="1"/>
  <c r="S310" i="1"/>
  <c r="Q310" i="1"/>
  <c r="P310" i="1"/>
  <c r="N310" i="1"/>
  <c r="M310" i="1"/>
  <c r="O310" i="1" s="1"/>
  <c r="J310" i="1"/>
  <c r="H310" i="1"/>
  <c r="BI309" i="1"/>
  <c r="AO309" i="1"/>
  <c r="AA309" i="1"/>
  <c r="U309" i="1"/>
  <c r="T309" i="1"/>
  <c r="S309" i="1"/>
  <c r="Q309" i="1"/>
  <c r="P309" i="1"/>
  <c r="N309" i="1"/>
  <c r="M309" i="1"/>
  <c r="O309" i="1" s="1"/>
  <c r="J309" i="1"/>
  <c r="I309" i="1"/>
  <c r="H309" i="1"/>
  <c r="BI308" i="1"/>
  <c r="AO308" i="1"/>
  <c r="BI307" i="1"/>
  <c r="AO307" i="1"/>
  <c r="AA307" i="1"/>
  <c r="U307" i="1"/>
  <c r="T307" i="1"/>
  <c r="S307" i="1"/>
  <c r="Q307" i="1"/>
  <c r="P307" i="1"/>
  <c r="O307" i="1"/>
  <c r="N307" i="1"/>
  <c r="M307" i="1"/>
  <c r="Z307" i="1" s="1"/>
  <c r="J307" i="1"/>
  <c r="H307" i="1"/>
  <c r="BI306" i="1"/>
  <c r="AO306" i="1"/>
  <c r="AA306" i="1"/>
  <c r="U306" i="1"/>
  <c r="T306" i="1"/>
  <c r="S306" i="1"/>
  <c r="Q306" i="1"/>
  <c r="P306" i="1"/>
  <c r="O306" i="1"/>
  <c r="N306" i="1"/>
  <c r="M306" i="1"/>
  <c r="Z306" i="1" s="1"/>
  <c r="J306" i="1"/>
  <c r="H306" i="1"/>
  <c r="BI305" i="1"/>
  <c r="AO305" i="1"/>
  <c r="AA305" i="1"/>
  <c r="U305" i="1"/>
  <c r="T305" i="1"/>
  <c r="S305" i="1"/>
  <c r="Q305" i="1"/>
  <c r="P305" i="1"/>
  <c r="O305" i="1"/>
  <c r="N305" i="1"/>
  <c r="M305" i="1"/>
  <c r="Z305" i="1" s="1"/>
  <c r="J305" i="1"/>
  <c r="H305" i="1"/>
  <c r="BI304" i="1"/>
  <c r="AO304" i="1"/>
  <c r="AA304" i="1"/>
  <c r="U304" i="1"/>
  <c r="T304" i="1"/>
  <c r="S304" i="1"/>
  <c r="Q304" i="1"/>
  <c r="P304" i="1"/>
  <c r="N304" i="1"/>
  <c r="M304" i="1"/>
  <c r="Z304" i="1" s="1"/>
  <c r="J304" i="1"/>
  <c r="H304" i="1"/>
  <c r="CD303" i="1"/>
  <c r="BI303" i="1"/>
  <c r="AO303" i="1"/>
  <c r="AA303" i="1"/>
  <c r="U303" i="1"/>
  <c r="T303" i="1"/>
  <c r="S303" i="1"/>
  <c r="Q303" i="1"/>
  <c r="P303" i="1"/>
  <c r="O303" i="1"/>
  <c r="N303" i="1"/>
  <c r="M303" i="1"/>
  <c r="Z303" i="1" s="1"/>
  <c r="J303" i="1"/>
  <c r="H303" i="1"/>
  <c r="BI302" i="1"/>
  <c r="AO302" i="1"/>
  <c r="AA302" i="1"/>
  <c r="U302" i="1"/>
  <c r="T302" i="1"/>
  <c r="S302" i="1"/>
  <c r="Q302" i="1"/>
  <c r="P302" i="1"/>
  <c r="N302" i="1"/>
  <c r="M302" i="1"/>
  <c r="O302" i="1" s="1"/>
  <c r="J302" i="1"/>
  <c r="H302" i="1"/>
  <c r="BI301" i="1"/>
  <c r="AO301" i="1"/>
  <c r="AA301" i="1"/>
  <c r="U301" i="1"/>
  <c r="T301" i="1"/>
  <c r="S301" i="1"/>
  <c r="Q301" i="1"/>
  <c r="P301" i="1"/>
  <c r="O301" i="1"/>
  <c r="N301" i="1"/>
  <c r="M301" i="1"/>
  <c r="Z301" i="1" s="1"/>
  <c r="J301" i="1"/>
  <c r="H301" i="1"/>
  <c r="BI300" i="1"/>
  <c r="AO300" i="1"/>
  <c r="AA300" i="1"/>
  <c r="U300" i="1"/>
  <c r="T300" i="1"/>
  <c r="S300" i="1"/>
  <c r="Q300" i="1"/>
  <c r="P300" i="1"/>
  <c r="N300" i="1"/>
  <c r="M300" i="1"/>
  <c r="Z300" i="1" s="1"/>
  <c r="J300" i="1"/>
  <c r="H300" i="1"/>
  <c r="BI299" i="1"/>
  <c r="AO299" i="1"/>
  <c r="AA299" i="1"/>
  <c r="U299" i="1"/>
  <c r="T299" i="1"/>
  <c r="S299" i="1"/>
  <c r="Q299" i="1"/>
  <c r="P299" i="1"/>
  <c r="O299" i="1"/>
  <c r="N299" i="1"/>
  <c r="M299" i="1"/>
  <c r="Z299" i="1" s="1"/>
  <c r="J299" i="1"/>
  <c r="H299" i="1"/>
  <c r="BI298" i="1"/>
  <c r="AO298" i="1"/>
  <c r="AA298" i="1"/>
  <c r="U298" i="1"/>
  <c r="T298" i="1"/>
  <c r="S298" i="1"/>
  <c r="Q298" i="1"/>
  <c r="P298" i="1"/>
  <c r="N298" i="1"/>
  <c r="M298" i="1"/>
  <c r="O298" i="1" s="1"/>
  <c r="J298" i="1"/>
  <c r="H298" i="1"/>
  <c r="BI297" i="1"/>
  <c r="AO297" i="1"/>
  <c r="AA297" i="1"/>
  <c r="U297" i="1"/>
  <c r="T297" i="1"/>
  <c r="S297" i="1"/>
  <c r="Q297" i="1"/>
  <c r="P297" i="1"/>
  <c r="O297" i="1"/>
  <c r="N297" i="1"/>
  <c r="M297" i="1"/>
  <c r="Z297" i="1" s="1"/>
  <c r="J297" i="1"/>
  <c r="H297" i="1"/>
  <c r="BI296" i="1"/>
  <c r="AO296" i="1"/>
  <c r="AA296" i="1"/>
  <c r="U296" i="1"/>
  <c r="E296" i="1" s="1"/>
  <c r="T296" i="1"/>
  <c r="Q296" i="1"/>
  <c r="N296" i="1"/>
  <c r="M296" i="1"/>
  <c r="Z296" i="1" s="1"/>
  <c r="J296" i="1"/>
  <c r="H296" i="1"/>
  <c r="BI295" i="1"/>
  <c r="AO295" i="1"/>
  <c r="AA295" i="1"/>
  <c r="U295" i="1"/>
  <c r="T295" i="1"/>
  <c r="S295" i="1"/>
  <c r="Q295" i="1"/>
  <c r="P295" i="1"/>
  <c r="N295" i="1"/>
  <c r="M295" i="1"/>
  <c r="Z295" i="1" s="1"/>
  <c r="J295" i="1"/>
  <c r="H295" i="1"/>
  <c r="BI294" i="1"/>
  <c r="AO294" i="1"/>
  <c r="AA294" i="1"/>
  <c r="U294" i="1"/>
  <c r="T294" i="1"/>
  <c r="S294" i="1"/>
  <c r="Q294" i="1"/>
  <c r="P294" i="1"/>
  <c r="O294" i="1"/>
  <c r="N294" i="1"/>
  <c r="M294" i="1"/>
  <c r="Z294" i="1" s="1"/>
  <c r="J294" i="1"/>
  <c r="H294" i="1"/>
  <c r="BI293" i="1"/>
  <c r="AO293" i="1"/>
  <c r="AA293" i="1"/>
  <c r="U293" i="1"/>
  <c r="T293" i="1"/>
  <c r="S293" i="1"/>
  <c r="Q293" i="1"/>
  <c r="P293" i="1"/>
  <c r="O293" i="1"/>
  <c r="N293" i="1"/>
  <c r="M293" i="1"/>
  <c r="Z293" i="1" s="1"/>
  <c r="J293" i="1"/>
  <c r="H293" i="1"/>
  <c r="BI292" i="1"/>
  <c r="AO292" i="1"/>
  <c r="AA292" i="1"/>
  <c r="U292" i="1"/>
  <c r="T292" i="1"/>
  <c r="S292" i="1"/>
  <c r="Q292" i="1"/>
  <c r="P292" i="1"/>
  <c r="O292" i="1"/>
  <c r="N292" i="1"/>
  <c r="M292" i="1"/>
  <c r="Z292" i="1" s="1"/>
  <c r="J292" i="1"/>
  <c r="H292" i="1"/>
  <c r="BI291" i="1"/>
  <c r="AO291" i="1"/>
  <c r="AA291" i="1"/>
  <c r="U291" i="1"/>
  <c r="E291" i="1" s="1"/>
  <c r="T291" i="1"/>
  <c r="Q291" i="1"/>
  <c r="N291" i="1"/>
  <c r="M291" i="1"/>
  <c r="Z291" i="1" s="1"/>
  <c r="J291" i="1"/>
  <c r="H291" i="1"/>
  <c r="BI290" i="1"/>
  <c r="AO290" i="1"/>
  <c r="BI289" i="1"/>
  <c r="AO289" i="1"/>
  <c r="AA289" i="1"/>
  <c r="U289" i="1"/>
  <c r="T289" i="1"/>
  <c r="S289" i="1"/>
  <c r="Q289" i="1"/>
  <c r="P289" i="1"/>
  <c r="N289" i="1"/>
  <c r="M289" i="1"/>
  <c r="Z289" i="1" s="1"/>
  <c r="J289" i="1"/>
  <c r="H289" i="1"/>
  <c r="BI288" i="1"/>
  <c r="AO288" i="1"/>
  <c r="AA288" i="1"/>
  <c r="U288" i="1"/>
  <c r="T288" i="1"/>
  <c r="S288" i="1"/>
  <c r="Q288" i="1"/>
  <c r="P288" i="1"/>
  <c r="O288" i="1"/>
  <c r="N288" i="1"/>
  <c r="M288" i="1"/>
  <c r="Z288" i="1" s="1"/>
  <c r="J288" i="1"/>
  <c r="H288" i="1"/>
  <c r="BI287" i="1"/>
  <c r="AO287" i="1"/>
  <c r="AA287" i="1"/>
  <c r="U287" i="1"/>
  <c r="T287" i="1"/>
  <c r="S287" i="1"/>
  <c r="Q287" i="1"/>
  <c r="P287" i="1"/>
  <c r="N287" i="1"/>
  <c r="M287" i="1"/>
  <c r="O287" i="1" s="1"/>
  <c r="J287" i="1"/>
  <c r="H287" i="1"/>
  <c r="BI286" i="1"/>
  <c r="AO286" i="1"/>
  <c r="AA286" i="1"/>
  <c r="U286" i="1"/>
  <c r="T286" i="1"/>
  <c r="S286" i="1"/>
  <c r="Q286" i="1"/>
  <c r="P286" i="1"/>
  <c r="O286" i="1"/>
  <c r="N286" i="1"/>
  <c r="M286" i="1"/>
  <c r="Z286" i="1" s="1"/>
  <c r="J286" i="1"/>
  <c r="H286" i="1"/>
  <c r="BI285" i="1"/>
  <c r="AO285" i="1"/>
  <c r="AA285" i="1"/>
  <c r="U285" i="1"/>
  <c r="T285" i="1"/>
  <c r="S285" i="1"/>
  <c r="Q285" i="1"/>
  <c r="P285" i="1"/>
  <c r="N285" i="1"/>
  <c r="M285" i="1"/>
  <c r="Z285" i="1" s="1"/>
  <c r="J285" i="1"/>
  <c r="H285" i="1"/>
  <c r="BI284" i="1"/>
  <c r="AO284" i="1"/>
  <c r="AA284" i="1"/>
  <c r="U284" i="1"/>
  <c r="E284" i="1" s="1"/>
  <c r="T284" i="1"/>
  <c r="Q284" i="1"/>
  <c r="O284" i="1"/>
  <c r="N284" i="1"/>
  <c r="M284" i="1"/>
  <c r="Z284" i="1" s="1"/>
  <c r="J284" i="1"/>
  <c r="H284" i="1"/>
  <c r="BI283" i="1"/>
  <c r="AO283" i="1"/>
  <c r="AA283" i="1"/>
  <c r="U283" i="1"/>
  <c r="T283" i="1"/>
  <c r="S283" i="1"/>
  <c r="Q283" i="1"/>
  <c r="P283" i="1"/>
  <c r="O283" i="1"/>
  <c r="N283" i="1"/>
  <c r="M283" i="1"/>
  <c r="Z283" i="1" s="1"/>
  <c r="J283" i="1"/>
  <c r="H283" i="1"/>
  <c r="BI282" i="1"/>
  <c r="AO282" i="1"/>
  <c r="BI281" i="1"/>
  <c r="AO281" i="1"/>
  <c r="AA281" i="1"/>
  <c r="U281" i="1"/>
  <c r="T281" i="1"/>
  <c r="S281" i="1"/>
  <c r="Q281" i="1"/>
  <c r="P281" i="1"/>
  <c r="O281" i="1"/>
  <c r="N281" i="1"/>
  <c r="M281" i="1"/>
  <c r="Z281" i="1" s="1"/>
  <c r="J281" i="1"/>
  <c r="H281" i="1"/>
  <c r="BI280" i="1"/>
  <c r="AO280" i="1"/>
  <c r="AA280" i="1"/>
  <c r="U280" i="1"/>
  <c r="T280" i="1"/>
  <c r="S280" i="1"/>
  <c r="Q280" i="1"/>
  <c r="P280" i="1"/>
  <c r="O280" i="1"/>
  <c r="N280" i="1"/>
  <c r="M280" i="1"/>
  <c r="Z280" i="1" s="1"/>
  <c r="J280" i="1"/>
  <c r="H280" i="1"/>
  <c r="BI279" i="1"/>
  <c r="AO279" i="1"/>
  <c r="AA279" i="1"/>
  <c r="U279" i="1"/>
  <c r="T279" i="1"/>
  <c r="S279" i="1"/>
  <c r="Q279" i="1"/>
  <c r="P279" i="1"/>
  <c r="O279" i="1"/>
  <c r="N279" i="1"/>
  <c r="M279" i="1"/>
  <c r="Z279" i="1" s="1"/>
  <c r="J279" i="1"/>
  <c r="H279" i="1"/>
  <c r="BI278" i="1"/>
  <c r="AO278" i="1"/>
  <c r="AA278" i="1"/>
  <c r="Z278" i="1"/>
  <c r="U278" i="1"/>
  <c r="T278" i="1"/>
  <c r="S278" i="1"/>
  <c r="Q278" i="1"/>
  <c r="P278" i="1"/>
  <c r="N278" i="1"/>
  <c r="M278" i="1"/>
  <c r="O278" i="1" s="1"/>
  <c r="J278" i="1"/>
  <c r="H278" i="1"/>
  <c r="BI277" i="1"/>
  <c r="AO277" i="1"/>
  <c r="AA277" i="1"/>
  <c r="U277" i="1"/>
  <c r="T277" i="1"/>
  <c r="S277" i="1"/>
  <c r="Q277" i="1"/>
  <c r="P277" i="1"/>
  <c r="O277" i="1"/>
  <c r="N277" i="1"/>
  <c r="M277" i="1"/>
  <c r="Z277" i="1" s="1"/>
  <c r="J277" i="1"/>
  <c r="H277" i="1"/>
  <c r="BI276" i="1"/>
  <c r="AO276" i="1"/>
  <c r="AA276" i="1"/>
  <c r="U276" i="1"/>
  <c r="T276" i="1"/>
  <c r="S276" i="1"/>
  <c r="Q276" i="1"/>
  <c r="P276" i="1"/>
  <c r="O276" i="1"/>
  <c r="N276" i="1"/>
  <c r="M276" i="1"/>
  <c r="Z276" i="1" s="1"/>
  <c r="J276" i="1"/>
  <c r="H276" i="1"/>
  <c r="BI275" i="1"/>
  <c r="AO275" i="1"/>
  <c r="AA275" i="1"/>
  <c r="U275" i="1"/>
  <c r="T275" i="1"/>
  <c r="S275" i="1"/>
  <c r="Q275" i="1"/>
  <c r="P275" i="1"/>
  <c r="O275" i="1"/>
  <c r="N275" i="1"/>
  <c r="M275" i="1"/>
  <c r="Z275" i="1" s="1"/>
  <c r="J275" i="1"/>
  <c r="H275" i="1"/>
  <c r="BI274" i="1"/>
  <c r="AO274" i="1"/>
  <c r="AA274" i="1"/>
  <c r="U274" i="1"/>
  <c r="T274" i="1"/>
  <c r="S274" i="1"/>
  <c r="Q274" i="1"/>
  <c r="P274" i="1"/>
  <c r="N274" i="1"/>
  <c r="M274" i="1"/>
  <c r="Z274" i="1" s="1"/>
  <c r="J274" i="1"/>
  <c r="H274" i="1"/>
  <c r="BI273" i="1"/>
  <c r="AO273" i="1"/>
  <c r="AA273" i="1"/>
  <c r="U273" i="1"/>
  <c r="T273" i="1"/>
  <c r="S273" i="1"/>
  <c r="Q273" i="1"/>
  <c r="P273" i="1"/>
  <c r="O273" i="1"/>
  <c r="N273" i="1"/>
  <c r="M273" i="1"/>
  <c r="Z273" i="1" s="1"/>
  <c r="J273" i="1"/>
  <c r="H273" i="1"/>
  <c r="BI272" i="1"/>
  <c r="AO272" i="1"/>
  <c r="AA272" i="1"/>
  <c r="U272" i="1"/>
  <c r="T272" i="1"/>
  <c r="S272" i="1"/>
  <c r="Q272" i="1"/>
  <c r="P272" i="1"/>
  <c r="O272" i="1"/>
  <c r="N272" i="1"/>
  <c r="M272" i="1"/>
  <c r="Z272" i="1" s="1"/>
  <c r="J272" i="1"/>
  <c r="H272" i="1"/>
  <c r="BI271" i="1"/>
  <c r="AO271" i="1"/>
  <c r="AA271" i="1"/>
  <c r="U271" i="1"/>
  <c r="T271" i="1"/>
  <c r="S271" i="1"/>
  <c r="Q271" i="1"/>
  <c r="P271" i="1"/>
  <c r="O271" i="1"/>
  <c r="N271" i="1"/>
  <c r="M271" i="1"/>
  <c r="Z271" i="1" s="1"/>
  <c r="J271" i="1"/>
  <c r="H271" i="1"/>
  <c r="BI270" i="1"/>
  <c r="AO270" i="1"/>
  <c r="AA270" i="1"/>
  <c r="U270" i="1"/>
  <c r="T270" i="1"/>
  <c r="S270" i="1"/>
  <c r="Q270" i="1"/>
  <c r="P270" i="1"/>
  <c r="N270" i="1"/>
  <c r="M270" i="1"/>
  <c r="O270" i="1" s="1"/>
  <c r="J270" i="1"/>
  <c r="H270" i="1"/>
  <c r="BI269" i="1"/>
  <c r="AO269" i="1"/>
  <c r="AA269" i="1"/>
  <c r="U269" i="1"/>
  <c r="T269" i="1"/>
  <c r="S269" i="1"/>
  <c r="Q269" i="1"/>
  <c r="P269" i="1"/>
  <c r="O269" i="1"/>
  <c r="N269" i="1"/>
  <c r="M269" i="1"/>
  <c r="Z269" i="1" s="1"/>
  <c r="J269" i="1"/>
  <c r="H269" i="1"/>
  <c r="BI268" i="1"/>
  <c r="AO268" i="1"/>
  <c r="AA268" i="1"/>
  <c r="U268" i="1"/>
  <c r="T268" i="1"/>
  <c r="S268" i="1"/>
  <c r="Q268" i="1"/>
  <c r="P268" i="1"/>
  <c r="O268" i="1"/>
  <c r="N268" i="1"/>
  <c r="M268" i="1"/>
  <c r="Z268" i="1" s="1"/>
  <c r="J268" i="1"/>
  <c r="H268" i="1"/>
  <c r="BI267" i="1"/>
  <c r="AO267" i="1"/>
  <c r="AA267" i="1"/>
  <c r="U267" i="1"/>
  <c r="T267" i="1"/>
  <c r="S267" i="1"/>
  <c r="Q267" i="1"/>
  <c r="P267" i="1"/>
  <c r="O267" i="1"/>
  <c r="N267" i="1"/>
  <c r="M267" i="1"/>
  <c r="Z267" i="1" s="1"/>
  <c r="J267" i="1"/>
  <c r="H267" i="1"/>
  <c r="BI266" i="1"/>
  <c r="AO266" i="1"/>
  <c r="AA266" i="1"/>
  <c r="Z266" i="1"/>
  <c r="U266" i="1"/>
  <c r="T266" i="1"/>
  <c r="S266" i="1"/>
  <c r="Q266" i="1"/>
  <c r="P266" i="1"/>
  <c r="N266" i="1"/>
  <c r="M266" i="1"/>
  <c r="O266" i="1" s="1"/>
  <c r="J266" i="1"/>
  <c r="H266" i="1"/>
  <c r="BI265" i="1"/>
  <c r="AO265" i="1"/>
  <c r="AA265" i="1"/>
  <c r="U265" i="1"/>
  <c r="T265" i="1"/>
  <c r="S265" i="1"/>
  <c r="Q265" i="1"/>
  <c r="P265" i="1"/>
  <c r="O265" i="1"/>
  <c r="N265" i="1"/>
  <c r="M265" i="1"/>
  <c r="Z265" i="1" s="1"/>
  <c r="J265" i="1"/>
  <c r="H265" i="1"/>
  <c r="BI264" i="1"/>
  <c r="AO264" i="1"/>
  <c r="AA264" i="1"/>
  <c r="U264" i="1"/>
  <c r="T264" i="1"/>
  <c r="S264" i="1"/>
  <c r="Q264" i="1"/>
  <c r="P264" i="1"/>
  <c r="O264" i="1"/>
  <c r="N264" i="1"/>
  <c r="M264" i="1"/>
  <c r="Z264" i="1" s="1"/>
  <c r="J264" i="1"/>
  <c r="H264" i="1"/>
  <c r="BI263" i="1"/>
  <c r="AO263" i="1"/>
  <c r="AA263" i="1"/>
  <c r="U263" i="1"/>
  <c r="T263" i="1"/>
  <c r="Q263" i="1"/>
  <c r="O263" i="1"/>
  <c r="N263" i="1"/>
  <c r="M263" i="1"/>
  <c r="Z263" i="1" s="1"/>
  <c r="J263" i="1"/>
  <c r="H263" i="1"/>
  <c r="E263" i="1"/>
  <c r="S263" i="1" s="1"/>
  <c r="BI262" i="1"/>
  <c r="AO262" i="1"/>
  <c r="O262" i="1"/>
  <c r="BI261" i="1"/>
  <c r="AO261" i="1"/>
  <c r="AA261" i="1"/>
  <c r="U261" i="1"/>
  <c r="T261" i="1"/>
  <c r="S261" i="1"/>
  <c r="Q261" i="1"/>
  <c r="P261" i="1"/>
  <c r="O261" i="1"/>
  <c r="N261" i="1"/>
  <c r="M261" i="1"/>
  <c r="Z261" i="1" s="1"/>
  <c r="J261" i="1"/>
  <c r="H261" i="1"/>
  <c r="BI260" i="1"/>
  <c r="AO260" i="1"/>
  <c r="AA260" i="1"/>
  <c r="U260" i="1"/>
  <c r="T260" i="1"/>
  <c r="S260" i="1"/>
  <c r="Q260" i="1"/>
  <c r="P260" i="1"/>
  <c r="O260" i="1"/>
  <c r="N260" i="1"/>
  <c r="M260" i="1"/>
  <c r="Z260" i="1" s="1"/>
  <c r="J260" i="1"/>
  <c r="H260" i="1"/>
  <c r="BI259" i="1"/>
  <c r="AO259" i="1"/>
  <c r="AA259" i="1"/>
  <c r="U259" i="1"/>
  <c r="T259" i="1"/>
  <c r="S259" i="1"/>
  <c r="Q259" i="1"/>
  <c r="P259" i="1"/>
  <c r="N259" i="1"/>
  <c r="M259" i="1"/>
  <c r="O259" i="1" s="1"/>
  <c r="J259" i="1"/>
  <c r="H259" i="1"/>
  <c r="BI258" i="1"/>
  <c r="AO258" i="1"/>
  <c r="AA258" i="1"/>
  <c r="U258" i="1"/>
  <c r="T258" i="1"/>
  <c r="S258" i="1"/>
  <c r="Q258" i="1"/>
  <c r="P258" i="1"/>
  <c r="O258" i="1"/>
  <c r="N258" i="1"/>
  <c r="M258" i="1"/>
  <c r="Z258" i="1" s="1"/>
  <c r="J258" i="1"/>
  <c r="H258" i="1"/>
  <c r="BI257" i="1"/>
  <c r="AO257" i="1"/>
  <c r="AA257" i="1"/>
  <c r="U257" i="1"/>
  <c r="T257" i="1"/>
  <c r="S257" i="1"/>
  <c r="Q257" i="1"/>
  <c r="P257" i="1"/>
  <c r="O257" i="1"/>
  <c r="N257" i="1"/>
  <c r="M257" i="1"/>
  <c r="Z257" i="1" s="1"/>
  <c r="J257" i="1"/>
  <c r="H257" i="1"/>
  <c r="BI256" i="1"/>
  <c r="AO256" i="1"/>
  <c r="AM256" i="1"/>
  <c r="AA256" i="1"/>
  <c r="U256" i="1"/>
  <c r="T256" i="1"/>
  <c r="S256" i="1"/>
  <c r="Q256" i="1"/>
  <c r="P256" i="1"/>
  <c r="O256" i="1"/>
  <c r="N256" i="1"/>
  <c r="M256" i="1"/>
  <c r="Z256" i="1" s="1"/>
  <c r="J256" i="1"/>
  <c r="I256" i="1"/>
  <c r="H256" i="1"/>
  <c r="CD255" i="1"/>
  <c r="CC255" i="1"/>
  <c r="BZ255" i="1"/>
  <c r="BW255" i="1"/>
  <c r="BI255" i="1"/>
  <c r="AO255" i="1"/>
  <c r="AA255" i="1"/>
  <c r="U255" i="1"/>
  <c r="T255" i="1"/>
  <c r="S255" i="1"/>
  <c r="Q255" i="1"/>
  <c r="P255" i="1"/>
  <c r="O255" i="1"/>
  <c r="N255" i="1"/>
  <c r="M255" i="1"/>
  <c r="Z255" i="1" s="1"/>
  <c r="J255" i="1"/>
  <c r="H255" i="1"/>
  <c r="BI254" i="1"/>
  <c r="AO254" i="1"/>
  <c r="AA254" i="1"/>
  <c r="U254" i="1"/>
  <c r="T254" i="1"/>
  <c r="S254" i="1"/>
  <c r="Q254" i="1"/>
  <c r="P254" i="1"/>
  <c r="O254" i="1"/>
  <c r="N254" i="1"/>
  <c r="M254" i="1"/>
  <c r="Z254" i="1" s="1"/>
  <c r="I254" i="1"/>
  <c r="J254" i="1" s="1"/>
  <c r="H254" i="1"/>
  <c r="BI253" i="1"/>
  <c r="AO253" i="1"/>
  <c r="AA253" i="1"/>
  <c r="U253" i="1"/>
  <c r="T253" i="1"/>
  <c r="S253" i="1"/>
  <c r="Q253" i="1"/>
  <c r="P253" i="1"/>
  <c r="O253" i="1"/>
  <c r="N253" i="1"/>
  <c r="M253" i="1"/>
  <c r="Z253" i="1" s="1"/>
  <c r="J253" i="1"/>
  <c r="H253" i="1"/>
  <c r="BI252" i="1"/>
  <c r="AO252" i="1"/>
  <c r="BI251" i="1"/>
  <c r="AO251" i="1"/>
  <c r="AA251" i="1"/>
  <c r="U251" i="1"/>
  <c r="E251" i="1" s="1"/>
  <c r="T251" i="1"/>
  <c r="Q251" i="1"/>
  <c r="O251" i="1"/>
  <c r="N251" i="1"/>
  <c r="M251" i="1"/>
  <c r="Z251" i="1" s="1"/>
  <c r="J251" i="1"/>
  <c r="H251" i="1"/>
  <c r="BI250" i="1"/>
  <c r="AO250" i="1"/>
  <c r="AA250" i="1"/>
  <c r="U250" i="1"/>
  <c r="T250" i="1"/>
  <c r="S250" i="1"/>
  <c r="Q250" i="1"/>
  <c r="P250" i="1"/>
  <c r="O250" i="1"/>
  <c r="N250" i="1"/>
  <c r="M250" i="1"/>
  <c r="Z250" i="1" s="1"/>
  <c r="J250" i="1"/>
  <c r="H250" i="1"/>
  <c r="BI249" i="1"/>
  <c r="AO249" i="1"/>
  <c r="AA249" i="1"/>
  <c r="Z249" i="1"/>
  <c r="U249" i="1"/>
  <c r="T249" i="1"/>
  <c r="S249" i="1"/>
  <c r="Q249" i="1"/>
  <c r="P249" i="1"/>
  <c r="N249" i="1"/>
  <c r="M249" i="1"/>
  <c r="O249" i="1" s="1"/>
  <c r="J249" i="1"/>
  <c r="H249" i="1"/>
  <c r="BI248" i="1"/>
  <c r="AO248" i="1"/>
  <c r="AA248" i="1"/>
  <c r="U248" i="1"/>
  <c r="T248" i="1"/>
  <c r="S248" i="1"/>
  <c r="Q248" i="1"/>
  <c r="P248" i="1"/>
  <c r="O248" i="1"/>
  <c r="N248" i="1"/>
  <c r="M248" i="1"/>
  <c r="Z248" i="1" s="1"/>
  <c r="J248" i="1"/>
  <c r="H248" i="1"/>
  <c r="BI247" i="1"/>
  <c r="AO247" i="1"/>
  <c r="BI246" i="1"/>
  <c r="AO246" i="1"/>
  <c r="AA246" i="1"/>
  <c r="U246" i="1"/>
  <c r="T246" i="1"/>
  <c r="S246" i="1"/>
  <c r="Q246" i="1"/>
  <c r="P246" i="1"/>
  <c r="O246" i="1"/>
  <c r="N246" i="1"/>
  <c r="M246" i="1"/>
  <c r="Z246" i="1" s="1"/>
  <c r="J246" i="1"/>
  <c r="H246" i="1"/>
  <c r="BI245" i="1"/>
  <c r="AO245" i="1"/>
  <c r="AA245" i="1"/>
  <c r="U245" i="1"/>
  <c r="T245" i="1"/>
  <c r="S245" i="1"/>
  <c r="Q245" i="1"/>
  <c r="P245" i="1"/>
  <c r="O245" i="1"/>
  <c r="N245" i="1"/>
  <c r="M245" i="1"/>
  <c r="Z245" i="1" s="1"/>
  <c r="J245" i="1"/>
  <c r="H245" i="1"/>
  <c r="D245" i="1"/>
  <c r="BI244" i="1"/>
  <c r="AO244" i="1"/>
  <c r="AA244" i="1"/>
  <c r="U244" i="1"/>
  <c r="T244" i="1"/>
  <c r="S244" i="1"/>
  <c r="Q244" i="1"/>
  <c r="P244" i="1"/>
  <c r="O244" i="1"/>
  <c r="N244" i="1"/>
  <c r="M244" i="1"/>
  <c r="Z244" i="1" s="1"/>
  <c r="J244" i="1"/>
  <c r="H244" i="1"/>
  <c r="BI243" i="1"/>
  <c r="AO243" i="1"/>
  <c r="AA243" i="1"/>
  <c r="U243" i="1"/>
  <c r="T243" i="1"/>
  <c r="S243" i="1"/>
  <c r="Q243" i="1"/>
  <c r="P243" i="1"/>
  <c r="N243" i="1"/>
  <c r="M243" i="1"/>
  <c r="Z243" i="1" s="1"/>
  <c r="J243" i="1"/>
  <c r="H243" i="1"/>
  <c r="BI242" i="1"/>
  <c r="AO242" i="1"/>
  <c r="AA242" i="1"/>
  <c r="U242" i="1"/>
  <c r="T242" i="1"/>
  <c r="S242" i="1"/>
  <c r="Q242" i="1"/>
  <c r="P242" i="1"/>
  <c r="O242" i="1"/>
  <c r="N242" i="1"/>
  <c r="M242" i="1"/>
  <c r="Z242" i="1" s="1"/>
  <c r="J242" i="1"/>
  <c r="H242" i="1"/>
  <c r="BI241" i="1"/>
  <c r="AO241" i="1"/>
  <c r="AA241" i="1"/>
  <c r="U241" i="1"/>
  <c r="T241" i="1"/>
  <c r="S241" i="1"/>
  <c r="Q241" i="1"/>
  <c r="P241" i="1"/>
  <c r="N241" i="1"/>
  <c r="M241" i="1"/>
  <c r="O241" i="1" s="1"/>
  <c r="J241" i="1"/>
  <c r="H241" i="1"/>
  <c r="CD240" i="1"/>
  <c r="CC240" i="1"/>
  <c r="BZ240" i="1"/>
  <c r="BW240" i="1"/>
  <c r="BI240" i="1"/>
  <c r="AO240" i="1"/>
  <c r="AA240" i="1"/>
  <c r="U240" i="1"/>
  <c r="T240" i="1"/>
  <c r="S240" i="1"/>
  <c r="Q240" i="1"/>
  <c r="P240" i="1"/>
  <c r="O240" i="1"/>
  <c r="N240" i="1"/>
  <c r="M240" i="1"/>
  <c r="Z240" i="1" s="1"/>
  <c r="J240" i="1"/>
  <c r="H240" i="1"/>
  <c r="BI239" i="1"/>
  <c r="AO239" i="1"/>
  <c r="BI238" i="1"/>
  <c r="AO238" i="1"/>
  <c r="AA238" i="1"/>
  <c r="U238" i="1"/>
  <c r="T238" i="1"/>
  <c r="S238" i="1"/>
  <c r="Q238" i="1"/>
  <c r="P238" i="1"/>
  <c r="O238" i="1"/>
  <c r="N238" i="1"/>
  <c r="M238" i="1"/>
  <c r="Z238" i="1" s="1"/>
  <c r="J238" i="1"/>
  <c r="H238" i="1"/>
  <c r="BI237" i="1"/>
  <c r="AO237" i="1"/>
  <c r="AA237" i="1"/>
  <c r="U237" i="1"/>
  <c r="T237" i="1"/>
  <c r="S237" i="1"/>
  <c r="Q237" i="1"/>
  <c r="P237" i="1"/>
  <c r="N237" i="1"/>
  <c r="M237" i="1"/>
  <c r="O237" i="1" s="1"/>
  <c r="J237" i="1"/>
  <c r="H237" i="1"/>
  <c r="BI236" i="1"/>
  <c r="AO236" i="1"/>
  <c r="AA236" i="1"/>
  <c r="U236" i="1"/>
  <c r="T236" i="1"/>
  <c r="S236" i="1"/>
  <c r="Q236" i="1"/>
  <c r="P236" i="1"/>
  <c r="O236" i="1"/>
  <c r="N236" i="1"/>
  <c r="M236" i="1"/>
  <c r="Z236" i="1" s="1"/>
  <c r="J236" i="1"/>
  <c r="H236" i="1"/>
  <c r="BI235" i="1"/>
  <c r="AO235" i="1"/>
  <c r="AA235" i="1"/>
  <c r="U235" i="1"/>
  <c r="T235" i="1"/>
  <c r="S235" i="1"/>
  <c r="Q235" i="1"/>
  <c r="P235" i="1"/>
  <c r="N235" i="1"/>
  <c r="M235" i="1"/>
  <c r="Z235" i="1" s="1"/>
  <c r="J235" i="1"/>
  <c r="H235" i="1"/>
  <c r="BI234" i="1"/>
  <c r="AO234" i="1"/>
  <c r="AA234" i="1"/>
  <c r="U234" i="1"/>
  <c r="T234" i="1"/>
  <c r="S234" i="1"/>
  <c r="Q234" i="1"/>
  <c r="P234" i="1"/>
  <c r="O234" i="1"/>
  <c r="N234" i="1"/>
  <c r="M234" i="1"/>
  <c r="Z234" i="1" s="1"/>
  <c r="J234" i="1"/>
  <c r="H234" i="1"/>
  <c r="BI233" i="1"/>
  <c r="AO233" i="1"/>
  <c r="AA233" i="1"/>
  <c r="U233" i="1"/>
  <c r="T233" i="1"/>
  <c r="S233" i="1"/>
  <c r="Q233" i="1"/>
  <c r="P233" i="1"/>
  <c r="N233" i="1"/>
  <c r="M233" i="1"/>
  <c r="O233" i="1" s="1"/>
  <c r="J233" i="1"/>
  <c r="H233" i="1"/>
  <c r="BI232" i="1"/>
  <c r="AO232" i="1"/>
  <c r="AA232" i="1"/>
  <c r="U232" i="1"/>
  <c r="T232" i="1"/>
  <c r="S232" i="1"/>
  <c r="Q232" i="1"/>
  <c r="P232" i="1"/>
  <c r="O232" i="1"/>
  <c r="N232" i="1"/>
  <c r="M232" i="1"/>
  <c r="Z232" i="1" s="1"/>
  <c r="J232" i="1"/>
  <c r="H232" i="1"/>
  <c r="BI231" i="1"/>
  <c r="AO231" i="1"/>
  <c r="AA231" i="1"/>
  <c r="U231" i="1"/>
  <c r="T231" i="1"/>
  <c r="S231" i="1"/>
  <c r="Q231" i="1"/>
  <c r="P231" i="1"/>
  <c r="N231" i="1"/>
  <c r="M231" i="1"/>
  <c r="Z231" i="1" s="1"/>
  <c r="J231" i="1"/>
  <c r="H231" i="1"/>
  <c r="BI230" i="1"/>
  <c r="AO230" i="1"/>
  <c r="AA230" i="1"/>
  <c r="U230" i="1"/>
  <c r="T230" i="1"/>
  <c r="S230" i="1"/>
  <c r="Q230" i="1"/>
  <c r="P230" i="1"/>
  <c r="O230" i="1"/>
  <c r="N230" i="1"/>
  <c r="M230" i="1"/>
  <c r="Z230" i="1" s="1"/>
  <c r="J230" i="1"/>
  <c r="H230" i="1"/>
  <c r="BI229" i="1"/>
  <c r="AO229" i="1"/>
  <c r="O229" i="1"/>
  <c r="BI228" i="1"/>
  <c r="AO228" i="1"/>
  <c r="AA228" i="1"/>
  <c r="U228" i="1"/>
  <c r="T228" i="1"/>
  <c r="S228" i="1"/>
  <c r="Q228" i="1"/>
  <c r="P228" i="1"/>
  <c r="N228" i="1"/>
  <c r="M228" i="1"/>
  <c r="O228" i="1" s="1"/>
  <c r="J228" i="1"/>
  <c r="H228" i="1"/>
  <c r="BI227" i="1"/>
  <c r="AO227" i="1"/>
  <c r="AA227" i="1"/>
  <c r="U227" i="1"/>
  <c r="T227" i="1"/>
  <c r="S227" i="1"/>
  <c r="Q227" i="1"/>
  <c r="P227" i="1"/>
  <c r="O227" i="1"/>
  <c r="N227" i="1"/>
  <c r="M227" i="1"/>
  <c r="Z227" i="1" s="1"/>
  <c r="I227" i="1"/>
  <c r="J227" i="1" s="1"/>
  <c r="H227" i="1"/>
  <c r="CD226" i="1"/>
  <c r="CC226" i="1"/>
  <c r="BZ226" i="1"/>
  <c r="BW226" i="1"/>
  <c r="BI226" i="1"/>
  <c r="AO226" i="1"/>
  <c r="AA226" i="1"/>
  <c r="U226" i="1"/>
  <c r="T226" i="1"/>
  <c r="S226" i="1"/>
  <c r="Q226" i="1"/>
  <c r="P226" i="1"/>
  <c r="N226" i="1"/>
  <c r="M226" i="1"/>
  <c r="Z226" i="1" s="1"/>
  <c r="J226" i="1"/>
  <c r="H226" i="1"/>
  <c r="BI225" i="1"/>
  <c r="AO225" i="1"/>
  <c r="AA225" i="1"/>
  <c r="U225" i="1"/>
  <c r="T225" i="1"/>
  <c r="S225" i="1"/>
  <c r="Q225" i="1"/>
  <c r="P225" i="1"/>
  <c r="O225" i="1"/>
  <c r="N225" i="1"/>
  <c r="M225" i="1"/>
  <c r="Z225" i="1" s="1"/>
  <c r="J225" i="1"/>
  <c r="H225" i="1"/>
  <c r="BI224" i="1"/>
  <c r="AO224" i="1"/>
  <c r="AA224" i="1"/>
  <c r="U224" i="1"/>
  <c r="T224" i="1"/>
  <c r="S224" i="1"/>
  <c r="Q224" i="1"/>
  <c r="P224" i="1"/>
  <c r="N224" i="1"/>
  <c r="M224" i="1"/>
  <c r="O224" i="1" s="1"/>
  <c r="J224" i="1"/>
  <c r="H224" i="1"/>
  <c r="BI223" i="1"/>
  <c r="AO223" i="1"/>
  <c r="AA223" i="1"/>
  <c r="U223" i="1"/>
  <c r="T223" i="1"/>
  <c r="S223" i="1"/>
  <c r="Q223" i="1"/>
  <c r="P223" i="1"/>
  <c r="O223" i="1"/>
  <c r="N223" i="1"/>
  <c r="M223" i="1"/>
  <c r="Z223" i="1" s="1"/>
  <c r="J223" i="1"/>
  <c r="H223" i="1"/>
  <c r="BI222" i="1"/>
  <c r="AO222" i="1"/>
  <c r="AA222" i="1"/>
  <c r="U222" i="1"/>
  <c r="T222" i="1"/>
  <c r="S222" i="1"/>
  <c r="Q222" i="1"/>
  <c r="P222" i="1"/>
  <c r="N222" i="1"/>
  <c r="M222" i="1"/>
  <c r="Z222" i="1" s="1"/>
  <c r="J222" i="1"/>
  <c r="H222" i="1"/>
  <c r="BI221" i="1"/>
  <c r="AO221" i="1"/>
  <c r="AA221" i="1"/>
  <c r="U221" i="1"/>
  <c r="T221" i="1"/>
  <c r="S221" i="1"/>
  <c r="Q221" i="1"/>
  <c r="P221" i="1"/>
  <c r="O221" i="1"/>
  <c r="N221" i="1"/>
  <c r="M221" i="1"/>
  <c r="Z221" i="1" s="1"/>
  <c r="J221" i="1"/>
  <c r="H221" i="1"/>
  <c r="BI220" i="1"/>
  <c r="AO220" i="1"/>
  <c r="AA220" i="1"/>
  <c r="U220" i="1"/>
  <c r="T220" i="1"/>
  <c r="S220" i="1"/>
  <c r="Q220" i="1"/>
  <c r="P220" i="1"/>
  <c r="N220" i="1"/>
  <c r="M220" i="1"/>
  <c r="O220" i="1" s="1"/>
  <c r="J220" i="1"/>
  <c r="H220" i="1"/>
  <c r="BI219" i="1"/>
  <c r="AO219" i="1"/>
  <c r="AA219" i="1"/>
  <c r="U219" i="1"/>
  <c r="T219" i="1"/>
  <c r="S219" i="1"/>
  <c r="Q219" i="1"/>
  <c r="P219" i="1"/>
  <c r="O219" i="1"/>
  <c r="N219" i="1"/>
  <c r="M219" i="1"/>
  <c r="Z219" i="1" s="1"/>
  <c r="J219" i="1"/>
  <c r="H219" i="1"/>
  <c r="BI218" i="1"/>
  <c r="AO218" i="1"/>
  <c r="AA218" i="1"/>
  <c r="U218" i="1"/>
  <c r="T218" i="1"/>
  <c r="S218" i="1"/>
  <c r="Q218" i="1"/>
  <c r="P218" i="1"/>
  <c r="N218" i="1"/>
  <c r="M218" i="1"/>
  <c r="Z218" i="1" s="1"/>
  <c r="J218" i="1"/>
  <c r="H218" i="1"/>
  <c r="BI217" i="1"/>
  <c r="AO217" i="1"/>
  <c r="AA217" i="1"/>
  <c r="U217" i="1"/>
  <c r="T217" i="1"/>
  <c r="S217" i="1"/>
  <c r="Q217" i="1"/>
  <c r="P217" i="1"/>
  <c r="O217" i="1"/>
  <c r="N217" i="1"/>
  <c r="M217" i="1"/>
  <c r="Z217" i="1" s="1"/>
  <c r="J217" i="1"/>
  <c r="H217" i="1"/>
  <c r="BI216" i="1"/>
  <c r="AO216" i="1"/>
  <c r="AA216" i="1"/>
  <c r="U216" i="1"/>
  <c r="T216" i="1"/>
  <c r="S216" i="1"/>
  <c r="Q216" i="1"/>
  <c r="P216" i="1"/>
  <c r="N216" i="1"/>
  <c r="M216" i="1"/>
  <c r="O216" i="1" s="1"/>
  <c r="J216" i="1"/>
  <c r="H216" i="1"/>
  <c r="BI215" i="1"/>
  <c r="AO215" i="1"/>
  <c r="AA215" i="1"/>
  <c r="U215" i="1"/>
  <c r="E215" i="1" s="1"/>
  <c r="T215" i="1"/>
  <c r="Q215" i="1"/>
  <c r="O215" i="1"/>
  <c r="N215" i="1"/>
  <c r="M215" i="1"/>
  <c r="Z215" i="1" s="1"/>
  <c r="J215" i="1"/>
  <c r="H215" i="1"/>
  <c r="BI214" i="1"/>
  <c r="AO214" i="1"/>
  <c r="AA214" i="1"/>
  <c r="U214" i="1"/>
  <c r="T214" i="1"/>
  <c r="Q214" i="1"/>
  <c r="O214" i="1"/>
  <c r="N214" i="1"/>
  <c r="M214" i="1"/>
  <c r="Z214" i="1" s="1"/>
  <c r="J214" i="1"/>
  <c r="H214" i="1"/>
  <c r="E214" i="1"/>
  <c r="S214" i="1" s="1"/>
  <c r="BI213" i="1"/>
  <c r="AO213" i="1"/>
  <c r="AA213" i="1"/>
  <c r="U213" i="1"/>
  <c r="T213" i="1"/>
  <c r="S213" i="1"/>
  <c r="Q213" i="1"/>
  <c r="P213" i="1"/>
  <c r="N213" i="1"/>
  <c r="M213" i="1"/>
  <c r="Z213" i="1" s="1"/>
  <c r="J213" i="1"/>
  <c r="H213" i="1"/>
  <c r="BI212" i="1"/>
  <c r="AO212" i="1"/>
  <c r="AA212" i="1"/>
  <c r="U212" i="1"/>
  <c r="T212" i="1"/>
  <c r="S212" i="1"/>
  <c r="Q212" i="1"/>
  <c r="P212" i="1"/>
  <c r="O212" i="1"/>
  <c r="N212" i="1"/>
  <c r="M212" i="1"/>
  <c r="Z212" i="1" s="1"/>
  <c r="J212" i="1"/>
  <c r="H212" i="1"/>
  <c r="BI211" i="1"/>
  <c r="AO211" i="1"/>
  <c r="AA211" i="1"/>
  <c r="U211" i="1"/>
  <c r="T211" i="1"/>
  <c r="S211" i="1"/>
  <c r="Q211" i="1"/>
  <c r="P211" i="1"/>
  <c r="N211" i="1"/>
  <c r="M211" i="1"/>
  <c r="O211" i="1" s="1"/>
  <c r="J211" i="1"/>
  <c r="H211" i="1"/>
  <c r="BI210" i="1"/>
  <c r="AO210" i="1"/>
  <c r="AA210" i="1"/>
  <c r="U210" i="1"/>
  <c r="T210" i="1"/>
  <c r="S210" i="1"/>
  <c r="Q210" i="1"/>
  <c r="P210" i="1"/>
  <c r="O210" i="1"/>
  <c r="N210" i="1"/>
  <c r="M210" i="1"/>
  <c r="Z210" i="1" s="1"/>
  <c r="J210" i="1"/>
  <c r="H210" i="1"/>
  <c r="BI209" i="1"/>
  <c r="AO209" i="1"/>
  <c r="AA209" i="1"/>
  <c r="U209" i="1"/>
  <c r="T209" i="1"/>
  <c r="S209" i="1"/>
  <c r="Q209" i="1"/>
  <c r="P209" i="1"/>
  <c r="N209" i="1"/>
  <c r="M209" i="1"/>
  <c r="Z209" i="1" s="1"/>
  <c r="J209" i="1"/>
  <c r="H209" i="1"/>
  <c r="BI208" i="1"/>
  <c r="AJ208" i="1"/>
  <c r="AO208" i="1" s="1"/>
  <c r="AA208" i="1"/>
  <c r="U208" i="1"/>
  <c r="T208" i="1"/>
  <c r="S208" i="1"/>
  <c r="Q208" i="1"/>
  <c r="P208" i="1"/>
  <c r="N208" i="1"/>
  <c r="M208" i="1"/>
  <c r="O208" i="1" s="1"/>
  <c r="I208" i="1"/>
  <c r="J208" i="1" s="1"/>
  <c r="H208" i="1"/>
  <c r="BI207" i="1"/>
  <c r="AO207" i="1"/>
  <c r="BI206" i="1"/>
  <c r="AO206" i="1"/>
  <c r="AA206" i="1"/>
  <c r="U206" i="1"/>
  <c r="T206" i="1"/>
  <c r="S206" i="1"/>
  <c r="Q206" i="1"/>
  <c r="P206" i="1"/>
  <c r="N206" i="1"/>
  <c r="M206" i="1"/>
  <c r="Z206" i="1" s="1"/>
  <c r="J206" i="1"/>
  <c r="H206" i="1"/>
  <c r="BI205" i="1"/>
  <c r="AO205" i="1"/>
  <c r="AA205" i="1"/>
  <c r="U205" i="1"/>
  <c r="E205" i="1" s="1"/>
  <c r="T205" i="1"/>
  <c r="Q205" i="1"/>
  <c r="O205" i="1"/>
  <c r="N205" i="1"/>
  <c r="M205" i="1"/>
  <c r="Z205" i="1" s="1"/>
  <c r="J205" i="1"/>
  <c r="H205" i="1"/>
  <c r="BI204" i="1"/>
  <c r="AO204" i="1"/>
  <c r="AA204" i="1"/>
  <c r="U204" i="1"/>
  <c r="T204" i="1"/>
  <c r="S204" i="1"/>
  <c r="Q204" i="1"/>
  <c r="P204" i="1"/>
  <c r="O204" i="1"/>
  <c r="N204" i="1"/>
  <c r="M204" i="1"/>
  <c r="Z204" i="1" s="1"/>
  <c r="J204" i="1"/>
  <c r="H204" i="1"/>
  <c r="BI203" i="1"/>
  <c r="AO203" i="1"/>
  <c r="AA203" i="1"/>
  <c r="U203" i="1"/>
  <c r="T203" i="1"/>
  <c r="S203" i="1"/>
  <c r="Q203" i="1"/>
  <c r="P203" i="1"/>
  <c r="O203" i="1"/>
  <c r="N203" i="1"/>
  <c r="M203" i="1"/>
  <c r="Z203" i="1" s="1"/>
  <c r="J203" i="1"/>
  <c r="H203" i="1"/>
  <c r="BI202" i="1"/>
  <c r="AO202" i="1"/>
  <c r="AA202" i="1"/>
  <c r="U202" i="1"/>
  <c r="T202" i="1"/>
  <c r="Q202" i="1"/>
  <c r="O202" i="1"/>
  <c r="N202" i="1"/>
  <c r="M202" i="1"/>
  <c r="Z202" i="1" s="1"/>
  <c r="J202" i="1"/>
  <c r="H202" i="1"/>
  <c r="E202" i="1"/>
  <c r="S202" i="1" s="1"/>
  <c r="BI201" i="1"/>
  <c r="AO201" i="1"/>
  <c r="AA201" i="1"/>
  <c r="U201" i="1"/>
  <c r="T201" i="1"/>
  <c r="S201" i="1"/>
  <c r="Q201" i="1"/>
  <c r="P201" i="1"/>
  <c r="N201" i="1"/>
  <c r="M201" i="1"/>
  <c r="Z201" i="1" s="1"/>
  <c r="J201" i="1"/>
  <c r="H201" i="1"/>
  <c r="BI200" i="1"/>
  <c r="AO200" i="1"/>
  <c r="AA200" i="1"/>
  <c r="U200" i="1"/>
  <c r="T200" i="1"/>
  <c r="S200" i="1"/>
  <c r="Q200" i="1"/>
  <c r="P200" i="1"/>
  <c r="O200" i="1"/>
  <c r="N200" i="1"/>
  <c r="M200" i="1"/>
  <c r="Z200" i="1" s="1"/>
  <c r="J200" i="1"/>
  <c r="H200" i="1"/>
  <c r="BI199" i="1"/>
  <c r="AO199" i="1"/>
  <c r="AA199" i="1"/>
  <c r="U199" i="1"/>
  <c r="T199" i="1"/>
  <c r="S199" i="1"/>
  <c r="Q199" i="1"/>
  <c r="P199" i="1"/>
  <c r="N199" i="1"/>
  <c r="M199" i="1"/>
  <c r="O199" i="1" s="1"/>
  <c r="J199" i="1"/>
  <c r="H199" i="1"/>
  <c r="BI198" i="1"/>
  <c r="AO198" i="1"/>
  <c r="BI197" i="1"/>
  <c r="AO197" i="1"/>
  <c r="AA197" i="1"/>
  <c r="U197" i="1"/>
  <c r="T197" i="1"/>
  <c r="S197" i="1"/>
  <c r="Q197" i="1"/>
  <c r="P197" i="1"/>
  <c r="N197" i="1"/>
  <c r="M197" i="1"/>
  <c r="O197" i="1" s="1"/>
  <c r="J197" i="1"/>
  <c r="H197" i="1"/>
  <c r="BI196" i="1"/>
  <c r="AO196" i="1"/>
  <c r="AA196" i="1"/>
  <c r="U196" i="1"/>
  <c r="T196" i="1"/>
  <c r="S196" i="1"/>
  <c r="Q196" i="1"/>
  <c r="P196" i="1"/>
  <c r="O196" i="1"/>
  <c r="N196" i="1"/>
  <c r="M196" i="1"/>
  <c r="Z196" i="1" s="1"/>
  <c r="J196" i="1"/>
  <c r="H196" i="1"/>
  <c r="BI195" i="1"/>
  <c r="AO195" i="1"/>
  <c r="BI194" i="1"/>
  <c r="AO194" i="1"/>
  <c r="AA194" i="1"/>
  <c r="U194" i="1"/>
  <c r="T194" i="1"/>
  <c r="S194" i="1"/>
  <c r="Q194" i="1"/>
  <c r="P194" i="1"/>
  <c r="O194" i="1"/>
  <c r="N194" i="1"/>
  <c r="M194" i="1"/>
  <c r="Z194" i="1" s="1"/>
  <c r="J194" i="1"/>
  <c r="H194" i="1"/>
  <c r="BI193" i="1"/>
  <c r="AO193" i="1"/>
  <c r="AA193" i="1"/>
  <c r="U193" i="1"/>
  <c r="T193" i="1"/>
  <c r="S193" i="1"/>
  <c r="Q193" i="1"/>
  <c r="P193" i="1"/>
  <c r="N193" i="1"/>
  <c r="M193" i="1"/>
  <c r="Z193" i="1" s="1"/>
  <c r="J193" i="1"/>
  <c r="H193" i="1"/>
  <c r="BI192" i="1"/>
  <c r="AO192" i="1"/>
  <c r="AA192" i="1"/>
  <c r="U192" i="1"/>
  <c r="T192" i="1"/>
  <c r="S192" i="1"/>
  <c r="Q192" i="1"/>
  <c r="P192" i="1"/>
  <c r="O192" i="1"/>
  <c r="N192" i="1"/>
  <c r="M192" i="1"/>
  <c r="Z192" i="1" s="1"/>
  <c r="J192" i="1"/>
  <c r="H192" i="1"/>
  <c r="BI191" i="1"/>
  <c r="AO191" i="1"/>
  <c r="AA191" i="1"/>
  <c r="U191" i="1"/>
  <c r="T191" i="1"/>
  <c r="S191" i="1"/>
  <c r="Q191" i="1"/>
  <c r="P191" i="1"/>
  <c r="N191" i="1"/>
  <c r="M191" i="1"/>
  <c r="O191" i="1" s="1"/>
  <c r="J191" i="1"/>
  <c r="H191" i="1"/>
  <c r="BI190" i="1"/>
  <c r="AO190" i="1"/>
  <c r="AA190" i="1"/>
  <c r="U190" i="1"/>
  <c r="T190" i="1"/>
  <c r="S190" i="1"/>
  <c r="Q190" i="1"/>
  <c r="P190" i="1"/>
  <c r="O190" i="1"/>
  <c r="N190" i="1"/>
  <c r="M190" i="1"/>
  <c r="Z190" i="1" s="1"/>
  <c r="J190" i="1"/>
  <c r="H190" i="1"/>
  <c r="BI189" i="1"/>
  <c r="AO189" i="1"/>
  <c r="AA189" i="1"/>
  <c r="U189" i="1"/>
  <c r="T189" i="1"/>
  <c r="S189" i="1"/>
  <c r="Q189" i="1"/>
  <c r="P189" i="1"/>
  <c r="N189" i="1"/>
  <c r="M189" i="1"/>
  <c r="Z189" i="1" s="1"/>
  <c r="J189" i="1"/>
  <c r="H189" i="1"/>
  <c r="BI188" i="1"/>
  <c r="AO188" i="1"/>
  <c r="AA188" i="1"/>
  <c r="U188" i="1"/>
  <c r="E188" i="1" s="1"/>
  <c r="T188" i="1"/>
  <c r="Q188" i="1"/>
  <c r="O188" i="1"/>
  <c r="N188" i="1"/>
  <c r="M188" i="1"/>
  <c r="Z188" i="1" s="1"/>
  <c r="J188" i="1"/>
  <c r="H188" i="1"/>
  <c r="BI187" i="1"/>
  <c r="AO187" i="1"/>
  <c r="BI186" i="1"/>
  <c r="AO186" i="1"/>
  <c r="O186" i="1"/>
  <c r="BI185" i="1"/>
  <c r="AO185" i="1"/>
  <c r="BI184" i="1"/>
  <c r="AO184" i="1"/>
  <c r="AA184" i="1"/>
  <c r="U184" i="1"/>
  <c r="T184" i="1"/>
  <c r="S184" i="1"/>
  <c r="Q184" i="1"/>
  <c r="P184" i="1"/>
  <c r="N184" i="1"/>
  <c r="M184" i="1"/>
  <c r="O184" i="1" s="1"/>
  <c r="J184" i="1"/>
  <c r="H184" i="1"/>
  <c r="BI183" i="1"/>
  <c r="AO183" i="1"/>
  <c r="AA183" i="1"/>
  <c r="U183" i="1"/>
  <c r="T183" i="1"/>
  <c r="S183" i="1"/>
  <c r="Q183" i="1"/>
  <c r="P183" i="1"/>
  <c r="O183" i="1"/>
  <c r="N183" i="1"/>
  <c r="M183" i="1"/>
  <c r="Z183" i="1" s="1"/>
  <c r="J183" i="1"/>
  <c r="H183" i="1"/>
  <c r="BI182" i="1"/>
  <c r="AO182" i="1"/>
  <c r="AA182" i="1"/>
  <c r="U182" i="1"/>
  <c r="T182" i="1"/>
  <c r="S182" i="1"/>
  <c r="Q182" i="1"/>
  <c r="P182" i="1"/>
  <c r="N182" i="1"/>
  <c r="M182" i="1"/>
  <c r="Z182" i="1" s="1"/>
  <c r="J182" i="1"/>
  <c r="H182" i="1"/>
  <c r="BI181" i="1"/>
  <c r="AO181" i="1"/>
  <c r="O181" i="1"/>
  <c r="AZ180" i="1"/>
  <c r="BI180" i="1" s="1"/>
  <c r="AM180" i="1"/>
  <c r="AO180" i="1" s="1"/>
  <c r="AA180" i="1"/>
  <c r="U180" i="1"/>
  <c r="T180" i="1"/>
  <c r="S180" i="1"/>
  <c r="Q180" i="1"/>
  <c r="P180" i="1"/>
  <c r="O180" i="1"/>
  <c r="N180" i="1"/>
  <c r="M180" i="1"/>
  <c r="Z180" i="1" s="1"/>
  <c r="I180" i="1"/>
  <c r="J180" i="1" s="1"/>
  <c r="H180" i="1"/>
  <c r="BI179" i="1"/>
  <c r="AO179" i="1"/>
  <c r="AA179" i="1"/>
  <c r="U179" i="1"/>
  <c r="T179" i="1"/>
  <c r="S179" i="1"/>
  <c r="Q179" i="1"/>
  <c r="P179" i="1"/>
  <c r="O179" i="1"/>
  <c r="N179" i="1"/>
  <c r="M179" i="1"/>
  <c r="Z179" i="1" s="1"/>
  <c r="J179" i="1"/>
  <c r="H179" i="1"/>
  <c r="BI178" i="1"/>
  <c r="AO178" i="1"/>
  <c r="AA178" i="1"/>
  <c r="U178" i="1"/>
  <c r="T178" i="1"/>
  <c r="S178" i="1"/>
  <c r="Q178" i="1"/>
  <c r="P178" i="1"/>
  <c r="N178" i="1"/>
  <c r="M178" i="1"/>
  <c r="Z178" i="1" s="1"/>
  <c r="J178" i="1"/>
  <c r="H178" i="1"/>
  <c r="BI177" i="1"/>
  <c r="AO177" i="1"/>
  <c r="AA177" i="1"/>
  <c r="U177" i="1"/>
  <c r="T177" i="1"/>
  <c r="S177" i="1"/>
  <c r="Q177" i="1"/>
  <c r="P177" i="1"/>
  <c r="O177" i="1"/>
  <c r="N177" i="1"/>
  <c r="M177" i="1"/>
  <c r="Z177" i="1" s="1"/>
  <c r="J177" i="1"/>
  <c r="H177" i="1"/>
  <c r="BI176" i="1"/>
  <c r="AO176" i="1"/>
  <c r="AA176" i="1"/>
  <c r="U176" i="1"/>
  <c r="T176" i="1"/>
  <c r="S176" i="1"/>
  <c r="Q176" i="1"/>
  <c r="P176" i="1"/>
  <c r="N176" i="1"/>
  <c r="M176" i="1"/>
  <c r="O176" i="1" s="1"/>
  <c r="J176" i="1"/>
  <c r="H176" i="1"/>
  <c r="CD175" i="1"/>
  <c r="CC175" i="1"/>
  <c r="BZ175" i="1"/>
  <c r="BW175" i="1"/>
  <c r="BI175" i="1"/>
  <c r="BA175" i="1"/>
  <c r="AO175" i="1"/>
  <c r="AA175" i="1"/>
  <c r="U175" i="1"/>
  <c r="T175" i="1"/>
  <c r="S175" i="1"/>
  <c r="Q175" i="1"/>
  <c r="P175" i="1"/>
  <c r="N175" i="1"/>
  <c r="M175" i="1"/>
  <c r="Z175" i="1" s="1"/>
  <c r="I175" i="1"/>
  <c r="J175" i="1" s="1"/>
  <c r="H175" i="1"/>
  <c r="BI174" i="1"/>
  <c r="AO174" i="1"/>
  <c r="AA174" i="1"/>
  <c r="U174" i="1"/>
  <c r="T174" i="1"/>
  <c r="S174" i="1"/>
  <c r="Q174" i="1"/>
  <c r="P174" i="1"/>
  <c r="O174" i="1"/>
  <c r="N174" i="1"/>
  <c r="M174" i="1"/>
  <c r="Z174" i="1" s="1"/>
  <c r="J174" i="1"/>
  <c r="H174" i="1"/>
  <c r="BI173" i="1"/>
  <c r="AV173" i="1"/>
  <c r="AO173" i="1"/>
  <c r="AA173" i="1"/>
  <c r="U173" i="1"/>
  <c r="T173" i="1"/>
  <c r="S173" i="1"/>
  <c r="Q173" i="1"/>
  <c r="P173" i="1"/>
  <c r="O173" i="1"/>
  <c r="N173" i="1"/>
  <c r="M173" i="1"/>
  <c r="Z173" i="1" s="1"/>
  <c r="I173" i="1"/>
  <c r="J173" i="1" s="1"/>
  <c r="H173" i="1"/>
  <c r="BI172" i="1"/>
  <c r="AO172" i="1"/>
  <c r="AA172" i="1"/>
  <c r="U172" i="1"/>
  <c r="T172" i="1"/>
  <c r="Q172" i="1"/>
  <c r="N172" i="1"/>
  <c r="M172" i="1"/>
  <c r="O172" i="1" s="1"/>
  <c r="J172" i="1"/>
  <c r="H172" i="1"/>
  <c r="E172" i="1"/>
  <c r="P172" i="1" s="1"/>
  <c r="BI171" i="1"/>
  <c r="AO171" i="1"/>
  <c r="AA171" i="1"/>
  <c r="U171" i="1"/>
  <c r="T171" i="1"/>
  <c r="S171" i="1"/>
  <c r="Q171" i="1"/>
  <c r="P171" i="1"/>
  <c r="O171" i="1"/>
  <c r="N171" i="1"/>
  <c r="M171" i="1"/>
  <c r="Z171" i="1" s="1"/>
  <c r="J171" i="1"/>
  <c r="H171" i="1"/>
  <c r="BI170" i="1"/>
  <c r="AO170" i="1"/>
  <c r="BI169" i="1"/>
  <c r="AO169" i="1"/>
  <c r="AA169" i="1"/>
  <c r="U169" i="1"/>
  <c r="T169" i="1"/>
  <c r="S169" i="1"/>
  <c r="Q169" i="1"/>
  <c r="P169" i="1"/>
  <c r="O169" i="1"/>
  <c r="N169" i="1"/>
  <c r="M169" i="1"/>
  <c r="Z169" i="1" s="1"/>
  <c r="I169" i="1"/>
  <c r="J169" i="1" s="1"/>
  <c r="H169" i="1"/>
  <c r="BI168" i="1"/>
  <c r="AO168" i="1"/>
  <c r="AA168" i="1"/>
  <c r="U168" i="1"/>
  <c r="T168" i="1"/>
  <c r="S168" i="1"/>
  <c r="Q168" i="1"/>
  <c r="P168" i="1"/>
  <c r="O168" i="1"/>
  <c r="N168" i="1"/>
  <c r="M168" i="1"/>
  <c r="Z168" i="1" s="1"/>
  <c r="J168" i="1"/>
  <c r="H168" i="1"/>
  <c r="BI167" i="1"/>
  <c r="AO167" i="1"/>
  <c r="AA167" i="1"/>
  <c r="U167" i="1"/>
  <c r="T167" i="1"/>
  <c r="S167" i="1"/>
  <c r="Q167" i="1"/>
  <c r="P167" i="1"/>
  <c r="N167" i="1"/>
  <c r="M167" i="1"/>
  <c r="Z167" i="1" s="1"/>
  <c r="J167" i="1"/>
  <c r="H167" i="1"/>
  <c r="BI166" i="1"/>
  <c r="AO166" i="1"/>
  <c r="AA166" i="1"/>
  <c r="U166" i="1"/>
  <c r="T166" i="1"/>
  <c r="S166" i="1"/>
  <c r="Q166" i="1"/>
  <c r="P166" i="1"/>
  <c r="O166" i="1"/>
  <c r="N166" i="1"/>
  <c r="M166" i="1"/>
  <c r="Z166" i="1" s="1"/>
  <c r="J166" i="1"/>
  <c r="H166" i="1"/>
  <c r="BI165" i="1"/>
  <c r="AO165" i="1"/>
  <c r="AA165" i="1"/>
  <c r="U165" i="1"/>
  <c r="T165" i="1"/>
  <c r="S165" i="1"/>
  <c r="Q165" i="1"/>
  <c r="P165" i="1"/>
  <c r="N165" i="1"/>
  <c r="M165" i="1"/>
  <c r="O165" i="1" s="1"/>
  <c r="J165" i="1"/>
  <c r="H165" i="1"/>
  <c r="BI164" i="1"/>
  <c r="AO164" i="1"/>
  <c r="AA164" i="1"/>
  <c r="U164" i="1"/>
  <c r="T164" i="1"/>
  <c r="S164" i="1"/>
  <c r="Q164" i="1"/>
  <c r="P164" i="1"/>
  <c r="O164" i="1"/>
  <c r="N164" i="1"/>
  <c r="M164" i="1"/>
  <c r="Z164" i="1" s="1"/>
  <c r="J164" i="1"/>
  <c r="H164" i="1"/>
  <c r="BI163" i="1"/>
  <c r="AO163" i="1"/>
  <c r="BI162" i="1"/>
  <c r="AO162" i="1"/>
  <c r="AA162" i="1"/>
  <c r="U162" i="1"/>
  <c r="E162" i="1" s="1"/>
  <c r="T162" i="1"/>
  <c r="Q162" i="1"/>
  <c r="O162" i="1"/>
  <c r="N162" i="1"/>
  <c r="M162" i="1"/>
  <c r="Z162" i="1" s="1"/>
  <c r="J162" i="1"/>
  <c r="H162" i="1"/>
  <c r="BI161" i="1"/>
  <c r="AO161" i="1"/>
  <c r="O161" i="1"/>
  <c r="BI160" i="1"/>
  <c r="AO160" i="1"/>
  <c r="AA160" i="1"/>
  <c r="U160" i="1"/>
  <c r="T160" i="1"/>
  <c r="S160" i="1"/>
  <c r="Q160" i="1"/>
  <c r="P160" i="1"/>
  <c r="N160" i="1"/>
  <c r="M160" i="1"/>
  <c r="O160" i="1" s="1"/>
  <c r="J160" i="1"/>
  <c r="H160" i="1"/>
  <c r="BI159" i="1"/>
  <c r="AO159" i="1"/>
  <c r="AA159" i="1"/>
  <c r="U159" i="1"/>
  <c r="T159" i="1"/>
  <c r="S159" i="1"/>
  <c r="Q159" i="1"/>
  <c r="P159" i="1"/>
  <c r="O159" i="1"/>
  <c r="N159" i="1"/>
  <c r="M159" i="1"/>
  <c r="Z159" i="1" s="1"/>
  <c r="J159" i="1"/>
  <c r="H159" i="1"/>
  <c r="BI158" i="1"/>
  <c r="AO158" i="1"/>
  <c r="AA158" i="1"/>
  <c r="U158" i="1"/>
  <c r="T158" i="1"/>
  <c r="S158" i="1"/>
  <c r="Q158" i="1"/>
  <c r="P158" i="1"/>
  <c r="N158" i="1"/>
  <c r="M158" i="1"/>
  <c r="Z158" i="1" s="1"/>
  <c r="J158" i="1"/>
  <c r="H158" i="1"/>
  <c r="BI157" i="1"/>
  <c r="AO157" i="1"/>
  <c r="AA157" i="1"/>
  <c r="U157" i="1"/>
  <c r="T157" i="1"/>
  <c r="S157" i="1"/>
  <c r="Q157" i="1"/>
  <c r="P157" i="1"/>
  <c r="N157" i="1"/>
  <c r="M157" i="1"/>
  <c r="O157" i="1" s="1"/>
  <c r="J157" i="1"/>
  <c r="H157" i="1"/>
  <c r="BI156" i="1"/>
  <c r="AO156" i="1"/>
  <c r="AA156" i="1"/>
  <c r="U156" i="1"/>
  <c r="T156" i="1"/>
  <c r="Q156" i="1"/>
  <c r="N156" i="1"/>
  <c r="M156" i="1"/>
  <c r="O156" i="1" s="1"/>
  <c r="J156" i="1"/>
  <c r="H156" i="1"/>
  <c r="E156" i="1"/>
  <c r="P156" i="1" s="1"/>
  <c r="BI155" i="1"/>
  <c r="AO155" i="1"/>
  <c r="AA155" i="1"/>
  <c r="U155" i="1"/>
  <c r="T155" i="1"/>
  <c r="S155" i="1"/>
  <c r="Q155" i="1"/>
  <c r="P155" i="1"/>
  <c r="O155" i="1"/>
  <c r="N155" i="1"/>
  <c r="M155" i="1"/>
  <c r="Z155" i="1" s="1"/>
  <c r="J155" i="1"/>
  <c r="H155" i="1"/>
  <c r="D155" i="1"/>
  <c r="BI154" i="1"/>
  <c r="AO154" i="1"/>
  <c r="AA154" i="1"/>
  <c r="U154" i="1"/>
  <c r="T154" i="1"/>
  <c r="S154" i="1"/>
  <c r="Q154" i="1"/>
  <c r="P154" i="1"/>
  <c r="O154" i="1"/>
  <c r="N154" i="1"/>
  <c r="M154" i="1"/>
  <c r="Z154" i="1" s="1"/>
  <c r="J154" i="1"/>
  <c r="H154" i="1"/>
  <c r="BI153" i="1"/>
  <c r="AO153" i="1"/>
  <c r="AA153" i="1"/>
  <c r="U153" i="1"/>
  <c r="T153" i="1"/>
  <c r="S153" i="1"/>
  <c r="Q153" i="1"/>
  <c r="P153" i="1"/>
  <c r="N153" i="1"/>
  <c r="M153" i="1"/>
  <c r="Z153" i="1" s="1"/>
  <c r="J153" i="1"/>
  <c r="H153" i="1"/>
  <c r="BI152" i="1"/>
  <c r="AO152" i="1"/>
  <c r="AA152" i="1"/>
  <c r="U152" i="1"/>
  <c r="T152" i="1"/>
  <c r="S152" i="1"/>
  <c r="Q152" i="1"/>
  <c r="P152" i="1"/>
  <c r="O152" i="1"/>
  <c r="N152" i="1"/>
  <c r="M152" i="1"/>
  <c r="Z152" i="1" s="1"/>
  <c r="J152" i="1"/>
  <c r="H152" i="1"/>
  <c r="BI151" i="1"/>
  <c r="AO151" i="1"/>
  <c r="AA151" i="1"/>
  <c r="U151" i="1"/>
  <c r="T151" i="1"/>
  <c r="S151" i="1"/>
  <c r="Q151" i="1"/>
  <c r="P151" i="1"/>
  <c r="N151" i="1"/>
  <c r="M151" i="1"/>
  <c r="O151" i="1" s="1"/>
  <c r="J151" i="1"/>
  <c r="H151" i="1"/>
  <c r="BI150" i="1"/>
  <c r="AO150" i="1"/>
  <c r="AA150" i="1"/>
  <c r="U150" i="1"/>
  <c r="T150" i="1"/>
  <c r="S150" i="1"/>
  <c r="Q150" i="1"/>
  <c r="P150" i="1"/>
  <c r="O150" i="1"/>
  <c r="N150" i="1"/>
  <c r="M150" i="1"/>
  <c r="Z150" i="1" s="1"/>
  <c r="J150" i="1"/>
  <c r="H150" i="1"/>
  <c r="BI149" i="1"/>
  <c r="AO149" i="1"/>
  <c r="AA149" i="1"/>
  <c r="U149" i="1"/>
  <c r="T149" i="1"/>
  <c r="S149" i="1"/>
  <c r="Q149" i="1"/>
  <c r="P149" i="1"/>
  <c r="N149" i="1"/>
  <c r="M149" i="1"/>
  <c r="Z149" i="1" s="1"/>
  <c r="J149" i="1"/>
  <c r="H149" i="1"/>
  <c r="BI148" i="1"/>
  <c r="AO148" i="1"/>
  <c r="AA148" i="1"/>
  <c r="U148" i="1"/>
  <c r="T148" i="1"/>
  <c r="S148" i="1"/>
  <c r="Q148" i="1"/>
  <c r="P148" i="1"/>
  <c r="O148" i="1"/>
  <c r="N148" i="1"/>
  <c r="M148" i="1"/>
  <c r="Z148" i="1" s="1"/>
  <c r="J148" i="1"/>
  <c r="H148" i="1"/>
  <c r="BI147" i="1"/>
  <c r="AO147" i="1"/>
  <c r="BI146" i="1"/>
  <c r="AO146" i="1"/>
  <c r="O146" i="1"/>
  <c r="BI145" i="1"/>
  <c r="AO145" i="1"/>
  <c r="AA145" i="1"/>
  <c r="U145" i="1"/>
  <c r="T145" i="1"/>
  <c r="S145" i="1"/>
  <c r="Q145" i="1"/>
  <c r="P145" i="1"/>
  <c r="O145" i="1"/>
  <c r="N145" i="1"/>
  <c r="M145" i="1"/>
  <c r="Z145" i="1" s="1"/>
  <c r="J145" i="1"/>
  <c r="H145" i="1"/>
  <c r="BI144" i="1"/>
  <c r="AO144" i="1"/>
  <c r="AA144" i="1"/>
  <c r="U144" i="1"/>
  <c r="T144" i="1"/>
  <c r="S144" i="1"/>
  <c r="Q144" i="1"/>
  <c r="P144" i="1"/>
  <c r="N144" i="1"/>
  <c r="M144" i="1"/>
  <c r="Z144" i="1" s="1"/>
  <c r="J144" i="1"/>
  <c r="H144" i="1"/>
  <c r="BI143" i="1"/>
  <c r="AO143" i="1"/>
  <c r="BI142" i="1"/>
  <c r="AO142" i="1"/>
  <c r="AA142" i="1"/>
  <c r="U142" i="1"/>
  <c r="T142" i="1"/>
  <c r="S142" i="1"/>
  <c r="Q142" i="1"/>
  <c r="P142" i="1"/>
  <c r="N142" i="1"/>
  <c r="M142" i="1"/>
  <c r="Z142" i="1" s="1"/>
  <c r="J142" i="1"/>
  <c r="H142" i="1"/>
  <c r="BI141" i="1"/>
  <c r="AO141" i="1"/>
  <c r="AA141" i="1"/>
  <c r="U141" i="1"/>
  <c r="T141" i="1"/>
  <c r="S141" i="1"/>
  <c r="Q141" i="1"/>
  <c r="P141" i="1"/>
  <c r="O141" i="1"/>
  <c r="N141" i="1"/>
  <c r="M141" i="1"/>
  <c r="Z141" i="1" s="1"/>
  <c r="J141" i="1"/>
  <c r="H141" i="1"/>
  <c r="BI140" i="1"/>
  <c r="AO140" i="1"/>
  <c r="AA140" i="1"/>
  <c r="U140" i="1"/>
  <c r="T140" i="1"/>
  <c r="S140" i="1"/>
  <c r="Q140" i="1"/>
  <c r="P140" i="1"/>
  <c r="O140" i="1"/>
  <c r="N140" i="1"/>
  <c r="M140" i="1"/>
  <c r="Z140" i="1" s="1"/>
  <c r="J140" i="1"/>
  <c r="H140" i="1"/>
  <c r="BI139" i="1"/>
  <c r="AO139" i="1"/>
  <c r="O139" i="1"/>
  <c r="BI138" i="1"/>
  <c r="AO138" i="1"/>
  <c r="AA138" i="1"/>
  <c r="U138" i="1"/>
  <c r="T138" i="1"/>
  <c r="S138" i="1"/>
  <c r="Q138" i="1"/>
  <c r="P138" i="1"/>
  <c r="O138" i="1"/>
  <c r="N138" i="1"/>
  <c r="M138" i="1"/>
  <c r="Z138" i="1" s="1"/>
  <c r="J138" i="1"/>
  <c r="H138" i="1"/>
  <c r="BI137" i="1"/>
  <c r="AO137" i="1"/>
  <c r="O137" i="1"/>
  <c r="BI136" i="1"/>
  <c r="AO136" i="1"/>
  <c r="AA136" i="1"/>
  <c r="U136" i="1"/>
  <c r="T136" i="1"/>
  <c r="S136" i="1"/>
  <c r="Q136" i="1"/>
  <c r="P136" i="1"/>
  <c r="O136" i="1"/>
  <c r="N136" i="1"/>
  <c r="M136" i="1"/>
  <c r="Z136" i="1" s="1"/>
  <c r="J136" i="1"/>
  <c r="H136" i="1"/>
  <c r="BI135" i="1"/>
  <c r="AO135" i="1"/>
  <c r="AA135" i="1"/>
  <c r="U135" i="1"/>
  <c r="T135" i="1"/>
  <c r="S135" i="1"/>
  <c r="Q135" i="1"/>
  <c r="P135" i="1"/>
  <c r="O135" i="1"/>
  <c r="N135" i="1"/>
  <c r="M135" i="1"/>
  <c r="Z135" i="1" s="1"/>
  <c r="J135" i="1"/>
  <c r="H135" i="1"/>
  <c r="BI134" i="1"/>
  <c r="AO134" i="1"/>
  <c r="AA134" i="1"/>
  <c r="U134" i="1"/>
  <c r="T134" i="1"/>
  <c r="S134" i="1"/>
  <c r="Q134" i="1"/>
  <c r="P134" i="1"/>
  <c r="O134" i="1"/>
  <c r="N134" i="1"/>
  <c r="M134" i="1"/>
  <c r="Z134" i="1" s="1"/>
  <c r="I134" i="1"/>
  <c r="J134" i="1" s="1"/>
  <c r="H134" i="1"/>
  <c r="BI133" i="1"/>
  <c r="AO133" i="1"/>
  <c r="AA133" i="1"/>
  <c r="U133" i="1"/>
  <c r="T133" i="1"/>
  <c r="S133" i="1"/>
  <c r="Q133" i="1"/>
  <c r="P133" i="1"/>
  <c r="N133" i="1"/>
  <c r="M133" i="1"/>
  <c r="Z133" i="1" s="1"/>
  <c r="J133" i="1"/>
  <c r="H133" i="1"/>
  <c r="BI132" i="1"/>
  <c r="AO132" i="1"/>
  <c r="AA132" i="1"/>
  <c r="U132" i="1"/>
  <c r="T132" i="1"/>
  <c r="S132" i="1"/>
  <c r="Q132" i="1"/>
  <c r="P132" i="1"/>
  <c r="N132" i="1"/>
  <c r="M132" i="1"/>
  <c r="O132" i="1" s="1"/>
  <c r="J132" i="1"/>
  <c r="H132" i="1"/>
  <c r="BI131" i="1"/>
  <c r="BG131" i="1"/>
  <c r="BE131" i="1"/>
  <c r="AO131" i="1"/>
  <c r="O131" i="1"/>
  <c r="BI130" i="1"/>
  <c r="AO130" i="1"/>
  <c r="AA130" i="1"/>
  <c r="U130" i="1"/>
  <c r="T130" i="1"/>
  <c r="S130" i="1"/>
  <c r="Q130" i="1"/>
  <c r="P130" i="1"/>
  <c r="O130" i="1"/>
  <c r="N130" i="1"/>
  <c r="M130" i="1"/>
  <c r="Z130" i="1" s="1"/>
  <c r="J130" i="1"/>
  <c r="H130" i="1"/>
  <c r="BI129" i="1"/>
  <c r="AO129" i="1"/>
  <c r="AA129" i="1"/>
  <c r="U129" i="1"/>
  <c r="T129" i="1"/>
  <c r="S129" i="1"/>
  <c r="Q129" i="1"/>
  <c r="P129" i="1"/>
  <c r="N129" i="1"/>
  <c r="M129" i="1"/>
  <c r="Z129" i="1" s="1"/>
  <c r="J129" i="1"/>
  <c r="H129" i="1"/>
  <c r="CD128" i="1"/>
  <c r="CC128" i="1"/>
  <c r="BZ128" i="1"/>
  <c r="BW128" i="1"/>
  <c r="BI128" i="1"/>
  <c r="AO128" i="1"/>
  <c r="AA128" i="1"/>
  <c r="U128" i="1"/>
  <c r="T128" i="1"/>
  <c r="S128" i="1"/>
  <c r="Q128" i="1"/>
  <c r="P128" i="1"/>
  <c r="O128" i="1"/>
  <c r="N128" i="1"/>
  <c r="M128" i="1"/>
  <c r="Z128" i="1" s="1"/>
  <c r="J128" i="1"/>
  <c r="H128" i="1"/>
  <c r="AV127" i="1"/>
  <c r="BI127" i="1" s="1"/>
  <c r="AO127" i="1"/>
  <c r="AA127" i="1"/>
  <c r="U127" i="1"/>
  <c r="T127" i="1"/>
  <c r="S127" i="1"/>
  <c r="Q127" i="1"/>
  <c r="P127" i="1"/>
  <c r="N127" i="1"/>
  <c r="M127" i="1"/>
  <c r="Z127" i="1" s="1"/>
  <c r="J127" i="1"/>
  <c r="I127" i="1"/>
  <c r="H127" i="1"/>
  <c r="BI126" i="1"/>
  <c r="AO126" i="1"/>
  <c r="AA126" i="1"/>
  <c r="U126" i="1"/>
  <c r="T126" i="1"/>
  <c r="S126" i="1"/>
  <c r="Q126" i="1"/>
  <c r="P126" i="1"/>
  <c r="N126" i="1"/>
  <c r="M126" i="1"/>
  <c r="O126" i="1" s="1"/>
  <c r="J126" i="1"/>
  <c r="H126" i="1"/>
  <c r="BI125" i="1"/>
  <c r="AO125" i="1"/>
  <c r="AA125" i="1"/>
  <c r="U125" i="1"/>
  <c r="T125" i="1"/>
  <c r="S125" i="1"/>
  <c r="Q125" i="1"/>
  <c r="P125" i="1"/>
  <c r="O125" i="1"/>
  <c r="N125" i="1"/>
  <c r="M125" i="1"/>
  <c r="Z125" i="1" s="1"/>
  <c r="J125" i="1"/>
  <c r="H125" i="1"/>
  <c r="BI124" i="1"/>
  <c r="AO124" i="1"/>
  <c r="AA124" i="1"/>
  <c r="U124" i="1"/>
  <c r="T124" i="1"/>
  <c r="S124" i="1"/>
  <c r="Q124" i="1"/>
  <c r="P124" i="1"/>
  <c r="O124" i="1"/>
  <c r="N124" i="1"/>
  <c r="M124" i="1"/>
  <c r="Z124" i="1" s="1"/>
  <c r="J124" i="1"/>
  <c r="H124" i="1"/>
  <c r="BI123" i="1"/>
  <c r="AO123" i="1"/>
  <c r="AA123" i="1"/>
  <c r="U123" i="1"/>
  <c r="T123" i="1"/>
  <c r="S123" i="1"/>
  <c r="Q123" i="1"/>
  <c r="P123" i="1"/>
  <c r="O123" i="1"/>
  <c r="N123" i="1"/>
  <c r="M123" i="1"/>
  <c r="Z123" i="1" s="1"/>
  <c r="J123" i="1"/>
  <c r="H123" i="1"/>
  <c r="BI122" i="1"/>
  <c r="AO122" i="1"/>
  <c r="BI121" i="1"/>
  <c r="AO121" i="1"/>
  <c r="O121" i="1"/>
  <c r="BI120" i="1"/>
  <c r="AO120" i="1"/>
  <c r="AA120" i="1"/>
  <c r="U120" i="1"/>
  <c r="T120" i="1"/>
  <c r="S120" i="1"/>
  <c r="Q120" i="1"/>
  <c r="P120" i="1"/>
  <c r="N120" i="1"/>
  <c r="M120" i="1"/>
  <c r="O120" i="1" s="1"/>
  <c r="J120" i="1"/>
  <c r="H120" i="1"/>
  <c r="BI119" i="1"/>
  <c r="AO119" i="1"/>
  <c r="BI118" i="1"/>
  <c r="AZ118" i="1"/>
  <c r="AO118" i="1"/>
  <c r="AA118" i="1"/>
  <c r="U118" i="1"/>
  <c r="T118" i="1"/>
  <c r="S118" i="1"/>
  <c r="Q118" i="1"/>
  <c r="P118" i="1"/>
  <c r="O118" i="1"/>
  <c r="N118" i="1"/>
  <c r="M118" i="1"/>
  <c r="Z118" i="1" s="1"/>
  <c r="I118" i="1"/>
  <c r="J118" i="1" s="1"/>
  <c r="H118" i="1"/>
  <c r="BI117" i="1"/>
  <c r="AO117" i="1"/>
  <c r="AA117" i="1"/>
  <c r="U117" i="1"/>
  <c r="T117" i="1"/>
  <c r="S117" i="1"/>
  <c r="Q117" i="1"/>
  <c r="P117" i="1"/>
  <c r="N117" i="1"/>
  <c r="M117" i="1"/>
  <c r="O117" i="1" s="1"/>
  <c r="J117" i="1"/>
  <c r="H117" i="1"/>
  <c r="BI116" i="1"/>
  <c r="AO116" i="1"/>
  <c r="AA116" i="1"/>
  <c r="U116" i="1"/>
  <c r="E116" i="1" s="1"/>
  <c r="T116" i="1"/>
  <c r="Q116" i="1"/>
  <c r="O116" i="1"/>
  <c r="N116" i="1"/>
  <c r="M116" i="1"/>
  <c r="Z116" i="1" s="1"/>
  <c r="J116" i="1"/>
  <c r="H116" i="1"/>
  <c r="BI115" i="1"/>
  <c r="AO115" i="1"/>
  <c r="AA115" i="1"/>
  <c r="U115" i="1"/>
  <c r="T115" i="1"/>
  <c r="S115" i="1"/>
  <c r="Q115" i="1"/>
  <c r="P115" i="1"/>
  <c r="O115" i="1"/>
  <c r="N115" i="1"/>
  <c r="M115" i="1"/>
  <c r="Z115" i="1" s="1"/>
  <c r="J115" i="1"/>
  <c r="H115" i="1"/>
  <c r="BI114" i="1"/>
  <c r="AO114" i="1"/>
  <c r="AA114" i="1"/>
  <c r="U114" i="1"/>
  <c r="T114" i="1"/>
  <c r="S114" i="1"/>
  <c r="Q114" i="1"/>
  <c r="P114" i="1"/>
  <c r="N114" i="1"/>
  <c r="M114" i="1"/>
  <c r="Z114" i="1" s="1"/>
  <c r="J114" i="1"/>
  <c r="H114" i="1"/>
  <c r="BI113" i="1"/>
  <c r="AO113" i="1"/>
  <c r="AA113" i="1"/>
  <c r="U113" i="1"/>
  <c r="T113" i="1"/>
  <c r="S113" i="1"/>
  <c r="Q113" i="1"/>
  <c r="P113" i="1"/>
  <c r="O113" i="1"/>
  <c r="N113" i="1"/>
  <c r="M113" i="1"/>
  <c r="Z113" i="1" s="1"/>
  <c r="J113" i="1"/>
  <c r="H113" i="1"/>
  <c r="BI112" i="1"/>
  <c r="AO112" i="1"/>
  <c r="AA112" i="1"/>
  <c r="U112" i="1"/>
  <c r="T112" i="1"/>
  <c r="S112" i="1"/>
  <c r="Q112" i="1"/>
  <c r="P112" i="1"/>
  <c r="O112" i="1"/>
  <c r="N112" i="1"/>
  <c r="M112" i="1"/>
  <c r="Z112" i="1" s="1"/>
  <c r="J112" i="1"/>
  <c r="H112" i="1"/>
  <c r="BI111" i="1"/>
  <c r="AO111" i="1"/>
  <c r="AA111" i="1"/>
  <c r="U111" i="1"/>
  <c r="T111" i="1"/>
  <c r="S111" i="1"/>
  <c r="Q111" i="1"/>
  <c r="P111" i="1"/>
  <c r="O111" i="1"/>
  <c r="N111" i="1"/>
  <c r="M111" i="1"/>
  <c r="Z111" i="1" s="1"/>
  <c r="J111" i="1"/>
  <c r="H111" i="1"/>
  <c r="BI110" i="1"/>
  <c r="AO110" i="1"/>
  <c r="BI109" i="1"/>
  <c r="AO109" i="1"/>
  <c r="U109" i="1"/>
  <c r="T109" i="1"/>
  <c r="S109" i="1"/>
  <c r="Q109" i="1"/>
  <c r="P109" i="1"/>
  <c r="O109" i="1"/>
  <c r="N109" i="1"/>
  <c r="M109" i="1"/>
  <c r="Z109" i="1" s="1"/>
  <c r="J109" i="1"/>
  <c r="H109" i="1"/>
  <c r="BI108" i="1"/>
  <c r="AO108" i="1"/>
  <c r="AA108" i="1"/>
  <c r="U108" i="1"/>
  <c r="T108" i="1"/>
  <c r="S108" i="1"/>
  <c r="Q108" i="1"/>
  <c r="P108" i="1"/>
  <c r="N108" i="1"/>
  <c r="M108" i="1"/>
  <c r="O108" i="1" s="1"/>
  <c r="J108" i="1"/>
  <c r="H108" i="1"/>
  <c r="BI107" i="1"/>
  <c r="AO107" i="1"/>
  <c r="AA107" i="1"/>
  <c r="U107" i="1"/>
  <c r="T107" i="1"/>
  <c r="S107" i="1"/>
  <c r="Q107" i="1"/>
  <c r="P107" i="1"/>
  <c r="N107" i="1"/>
  <c r="M107" i="1"/>
  <c r="O107" i="1" s="1"/>
  <c r="J107" i="1"/>
  <c r="H107" i="1"/>
  <c r="BI106" i="1"/>
  <c r="AO106" i="1"/>
  <c r="AA106" i="1"/>
  <c r="U106" i="1"/>
  <c r="T106" i="1"/>
  <c r="S106" i="1"/>
  <c r="Q106" i="1"/>
  <c r="P106" i="1"/>
  <c r="O106" i="1"/>
  <c r="N106" i="1"/>
  <c r="M106" i="1"/>
  <c r="Z106" i="1" s="1"/>
  <c r="J106" i="1"/>
  <c r="H106" i="1"/>
  <c r="BI105" i="1"/>
  <c r="AO105" i="1"/>
  <c r="O105" i="1"/>
  <c r="BI104" i="1"/>
  <c r="AO104" i="1"/>
  <c r="AA104" i="1"/>
  <c r="U104" i="1"/>
  <c r="T104" i="1"/>
  <c r="S104" i="1"/>
  <c r="Q104" i="1"/>
  <c r="P104" i="1"/>
  <c r="O104" i="1"/>
  <c r="N104" i="1"/>
  <c r="M104" i="1"/>
  <c r="Z104" i="1" s="1"/>
  <c r="J104" i="1"/>
  <c r="H104" i="1"/>
  <c r="BI103" i="1"/>
  <c r="AO103" i="1"/>
  <c r="AA103" i="1"/>
  <c r="U103" i="1"/>
  <c r="T103" i="1"/>
  <c r="S103" i="1"/>
  <c r="Q103" i="1"/>
  <c r="P103" i="1"/>
  <c r="O103" i="1"/>
  <c r="N103" i="1"/>
  <c r="M103" i="1"/>
  <c r="Z103" i="1" s="1"/>
  <c r="J103" i="1"/>
  <c r="H103" i="1"/>
  <c r="BI102" i="1"/>
  <c r="AO102" i="1"/>
  <c r="AA102" i="1"/>
  <c r="U102" i="1"/>
  <c r="T102" i="1"/>
  <c r="S102" i="1"/>
  <c r="Q102" i="1"/>
  <c r="P102" i="1"/>
  <c r="N102" i="1"/>
  <c r="M102" i="1"/>
  <c r="O102" i="1" s="1"/>
  <c r="J102" i="1"/>
  <c r="H102" i="1"/>
  <c r="BI101" i="1"/>
  <c r="AO101" i="1"/>
  <c r="AA101" i="1"/>
  <c r="U101" i="1"/>
  <c r="T101" i="1"/>
  <c r="S101" i="1"/>
  <c r="Q101" i="1"/>
  <c r="P101" i="1"/>
  <c r="O101" i="1"/>
  <c r="N101" i="1"/>
  <c r="M101" i="1"/>
  <c r="Z101" i="1" s="1"/>
  <c r="J101" i="1"/>
  <c r="H101" i="1"/>
  <c r="BI100" i="1"/>
  <c r="AO100" i="1"/>
  <c r="AA100" i="1"/>
  <c r="U100" i="1"/>
  <c r="T100" i="1"/>
  <c r="S100" i="1"/>
  <c r="Q100" i="1"/>
  <c r="P100" i="1"/>
  <c r="O100" i="1"/>
  <c r="N100" i="1"/>
  <c r="M100" i="1"/>
  <c r="Z100" i="1" s="1"/>
  <c r="J100" i="1"/>
  <c r="H100" i="1"/>
  <c r="BI99" i="1"/>
  <c r="AO99" i="1"/>
  <c r="BI98" i="1"/>
  <c r="AO98" i="1"/>
  <c r="AA98" i="1"/>
  <c r="U98" i="1"/>
  <c r="T98" i="1"/>
  <c r="S98" i="1"/>
  <c r="Q98" i="1"/>
  <c r="P98" i="1"/>
  <c r="O98" i="1"/>
  <c r="N98" i="1"/>
  <c r="M98" i="1"/>
  <c r="Z98" i="1" s="1"/>
  <c r="J98" i="1"/>
  <c r="H98" i="1"/>
  <c r="BI97" i="1"/>
  <c r="AO97" i="1"/>
  <c r="AA97" i="1"/>
  <c r="U97" i="1"/>
  <c r="T97" i="1"/>
  <c r="S97" i="1"/>
  <c r="Q97" i="1"/>
  <c r="P97" i="1"/>
  <c r="O97" i="1"/>
  <c r="N97" i="1"/>
  <c r="M97" i="1"/>
  <c r="Z97" i="1" s="1"/>
  <c r="J97" i="1"/>
  <c r="H97" i="1"/>
  <c r="BI96" i="1"/>
  <c r="AO96" i="1"/>
  <c r="AA96" i="1"/>
  <c r="U96" i="1"/>
  <c r="T96" i="1"/>
  <c r="S96" i="1"/>
  <c r="Q96" i="1"/>
  <c r="P96" i="1"/>
  <c r="N96" i="1"/>
  <c r="M96" i="1"/>
  <c r="Z96" i="1" s="1"/>
  <c r="J96" i="1"/>
  <c r="H96" i="1"/>
  <c r="BI95" i="1"/>
  <c r="AO95" i="1"/>
  <c r="AA95" i="1"/>
  <c r="U95" i="1"/>
  <c r="T95" i="1"/>
  <c r="S95" i="1"/>
  <c r="Q95" i="1"/>
  <c r="P95" i="1"/>
  <c r="O95" i="1"/>
  <c r="N95" i="1"/>
  <c r="M95" i="1"/>
  <c r="Z95" i="1" s="1"/>
  <c r="J95" i="1"/>
  <c r="H95" i="1"/>
  <c r="BI94" i="1"/>
  <c r="AO94" i="1"/>
  <c r="AA94" i="1"/>
  <c r="U94" i="1"/>
  <c r="T94" i="1"/>
  <c r="S94" i="1"/>
  <c r="Q94" i="1"/>
  <c r="P94" i="1"/>
  <c r="O94" i="1"/>
  <c r="N94" i="1"/>
  <c r="M94" i="1"/>
  <c r="Z94" i="1" s="1"/>
  <c r="J94" i="1"/>
  <c r="H94" i="1"/>
  <c r="BI93" i="1"/>
  <c r="AO93" i="1"/>
  <c r="AA93" i="1"/>
  <c r="U93" i="1"/>
  <c r="E93" i="1" s="1"/>
  <c r="T93" i="1"/>
  <c r="Q93" i="1"/>
  <c r="O93" i="1"/>
  <c r="N93" i="1"/>
  <c r="M93" i="1"/>
  <c r="Z93" i="1" s="1"/>
  <c r="J93" i="1"/>
  <c r="H93" i="1"/>
  <c r="AT92" i="1"/>
  <c r="BI92" i="1" s="1"/>
  <c r="AO92" i="1"/>
  <c r="O92" i="1"/>
  <c r="BI91" i="1"/>
  <c r="AO91" i="1"/>
  <c r="AA91" i="1"/>
  <c r="U91" i="1"/>
  <c r="T91" i="1"/>
  <c r="S91" i="1"/>
  <c r="Q91" i="1"/>
  <c r="O91" i="1"/>
  <c r="N91" i="1"/>
  <c r="M91" i="1"/>
  <c r="Z91" i="1" s="1"/>
  <c r="J91" i="1"/>
  <c r="H91" i="1"/>
  <c r="E91" i="1"/>
  <c r="P91" i="1" s="1"/>
  <c r="BI90" i="1"/>
  <c r="AO90" i="1"/>
  <c r="BI89" i="1"/>
  <c r="AO89" i="1"/>
  <c r="AA89" i="1"/>
  <c r="U89" i="1"/>
  <c r="T89" i="1"/>
  <c r="S89" i="1"/>
  <c r="Q89" i="1"/>
  <c r="P89" i="1"/>
  <c r="O89" i="1"/>
  <c r="N89" i="1"/>
  <c r="M89" i="1"/>
  <c r="Z89" i="1" s="1"/>
  <c r="J89" i="1"/>
  <c r="H89" i="1"/>
  <c r="BI88" i="1"/>
  <c r="AO88" i="1"/>
  <c r="AA88" i="1"/>
  <c r="U88" i="1"/>
  <c r="T88" i="1"/>
  <c r="S88" i="1"/>
  <c r="Q88" i="1"/>
  <c r="P88" i="1"/>
  <c r="O88" i="1"/>
  <c r="N88" i="1"/>
  <c r="M88" i="1"/>
  <c r="Z88" i="1" s="1"/>
  <c r="J88" i="1"/>
  <c r="H88" i="1"/>
  <c r="BI87" i="1"/>
  <c r="AO87" i="1"/>
  <c r="BI86" i="1"/>
  <c r="AO86" i="1"/>
  <c r="AA86" i="1"/>
  <c r="U86" i="1"/>
  <c r="T86" i="1"/>
  <c r="S86" i="1"/>
  <c r="Q86" i="1"/>
  <c r="P86" i="1"/>
  <c r="O86" i="1"/>
  <c r="N86" i="1"/>
  <c r="M86" i="1"/>
  <c r="Z86" i="1" s="1"/>
  <c r="J86" i="1"/>
  <c r="H86" i="1"/>
  <c r="BI85" i="1"/>
  <c r="AO85" i="1"/>
  <c r="AA85" i="1"/>
  <c r="U85" i="1"/>
  <c r="T85" i="1"/>
  <c r="S85" i="1"/>
  <c r="Q85" i="1"/>
  <c r="P85" i="1"/>
  <c r="O85" i="1"/>
  <c r="N85" i="1"/>
  <c r="M85" i="1"/>
  <c r="Z85" i="1" s="1"/>
  <c r="J85" i="1"/>
  <c r="H85" i="1"/>
  <c r="AV84" i="1"/>
  <c r="BI84" i="1" s="1"/>
  <c r="AO84" i="1"/>
  <c r="O84" i="1"/>
  <c r="BI83" i="1"/>
  <c r="AO83" i="1"/>
  <c r="O83" i="1"/>
  <c r="BI82" i="1"/>
  <c r="AO82" i="1"/>
  <c r="AA82" i="1"/>
  <c r="U82" i="1"/>
  <c r="T82" i="1"/>
  <c r="S82" i="1"/>
  <c r="Q82" i="1"/>
  <c r="P82" i="1"/>
  <c r="N82" i="1"/>
  <c r="M82" i="1"/>
  <c r="O82" i="1" s="1"/>
  <c r="J82" i="1"/>
  <c r="H82" i="1"/>
  <c r="BI81" i="1"/>
  <c r="AO81" i="1"/>
  <c r="AA81" i="1"/>
  <c r="U81" i="1"/>
  <c r="T81" i="1"/>
  <c r="S81" i="1"/>
  <c r="Q81" i="1"/>
  <c r="P81" i="1"/>
  <c r="O81" i="1"/>
  <c r="N81" i="1"/>
  <c r="M81" i="1"/>
  <c r="Z81" i="1" s="1"/>
  <c r="J81" i="1"/>
  <c r="H81" i="1"/>
  <c r="BI80" i="1"/>
  <c r="AO80" i="1"/>
  <c r="AA80" i="1"/>
  <c r="U80" i="1"/>
  <c r="T80" i="1"/>
  <c r="S80" i="1"/>
  <c r="Q80" i="1"/>
  <c r="P80" i="1"/>
  <c r="O80" i="1"/>
  <c r="N80" i="1"/>
  <c r="M80" i="1"/>
  <c r="Z80" i="1" s="1"/>
  <c r="J80" i="1"/>
  <c r="H80" i="1"/>
  <c r="BI79" i="1"/>
  <c r="AO79" i="1"/>
  <c r="AA79" i="1"/>
  <c r="U79" i="1"/>
  <c r="T79" i="1"/>
  <c r="S79" i="1"/>
  <c r="Q79" i="1"/>
  <c r="P79" i="1"/>
  <c r="O79" i="1"/>
  <c r="N79" i="1"/>
  <c r="M79" i="1"/>
  <c r="Z79" i="1" s="1"/>
  <c r="J79" i="1"/>
  <c r="H79" i="1"/>
  <c r="BI78" i="1"/>
  <c r="AO78" i="1"/>
  <c r="AA78" i="1"/>
  <c r="U78" i="1"/>
  <c r="T78" i="1"/>
  <c r="S78" i="1"/>
  <c r="Q78" i="1"/>
  <c r="P78" i="1"/>
  <c r="N78" i="1"/>
  <c r="M78" i="1"/>
  <c r="O78" i="1" s="1"/>
  <c r="J78" i="1"/>
  <c r="H78" i="1"/>
  <c r="BI77" i="1"/>
  <c r="AK77" i="1"/>
  <c r="AO77" i="1" s="1"/>
  <c r="AA77" i="1"/>
  <c r="U77" i="1"/>
  <c r="T77" i="1"/>
  <c r="S77" i="1"/>
  <c r="Q77" i="1"/>
  <c r="P77" i="1"/>
  <c r="O77" i="1"/>
  <c r="N77" i="1"/>
  <c r="M77" i="1"/>
  <c r="Z77" i="1" s="1"/>
  <c r="I77" i="1"/>
  <c r="J77" i="1" s="1"/>
  <c r="H77" i="1"/>
  <c r="BI76" i="1"/>
  <c r="AO76" i="1"/>
  <c r="BI75" i="1"/>
  <c r="AO75" i="1"/>
  <c r="AA75" i="1"/>
  <c r="U75" i="1"/>
  <c r="T75" i="1"/>
  <c r="S75" i="1"/>
  <c r="Q75" i="1"/>
  <c r="P75" i="1"/>
  <c r="N75" i="1"/>
  <c r="M75" i="1"/>
  <c r="O75" i="1" s="1"/>
  <c r="J75" i="1"/>
  <c r="H75" i="1"/>
  <c r="BI74" i="1"/>
  <c r="AO74" i="1"/>
  <c r="AA74" i="1"/>
  <c r="U74" i="1"/>
  <c r="T74" i="1"/>
  <c r="S74" i="1"/>
  <c r="P74" i="1"/>
  <c r="O74" i="1"/>
  <c r="N74" i="1"/>
  <c r="M74" i="1"/>
  <c r="Z74" i="1" s="1"/>
  <c r="J74" i="1"/>
  <c r="H74" i="1"/>
  <c r="D74" i="1"/>
  <c r="Q74" i="1" s="1"/>
  <c r="BI73" i="1"/>
  <c r="AO73" i="1"/>
  <c r="BI72" i="1"/>
  <c r="AO72" i="1"/>
  <c r="O72" i="1"/>
  <c r="BI71" i="1"/>
  <c r="AM71" i="1"/>
  <c r="AO71" i="1" s="1"/>
  <c r="O71" i="1"/>
  <c r="BI70" i="1"/>
  <c r="AO70" i="1"/>
  <c r="AA70" i="1"/>
  <c r="U70" i="1"/>
  <c r="T70" i="1"/>
  <c r="S70" i="1"/>
  <c r="Q70" i="1"/>
  <c r="P70" i="1"/>
  <c r="O70" i="1"/>
  <c r="N70" i="1"/>
  <c r="M70" i="1"/>
  <c r="Z70" i="1" s="1"/>
  <c r="J70" i="1"/>
  <c r="H70" i="1"/>
  <c r="BI69" i="1"/>
  <c r="AO69" i="1"/>
  <c r="BI68" i="1"/>
  <c r="AO68" i="1"/>
  <c r="BI67" i="1"/>
  <c r="AO67" i="1"/>
  <c r="AA67" i="1"/>
  <c r="U67" i="1"/>
  <c r="T67" i="1"/>
  <c r="S67" i="1"/>
  <c r="Q67" i="1"/>
  <c r="P67" i="1"/>
  <c r="N67" i="1"/>
  <c r="M67" i="1"/>
  <c r="O67" i="1" s="1"/>
  <c r="J67" i="1"/>
  <c r="H67" i="1"/>
  <c r="BI66" i="1"/>
  <c r="AO66" i="1"/>
  <c r="AA66" i="1"/>
  <c r="U66" i="1"/>
  <c r="T66" i="1"/>
  <c r="S66" i="1"/>
  <c r="Q66" i="1"/>
  <c r="P66" i="1"/>
  <c r="O66" i="1"/>
  <c r="N66" i="1"/>
  <c r="M66" i="1"/>
  <c r="Z66" i="1" s="1"/>
  <c r="J66" i="1"/>
  <c r="H66" i="1"/>
  <c r="CD65" i="1"/>
  <c r="CC65" i="1"/>
  <c r="BZ65" i="1"/>
  <c r="BW65" i="1"/>
  <c r="BI65" i="1"/>
  <c r="AM65" i="1"/>
  <c r="AO65" i="1" s="1"/>
  <c r="AA65" i="1"/>
  <c r="U65" i="1"/>
  <c r="T65" i="1"/>
  <c r="S65" i="1"/>
  <c r="Q65" i="1"/>
  <c r="P65" i="1"/>
  <c r="N65" i="1"/>
  <c r="M65" i="1"/>
  <c r="O65" i="1" s="1"/>
  <c r="I65" i="1"/>
  <c r="J65" i="1" s="1"/>
  <c r="H65" i="1"/>
  <c r="BI64" i="1"/>
  <c r="AO64" i="1"/>
  <c r="AA64" i="1"/>
  <c r="U64" i="1"/>
  <c r="T64" i="1"/>
  <c r="S64" i="1"/>
  <c r="Q64" i="1"/>
  <c r="P64" i="1"/>
  <c r="N64" i="1"/>
  <c r="M64" i="1"/>
  <c r="O64" i="1" s="1"/>
  <c r="J64" i="1"/>
  <c r="H64" i="1"/>
  <c r="BI63" i="1"/>
  <c r="AO63" i="1"/>
  <c r="AA63" i="1"/>
  <c r="U63" i="1"/>
  <c r="T63" i="1"/>
  <c r="S63" i="1"/>
  <c r="Q63" i="1"/>
  <c r="P63" i="1"/>
  <c r="O63" i="1"/>
  <c r="N63" i="1"/>
  <c r="M63" i="1"/>
  <c r="Z63" i="1" s="1"/>
  <c r="J63" i="1"/>
  <c r="H63" i="1"/>
  <c r="BI62" i="1"/>
  <c r="AO62" i="1"/>
  <c r="O62" i="1"/>
  <c r="BI61" i="1"/>
  <c r="AO61" i="1"/>
  <c r="AA61" i="1"/>
  <c r="U61" i="1"/>
  <c r="T61" i="1"/>
  <c r="S61" i="1"/>
  <c r="Q61" i="1"/>
  <c r="P61" i="1"/>
  <c r="O61" i="1"/>
  <c r="N61" i="1"/>
  <c r="M61" i="1"/>
  <c r="Z61" i="1" s="1"/>
  <c r="J61" i="1"/>
  <c r="H61" i="1"/>
  <c r="BI60" i="1"/>
  <c r="AO60" i="1"/>
  <c r="AA60" i="1"/>
  <c r="U60" i="1"/>
  <c r="T60" i="1"/>
  <c r="S60" i="1"/>
  <c r="Q60" i="1"/>
  <c r="P60" i="1"/>
  <c r="O60" i="1"/>
  <c r="N60" i="1"/>
  <c r="M60" i="1"/>
  <c r="Z60" i="1" s="1"/>
  <c r="J60" i="1"/>
  <c r="H60" i="1"/>
  <c r="BI59" i="1"/>
  <c r="AO59" i="1"/>
  <c r="AA59" i="1"/>
  <c r="U59" i="1"/>
  <c r="E59" i="1" s="1"/>
  <c r="T59" i="1"/>
  <c r="Q59" i="1"/>
  <c r="O59" i="1"/>
  <c r="N59" i="1"/>
  <c r="M59" i="1"/>
  <c r="Z59" i="1" s="1"/>
  <c r="J59" i="1"/>
  <c r="H59" i="1"/>
  <c r="BI58" i="1"/>
  <c r="AO58" i="1"/>
  <c r="AA58" i="1"/>
  <c r="U58" i="1"/>
  <c r="T58" i="1"/>
  <c r="S58" i="1"/>
  <c r="Q58" i="1"/>
  <c r="P58" i="1"/>
  <c r="O58" i="1"/>
  <c r="N58" i="1"/>
  <c r="M58" i="1"/>
  <c r="Z58" i="1" s="1"/>
  <c r="J58" i="1"/>
  <c r="H58" i="1"/>
  <c r="BI57" i="1"/>
  <c r="AO57" i="1"/>
  <c r="BI56" i="1"/>
  <c r="AO56" i="1"/>
  <c r="AA56" i="1"/>
  <c r="U56" i="1"/>
  <c r="T56" i="1"/>
  <c r="S56" i="1"/>
  <c r="Q56" i="1"/>
  <c r="P56" i="1"/>
  <c r="O56" i="1"/>
  <c r="N56" i="1"/>
  <c r="M56" i="1"/>
  <c r="Z56" i="1" s="1"/>
  <c r="J56" i="1"/>
  <c r="H56" i="1"/>
  <c r="BI55" i="1"/>
  <c r="AO55" i="1"/>
  <c r="BI54" i="1"/>
  <c r="AO54" i="1"/>
  <c r="AA54" i="1"/>
  <c r="U54" i="1"/>
  <c r="T54" i="1"/>
  <c r="S54" i="1"/>
  <c r="Q54" i="1"/>
  <c r="P54" i="1"/>
  <c r="O54" i="1"/>
  <c r="N54" i="1"/>
  <c r="M54" i="1"/>
  <c r="Z54" i="1" s="1"/>
  <c r="J54" i="1"/>
  <c r="H54" i="1"/>
  <c r="BI53" i="1"/>
  <c r="AO53" i="1"/>
  <c r="AA53" i="1"/>
  <c r="U53" i="1"/>
  <c r="T53" i="1"/>
  <c r="S53" i="1"/>
  <c r="Q53" i="1"/>
  <c r="P53" i="1"/>
  <c r="N53" i="1"/>
  <c r="M53" i="1"/>
  <c r="O53" i="1" s="1"/>
  <c r="J53" i="1"/>
  <c r="H53" i="1"/>
  <c r="CD52" i="1"/>
  <c r="CC52" i="1"/>
  <c r="BZ52" i="1"/>
  <c r="BW52" i="1"/>
  <c r="BI52" i="1"/>
  <c r="AO52" i="1"/>
  <c r="AA52" i="1"/>
  <c r="U52" i="1"/>
  <c r="T52" i="1"/>
  <c r="S52" i="1"/>
  <c r="Q52" i="1"/>
  <c r="P52" i="1"/>
  <c r="O52" i="1"/>
  <c r="N52" i="1"/>
  <c r="M52" i="1"/>
  <c r="Z52" i="1" s="1"/>
  <c r="J52" i="1"/>
  <c r="H52" i="1"/>
  <c r="BI51" i="1"/>
  <c r="AO51" i="1"/>
  <c r="AA51" i="1"/>
  <c r="U51" i="1"/>
  <c r="T51" i="1"/>
  <c r="S51" i="1"/>
  <c r="Q51" i="1"/>
  <c r="P51" i="1"/>
  <c r="N51" i="1"/>
  <c r="M51" i="1"/>
  <c r="O51" i="1" s="1"/>
  <c r="J51" i="1"/>
  <c r="H51" i="1"/>
  <c r="BI50" i="1"/>
  <c r="AO50" i="1"/>
  <c r="AA50" i="1"/>
  <c r="U50" i="1"/>
  <c r="T50" i="1"/>
  <c r="S50" i="1"/>
  <c r="Q50" i="1"/>
  <c r="P50" i="1"/>
  <c r="O50" i="1"/>
  <c r="N50" i="1"/>
  <c r="M50" i="1"/>
  <c r="Z50" i="1" s="1"/>
  <c r="J50" i="1"/>
  <c r="H50" i="1"/>
  <c r="BI49" i="1"/>
  <c r="AO49" i="1"/>
  <c r="AA49" i="1"/>
  <c r="U49" i="1"/>
  <c r="T49" i="1"/>
  <c r="S49" i="1"/>
  <c r="Q49" i="1"/>
  <c r="P49" i="1"/>
  <c r="O49" i="1"/>
  <c r="N49" i="1"/>
  <c r="M49" i="1"/>
  <c r="Z49" i="1" s="1"/>
  <c r="J49" i="1"/>
  <c r="H49" i="1"/>
  <c r="BI48" i="1"/>
  <c r="AG48" i="1"/>
  <c r="AO48" i="1" s="1"/>
  <c r="AA48" i="1"/>
  <c r="U48" i="1"/>
  <c r="T48" i="1"/>
  <c r="S48" i="1"/>
  <c r="Q48" i="1"/>
  <c r="P48" i="1"/>
  <c r="O48" i="1"/>
  <c r="N48" i="1"/>
  <c r="M48" i="1"/>
  <c r="Z48" i="1" s="1"/>
  <c r="I48" i="1"/>
  <c r="J48" i="1" s="1"/>
  <c r="H48" i="1"/>
  <c r="BI47" i="1"/>
  <c r="AO47" i="1"/>
  <c r="O47" i="1"/>
  <c r="BI46" i="1"/>
  <c r="AO46" i="1"/>
  <c r="AA46" i="1"/>
  <c r="U46" i="1"/>
  <c r="T46" i="1"/>
  <c r="S46" i="1"/>
  <c r="Q46" i="1"/>
  <c r="P46" i="1"/>
  <c r="O46" i="1"/>
  <c r="N46" i="1"/>
  <c r="M46" i="1"/>
  <c r="Z46" i="1" s="1"/>
  <c r="J46" i="1"/>
  <c r="H46" i="1"/>
  <c r="BI45" i="1"/>
  <c r="AO45" i="1"/>
  <c r="AA45" i="1"/>
  <c r="U45" i="1"/>
  <c r="T45" i="1"/>
  <c r="S45" i="1"/>
  <c r="Q45" i="1"/>
  <c r="P45" i="1"/>
  <c r="O45" i="1"/>
  <c r="N45" i="1"/>
  <c r="M45" i="1"/>
  <c r="Z45" i="1" s="1"/>
  <c r="J45" i="1"/>
  <c r="H45" i="1"/>
  <c r="BI44" i="1"/>
  <c r="AO44" i="1"/>
  <c r="AA44" i="1"/>
  <c r="U44" i="1"/>
  <c r="T44" i="1"/>
  <c r="S44" i="1"/>
  <c r="Q44" i="1"/>
  <c r="P44" i="1"/>
  <c r="N44" i="1"/>
  <c r="M44" i="1"/>
  <c r="O44" i="1" s="1"/>
  <c r="I44" i="1"/>
  <c r="J44" i="1" s="1"/>
  <c r="H44" i="1"/>
  <c r="BI43" i="1"/>
  <c r="AM43" i="1"/>
  <c r="AO43" i="1" s="1"/>
  <c r="AA43" i="1"/>
  <c r="U43" i="1"/>
  <c r="T43" i="1"/>
  <c r="S43" i="1"/>
  <c r="Q43" i="1"/>
  <c r="P43" i="1"/>
  <c r="N43" i="1"/>
  <c r="M43" i="1"/>
  <c r="Z43" i="1" s="1"/>
  <c r="I43" i="1"/>
  <c r="J43" i="1" s="1"/>
  <c r="H43" i="1"/>
  <c r="BI42" i="1"/>
  <c r="AO42" i="1"/>
  <c r="O42" i="1"/>
  <c r="BI41" i="1"/>
  <c r="AO41" i="1"/>
  <c r="AA41" i="1"/>
  <c r="U41" i="1"/>
  <c r="T41" i="1"/>
  <c r="S41" i="1"/>
  <c r="Q41" i="1"/>
  <c r="P41" i="1"/>
  <c r="O41" i="1"/>
  <c r="N41" i="1"/>
  <c r="M41" i="1"/>
  <c r="Z41" i="1" s="1"/>
  <c r="J41" i="1"/>
  <c r="H41" i="1"/>
  <c r="BI40" i="1"/>
  <c r="AO40" i="1"/>
  <c r="AA40" i="1"/>
  <c r="U40" i="1"/>
  <c r="T40" i="1"/>
  <c r="S40" i="1"/>
  <c r="Q40" i="1"/>
  <c r="P40" i="1"/>
  <c r="N40" i="1"/>
  <c r="M40" i="1"/>
  <c r="Z40" i="1" s="1"/>
  <c r="J40" i="1"/>
  <c r="H40" i="1"/>
  <c r="BI39" i="1"/>
  <c r="AO39" i="1"/>
  <c r="AA39" i="1"/>
  <c r="U39" i="1"/>
  <c r="T39" i="1"/>
  <c r="S39" i="1"/>
  <c r="Q39" i="1"/>
  <c r="P39" i="1"/>
  <c r="O39" i="1"/>
  <c r="N39" i="1"/>
  <c r="M39" i="1"/>
  <c r="Z39" i="1" s="1"/>
  <c r="J39" i="1"/>
  <c r="H39" i="1"/>
  <c r="BI38" i="1"/>
  <c r="AO38" i="1"/>
  <c r="AA38" i="1"/>
  <c r="U38" i="1"/>
  <c r="T38" i="1"/>
  <c r="S38" i="1"/>
  <c r="Q38" i="1"/>
  <c r="P38" i="1"/>
  <c r="O38" i="1"/>
  <c r="N38" i="1"/>
  <c r="M38" i="1"/>
  <c r="Z38" i="1" s="1"/>
  <c r="J38" i="1"/>
  <c r="H38" i="1"/>
  <c r="BI37" i="1"/>
  <c r="AO37" i="1"/>
  <c r="AA37" i="1"/>
  <c r="U37" i="1"/>
  <c r="T37" i="1"/>
  <c r="S37" i="1"/>
  <c r="Q37" i="1"/>
  <c r="P37" i="1"/>
  <c r="O37" i="1"/>
  <c r="N37" i="1"/>
  <c r="M37" i="1"/>
  <c r="Z37" i="1" s="1"/>
  <c r="J37" i="1"/>
  <c r="H37" i="1"/>
  <c r="BI36" i="1"/>
  <c r="AO36" i="1"/>
  <c r="AA36" i="1"/>
  <c r="Z36" i="1"/>
  <c r="U36" i="1"/>
  <c r="T36" i="1"/>
  <c r="S36" i="1"/>
  <c r="Q36" i="1"/>
  <c r="P36" i="1"/>
  <c r="N36" i="1"/>
  <c r="M36" i="1"/>
  <c r="O36" i="1" s="1"/>
  <c r="J36" i="1"/>
  <c r="H36" i="1"/>
  <c r="BI35" i="1"/>
  <c r="AO35" i="1"/>
  <c r="AA35" i="1"/>
  <c r="U35" i="1"/>
  <c r="E35" i="1" s="1"/>
  <c r="T35" i="1"/>
  <c r="Q35" i="1"/>
  <c r="O35" i="1"/>
  <c r="N35" i="1"/>
  <c r="M35" i="1"/>
  <c r="Z35" i="1" s="1"/>
  <c r="J35" i="1"/>
  <c r="H35" i="1"/>
  <c r="BI34" i="1"/>
  <c r="AM34" i="1"/>
  <c r="AO34" i="1" s="1"/>
  <c r="AK34" i="1"/>
  <c r="AA34" i="1"/>
  <c r="U34" i="1"/>
  <c r="T34" i="1"/>
  <c r="S34" i="1"/>
  <c r="Q34" i="1"/>
  <c r="P34" i="1"/>
  <c r="N34" i="1"/>
  <c r="M34" i="1"/>
  <c r="O34" i="1" s="1"/>
  <c r="J34" i="1"/>
  <c r="I34" i="1"/>
  <c r="H34" i="1"/>
  <c r="BI33" i="1"/>
  <c r="AO33" i="1"/>
  <c r="O33" i="1"/>
  <c r="BI32" i="1"/>
  <c r="AO32" i="1"/>
  <c r="AA32" i="1"/>
  <c r="U32" i="1"/>
  <c r="E32" i="1" s="1"/>
  <c r="T32" i="1"/>
  <c r="Q32" i="1"/>
  <c r="O32" i="1"/>
  <c r="N32" i="1"/>
  <c r="M32" i="1"/>
  <c r="Z32" i="1" s="1"/>
  <c r="J32" i="1"/>
  <c r="H32" i="1"/>
  <c r="BI31" i="1"/>
  <c r="AO31" i="1"/>
  <c r="AA31" i="1"/>
  <c r="U31" i="1"/>
  <c r="T31" i="1"/>
  <c r="S31" i="1"/>
  <c r="Q31" i="1"/>
  <c r="P31" i="1"/>
  <c r="N31" i="1"/>
  <c r="M31" i="1"/>
  <c r="Z31" i="1" s="1"/>
  <c r="J31" i="1"/>
  <c r="H31" i="1"/>
  <c r="BI30" i="1"/>
  <c r="AO30" i="1"/>
  <c r="BI29" i="1"/>
  <c r="AO29" i="1"/>
  <c r="BI28" i="1"/>
  <c r="AO28" i="1"/>
  <c r="AA28" i="1"/>
  <c r="U28" i="1"/>
  <c r="T28" i="1"/>
  <c r="S28" i="1"/>
  <c r="Q28" i="1"/>
  <c r="P28" i="1"/>
  <c r="O28" i="1"/>
  <c r="N28" i="1"/>
  <c r="M28" i="1"/>
  <c r="Z28" i="1" s="1"/>
  <c r="J28" i="1"/>
  <c r="H28" i="1"/>
  <c r="BI27" i="1"/>
  <c r="AO27" i="1"/>
  <c r="AA27" i="1"/>
  <c r="U27" i="1"/>
  <c r="T27" i="1"/>
  <c r="S27" i="1"/>
  <c r="Q27" i="1"/>
  <c r="P27" i="1"/>
  <c r="N27" i="1"/>
  <c r="M27" i="1"/>
  <c r="O27" i="1" s="1"/>
  <c r="J27" i="1"/>
  <c r="H27" i="1"/>
  <c r="AZ26" i="1"/>
  <c r="BI26" i="1" s="1"/>
  <c r="AO26" i="1"/>
  <c r="AA26" i="1"/>
  <c r="U26" i="1"/>
  <c r="T26" i="1"/>
  <c r="S26" i="1"/>
  <c r="Q26" i="1"/>
  <c r="P26" i="1"/>
  <c r="N26" i="1"/>
  <c r="M26" i="1"/>
  <c r="O26" i="1" s="1"/>
  <c r="J26" i="1"/>
  <c r="I26" i="1"/>
  <c r="H26" i="1"/>
  <c r="BI25" i="1"/>
  <c r="AO25" i="1"/>
  <c r="AA25" i="1"/>
  <c r="U25" i="1"/>
  <c r="T25" i="1"/>
  <c r="S25" i="1"/>
  <c r="Q25" i="1"/>
  <c r="P25" i="1"/>
  <c r="O25" i="1"/>
  <c r="N25" i="1"/>
  <c r="M25" i="1"/>
  <c r="Z25" i="1" s="1"/>
  <c r="J25" i="1"/>
  <c r="H25" i="1"/>
  <c r="BI24" i="1"/>
  <c r="AO24" i="1"/>
  <c r="BI23" i="1"/>
  <c r="AO23" i="1"/>
  <c r="AA23" i="1"/>
  <c r="U23" i="1"/>
  <c r="E23" i="1" s="1"/>
  <c r="T23" i="1"/>
  <c r="Q23" i="1"/>
  <c r="O23" i="1"/>
  <c r="N23" i="1"/>
  <c r="M23" i="1"/>
  <c r="Z23" i="1" s="1"/>
  <c r="J23" i="1"/>
  <c r="H23" i="1"/>
  <c r="BI22" i="1"/>
  <c r="AO22" i="1"/>
  <c r="AA22" i="1"/>
  <c r="U22" i="1"/>
  <c r="T22" i="1"/>
  <c r="S22" i="1"/>
  <c r="Q22" i="1"/>
  <c r="P22" i="1"/>
  <c r="O22" i="1"/>
  <c r="N22" i="1"/>
  <c r="M22" i="1"/>
  <c r="Z22" i="1" s="1"/>
  <c r="J22" i="1"/>
  <c r="H22" i="1"/>
  <c r="BI21" i="1"/>
  <c r="AM21" i="1"/>
  <c r="AO21" i="1" s="1"/>
  <c r="O21" i="1"/>
  <c r="BI20" i="1"/>
  <c r="AO20" i="1"/>
  <c r="AA20" i="1"/>
  <c r="U20" i="1"/>
  <c r="T20" i="1"/>
  <c r="S20" i="1"/>
  <c r="Q20" i="1"/>
  <c r="P20" i="1"/>
  <c r="N20" i="1"/>
  <c r="M20" i="1"/>
  <c r="O20" i="1" s="1"/>
  <c r="J20" i="1"/>
  <c r="H20" i="1"/>
  <c r="BI19" i="1"/>
  <c r="AO19" i="1"/>
  <c r="O19" i="1"/>
  <c r="BI18" i="1"/>
  <c r="AO18" i="1"/>
  <c r="AA18" i="1"/>
  <c r="U18" i="1"/>
  <c r="T18" i="1"/>
  <c r="S18" i="1"/>
  <c r="Q18" i="1"/>
  <c r="P18" i="1"/>
  <c r="N18" i="1"/>
  <c r="M18" i="1"/>
  <c r="O18" i="1" s="1"/>
  <c r="J18" i="1"/>
  <c r="H18" i="1"/>
  <c r="BI17" i="1"/>
  <c r="AO17" i="1"/>
  <c r="AA17" i="1"/>
  <c r="U17" i="1"/>
  <c r="T17" i="1"/>
  <c r="S17" i="1"/>
  <c r="Q17" i="1"/>
  <c r="P17" i="1"/>
  <c r="O17" i="1"/>
  <c r="N17" i="1"/>
  <c r="M17" i="1"/>
  <c r="Z17" i="1" s="1"/>
  <c r="J17" i="1"/>
  <c r="H17" i="1"/>
  <c r="BI16" i="1"/>
  <c r="AO16" i="1"/>
  <c r="AA16" i="1"/>
  <c r="U16" i="1"/>
  <c r="T16" i="1"/>
  <c r="S16" i="1"/>
  <c r="Q16" i="1"/>
  <c r="P16" i="1"/>
  <c r="O16" i="1"/>
  <c r="N16" i="1"/>
  <c r="M16" i="1"/>
  <c r="Z16" i="1" s="1"/>
  <c r="J16" i="1"/>
  <c r="H16" i="1"/>
  <c r="BI15" i="1"/>
  <c r="AO15" i="1"/>
  <c r="AA15" i="1"/>
  <c r="U15" i="1"/>
  <c r="E15" i="1" s="1"/>
  <c r="T15" i="1"/>
  <c r="Q15" i="1"/>
  <c r="O15" i="1"/>
  <c r="N15" i="1"/>
  <c r="M15" i="1"/>
  <c r="Z15" i="1" s="1"/>
  <c r="J15" i="1"/>
  <c r="H15" i="1"/>
  <c r="BI14" i="1"/>
  <c r="AO14" i="1"/>
  <c r="AA14" i="1"/>
  <c r="U14" i="1"/>
  <c r="T14" i="1"/>
  <c r="S14" i="1"/>
  <c r="Q14" i="1"/>
  <c r="P14" i="1"/>
  <c r="O14" i="1"/>
  <c r="N14" i="1"/>
  <c r="M14" i="1"/>
  <c r="Z14" i="1" s="1"/>
  <c r="J14" i="1"/>
  <c r="H14" i="1"/>
  <c r="BI13" i="1"/>
  <c r="AO13" i="1"/>
  <c r="AA13" i="1"/>
  <c r="U13" i="1"/>
  <c r="T13" i="1"/>
  <c r="S13" i="1"/>
  <c r="Q13" i="1"/>
  <c r="P13" i="1"/>
  <c r="N13" i="1"/>
  <c r="M13" i="1"/>
  <c r="O13" i="1" s="1"/>
  <c r="J13" i="1"/>
  <c r="H13" i="1"/>
  <c r="BI12" i="1"/>
  <c r="AO12" i="1"/>
  <c r="AA12" i="1"/>
  <c r="U12" i="1"/>
  <c r="T12" i="1"/>
  <c r="S12" i="1"/>
  <c r="Q12" i="1"/>
  <c r="P12" i="1"/>
  <c r="O12" i="1"/>
  <c r="N12" i="1"/>
  <c r="M12" i="1"/>
  <c r="Z12" i="1" s="1"/>
  <c r="J12" i="1"/>
  <c r="H12" i="1"/>
  <c r="BI11" i="1"/>
  <c r="AO11" i="1"/>
  <c r="AA11" i="1"/>
  <c r="U11" i="1"/>
  <c r="T11" i="1"/>
  <c r="S11" i="1"/>
  <c r="Q11" i="1"/>
  <c r="P11" i="1"/>
  <c r="O11" i="1"/>
  <c r="N11" i="1"/>
  <c r="M11" i="1"/>
  <c r="Z11" i="1" s="1"/>
  <c r="J11" i="1"/>
  <c r="H11" i="1"/>
  <c r="BI10" i="1"/>
  <c r="AO10" i="1"/>
  <c r="AA10" i="1"/>
  <c r="U10" i="1"/>
  <c r="T10" i="1"/>
  <c r="S10" i="1"/>
  <c r="Q10" i="1"/>
  <c r="P10" i="1"/>
  <c r="O10" i="1"/>
  <c r="N10" i="1"/>
  <c r="M10" i="1"/>
  <c r="Z10" i="1" s="1"/>
  <c r="J10" i="1"/>
  <c r="H10" i="1"/>
  <c r="BI9" i="1"/>
  <c r="AO9" i="1"/>
  <c r="AA9" i="1"/>
  <c r="U9" i="1"/>
  <c r="T9" i="1"/>
  <c r="S9" i="1"/>
  <c r="Q9" i="1"/>
  <c r="P9" i="1"/>
  <c r="N9" i="1"/>
  <c r="M9" i="1"/>
  <c r="O9" i="1" s="1"/>
  <c r="J9" i="1"/>
  <c r="H9" i="1"/>
  <c r="BI8" i="1"/>
  <c r="AO8" i="1"/>
  <c r="AA8" i="1"/>
  <c r="U8" i="1"/>
  <c r="T8" i="1"/>
  <c r="Q8" i="1"/>
  <c r="O8" i="1"/>
  <c r="N8" i="1"/>
  <c r="M8" i="1"/>
  <c r="Z8" i="1" s="1"/>
  <c r="J8" i="1"/>
  <c r="H8" i="1"/>
  <c r="E8" i="1"/>
  <c r="P8" i="1" s="1"/>
  <c r="BI7" i="1"/>
  <c r="AO7" i="1"/>
  <c r="BI6" i="1"/>
  <c r="AO6" i="1"/>
  <c r="AA6" i="1"/>
  <c r="U6" i="1"/>
  <c r="T6" i="1"/>
  <c r="S6" i="1"/>
  <c r="Q6" i="1"/>
  <c r="P6" i="1"/>
  <c r="O6" i="1"/>
  <c r="N6" i="1"/>
  <c r="M6" i="1"/>
  <c r="Z6" i="1" s="1"/>
  <c r="J6" i="1"/>
  <c r="H6" i="1"/>
  <c r="BI5" i="1"/>
  <c r="AO5" i="1"/>
  <c r="AA5" i="1"/>
  <c r="U5" i="1"/>
  <c r="T5" i="1"/>
  <c r="S5" i="1"/>
  <c r="Q5" i="1"/>
  <c r="P5" i="1"/>
  <c r="O5" i="1"/>
  <c r="N5" i="1"/>
  <c r="M5" i="1"/>
  <c r="Z5" i="1" s="1"/>
  <c r="J5" i="1"/>
  <c r="H5" i="1"/>
  <c r="BI4" i="1"/>
  <c r="AO4" i="1"/>
  <c r="AA4" i="1"/>
  <c r="U4" i="1"/>
  <c r="T4" i="1"/>
  <c r="S4" i="1"/>
  <c r="Q4" i="1"/>
  <c r="P4" i="1"/>
  <c r="O4" i="1"/>
  <c r="N4" i="1"/>
  <c r="M4" i="1"/>
  <c r="Z4" i="1" s="1"/>
  <c r="J4" i="1"/>
  <c r="H4" i="1"/>
  <c r="CB3" i="1"/>
  <c r="CD3" i="1" s="1"/>
  <c r="CA3" i="1"/>
  <c r="CC3" i="1" s="1"/>
  <c r="BY3" i="1"/>
  <c r="BZ3" i="1" s="1"/>
  <c r="BW3" i="1"/>
  <c r="BI3" i="1"/>
  <c r="BE3" i="1"/>
  <c r="AO3" i="1"/>
  <c r="BI2" i="1"/>
  <c r="AO2" i="1"/>
  <c r="AA2" i="1"/>
  <c r="U2" i="1"/>
  <c r="T2" i="1"/>
  <c r="S2" i="1"/>
  <c r="Q2" i="1"/>
  <c r="P2" i="1"/>
  <c r="O2" i="1"/>
  <c r="N2" i="1"/>
  <c r="M2" i="1"/>
  <c r="Z2" i="1" s="1"/>
  <c r="J2" i="1"/>
  <c r="H2" i="1"/>
  <c r="S291" i="1" l="1"/>
  <c r="P291" i="1"/>
  <c r="P162" i="1"/>
  <c r="S162" i="1"/>
  <c r="P251" i="1"/>
  <c r="S251" i="1"/>
  <c r="S59" i="1"/>
  <c r="P59" i="1"/>
  <c r="S93" i="1"/>
  <c r="P93" i="1"/>
  <c r="S15" i="1"/>
  <c r="P15" i="1"/>
  <c r="S23" i="1"/>
  <c r="P23" i="1"/>
  <c r="S32" i="1"/>
  <c r="P32" i="1"/>
  <c r="P215" i="1"/>
  <c r="S215" i="1"/>
  <c r="S205" i="1"/>
  <c r="P205" i="1"/>
  <c r="S116" i="1"/>
  <c r="P116" i="1"/>
  <c r="S296" i="1"/>
  <c r="P296" i="1"/>
  <c r="S188" i="1"/>
  <c r="P188" i="1"/>
  <c r="S284" i="1"/>
  <c r="P284" i="1"/>
  <c r="S35" i="1"/>
  <c r="P35" i="1"/>
  <c r="Z18" i="1"/>
  <c r="Z27" i="1"/>
  <c r="Z126" i="1"/>
  <c r="Z228" i="1"/>
  <c r="Z259" i="1"/>
  <c r="Z270" i="1"/>
  <c r="O3" i="1"/>
  <c r="Z9" i="1"/>
  <c r="Z13" i="1"/>
  <c r="Z20" i="1"/>
  <c r="Z26" i="1"/>
  <c r="Z34" i="1"/>
  <c r="Z51" i="1"/>
  <c r="Z53" i="1"/>
  <c r="Z64" i="1"/>
  <c r="Z67" i="1"/>
  <c r="Z75" i="1"/>
  <c r="Z78" i="1"/>
  <c r="Z82" i="1"/>
  <c r="Z108" i="1"/>
  <c r="O127" i="1"/>
  <c r="Z132" i="1"/>
  <c r="O133" i="1"/>
  <c r="O149" i="1"/>
  <c r="O153" i="1"/>
  <c r="Z157" i="1"/>
  <c r="O158" i="1"/>
  <c r="O167" i="1"/>
  <c r="O178" i="1"/>
  <c r="O182" i="1"/>
  <c r="O189" i="1"/>
  <c r="O193" i="1"/>
  <c r="O201" i="1"/>
  <c r="P202" i="1"/>
  <c r="O206" i="1"/>
  <c r="O209" i="1"/>
  <c r="O213" i="1"/>
  <c r="P214" i="1"/>
  <c r="O218" i="1"/>
  <c r="O222" i="1"/>
  <c r="O226" i="1"/>
  <c r="O231" i="1"/>
  <c r="O235" i="1"/>
  <c r="O243" i="1"/>
  <c r="P263" i="1"/>
  <c r="O285" i="1"/>
  <c r="O289" i="1"/>
  <c r="O296" i="1"/>
  <c r="O300" i="1"/>
  <c r="Z310" i="1"/>
  <c r="O311" i="1"/>
  <c r="O324" i="1"/>
  <c r="Z44" i="1"/>
  <c r="Z65" i="1"/>
  <c r="Z102" i="1"/>
  <c r="Z208" i="1"/>
  <c r="O31" i="1"/>
  <c r="O40" i="1"/>
  <c r="O43" i="1"/>
  <c r="O96" i="1"/>
  <c r="O114" i="1"/>
  <c r="O129" i="1"/>
  <c r="O142" i="1"/>
  <c r="O144" i="1"/>
  <c r="O175" i="1"/>
  <c r="O274" i="1"/>
  <c r="O291" i="1"/>
  <c r="O295" i="1"/>
  <c r="O304" i="1"/>
  <c r="O319" i="1"/>
  <c r="O323" i="1"/>
  <c r="Z107" i="1"/>
  <c r="Z117" i="1"/>
  <c r="Z120" i="1"/>
  <c r="Z151" i="1"/>
  <c r="Z156" i="1"/>
  <c r="Z160" i="1"/>
  <c r="Z165" i="1"/>
  <c r="Z172" i="1"/>
  <c r="Z176" i="1"/>
  <c r="Z184" i="1"/>
  <c r="Z191" i="1"/>
  <c r="Z197" i="1"/>
  <c r="Z199" i="1"/>
  <c r="Z211" i="1"/>
  <c r="Z216" i="1"/>
  <c r="Z220" i="1"/>
  <c r="Z224" i="1"/>
  <c r="Z233" i="1"/>
  <c r="Z237" i="1"/>
  <c r="Z241" i="1"/>
  <c r="Z287" i="1"/>
  <c r="Z298" i="1"/>
  <c r="Z302" i="1"/>
  <c r="Z309" i="1"/>
  <c r="S8" i="1"/>
  <c r="S156" i="1"/>
  <c r="S172" i="1"/>
</calcChain>
</file>

<file path=xl/sharedStrings.xml><?xml version="1.0" encoding="utf-8"?>
<sst xmlns="http://schemas.openxmlformats.org/spreadsheetml/2006/main" count="1440" uniqueCount="131">
  <si>
    <t>Población</t>
  </si>
  <si>
    <t>Provincia</t>
  </si>
  <si>
    <t>Distancia a Matadero Purullena</t>
  </si>
  <si>
    <t>MEDICAMENTOS</t>
  </si>
  <si>
    <t>LIQUIDACIÓN</t>
  </si>
  <si>
    <t>Pollos Entrados</t>
  </si>
  <si>
    <t>Pollos Salidos</t>
  </si>
  <si>
    <t>% Bajas</t>
  </si>
  <si>
    <t>BAJAS 1ªSEMANA</t>
  </si>
  <si>
    <t>%BAJAS 1ªS</t>
  </si>
  <si>
    <t>Kilos Carne</t>
  </si>
  <si>
    <t>Kilos Pienso</t>
  </si>
  <si>
    <t xml:space="preserve">Peso Medio </t>
  </si>
  <si>
    <t>I.Transform</t>
  </si>
  <si>
    <t>I.T.E</t>
  </si>
  <si>
    <t>Media/Pollo</t>
  </si>
  <si>
    <t>Medic/Pollo</t>
  </si>
  <si>
    <t>Mts Cuadrados</t>
  </si>
  <si>
    <t>Rdto/M2</t>
  </si>
  <si>
    <t>Pollo/Mt2</t>
  </si>
  <si>
    <t>Kilos Consumidos por Pollo Salido</t>
  </si>
  <si>
    <t>Dias Media Retirada sin Asador</t>
  </si>
  <si>
    <t>Dias Asador</t>
  </si>
  <si>
    <t>Peso Medio Asador</t>
  </si>
  <si>
    <t>Nº Pollos Retirado Asador</t>
  </si>
  <si>
    <t>Ganancia Media Diaria</t>
  </si>
  <si>
    <t>G.M.D. Asador</t>
  </si>
  <si>
    <t>Consumo Consorcio 1</t>
  </si>
  <si>
    <t>Consumo Consorcio 2</t>
  </si>
  <si>
    <t>Consumo Consorcio 3</t>
  </si>
  <si>
    <t>Consumo Consorcio 4</t>
  </si>
  <si>
    <t>Estirpe</t>
  </si>
  <si>
    <t>LOTE SALA        MA-12</t>
  </si>
  <si>
    <t>LOTE SALA        MA-13</t>
  </si>
  <si>
    <t>LOTE SALA            V-25</t>
  </si>
  <si>
    <t>LOTE SALA            V-24</t>
  </si>
  <si>
    <t>LOTE SALA            FR-13</t>
  </si>
  <si>
    <t>LOTE SALA  FR-14</t>
  </si>
  <si>
    <t>LOTE SALA           H-12</t>
  </si>
  <si>
    <t>LOTE SALA  MACHITOS</t>
  </si>
  <si>
    <t>% ESTIRPE</t>
  </si>
  <si>
    <t>LOTE SALA            SC-12</t>
  </si>
  <si>
    <t>LOTE SALA            V-23</t>
  </si>
  <si>
    <t>LOTE SALA            RO-13</t>
  </si>
  <si>
    <t>LOTE SALA            E-9</t>
  </si>
  <si>
    <t>LOTE SALA            E-10</t>
  </si>
  <si>
    <t>LOTE SALA            JG-13</t>
  </si>
  <si>
    <t>LOTE SALA            JG-14</t>
  </si>
  <si>
    <t>LOTE SALA            JN-12</t>
  </si>
  <si>
    <t>LOTE SALA            JN-13</t>
  </si>
  <si>
    <t>LOTE SALA            F-10</t>
  </si>
  <si>
    <t>LOTE SALA            G-13</t>
  </si>
  <si>
    <t>LOTE SALA            G-14</t>
  </si>
  <si>
    <t>LOTE SALA            RO-12</t>
  </si>
  <si>
    <t>LOTE SALA            RO-14</t>
  </si>
  <si>
    <t>LOTE SALA   IS-11</t>
  </si>
  <si>
    <t>LOTE SALA            V-26</t>
  </si>
  <si>
    <t>LOTE SALA   SC-13</t>
  </si>
  <si>
    <t>LOTE AVINATUR</t>
  </si>
  <si>
    <t>Peso Primer Camión</t>
  </si>
  <si>
    <t>Días Primer Camión</t>
  </si>
  <si>
    <t>Peso 1 DÍa</t>
  </si>
  <si>
    <t>Peso 1 Semana (150-180)</t>
  </si>
  <si>
    <t>peso 2 semana       (400-500)</t>
  </si>
  <si>
    <t>peso 3 semana       (750-900)</t>
  </si>
  <si>
    <t>peso 4 semana          (1,250-1,400)</t>
  </si>
  <si>
    <t>peso 5 semana                  (1,750-2000)</t>
  </si>
  <si>
    <t>peso 6 semana (2,250-2,600)</t>
  </si>
  <si>
    <t>peso 7 semana                                 (3,000-3300)o limpiar</t>
  </si>
  <si>
    <t>Dias Último Camión</t>
  </si>
  <si>
    <t>PIENSO SOBRANTE</t>
  </si>
  <si>
    <t>FECHA</t>
  </si>
  <si>
    <t>Rendimiento</t>
  </si>
  <si>
    <t>UNIDADES SACRIFICADAS</t>
  </si>
  <si>
    <t>Flow Pack</t>
  </si>
  <si>
    <t>%  FP</t>
  </si>
  <si>
    <t>Bajas</t>
  </si>
  <si>
    <t>Decomisos</t>
  </si>
  <si>
    <t>% Decomisos</t>
  </si>
  <si>
    <t>LA NAVA</t>
  </si>
  <si>
    <t>HUELVA</t>
  </si>
  <si>
    <t>COBB</t>
  </si>
  <si>
    <t>ROSS</t>
  </si>
  <si>
    <t>CARTAYA</t>
  </si>
  <si>
    <t/>
  </si>
  <si>
    <t>LOS CORRALES</t>
  </si>
  <si>
    <t>SEVILLA</t>
  </si>
  <si>
    <t>ARACENA</t>
  </si>
  <si>
    <t>SANTA ANA LA REAL</t>
  </si>
  <si>
    <t>ESCACEMA DEL CAMPO</t>
  </si>
  <si>
    <t>FUENTES DE LEÓN</t>
  </si>
  <si>
    <t>BADAJOZ</t>
  </si>
  <si>
    <t>VILLANUEVA DE SAN JUAN</t>
  </si>
  <si>
    <t>NO TIENE DATOS RENDIMIENTOS, SE CARGA COMO ASADOR.</t>
  </si>
  <si>
    <t>NERVA</t>
  </si>
  <si>
    <t>MARTIN DE LA JARA</t>
  </si>
  <si>
    <t>LA PALMA DEL CONDADO</t>
  </si>
  <si>
    <t>ALJARAQUE</t>
  </si>
  <si>
    <t>SAN JUAN DEL PUERTO</t>
  </si>
  <si>
    <t>ALMONTE</t>
  </si>
  <si>
    <t>BOLLULLOS DEL CONDADO</t>
  </si>
  <si>
    <t xml:space="preserve">FUENTE DE LEON </t>
  </si>
  <si>
    <t>EL SAUCEJO</t>
  </si>
  <si>
    <t xml:space="preserve">BARBARA DE CASAS </t>
  </si>
  <si>
    <t>-</t>
  </si>
  <si>
    <t>PEDRERA</t>
  </si>
  <si>
    <t>TOCINA</t>
  </si>
  <si>
    <t xml:space="preserve">ALJARAQUE </t>
  </si>
  <si>
    <t>SAN SILVESTRE DE GUZMAN</t>
  </si>
  <si>
    <t>ALMONASTER LA REAL</t>
  </si>
  <si>
    <t>TRIGUEROS</t>
  </si>
  <si>
    <t xml:space="preserve">EL SAUCEJO </t>
  </si>
  <si>
    <t>VALVERDE DEL CAMINO</t>
  </si>
  <si>
    <t>JEREZ DE LOS CABALLEROS</t>
  </si>
  <si>
    <t>SANTA EUFEMIA</t>
  </si>
  <si>
    <t>CORDOBA</t>
  </si>
  <si>
    <t>CAMPOFRIO</t>
  </si>
  <si>
    <t>CARBONERAS</t>
  </si>
  <si>
    <t>LEPE</t>
  </si>
  <si>
    <t>SEGURA DE LEON</t>
  </si>
  <si>
    <t>RETIRA INAVICO Y GUADAVI.</t>
  </si>
  <si>
    <t>BELLAVISTA</t>
  </si>
  <si>
    <t>LA PUEBLA DE LOS INFANTES</t>
  </si>
  <si>
    <t>MOGUER</t>
  </si>
  <si>
    <t>EL PATRAS</t>
  </si>
  <si>
    <t>MONESTERIO</t>
  </si>
  <si>
    <t>0.838</t>
  </si>
  <si>
    <t>CASTILLO DE LAS GUARDAS</t>
  </si>
  <si>
    <t>VILLAMANRIQUE DE LA CONDESA</t>
  </si>
  <si>
    <t>PILAS</t>
  </si>
  <si>
    <t>VALDEZUFRE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</si>
</sst>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  <numFmt numFmtId="165" formatCode="_-* #,##0.000\ [$€-C0A]_-;\-* #,##0.000\ [$€-C0A]_-;_-* &quot;-&quot;??\ [$€-C0A]_-;_-@_-"/>
    <numFmt numFmtId="166" formatCode="#,##0.000"/>
    <numFmt numFmtId="167" formatCode="0.000"/>
    <numFmt numFmtId="168" formatCode="0.0000"/>
    <numFmt numFmtId="169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9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Arial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3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82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center"/>
    </xf>
    <xf numFmtId="164" fontId="5" fillId="6" borderId="1" xfId="2" applyNumberFormat="1" applyFont="1" applyFill="1" applyBorder="1"/>
    <xf numFmtId="165" fontId="5" fillId="6" borderId="1" xfId="2" applyNumberFormat="1" applyFont="1" applyFill="1" applyBorder="1"/>
    <xf numFmtId="3" fontId="5" fillId="6" borderId="1" xfId="0" applyNumberFormat="1" applyFont="1" applyFill="1" applyBorder="1"/>
    <xf numFmtId="10" fontId="5" fillId="6" borderId="1" xfId="0" applyNumberFormat="1" applyFont="1" applyFill="1" applyBorder="1"/>
    <xf numFmtId="166" fontId="5" fillId="6" borderId="1" xfId="0" applyNumberFormat="1" applyFont="1" applyFill="1" applyBorder="1"/>
    <xf numFmtId="166" fontId="5" fillId="6" borderId="6" xfId="0" applyNumberFormat="1" applyFont="1" applyFill="1" applyBorder="1"/>
    <xf numFmtId="165" fontId="5" fillId="6" borderId="1" xfId="0" applyNumberFormat="1" applyFont="1" applyFill="1" applyBorder="1"/>
    <xf numFmtId="4" fontId="5" fillId="6" borderId="1" xfId="0" applyNumberFormat="1" applyFont="1" applyFill="1" applyBorder="1"/>
    <xf numFmtId="167" fontId="5" fillId="6" borderId="1" xfId="0" applyNumberFormat="1" applyFont="1" applyFill="1" applyBorder="1"/>
    <xf numFmtId="167" fontId="5" fillId="6" borderId="1" xfId="2" applyNumberFormat="1" applyFont="1" applyFill="1" applyBorder="1"/>
    <xf numFmtId="0" fontId="5" fillId="6" borderId="1" xfId="0" applyFont="1" applyFill="1" applyBorder="1" applyAlignment="1">
      <alignment horizontal="center" vertical="center"/>
    </xf>
    <xf numFmtId="3" fontId="5" fillId="6" borderId="1" xfId="0" applyNumberFormat="1" applyFont="1" applyFill="1" applyBorder="1" applyAlignment="1">
      <alignment horizontal="right"/>
    </xf>
    <xf numFmtId="0" fontId="0" fillId="6" borderId="1" xfId="0" applyFill="1" applyBorder="1"/>
    <xf numFmtId="3" fontId="5" fillId="6" borderId="7" xfId="0" applyNumberFormat="1" applyFont="1" applyFill="1" applyBorder="1" applyAlignment="1">
      <alignment horizontal="right"/>
    </xf>
    <xf numFmtId="10" fontId="5" fillId="6" borderId="8" xfId="0" applyNumberFormat="1" applyFont="1" applyFill="1" applyBorder="1" applyAlignment="1">
      <alignment horizontal="right"/>
    </xf>
    <xf numFmtId="0" fontId="5" fillId="6" borderId="3" xfId="0" applyFont="1" applyFill="1" applyBorder="1" applyAlignment="1">
      <alignment horizontal="center" vertical="center"/>
    </xf>
    <xf numFmtId="10" fontId="5" fillId="6" borderId="8" xfId="0" applyNumberFormat="1" applyFont="1" applyFill="1" applyBorder="1"/>
    <xf numFmtId="167" fontId="5" fillId="6" borderId="3" xfId="0" applyNumberFormat="1" applyFont="1" applyFill="1" applyBorder="1"/>
    <xf numFmtId="1" fontId="5" fillId="6" borderId="1" xfId="0" applyNumberFormat="1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0" fontId="5" fillId="6" borderId="6" xfId="0" applyFont="1" applyFill="1" applyBorder="1"/>
    <xf numFmtId="0" fontId="5" fillId="6" borderId="6" xfId="0" applyFont="1" applyFill="1" applyBorder="1" applyAlignment="1">
      <alignment horizontal="left" vertical="top"/>
    </xf>
    <xf numFmtId="0" fontId="5" fillId="6" borderId="6" xfId="0" applyFont="1" applyFill="1" applyBorder="1" applyAlignment="1">
      <alignment horizontal="center"/>
    </xf>
    <xf numFmtId="164" fontId="5" fillId="6" borderId="6" xfId="1" applyNumberFormat="1" applyFont="1" applyFill="1" applyBorder="1"/>
    <xf numFmtId="3" fontId="5" fillId="6" borderId="6" xfId="0" applyNumberFormat="1" applyFont="1" applyFill="1" applyBorder="1"/>
    <xf numFmtId="10" fontId="5" fillId="6" borderId="6" xfId="0" applyNumberFormat="1" applyFont="1" applyFill="1" applyBorder="1"/>
    <xf numFmtId="165" fontId="5" fillId="6" borderId="6" xfId="0" applyNumberFormat="1" applyFont="1" applyFill="1" applyBorder="1"/>
    <xf numFmtId="164" fontId="5" fillId="6" borderId="6" xfId="0" applyNumberFormat="1" applyFont="1" applyFill="1" applyBorder="1"/>
    <xf numFmtId="4" fontId="5" fillId="6" borderId="6" xfId="0" applyNumberFormat="1" applyFont="1" applyFill="1" applyBorder="1"/>
    <xf numFmtId="167" fontId="5" fillId="6" borderId="6" xfId="0" applyNumberFormat="1" applyFont="1" applyFill="1" applyBorder="1"/>
    <xf numFmtId="2" fontId="5" fillId="6" borderId="6" xfId="1" applyNumberFormat="1" applyFont="1" applyFill="1" applyBorder="1"/>
    <xf numFmtId="0" fontId="5" fillId="6" borderId="6" xfId="0" applyFont="1" applyFill="1" applyBorder="1" applyAlignment="1">
      <alignment horizontal="center" vertical="center"/>
    </xf>
    <xf numFmtId="3" fontId="5" fillId="6" borderId="6" xfId="0" applyNumberFormat="1" applyFont="1" applyFill="1" applyBorder="1" applyAlignment="1">
      <alignment horizontal="right"/>
    </xf>
    <xf numFmtId="0" fontId="0" fillId="6" borderId="6" xfId="0" applyFill="1" applyBorder="1"/>
    <xf numFmtId="3" fontId="5" fillId="6" borderId="9" xfId="0" applyNumberFormat="1" applyFont="1" applyFill="1" applyBorder="1" applyAlignment="1">
      <alignment horizontal="right"/>
    </xf>
    <xf numFmtId="10" fontId="5" fillId="6" borderId="10" xfId="0" applyNumberFormat="1" applyFont="1" applyFill="1" applyBorder="1" applyAlignment="1">
      <alignment horizontal="right"/>
    </xf>
    <xf numFmtId="0" fontId="5" fillId="6" borderId="11" xfId="0" applyFont="1" applyFill="1" applyBorder="1" applyAlignment="1">
      <alignment horizontal="center" vertical="center"/>
    </xf>
    <xf numFmtId="3" fontId="5" fillId="6" borderId="9" xfId="0" applyNumberFormat="1" applyFont="1" applyFill="1" applyBorder="1"/>
    <xf numFmtId="10" fontId="5" fillId="6" borderId="10" xfId="0" applyNumberFormat="1" applyFont="1" applyFill="1" applyBorder="1"/>
    <xf numFmtId="167" fontId="5" fillId="6" borderId="11" xfId="0" applyNumberFormat="1" applyFont="1" applyFill="1" applyBorder="1"/>
    <xf numFmtId="1" fontId="5" fillId="6" borderId="6" xfId="0" applyNumberFormat="1" applyFont="1" applyFill="1" applyBorder="1" applyAlignment="1">
      <alignment horizontal="center"/>
    </xf>
    <xf numFmtId="14" fontId="5" fillId="6" borderId="6" xfId="0" applyNumberFormat="1" applyFont="1" applyFill="1" applyBorder="1" applyAlignment="1">
      <alignment horizontal="center"/>
    </xf>
    <xf numFmtId="164" fontId="5" fillId="6" borderId="6" xfId="2" applyNumberFormat="1" applyFont="1" applyFill="1" applyBorder="1"/>
    <xf numFmtId="2" fontId="5" fillId="6" borderId="6" xfId="2" applyNumberFormat="1" applyFont="1" applyFill="1" applyBorder="1"/>
    <xf numFmtId="164" fontId="5" fillId="6" borderId="6" xfId="3" applyNumberFormat="1" applyFont="1" applyFill="1" applyBorder="1"/>
    <xf numFmtId="2" fontId="5" fillId="6" borderId="6" xfId="3" applyNumberFormat="1" applyFont="1" applyFill="1" applyBorder="1"/>
    <xf numFmtId="168" fontId="5" fillId="6" borderId="6" xfId="0" applyNumberFormat="1" applyFont="1" applyFill="1" applyBorder="1"/>
    <xf numFmtId="10" fontId="8" fillId="6" borderId="9" xfId="0" applyNumberFormat="1" applyFont="1" applyFill="1" applyBorder="1" applyAlignment="1">
      <alignment horizontal="right"/>
    </xf>
    <xf numFmtId="14" fontId="8" fillId="6" borderId="6" xfId="0" applyNumberFormat="1" applyFont="1" applyFill="1" applyBorder="1" applyAlignment="1">
      <alignment horizontal="center"/>
    </xf>
    <xf numFmtId="164" fontId="5" fillId="6" borderId="6" xfId="4" applyNumberFormat="1" applyFont="1" applyFill="1" applyBorder="1"/>
    <xf numFmtId="2" fontId="5" fillId="6" borderId="6" xfId="4" applyNumberFormat="1" applyFont="1" applyFill="1" applyBorder="1"/>
    <xf numFmtId="10" fontId="5" fillId="6" borderId="6" xfId="0" applyNumberFormat="1" applyFont="1" applyFill="1" applyBorder="1" applyAlignment="1">
      <alignment horizontal="center"/>
    </xf>
    <xf numFmtId="167" fontId="5" fillId="6" borderId="6" xfId="2" applyNumberFormat="1" applyFont="1" applyFill="1" applyBorder="1"/>
    <xf numFmtId="0" fontId="5" fillId="6" borderId="9" xfId="0" applyFont="1" applyFill="1" applyBorder="1"/>
    <xf numFmtId="0" fontId="5" fillId="6" borderId="6" xfId="0" applyFont="1" applyFill="1" applyBorder="1" applyAlignment="1">
      <alignment horizontal="right"/>
    </xf>
    <xf numFmtId="0" fontId="5" fillId="6" borderId="9" xfId="0" applyFont="1" applyFill="1" applyBorder="1" applyAlignment="1">
      <alignment horizontal="right"/>
    </xf>
    <xf numFmtId="3" fontId="9" fillId="6" borderId="6" xfId="0" applyNumberFormat="1" applyFont="1" applyFill="1" applyBorder="1"/>
    <xf numFmtId="167" fontId="5" fillId="6" borderId="6" xfId="0" applyNumberFormat="1" applyFont="1" applyFill="1" applyBorder="1" applyAlignment="1">
      <alignment horizontal="center"/>
    </xf>
    <xf numFmtId="167" fontId="5" fillId="6" borderId="6" xfId="0" applyNumberFormat="1" applyFont="1" applyFill="1" applyBorder="1" applyAlignment="1">
      <alignment horizontal="right" vertical="center"/>
    </xf>
    <xf numFmtId="167" fontId="5" fillId="6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/>
    <xf numFmtId="0" fontId="5" fillId="7" borderId="6" xfId="0" applyFont="1" applyFill="1" applyBorder="1" applyAlignment="1">
      <alignment horizontal="left" vertical="top"/>
    </xf>
    <xf numFmtId="0" fontId="5" fillId="7" borderId="6" xfId="0" applyFont="1" applyFill="1" applyBorder="1" applyAlignment="1">
      <alignment horizontal="center"/>
    </xf>
    <xf numFmtId="164" fontId="5" fillId="7" borderId="6" xfId="4" applyNumberFormat="1" applyFont="1" applyFill="1" applyBorder="1"/>
    <xf numFmtId="3" fontId="5" fillId="7" borderId="6" xfId="0" applyNumberFormat="1" applyFont="1" applyFill="1" applyBorder="1"/>
    <xf numFmtId="10" fontId="5" fillId="7" borderId="6" xfId="0" applyNumberFormat="1" applyFont="1" applyFill="1" applyBorder="1"/>
    <xf numFmtId="166" fontId="5" fillId="7" borderId="6" xfId="0" applyNumberFormat="1" applyFont="1" applyFill="1" applyBorder="1"/>
    <xf numFmtId="165" fontId="5" fillId="7" borderId="6" xfId="0" applyNumberFormat="1" applyFont="1" applyFill="1" applyBorder="1"/>
    <xf numFmtId="4" fontId="5" fillId="7" borderId="6" xfId="0" applyNumberFormat="1" applyFont="1" applyFill="1" applyBorder="1"/>
    <xf numFmtId="167" fontId="5" fillId="7" borderId="6" xfId="0" applyNumberFormat="1" applyFont="1" applyFill="1" applyBorder="1"/>
    <xf numFmtId="2" fontId="5" fillId="7" borderId="6" xfId="4" applyNumberFormat="1" applyFont="1" applyFill="1" applyBorder="1"/>
    <xf numFmtId="0" fontId="5" fillId="7" borderId="6" xfId="0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right"/>
    </xf>
    <xf numFmtId="3" fontId="5" fillId="7" borderId="9" xfId="0" applyNumberFormat="1" applyFont="1" applyFill="1" applyBorder="1" applyAlignment="1">
      <alignment horizontal="right"/>
    </xf>
    <xf numFmtId="10" fontId="5" fillId="7" borderId="10" xfId="0" applyNumberFormat="1" applyFont="1" applyFill="1" applyBorder="1" applyAlignment="1">
      <alignment horizontal="right"/>
    </xf>
    <xf numFmtId="0" fontId="5" fillId="7" borderId="11" xfId="0" applyFont="1" applyFill="1" applyBorder="1" applyAlignment="1">
      <alignment horizontal="center" vertical="center"/>
    </xf>
    <xf numFmtId="3" fontId="5" fillId="7" borderId="9" xfId="0" applyNumberFormat="1" applyFont="1" applyFill="1" applyBorder="1"/>
    <xf numFmtId="10" fontId="5" fillId="7" borderId="10" xfId="0" applyNumberFormat="1" applyFont="1" applyFill="1" applyBorder="1"/>
    <xf numFmtId="167" fontId="5" fillId="7" borderId="11" xfId="0" applyNumberFormat="1" applyFont="1" applyFill="1" applyBorder="1"/>
    <xf numFmtId="1" fontId="5" fillId="7" borderId="6" xfId="0" applyNumberFormat="1" applyFont="1" applyFill="1" applyBorder="1" applyAlignment="1">
      <alignment horizontal="center"/>
    </xf>
    <xf numFmtId="14" fontId="5" fillId="7" borderId="6" xfId="0" applyNumberFormat="1" applyFont="1" applyFill="1" applyBorder="1" applyAlignment="1">
      <alignment horizontal="center"/>
    </xf>
    <xf numFmtId="164" fontId="5" fillId="7" borderId="6" xfId="3" applyNumberFormat="1" applyFont="1" applyFill="1" applyBorder="1"/>
    <xf numFmtId="2" fontId="5" fillId="7" borderId="6" xfId="3" applyNumberFormat="1" applyFont="1" applyFill="1" applyBorder="1"/>
    <xf numFmtId="168" fontId="5" fillId="7" borderId="6" xfId="0" applyNumberFormat="1" applyFont="1" applyFill="1" applyBorder="1"/>
    <xf numFmtId="167" fontId="5" fillId="7" borderId="6" xfId="0" applyNumberFormat="1" applyFont="1" applyFill="1" applyBorder="1" applyAlignment="1">
      <alignment horizontal="center" vertical="center"/>
    </xf>
    <xf numFmtId="14" fontId="8" fillId="7" borderId="6" xfId="0" applyNumberFormat="1" applyFont="1" applyFill="1" applyBorder="1" applyAlignment="1">
      <alignment horizontal="center"/>
    </xf>
    <xf numFmtId="164" fontId="5" fillId="7" borderId="6" xfId="1" applyNumberFormat="1" applyFont="1" applyFill="1" applyBorder="1"/>
    <xf numFmtId="164" fontId="5" fillId="7" borderId="6" xfId="0" applyNumberFormat="1" applyFont="1" applyFill="1" applyBorder="1"/>
    <xf numFmtId="2" fontId="5" fillId="7" borderId="6" xfId="1" applyNumberFormat="1" applyFont="1" applyFill="1" applyBorder="1"/>
    <xf numFmtId="164" fontId="5" fillId="7" borderId="6" xfId="2" applyNumberFormat="1" applyFont="1" applyFill="1" applyBorder="1"/>
    <xf numFmtId="2" fontId="5" fillId="7" borderId="6" xfId="2" applyNumberFormat="1" applyFont="1" applyFill="1" applyBorder="1"/>
    <xf numFmtId="0" fontId="0" fillId="7" borderId="6" xfId="0" applyFill="1" applyBorder="1"/>
    <xf numFmtId="0" fontId="5" fillId="7" borderId="9" xfId="0" applyFont="1" applyFill="1" applyBorder="1"/>
    <xf numFmtId="167" fontId="5" fillId="7" borderId="6" xfId="2" applyNumberFormat="1" applyFont="1" applyFill="1" applyBorder="1"/>
    <xf numFmtId="167" fontId="5" fillId="7" borderId="6" xfId="0" applyNumberFormat="1" applyFont="1" applyFill="1" applyBorder="1" applyAlignment="1">
      <alignment horizontal="right" vertical="center"/>
    </xf>
    <xf numFmtId="167" fontId="5" fillId="7" borderId="6" xfId="0" applyNumberFormat="1" applyFont="1" applyFill="1" applyBorder="1" applyAlignment="1">
      <alignment horizontal="right"/>
    </xf>
    <xf numFmtId="10" fontId="5" fillId="7" borderId="6" xfId="0" applyNumberFormat="1" applyFont="1" applyFill="1" applyBorder="1" applyAlignment="1">
      <alignment horizontal="center"/>
    </xf>
    <xf numFmtId="0" fontId="5" fillId="7" borderId="6" xfId="0" applyFont="1" applyFill="1" applyBorder="1" applyAlignment="1">
      <alignment horizontal="right"/>
    </xf>
    <xf numFmtId="0" fontId="5" fillId="7" borderId="9" xfId="0" applyFont="1" applyFill="1" applyBorder="1" applyAlignment="1">
      <alignment horizontal="right"/>
    </xf>
    <xf numFmtId="10" fontId="8" fillId="7" borderId="9" xfId="0" applyNumberFormat="1" applyFont="1" applyFill="1" applyBorder="1" applyAlignment="1">
      <alignment horizontal="right"/>
    </xf>
    <xf numFmtId="167" fontId="5" fillId="7" borderId="6" xfId="0" applyNumberFormat="1" applyFont="1" applyFill="1" applyBorder="1" applyAlignment="1">
      <alignment horizontal="center"/>
    </xf>
    <xf numFmtId="0" fontId="5" fillId="8" borderId="6" xfId="0" applyFont="1" applyFill="1" applyBorder="1"/>
    <xf numFmtId="0" fontId="5" fillId="8" borderId="6" xfId="0" applyFont="1" applyFill="1" applyBorder="1" applyAlignment="1">
      <alignment horizontal="left" vertical="top"/>
    </xf>
    <xf numFmtId="0" fontId="5" fillId="8" borderId="6" xfId="0" applyFont="1" applyFill="1" applyBorder="1" applyAlignment="1">
      <alignment horizontal="center"/>
    </xf>
    <xf numFmtId="164" fontId="5" fillId="8" borderId="6" xfId="3" applyNumberFormat="1" applyFont="1" applyFill="1" applyBorder="1"/>
    <xf numFmtId="3" fontId="5" fillId="8" borderId="6" xfId="0" applyNumberFormat="1" applyFont="1" applyFill="1" applyBorder="1"/>
    <xf numFmtId="10" fontId="5" fillId="8" borderId="6" xfId="0" applyNumberFormat="1" applyFont="1" applyFill="1" applyBorder="1"/>
    <xf numFmtId="166" fontId="5" fillId="8" borderId="6" xfId="0" applyNumberFormat="1" applyFont="1" applyFill="1" applyBorder="1"/>
    <xf numFmtId="165" fontId="5" fillId="8" borderId="6" xfId="0" applyNumberFormat="1" applyFont="1" applyFill="1" applyBorder="1"/>
    <xf numFmtId="4" fontId="5" fillId="8" borderId="6" xfId="0" applyNumberFormat="1" applyFont="1" applyFill="1" applyBorder="1"/>
    <xf numFmtId="167" fontId="5" fillId="8" borderId="6" xfId="0" applyNumberFormat="1" applyFont="1" applyFill="1" applyBorder="1"/>
    <xf numFmtId="2" fontId="5" fillId="8" borderId="6" xfId="3" applyNumberFormat="1" applyFont="1" applyFill="1" applyBorder="1"/>
    <xf numFmtId="168" fontId="5" fillId="8" borderId="6" xfId="0" applyNumberFormat="1" applyFont="1" applyFill="1" applyBorder="1"/>
    <xf numFmtId="0" fontId="5" fillId="8" borderId="6" xfId="0" applyFont="1" applyFill="1" applyBorder="1" applyAlignment="1">
      <alignment horizontal="center" vertical="center"/>
    </xf>
    <xf numFmtId="3" fontId="5" fillId="8" borderId="6" xfId="0" applyNumberFormat="1" applyFont="1" applyFill="1" applyBorder="1" applyAlignment="1">
      <alignment horizontal="right"/>
    </xf>
    <xf numFmtId="3" fontId="5" fillId="8" borderId="9" xfId="0" applyNumberFormat="1" applyFont="1" applyFill="1" applyBorder="1" applyAlignment="1">
      <alignment horizontal="right"/>
    </xf>
    <xf numFmtId="10" fontId="5" fillId="8" borderId="10" xfId="0" applyNumberFormat="1" applyFont="1" applyFill="1" applyBorder="1" applyAlignment="1">
      <alignment horizontal="right"/>
    </xf>
    <xf numFmtId="0" fontId="5" fillId="8" borderId="11" xfId="0" applyFont="1" applyFill="1" applyBorder="1" applyAlignment="1">
      <alignment horizontal="center" vertical="center"/>
    </xf>
    <xf numFmtId="3" fontId="5" fillId="8" borderId="9" xfId="0" applyNumberFormat="1" applyFont="1" applyFill="1" applyBorder="1"/>
    <xf numFmtId="10" fontId="5" fillId="8" borderId="10" xfId="0" applyNumberFormat="1" applyFont="1" applyFill="1" applyBorder="1"/>
    <xf numFmtId="167" fontId="5" fillId="8" borderId="11" xfId="0" applyNumberFormat="1" applyFont="1" applyFill="1" applyBorder="1"/>
    <xf numFmtId="1" fontId="5" fillId="8" borderId="6" xfId="0" applyNumberFormat="1" applyFont="1" applyFill="1" applyBorder="1" applyAlignment="1">
      <alignment horizontal="center"/>
    </xf>
    <xf numFmtId="167" fontId="5" fillId="8" borderId="6" xfId="0" applyNumberFormat="1" applyFont="1" applyFill="1" applyBorder="1" applyAlignment="1">
      <alignment horizontal="right" vertical="center"/>
    </xf>
    <xf numFmtId="14" fontId="8" fillId="8" borderId="6" xfId="0" applyNumberFormat="1" applyFont="1" applyFill="1" applyBorder="1" applyAlignment="1">
      <alignment horizontal="center"/>
    </xf>
    <xf numFmtId="10" fontId="8" fillId="8" borderId="9" xfId="0" applyNumberFormat="1" applyFont="1" applyFill="1" applyBorder="1" applyAlignment="1">
      <alignment horizontal="right"/>
    </xf>
    <xf numFmtId="164" fontId="5" fillId="8" borderId="6" xfId="2" applyNumberFormat="1" applyFont="1" applyFill="1" applyBorder="1"/>
    <xf numFmtId="2" fontId="5" fillId="8" borderId="6" xfId="2" applyNumberFormat="1" applyFont="1" applyFill="1" applyBorder="1"/>
    <xf numFmtId="0" fontId="0" fillId="8" borderId="6" xfId="0" applyFill="1" applyBorder="1"/>
    <xf numFmtId="14" fontId="5" fillId="8" borderId="6" xfId="0" applyNumberFormat="1" applyFont="1" applyFill="1" applyBorder="1" applyAlignment="1">
      <alignment horizontal="center"/>
    </xf>
    <xf numFmtId="164" fontId="5" fillId="8" borderId="6" xfId="1" applyNumberFormat="1" applyFont="1" applyFill="1" applyBorder="1"/>
    <xf numFmtId="164" fontId="5" fillId="8" borderId="6" xfId="0" applyNumberFormat="1" applyFont="1" applyFill="1" applyBorder="1"/>
    <xf numFmtId="2" fontId="5" fillId="8" borderId="6" xfId="1" applyNumberFormat="1" applyFont="1" applyFill="1" applyBorder="1"/>
    <xf numFmtId="167" fontId="5" fillId="8" borderId="6" xfId="0" applyNumberFormat="1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/>
    </xf>
    <xf numFmtId="0" fontId="5" fillId="8" borderId="9" xfId="0" applyFont="1" applyFill="1" applyBorder="1" applyAlignment="1">
      <alignment horizontal="right"/>
    </xf>
    <xf numFmtId="0" fontId="5" fillId="8" borderId="9" xfId="0" applyFont="1" applyFill="1" applyBorder="1"/>
    <xf numFmtId="167" fontId="5" fillId="8" borderId="6" xfId="2" applyNumberFormat="1" applyFont="1" applyFill="1" applyBorder="1"/>
    <xf numFmtId="3" fontId="9" fillId="8" borderId="6" xfId="0" applyNumberFormat="1" applyFont="1" applyFill="1" applyBorder="1"/>
    <xf numFmtId="164" fontId="5" fillId="8" borderId="6" xfId="4" applyNumberFormat="1" applyFont="1" applyFill="1" applyBorder="1"/>
    <xf numFmtId="2" fontId="5" fillId="8" borderId="6" xfId="4" applyNumberFormat="1" applyFont="1" applyFill="1" applyBorder="1"/>
    <xf numFmtId="167" fontId="5" fillId="8" borderId="6" xfId="0" applyNumberFormat="1" applyFont="1" applyFill="1" applyBorder="1" applyAlignment="1">
      <alignment horizontal="center"/>
    </xf>
    <xf numFmtId="169" fontId="5" fillId="8" borderId="6" xfId="1" applyNumberFormat="1" applyFont="1" applyFill="1" applyBorder="1"/>
    <xf numFmtId="0" fontId="5" fillId="8" borderId="12" xfId="0" applyFont="1" applyFill="1" applyBorder="1"/>
    <xf numFmtId="0" fontId="5" fillId="8" borderId="12" xfId="0" applyFont="1" applyFill="1" applyBorder="1" applyAlignment="1">
      <alignment horizontal="left" vertical="top"/>
    </xf>
    <xf numFmtId="0" fontId="5" fillId="8" borderId="12" xfId="0" applyFont="1" applyFill="1" applyBorder="1" applyAlignment="1">
      <alignment horizontal="center"/>
    </xf>
    <xf numFmtId="164" fontId="5" fillId="8" borderId="12" xfId="3" applyNumberFormat="1" applyFont="1" applyFill="1" applyBorder="1"/>
    <xf numFmtId="3" fontId="5" fillId="8" borderId="12" xfId="0" applyNumberFormat="1" applyFont="1" applyFill="1" applyBorder="1"/>
    <xf numFmtId="10" fontId="5" fillId="8" borderId="12" xfId="0" applyNumberFormat="1" applyFont="1" applyFill="1" applyBorder="1"/>
    <xf numFmtId="166" fontId="5" fillId="8" borderId="12" xfId="0" applyNumberFormat="1" applyFont="1" applyFill="1" applyBorder="1"/>
    <xf numFmtId="165" fontId="5" fillId="8" borderId="12" xfId="0" applyNumberFormat="1" applyFont="1" applyFill="1" applyBorder="1"/>
    <xf numFmtId="4" fontId="5" fillId="8" borderId="12" xfId="0" applyNumberFormat="1" applyFont="1" applyFill="1" applyBorder="1"/>
    <xf numFmtId="167" fontId="5" fillId="8" borderId="12" xfId="0" applyNumberFormat="1" applyFont="1" applyFill="1" applyBorder="1"/>
    <xf numFmtId="2" fontId="5" fillId="8" borderId="12" xfId="3" applyNumberFormat="1" applyFont="1" applyFill="1" applyBorder="1"/>
    <xf numFmtId="168" fontId="5" fillId="8" borderId="12" xfId="0" applyNumberFormat="1" applyFont="1" applyFill="1" applyBorder="1"/>
    <xf numFmtId="0" fontId="5" fillId="8" borderId="12" xfId="0" applyFont="1" applyFill="1" applyBorder="1" applyAlignment="1">
      <alignment horizontal="center" vertical="center"/>
    </xf>
    <xf numFmtId="3" fontId="5" fillId="8" borderId="12" xfId="0" applyNumberFormat="1" applyFont="1" applyFill="1" applyBorder="1" applyAlignment="1">
      <alignment horizontal="right"/>
    </xf>
    <xf numFmtId="3" fontId="5" fillId="8" borderId="13" xfId="0" applyNumberFormat="1" applyFont="1" applyFill="1" applyBorder="1"/>
    <xf numFmtId="10" fontId="5" fillId="8" borderId="14" xfId="0" applyNumberFormat="1" applyFont="1" applyFill="1" applyBorder="1" applyAlignment="1">
      <alignment horizontal="right"/>
    </xf>
    <xf numFmtId="0" fontId="5" fillId="8" borderId="15" xfId="0" applyFont="1" applyFill="1" applyBorder="1" applyAlignment="1">
      <alignment horizontal="center" vertical="center"/>
    </xf>
    <xf numFmtId="10" fontId="5" fillId="8" borderId="14" xfId="0" applyNumberFormat="1" applyFont="1" applyFill="1" applyBorder="1"/>
    <xf numFmtId="167" fontId="5" fillId="8" borderId="15" xfId="0" applyNumberFormat="1" applyFont="1" applyFill="1" applyBorder="1"/>
    <xf numFmtId="1" fontId="5" fillId="8" borderId="12" xfId="0" applyNumberFormat="1" applyFont="1" applyFill="1" applyBorder="1" applyAlignment="1">
      <alignment horizontal="center"/>
    </xf>
    <xf numFmtId="14" fontId="8" fillId="8" borderId="12" xfId="0" applyNumberFormat="1" applyFont="1" applyFill="1" applyBorder="1" applyAlignment="1">
      <alignment horizontal="center"/>
    </xf>
  </cellXfs>
  <cellStyles count="5">
    <cellStyle name="Moneda" xfId="1" builtinId="4"/>
    <cellStyle name="Moneda 2" xfId="2"/>
    <cellStyle name="Moneda 5" xfId="4"/>
    <cellStyle name="Moneda 6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25"/>
  <sheetViews>
    <sheetView tabSelected="1" topLeftCell="A268" workbookViewId="0">
      <selection activeCell="O8" sqref="O8"/>
    </sheetView>
  </sheetViews>
  <sheetFormatPr baseColWidth="10" defaultColWidth="9.140625" defaultRowHeight="15" x14ac:dyDescent="0.25"/>
  <cols>
    <col min="1" max="1" width="26.140625" bestFit="1" customWidth="1"/>
    <col min="2" max="2" width="9.5703125" bestFit="1" customWidth="1"/>
    <col min="3" max="3" width="9.28515625" bestFit="1" customWidth="1"/>
    <col min="4" max="4" width="10.42578125" bestFit="1" customWidth="1"/>
    <col min="5" max="5" width="11.42578125" bestFit="1" customWidth="1"/>
    <col min="6" max="6" width="9.42578125" bestFit="1" customWidth="1"/>
    <col min="7" max="7" width="8" bestFit="1" customWidth="1"/>
    <col min="8" max="8" width="8.42578125" bestFit="1" customWidth="1"/>
    <col min="9" max="9" width="8.7109375" bestFit="1" customWidth="1"/>
    <col min="10" max="10" width="8.5703125" bestFit="1" customWidth="1"/>
    <col min="11" max="12" width="7.42578125" bestFit="1" customWidth="1"/>
    <col min="13" max="13" width="7.28515625" bestFit="1" customWidth="1"/>
    <col min="14" max="14" width="9" bestFit="1" customWidth="1"/>
    <col min="15" max="15" width="5.42578125" bestFit="1" customWidth="1"/>
    <col min="16" max="16" width="9.28515625" bestFit="1" customWidth="1"/>
    <col min="17" max="17" width="9.42578125" bestFit="1" customWidth="1"/>
    <col min="19" max="20" width="9" bestFit="1" customWidth="1"/>
    <col min="21" max="21" width="9.28515625" bestFit="1" customWidth="1"/>
    <col min="23" max="24" width="7.85546875" bestFit="1" customWidth="1"/>
    <col min="26" max="26" width="9" bestFit="1" customWidth="1"/>
    <col min="27" max="27" width="7.85546875" bestFit="1" customWidth="1"/>
    <col min="32" max="32" width="7.5703125" bestFit="1" customWidth="1"/>
    <col min="33" max="34" width="7.42578125" bestFit="1" customWidth="1"/>
    <col min="35" max="37" width="6.42578125" bestFit="1" customWidth="1"/>
    <col min="38" max="38" width="9" bestFit="1" customWidth="1"/>
    <col min="39" max="39" width="6.42578125" bestFit="1" customWidth="1"/>
    <col min="40" max="40" width="8.7109375" bestFit="1" customWidth="1"/>
    <col min="41" max="41" width="8.42578125" bestFit="1" customWidth="1"/>
    <col min="42" max="42" width="7.5703125" bestFit="1" customWidth="1"/>
    <col min="43" max="43" width="6.42578125" bestFit="1" customWidth="1"/>
    <col min="44" max="44" width="6" bestFit="1" customWidth="1"/>
    <col min="45" max="45" width="6.85546875" bestFit="1" customWidth="1"/>
    <col min="46" max="54" width="6.42578125" bestFit="1" customWidth="1"/>
    <col min="55" max="56" width="6.85546875" bestFit="1" customWidth="1"/>
    <col min="57" max="57" width="8.85546875" bestFit="1" customWidth="1"/>
    <col min="58" max="58" width="6.42578125" bestFit="1" customWidth="1"/>
    <col min="59" max="59" width="9.42578125" bestFit="1" customWidth="1"/>
    <col min="60" max="63" width="8.42578125" bestFit="1" customWidth="1"/>
    <col min="64" max="64" width="7.140625" bestFit="1" customWidth="1"/>
    <col min="65" max="65" width="8.7109375" bestFit="1" customWidth="1"/>
    <col min="66" max="71" width="8.5703125" bestFit="1" customWidth="1"/>
    <col min="72" max="72" width="8.42578125" bestFit="1" customWidth="1"/>
    <col min="73" max="73" width="9" bestFit="1" customWidth="1"/>
    <col min="74" max="74" width="10.7109375" bestFit="1" customWidth="1"/>
    <col min="75" max="75" width="47.85546875" bestFit="1" customWidth="1"/>
    <col min="76" max="76" width="9.28515625" bestFit="1" customWidth="1"/>
    <col min="77" max="77" width="6.42578125" bestFit="1" customWidth="1"/>
    <col min="78" max="78" width="6.7109375" bestFit="1" customWidth="1"/>
    <col min="79" max="79" width="6.42578125" bestFit="1" customWidth="1"/>
    <col min="80" max="80" width="9" bestFit="1" customWidth="1"/>
    <col min="81" max="81" width="8.42578125" bestFit="1" customWidth="1"/>
    <col min="82" max="82" width="9" bestFit="1" customWidth="1"/>
  </cols>
  <sheetData>
    <row r="1" spans="1:82" ht="91.5" thickTop="1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  <c r="P1" s="7" t="s">
        <v>15</v>
      </c>
      <c r="Q1" s="7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9" t="s">
        <v>33</v>
      </c>
      <c r="AI1" s="9" t="s">
        <v>34</v>
      </c>
      <c r="AJ1" s="6" t="s">
        <v>35</v>
      </c>
      <c r="AK1" s="6" t="s">
        <v>36</v>
      </c>
      <c r="AL1" s="10" t="s">
        <v>37</v>
      </c>
      <c r="AM1" s="9" t="s">
        <v>38</v>
      </c>
      <c r="AN1" s="11" t="s">
        <v>39</v>
      </c>
      <c r="AO1" s="6" t="s">
        <v>40</v>
      </c>
      <c r="AP1" s="6" t="s">
        <v>31</v>
      </c>
      <c r="AQ1" s="6" t="s">
        <v>41</v>
      </c>
      <c r="AR1" s="6" t="s">
        <v>42</v>
      </c>
      <c r="AS1" s="6" t="s">
        <v>43</v>
      </c>
      <c r="AT1" s="6" t="s">
        <v>44</v>
      </c>
      <c r="AU1" s="9" t="s">
        <v>45</v>
      </c>
      <c r="AV1" s="6" t="s">
        <v>46</v>
      </c>
      <c r="AW1" s="6" t="s">
        <v>47</v>
      </c>
      <c r="AX1" s="6" t="s">
        <v>48</v>
      </c>
      <c r="AY1" s="9" t="s">
        <v>49</v>
      </c>
      <c r="AZ1" s="6" t="s">
        <v>50</v>
      </c>
      <c r="BA1" s="6" t="s">
        <v>51</v>
      </c>
      <c r="BB1" s="9" t="s">
        <v>52</v>
      </c>
      <c r="BC1" s="6" t="s">
        <v>53</v>
      </c>
      <c r="BD1" s="6" t="s">
        <v>54</v>
      </c>
      <c r="BE1" s="9" t="s">
        <v>55</v>
      </c>
      <c r="BF1" s="9" t="s">
        <v>56</v>
      </c>
      <c r="BG1" s="9" t="s">
        <v>57</v>
      </c>
      <c r="BH1" s="9" t="s">
        <v>58</v>
      </c>
      <c r="BI1" s="5" t="s">
        <v>40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12" t="s">
        <v>71</v>
      </c>
      <c r="BW1" s="13" t="s">
        <v>72</v>
      </c>
      <c r="BX1" s="14" t="s">
        <v>73</v>
      </c>
      <c r="BY1" s="15" t="s">
        <v>74</v>
      </c>
      <c r="BZ1" s="15" t="s">
        <v>75</v>
      </c>
      <c r="CA1" s="15" t="s">
        <v>76</v>
      </c>
      <c r="CB1" s="15" t="s">
        <v>77</v>
      </c>
      <c r="CC1" s="15" t="s">
        <v>7</v>
      </c>
      <c r="CD1" s="15" t="s">
        <v>78</v>
      </c>
    </row>
    <row r="2" spans="1:82" x14ac:dyDescent="0.25">
      <c r="A2" s="16" t="s">
        <v>79</v>
      </c>
      <c r="B2" s="17" t="s">
        <v>80</v>
      </c>
      <c r="C2" s="18">
        <v>860</v>
      </c>
      <c r="D2" s="19">
        <v>2412.3319999999999</v>
      </c>
      <c r="E2" s="20">
        <v>1106.08834</v>
      </c>
      <c r="F2" s="21">
        <v>39900</v>
      </c>
      <c r="G2" s="21">
        <v>31508</v>
      </c>
      <c r="H2" s="22">
        <f>IF(F2=0,0,+((F2-G2)/F2))</f>
        <v>0.21032581453634086</v>
      </c>
      <c r="I2" s="16">
        <v>381</v>
      </c>
      <c r="J2" s="22">
        <f>+(I2/F2)</f>
        <v>9.5488721804511279E-3</v>
      </c>
      <c r="K2" s="21">
        <v>82910</v>
      </c>
      <c r="L2" s="21">
        <v>228780</v>
      </c>
      <c r="M2" s="23">
        <f>IF(G2=0,0,+K2/G2)</f>
        <v>2.631395201218738</v>
      </c>
      <c r="N2" s="23">
        <f>IF(K2=0,0,+L2/K2)</f>
        <v>2.7593776384030875</v>
      </c>
      <c r="O2" s="24">
        <f>+L2/((G2-CA2-CB2)*M2)</f>
        <v>3.1257404505052846</v>
      </c>
      <c r="P2" s="25">
        <f>IF(G2=0,0,+E2/G2)</f>
        <v>3.5104999999999997E-2</v>
      </c>
      <c r="Q2" s="25">
        <f>IF(G2=0,0,+D2/G2)</f>
        <v>7.6562523803478472E-2</v>
      </c>
      <c r="R2" s="21">
        <v>3600</v>
      </c>
      <c r="S2" s="25">
        <f>IF(R2=0,0,+E2/R2)</f>
        <v>0.3072467611111111</v>
      </c>
      <c r="T2" s="23">
        <f>IF(R2=0,0,+F2/R2)</f>
        <v>11.083333333333334</v>
      </c>
      <c r="U2" s="23">
        <f>IF(L2=0,0,+L2/G2)</f>
        <v>7.2610130760441791</v>
      </c>
      <c r="V2" s="26">
        <v>49.8</v>
      </c>
      <c r="W2" s="21"/>
      <c r="X2" s="23"/>
      <c r="Y2" s="21"/>
      <c r="Z2" s="27">
        <f>IF(V2=0,0,+M2/V2)</f>
        <v>5.2839261068649362E-2</v>
      </c>
      <c r="AA2" s="28" t="str">
        <f>IF(W2=0,"",+X2/W2)</f>
        <v/>
      </c>
      <c r="AB2" s="27">
        <v>0.30676691729323308</v>
      </c>
      <c r="AC2" s="27">
        <v>1.3223057644110277</v>
      </c>
      <c r="AD2" s="27">
        <v>2.0411027568922306</v>
      </c>
      <c r="AE2" s="27">
        <v>2.0636591478696742</v>
      </c>
      <c r="AF2" s="29" t="s">
        <v>81</v>
      </c>
      <c r="AG2" s="30"/>
      <c r="AH2" s="30"/>
      <c r="AI2" s="30"/>
      <c r="AJ2" s="30"/>
      <c r="AK2" s="30"/>
      <c r="AL2" s="31"/>
      <c r="AM2" s="30"/>
      <c r="AN2" s="32"/>
      <c r="AO2" s="33">
        <f t="shared" ref="AO2:AO65" si="0">+(AN2+AM2+AL2+AK2+AJ2+AI2+AH2+AG2)/F2</f>
        <v>0</v>
      </c>
      <c r="AP2" s="34" t="s">
        <v>82</v>
      </c>
      <c r="AQ2" s="30"/>
      <c r="AR2" s="21"/>
      <c r="AS2" s="21"/>
      <c r="AT2" s="21"/>
      <c r="AU2" s="30"/>
      <c r="AV2" s="21"/>
      <c r="AW2" s="31"/>
      <c r="AX2" s="21"/>
      <c r="AY2" s="30"/>
      <c r="AZ2" s="21"/>
      <c r="BA2" s="21">
        <v>17300</v>
      </c>
      <c r="BB2" s="21"/>
      <c r="BC2" s="21"/>
      <c r="BD2" s="21"/>
      <c r="BE2" s="21">
        <v>22600</v>
      </c>
      <c r="BF2" s="30"/>
      <c r="BG2" s="21"/>
      <c r="BH2" s="32"/>
      <c r="BI2" s="35">
        <f t="shared" ref="BI2:BI65" si="1">+(BH2+BG2+BF2+BE2+BD2+BC2+BB2+BA2+AZ2+AY2+AX2+AW2+AV2+AU2+AT2+AS2+AR2+AQ2)/F2</f>
        <v>1</v>
      </c>
      <c r="BJ2" s="36">
        <v>2.5750000000000002</v>
      </c>
      <c r="BK2" s="37">
        <v>48</v>
      </c>
      <c r="BL2" s="27">
        <v>4.2500000000000003E-2</v>
      </c>
      <c r="BM2" s="27">
        <v>0.16689999999999999</v>
      </c>
      <c r="BN2" s="27">
        <v>0.42699999999999999</v>
      </c>
      <c r="BO2" s="27">
        <v>0.91500000000000004</v>
      </c>
      <c r="BP2" s="27">
        <v>1.2184999999999999</v>
      </c>
      <c r="BQ2" s="27">
        <v>1.7050000000000001</v>
      </c>
      <c r="BR2" s="27"/>
      <c r="BS2" s="27">
        <v>2.794</v>
      </c>
      <c r="BT2" s="18">
        <v>52</v>
      </c>
      <c r="BU2" s="21"/>
      <c r="BV2" s="38">
        <v>42142</v>
      </c>
      <c r="BW2" s="22">
        <v>0.61875982105410321</v>
      </c>
      <c r="BX2" s="21">
        <v>69892</v>
      </c>
      <c r="BY2" s="21">
        <v>4328</v>
      </c>
      <c r="BZ2" s="22">
        <v>6.1924111486293135E-2</v>
      </c>
      <c r="CA2" s="21">
        <v>188</v>
      </c>
      <c r="CB2" s="21">
        <v>3505</v>
      </c>
      <c r="CC2" s="22">
        <v>2.6898643621587593E-3</v>
      </c>
      <c r="CD2" s="22">
        <v>5.0148801007268359E-2</v>
      </c>
    </row>
    <row r="3" spans="1:82" x14ac:dyDescent="0.25">
      <c r="A3" s="39" t="s">
        <v>83</v>
      </c>
      <c r="B3" s="40" t="s">
        <v>80</v>
      </c>
      <c r="C3" s="41">
        <v>870</v>
      </c>
      <c r="D3" s="42">
        <v>841.52</v>
      </c>
      <c r="E3" s="42">
        <v>772.31</v>
      </c>
      <c r="F3" s="43">
        <v>27900</v>
      </c>
      <c r="G3" s="43">
        <v>22000</v>
      </c>
      <c r="H3" s="44">
        <v>0.21146953405017921</v>
      </c>
      <c r="I3" s="39">
        <v>1214</v>
      </c>
      <c r="J3" s="44">
        <v>4.3512544802867384E-2</v>
      </c>
      <c r="K3" s="43">
        <v>59060</v>
      </c>
      <c r="L3" s="43">
        <v>141870</v>
      </c>
      <c r="M3" s="24">
        <v>2.6845454545454546</v>
      </c>
      <c r="N3" s="24">
        <v>2.4021334236369793</v>
      </c>
      <c r="O3" s="24">
        <f>+L3/((G3-CA3-CB3)*M3)</f>
        <v>2.5173598494742793</v>
      </c>
      <c r="P3" s="45">
        <v>3.5104999999999997E-2</v>
      </c>
      <c r="Q3" s="45">
        <v>3.8250909090909092E-2</v>
      </c>
      <c r="R3" s="43">
        <v>2500</v>
      </c>
      <c r="S3" s="46">
        <v>0.30892399999999998</v>
      </c>
      <c r="T3" s="24">
        <v>11.16</v>
      </c>
      <c r="U3" s="24">
        <v>6.4486363636363633</v>
      </c>
      <c r="V3" s="47">
        <v>47.72</v>
      </c>
      <c r="W3" s="43"/>
      <c r="X3" s="24"/>
      <c r="Y3" s="43"/>
      <c r="Z3" s="48">
        <v>5.6256191419644899E-2</v>
      </c>
      <c r="AA3" s="49" t="s">
        <v>84</v>
      </c>
      <c r="AB3" s="48">
        <v>0.29399999999999998</v>
      </c>
      <c r="AC3" s="48">
        <v>1.478</v>
      </c>
      <c r="AD3" s="48">
        <v>2.2970000000000002</v>
      </c>
      <c r="AE3" s="48">
        <v>1.0149999999999999</v>
      </c>
      <c r="AF3" s="50" t="s">
        <v>81</v>
      </c>
      <c r="AG3" s="51"/>
      <c r="AH3" s="51"/>
      <c r="AI3" s="51"/>
      <c r="AJ3" s="51"/>
      <c r="AK3" s="51"/>
      <c r="AL3" s="52"/>
      <c r="AM3" s="51"/>
      <c r="AN3" s="53"/>
      <c r="AO3" s="54">
        <f t="shared" si="0"/>
        <v>0</v>
      </c>
      <c r="AP3" s="55" t="s">
        <v>82</v>
      </c>
      <c r="AQ3" s="51"/>
      <c r="AR3" s="43"/>
      <c r="AS3" s="43"/>
      <c r="AT3" s="43"/>
      <c r="AU3" s="43"/>
      <c r="AV3" s="43"/>
      <c r="AW3" s="52"/>
      <c r="AX3" s="43"/>
      <c r="AY3" s="43"/>
      <c r="AZ3" s="43"/>
      <c r="BA3" s="43"/>
      <c r="BB3" s="43"/>
      <c r="BC3" s="43"/>
      <c r="BD3" s="43"/>
      <c r="BE3" s="43">
        <f>15900+12000</f>
        <v>27900</v>
      </c>
      <c r="BF3" s="43"/>
      <c r="BG3" s="43"/>
      <c r="BH3" s="56"/>
      <c r="BI3" s="57">
        <f t="shared" si="1"/>
        <v>1</v>
      </c>
      <c r="BJ3" s="58">
        <v>2.665</v>
      </c>
      <c r="BK3" s="59">
        <v>47</v>
      </c>
      <c r="BL3" s="48">
        <v>0.04</v>
      </c>
      <c r="BM3" s="48">
        <v>0.17799999999999999</v>
      </c>
      <c r="BN3" s="48"/>
      <c r="BO3" s="48">
        <v>0.82</v>
      </c>
      <c r="BP3" s="48">
        <v>1.29</v>
      </c>
      <c r="BQ3" s="48">
        <v>1.8</v>
      </c>
      <c r="BR3" s="48"/>
      <c r="BS3" s="48">
        <v>2.694</v>
      </c>
      <c r="BT3" s="41">
        <v>48</v>
      </c>
      <c r="BU3" s="43"/>
      <c r="BV3" s="60">
        <v>42107</v>
      </c>
      <c r="BW3" s="44">
        <f>39070.4/59060</f>
        <v>0.66153741957331524</v>
      </c>
      <c r="BX3" s="43">
        <v>20856</v>
      </c>
      <c r="BY3" s="43">
        <f>2800+6432</f>
        <v>9232</v>
      </c>
      <c r="BZ3" s="44">
        <f>+BY3/BX3</f>
        <v>0.4426543920214806</v>
      </c>
      <c r="CA3" s="43">
        <f>135+277</f>
        <v>412</v>
      </c>
      <c r="CB3" s="43">
        <f>117+478</f>
        <v>595</v>
      </c>
      <c r="CC3" s="44">
        <f>+CA3/G3</f>
        <v>1.8727272727272728E-2</v>
      </c>
      <c r="CD3" s="44">
        <f>+CB3/G3</f>
        <v>2.7045454545454546E-2</v>
      </c>
    </row>
    <row r="4" spans="1:82" x14ac:dyDescent="0.25">
      <c r="A4" s="39" t="s">
        <v>85</v>
      </c>
      <c r="B4" s="40" t="s">
        <v>86</v>
      </c>
      <c r="C4" s="41">
        <v>430</v>
      </c>
      <c r="D4" s="61">
        <v>1313.56</v>
      </c>
      <c r="E4" s="61">
        <v>2700.0852999999997</v>
      </c>
      <c r="F4" s="43">
        <v>26000</v>
      </c>
      <c r="G4" s="43">
        <v>21860</v>
      </c>
      <c r="H4" s="44">
        <f>IF(F4=0,0,+((F4-G4)/F4))</f>
        <v>0.15923076923076923</v>
      </c>
      <c r="I4" s="39">
        <v>475</v>
      </c>
      <c r="J4" s="44">
        <f>+(I4/F4)</f>
        <v>1.826923076923077E-2</v>
      </c>
      <c r="K4" s="43">
        <v>52430</v>
      </c>
      <c r="L4" s="43">
        <v>118800</v>
      </c>
      <c r="M4" s="24">
        <f>IF(G4=0,0,+K4/G4)</f>
        <v>2.3984446477584629</v>
      </c>
      <c r="N4" s="24">
        <f>IF(K4=0,0,+L4/K4)</f>
        <v>2.2658783139423995</v>
      </c>
      <c r="O4" s="24">
        <f>+L4/((G4-CA4-CB4)*M4)</f>
        <v>2.3740462012452479</v>
      </c>
      <c r="P4" s="45">
        <f>+E4/G4</f>
        <v>0.12351716834400731</v>
      </c>
      <c r="Q4" s="45">
        <f>+D4/G4</f>
        <v>6.008966148215919E-2</v>
      </c>
      <c r="R4" s="43">
        <v>2040</v>
      </c>
      <c r="S4" s="45">
        <f>+E4/R4</f>
        <v>1.3235712254901959</v>
      </c>
      <c r="T4" s="24">
        <f>IF(R4=0,0,+F4/R4)</f>
        <v>12.745098039215685</v>
      </c>
      <c r="U4" s="24">
        <f>IF(L4=0,0,+L4/G4)</f>
        <v>5.4345837145471183</v>
      </c>
      <c r="V4" s="47">
        <v>43.47</v>
      </c>
      <c r="W4" s="43"/>
      <c r="X4" s="24"/>
      <c r="Y4" s="43"/>
      <c r="Z4" s="48">
        <f>IF(V4=0,0,+M4/V4)</f>
        <v>5.5174710093362389E-2</v>
      </c>
      <c r="AA4" s="62" t="str">
        <f>IF(W4=0,"",+X4/W4)</f>
        <v/>
      </c>
      <c r="AB4" s="48">
        <v>0.2853846153846154</v>
      </c>
      <c r="AC4" s="48">
        <v>1.4607692307692308</v>
      </c>
      <c r="AD4" s="48">
        <v>2.4023076923076925</v>
      </c>
      <c r="AE4" s="48">
        <v>0.42076923076923078</v>
      </c>
      <c r="AF4" s="50" t="s">
        <v>81</v>
      </c>
      <c r="AG4" s="51"/>
      <c r="AH4" s="51"/>
      <c r="AI4" s="51"/>
      <c r="AJ4" s="51"/>
      <c r="AK4" s="51"/>
      <c r="AL4" s="52"/>
      <c r="AM4" s="43">
        <v>16300</v>
      </c>
      <c r="AN4" s="53"/>
      <c r="AO4" s="54">
        <f t="shared" si="0"/>
        <v>0.62692307692307692</v>
      </c>
      <c r="AP4" s="55" t="s">
        <v>82</v>
      </c>
      <c r="AQ4" s="51"/>
      <c r="AR4" s="43"/>
      <c r="AS4" s="43"/>
      <c r="AT4" s="43">
        <v>2500</v>
      </c>
      <c r="AU4" s="51"/>
      <c r="AV4" s="43"/>
      <c r="AW4" s="52"/>
      <c r="AX4" s="43"/>
      <c r="AY4" s="51"/>
      <c r="AZ4" s="43">
        <v>7200</v>
      </c>
      <c r="BA4" s="43"/>
      <c r="BB4" s="43"/>
      <c r="BC4" s="43"/>
      <c r="BD4" s="43"/>
      <c r="BE4" s="43"/>
      <c r="BF4" s="43"/>
      <c r="BG4" s="43"/>
      <c r="BH4" s="56"/>
      <c r="BI4" s="57">
        <f t="shared" si="1"/>
        <v>0.37307692307692308</v>
      </c>
      <c r="BJ4" s="58">
        <v>2.3620000000000001</v>
      </c>
      <c r="BK4" s="59">
        <v>43</v>
      </c>
      <c r="BL4" s="48">
        <v>0.04</v>
      </c>
      <c r="BM4" s="48">
        <v>0.182</v>
      </c>
      <c r="BN4" s="48">
        <v>0.45600000000000002</v>
      </c>
      <c r="BO4" s="48">
        <v>0.91</v>
      </c>
      <c r="BP4" s="48">
        <v>1.54</v>
      </c>
      <c r="BQ4" s="48">
        <v>2.016</v>
      </c>
      <c r="BR4" s="48">
        <v>2.4</v>
      </c>
      <c r="BS4" s="48">
        <v>2.4369999999999998</v>
      </c>
      <c r="BT4" s="41">
        <v>44</v>
      </c>
      <c r="BU4" s="43"/>
      <c r="BV4" s="60">
        <v>42089</v>
      </c>
      <c r="BW4" s="44">
        <v>0.66974098798397874</v>
      </c>
      <c r="BX4" s="43">
        <v>20886</v>
      </c>
      <c r="BY4" s="43">
        <v>5456</v>
      </c>
      <c r="BZ4" s="44">
        <v>0.26122761658527244</v>
      </c>
      <c r="CA4" s="43">
        <v>434</v>
      </c>
      <c r="CB4" s="43">
        <v>562</v>
      </c>
      <c r="CC4" s="44">
        <v>2.0779469501101214E-2</v>
      </c>
      <c r="CD4" s="44">
        <v>2.6907976635066552E-2</v>
      </c>
    </row>
    <row r="5" spans="1:82" x14ac:dyDescent="0.25">
      <c r="A5" s="39" t="s">
        <v>87</v>
      </c>
      <c r="B5" s="40" t="s">
        <v>80</v>
      </c>
      <c r="C5" s="41">
        <v>790</v>
      </c>
      <c r="D5" s="61">
        <v>960.59</v>
      </c>
      <c r="E5" s="61">
        <v>3373.3083999999999</v>
      </c>
      <c r="F5" s="43">
        <v>21500</v>
      </c>
      <c r="G5" s="43">
        <v>18080</v>
      </c>
      <c r="H5" s="44">
        <f>IF(F5=0,0,+((F5-G5)/F5))</f>
        <v>0.15906976744186047</v>
      </c>
      <c r="I5" s="39">
        <v>576</v>
      </c>
      <c r="J5" s="44">
        <f>+(I5/F5)</f>
        <v>2.6790697674418603E-2</v>
      </c>
      <c r="K5" s="43">
        <v>47980</v>
      </c>
      <c r="L5" s="43">
        <v>103080</v>
      </c>
      <c r="M5" s="24">
        <f>IF(G5=0,0,+K5/G5)</f>
        <v>2.6537610619469025</v>
      </c>
      <c r="N5" s="24">
        <f>IF(K5=0,0,+L5/K5)</f>
        <v>2.1483951646519381</v>
      </c>
      <c r="O5" s="24">
        <f>+L5/((G5-CA5-CB5)*M5)</f>
        <v>2.1759556650555734</v>
      </c>
      <c r="P5" s="45">
        <f>IF(G5=0,0,+E5/G5)</f>
        <v>0.18657679203539823</v>
      </c>
      <c r="Q5" s="45">
        <f>IF(G5=0,0,+D5/G5)</f>
        <v>5.3129977876106196E-2</v>
      </c>
      <c r="R5" s="43">
        <v>2296</v>
      </c>
      <c r="S5" s="45">
        <f>IF(R5=0,0,+E5/R5)</f>
        <v>1.469210975609756</v>
      </c>
      <c r="T5" s="24">
        <f>IF(R5=0,0,+F5/R5)</f>
        <v>9.3641114982578397</v>
      </c>
      <c r="U5" s="24">
        <f>IF(L5=0,0,+L5/G5)</f>
        <v>5.7013274336283182</v>
      </c>
      <c r="V5" s="47">
        <v>45.56</v>
      </c>
      <c r="W5" s="43"/>
      <c r="X5" s="24"/>
      <c r="Y5" s="43"/>
      <c r="Z5" s="48">
        <f>IF(V5=0,0,+M5/V5)</f>
        <v>5.824760891016028E-2</v>
      </c>
      <c r="AA5" s="62" t="str">
        <f>IF(W5=0,"",+X5/W5)</f>
        <v/>
      </c>
      <c r="AB5" s="48">
        <v>0.31534883720930235</v>
      </c>
      <c r="AC5" s="48">
        <v>1.4893023255813953</v>
      </c>
      <c r="AD5" s="48">
        <v>2.2372093023255815</v>
      </c>
      <c r="AE5" s="48">
        <v>0.75255813953488371</v>
      </c>
      <c r="AF5" s="50" t="s">
        <v>81</v>
      </c>
      <c r="AG5" s="51"/>
      <c r="AH5" s="51"/>
      <c r="AI5" s="51"/>
      <c r="AJ5" s="51"/>
      <c r="AK5" s="51"/>
      <c r="AL5" s="52"/>
      <c r="AM5" s="51"/>
      <c r="AN5" s="53"/>
      <c r="AO5" s="54">
        <f t="shared" si="0"/>
        <v>0</v>
      </c>
      <c r="AP5" s="55" t="s">
        <v>82</v>
      </c>
      <c r="AQ5" s="51"/>
      <c r="AR5" s="43"/>
      <c r="AS5" s="43"/>
      <c r="AT5" s="43"/>
      <c r="AU5" s="43"/>
      <c r="AV5" s="43"/>
      <c r="AW5" s="52"/>
      <c r="AX5" s="43"/>
      <c r="AY5" s="43"/>
      <c r="AZ5" s="43"/>
      <c r="BA5" s="43">
        <v>21500</v>
      </c>
      <c r="BB5" s="43"/>
      <c r="BC5" s="43"/>
      <c r="BD5" s="43"/>
      <c r="BE5" s="43"/>
      <c r="BF5" s="51"/>
      <c r="BG5" s="43"/>
      <c r="BH5" s="56"/>
      <c r="BI5" s="57">
        <f t="shared" si="1"/>
        <v>1</v>
      </c>
      <c r="BJ5" s="58">
        <v>2.6360000000000001</v>
      </c>
      <c r="BK5" s="59">
        <v>45</v>
      </c>
      <c r="BL5" s="48">
        <v>4.2000000000000003E-2</v>
      </c>
      <c r="BM5" s="48">
        <v>0.16900000000000001</v>
      </c>
      <c r="BN5" s="48">
        <v>0.5</v>
      </c>
      <c r="BO5" s="48">
        <v>0.94</v>
      </c>
      <c r="BP5" s="48">
        <v>1.6</v>
      </c>
      <c r="BQ5" s="48">
        <v>2.1</v>
      </c>
      <c r="BR5" s="48"/>
      <c r="BS5" s="48">
        <v>2.66</v>
      </c>
      <c r="BT5" s="41">
        <v>46</v>
      </c>
      <c r="BU5" s="43"/>
      <c r="BV5" s="60">
        <v>42202</v>
      </c>
      <c r="BW5" s="44">
        <v>0.70515694039182997</v>
      </c>
      <c r="BX5" s="43">
        <v>17742</v>
      </c>
      <c r="BY5" s="43">
        <v>8160</v>
      </c>
      <c r="BZ5" s="44">
        <v>0.45992560027054447</v>
      </c>
      <c r="CA5" s="43">
        <v>60</v>
      </c>
      <c r="CB5" s="43">
        <v>169</v>
      </c>
      <c r="CC5" s="44">
        <v>3.3818058843422386E-3</v>
      </c>
      <c r="CD5" s="44">
        <v>9.5254199075639721E-3</v>
      </c>
    </row>
    <row r="6" spans="1:82" x14ac:dyDescent="0.25">
      <c r="A6" s="39" t="s">
        <v>88</v>
      </c>
      <c r="B6" s="40" t="s">
        <v>80</v>
      </c>
      <c r="C6" s="41">
        <v>874</v>
      </c>
      <c r="D6" s="63">
        <v>555.42999999999995</v>
      </c>
      <c r="E6" s="63">
        <v>5742.8719000000001</v>
      </c>
      <c r="F6" s="43">
        <v>37400</v>
      </c>
      <c r="G6" s="43">
        <v>28780</v>
      </c>
      <c r="H6" s="44">
        <f>IF(F6=0,0,+((F6-G6)/F6))</f>
        <v>0.23048128342245988</v>
      </c>
      <c r="I6" s="39">
        <v>186</v>
      </c>
      <c r="J6" s="44">
        <f>+(I6/F6)</f>
        <v>4.9732620320855616E-3</v>
      </c>
      <c r="K6" s="43">
        <v>80570</v>
      </c>
      <c r="L6" s="43">
        <v>174020</v>
      </c>
      <c r="M6" s="24">
        <f>IF(G6=0,0,+K6/G6)</f>
        <v>2.799513551077137</v>
      </c>
      <c r="N6" s="24">
        <f>IF(K6=0,0,+L6/K6)</f>
        <v>2.159860990443093</v>
      </c>
      <c r="O6" s="24">
        <f>+L6/((G6-CA6-CB6)*M6)</f>
        <v>2.184837063897656</v>
      </c>
      <c r="P6" s="45">
        <f>IF(G6=0,0,+E6/G6)</f>
        <v>0.1995438464211258</v>
      </c>
      <c r="Q6" s="45">
        <f>IF(G6=0,0,+D6/G6)</f>
        <v>1.9299166087560805E-2</v>
      </c>
      <c r="R6" s="43">
        <v>3500</v>
      </c>
      <c r="S6" s="45">
        <f>IF(R6=0,0,+E6/R6)</f>
        <v>1.640820542857143</v>
      </c>
      <c r="T6" s="24">
        <f>IF(R6=0,0,+F6/R6)</f>
        <v>10.685714285714285</v>
      </c>
      <c r="U6" s="24">
        <f>IF(L6=0,0,+L6/G6)</f>
        <v>6.0465601111883256</v>
      </c>
      <c r="V6" s="47">
        <v>43.59</v>
      </c>
      <c r="W6" s="43"/>
      <c r="X6" s="24"/>
      <c r="Y6" s="43"/>
      <c r="Z6" s="48">
        <f>IF(V6=0,0,+M6/V6)</f>
        <v>6.4223756620260072E-2</v>
      </c>
      <c r="AA6" s="64" t="str">
        <f>IF(W6=0,"",+X6/W6)</f>
        <v/>
      </c>
      <c r="AB6" s="65">
        <v>0.30053475935828877</v>
      </c>
      <c r="AC6" s="65">
        <v>1.3705882352941177</v>
      </c>
      <c r="AD6" s="65">
        <v>2.4288770053475934</v>
      </c>
      <c r="AE6" s="65">
        <v>0.55294117647058827</v>
      </c>
      <c r="AF6" s="50" t="s">
        <v>81</v>
      </c>
      <c r="AG6" s="51"/>
      <c r="AH6" s="51">
        <v>37400</v>
      </c>
      <c r="AI6" s="51"/>
      <c r="AJ6" s="51"/>
      <c r="AK6" s="51"/>
      <c r="AL6" s="51"/>
      <c r="AM6" s="51"/>
      <c r="AN6" s="66"/>
      <c r="AO6" s="54">
        <f t="shared" si="0"/>
        <v>1</v>
      </c>
      <c r="AP6" s="55" t="s">
        <v>82</v>
      </c>
      <c r="AQ6" s="51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51"/>
      <c r="BG6" s="43"/>
      <c r="BH6" s="56"/>
      <c r="BI6" s="57">
        <f t="shared" si="1"/>
        <v>0</v>
      </c>
      <c r="BJ6" s="58">
        <v>2.86</v>
      </c>
      <c r="BK6" s="59">
        <v>43</v>
      </c>
      <c r="BL6" s="48">
        <v>3.7999999999999999E-2</v>
      </c>
      <c r="BM6" s="48">
        <v>0.17</v>
      </c>
      <c r="BN6" s="48">
        <v>0.46500000000000002</v>
      </c>
      <c r="BO6" s="48">
        <v>0.92500000000000004</v>
      </c>
      <c r="BP6" s="48">
        <v>1.4910000000000001</v>
      </c>
      <c r="BQ6" s="48">
        <v>2.2200000000000002</v>
      </c>
      <c r="BR6" s="48">
        <v>2.8250000000000002</v>
      </c>
      <c r="BS6" s="48">
        <v>2.782</v>
      </c>
      <c r="BT6" s="41">
        <v>44</v>
      </c>
      <c r="BU6" s="43"/>
      <c r="BV6" s="67">
        <v>42333</v>
      </c>
      <c r="BW6" s="44">
        <v>0.70284907533821528</v>
      </c>
      <c r="BX6" s="43">
        <v>28390</v>
      </c>
      <c r="BY6" s="43">
        <v>6168</v>
      </c>
      <c r="BZ6" s="44">
        <v>0.21725959845015852</v>
      </c>
      <c r="CA6" s="43">
        <v>72</v>
      </c>
      <c r="CB6" s="43">
        <v>257</v>
      </c>
      <c r="CC6" s="44">
        <v>2.5361042620641069E-3</v>
      </c>
      <c r="CD6" s="44">
        <v>9.0524832687566038E-3</v>
      </c>
    </row>
    <row r="7" spans="1:82" x14ac:dyDescent="0.25">
      <c r="A7" s="39" t="s">
        <v>89</v>
      </c>
      <c r="B7" s="40" t="s">
        <v>80</v>
      </c>
      <c r="C7" s="41">
        <v>775</v>
      </c>
      <c r="D7" s="68">
        <v>596.47</v>
      </c>
      <c r="E7" s="68">
        <v>3643.36582</v>
      </c>
      <c r="F7" s="43">
        <v>21500</v>
      </c>
      <c r="G7" s="43">
        <v>17484</v>
      </c>
      <c r="H7" s="44">
        <v>0.18679069767441861</v>
      </c>
      <c r="I7" s="39">
        <v>1915</v>
      </c>
      <c r="J7" s="44">
        <v>8.9069767441860459E-2</v>
      </c>
      <c r="K7" s="43">
        <v>46040</v>
      </c>
      <c r="L7" s="43">
        <v>97120</v>
      </c>
      <c r="M7" s="24">
        <v>2.6332646991535116</v>
      </c>
      <c r="N7" s="24">
        <v>2.109470026064292</v>
      </c>
      <c r="O7" s="24">
        <v>1.9376208536312105</v>
      </c>
      <c r="P7" s="45">
        <v>0.20838285403797757</v>
      </c>
      <c r="Q7" s="45">
        <v>3.4115191031800503E-2</v>
      </c>
      <c r="R7" s="43">
        <v>2100</v>
      </c>
      <c r="S7" s="45">
        <v>1.7349361047619047</v>
      </c>
      <c r="T7" s="24">
        <v>10.238095238095237</v>
      </c>
      <c r="U7" s="24">
        <v>5.5547929535575387</v>
      </c>
      <c r="V7" s="47">
        <v>45.19</v>
      </c>
      <c r="W7" s="43"/>
      <c r="X7" s="24"/>
      <c r="Y7" s="43"/>
      <c r="Z7" s="48">
        <v>5.8270960370734932E-2</v>
      </c>
      <c r="AA7" s="69" t="s">
        <v>84</v>
      </c>
      <c r="AB7" s="48">
        <v>0.32279069767441859</v>
      </c>
      <c r="AC7" s="48">
        <v>1.3972093023255814</v>
      </c>
      <c r="AD7" s="48">
        <v>1.7311627906976743</v>
      </c>
      <c r="AE7" s="48">
        <v>1.066046511627907</v>
      </c>
      <c r="AF7" s="50" t="s">
        <v>81</v>
      </c>
      <c r="AG7" s="51"/>
      <c r="AH7" s="51"/>
      <c r="AI7" s="51">
        <v>21500</v>
      </c>
      <c r="AJ7" s="51"/>
      <c r="AK7" s="51"/>
      <c r="AL7" s="39"/>
      <c r="AM7" s="51"/>
      <c r="AN7" s="53"/>
      <c r="AO7" s="54">
        <f t="shared" si="0"/>
        <v>1</v>
      </c>
      <c r="AP7" s="55" t="s">
        <v>82</v>
      </c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56"/>
      <c r="BI7" s="57">
        <f t="shared" si="1"/>
        <v>0</v>
      </c>
      <c r="BJ7" s="58">
        <v>2.6339999999999999</v>
      </c>
      <c r="BK7" s="59">
        <v>45</v>
      </c>
      <c r="BL7" s="48">
        <v>3.5000000000000003E-2</v>
      </c>
      <c r="BM7" s="48">
        <v>0.14799999999999999</v>
      </c>
      <c r="BN7" s="48">
        <v>0.41499999999999998</v>
      </c>
      <c r="BO7" s="48">
        <v>0.81</v>
      </c>
      <c r="BP7" s="48">
        <v>1.38</v>
      </c>
      <c r="BQ7" s="48">
        <v>1.885</v>
      </c>
      <c r="BR7" s="48"/>
      <c r="BS7" s="48">
        <v>2.63</v>
      </c>
      <c r="BT7" s="41">
        <v>46</v>
      </c>
      <c r="BU7" s="43"/>
      <c r="BV7" s="60">
        <v>42247</v>
      </c>
      <c r="BW7" s="44">
        <v>0.72183253692441351</v>
      </c>
      <c r="BX7" s="43">
        <v>17260</v>
      </c>
      <c r="BY7" s="43">
        <v>8112</v>
      </c>
      <c r="BZ7" s="44">
        <v>0.46998841251448437</v>
      </c>
      <c r="CA7" s="43">
        <v>15</v>
      </c>
      <c r="CB7" s="43">
        <v>105</v>
      </c>
      <c r="CC7" s="44">
        <v>8.690614136732329E-4</v>
      </c>
      <c r="CD7" s="44">
        <v>6.0834298957126304E-3</v>
      </c>
    </row>
    <row r="8" spans="1:82" x14ac:dyDescent="0.25">
      <c r="A8" s="39" t="s">
        <v>90</v>
      </c>
      <c r="B8" s="40" t="s">
        <v>91</v>
      </c>
      <c r="C8" s="41">
        <v>870</v>
      </c>
      <c r="D8" s="61">
        <v>1258.02</v>
      </c>
      <c r="E8" s="61">
        <f>4440.26+U8+V8</f>
        <v>4490.8442480883605</v>
      </c>
      <c r="F8" s="43">
        <v>26400</v>
      </c>
      <c r="G8" s="43">
        <v>23540</v>
      </c>
      <c r="H8" s="44">
        <f t="shared" ref="H8:H18" si="2">IF(F8=0,0,+((F8-G8)/F8))</f>
        <v>0.10833333333333334</v>
      </c>
      <c r="I8" s="39">
        <v>464</v>
      </c>
      <c r="J8" s="44">
        <f t="shared" ref="J8:J18" si="3">+(I8/F8)</f>
        <v>1.7575757575757574E-2</v>
      </c>
      <c r="K8" s="43">
        <v>65500</v>
      </c>
      <c r="L8" s="43">
        <v>141340</v>
      </c>
      <c r="M8" s="24">
        <f t="shared" ref="M8:M18" si="4">IF(G8=0,0,+K8/G8)</f>
        <v>2.7824978759558201</v>
      </c>
      <c r="N8" s="24">
        <f t="shared" ref="N8:N18" si="5">IF(K8=0,0,+L8/K8)</f>
        <v>2.1578625954198474</v>
      </c>
      <c r="O8" s="24">
        <f t="shared" ref="O8:O23" si="6">+L8/((G8-CA8-CB8)*M8)</f>
        <v>2.2215650774626372</v>
      </c>
      <c r="P8" s="45">
        <f>+E8/G8</f>
        <v>0.19077503177945457</v>
      </c>
      <c r="Q8" s="45">
        <f>+D8/G8</f>
        <v>5.344180118946474E-2</v>
      </c>
      <c r="R8" s="43">
        <v>2383</v>
      </c>
      <c r="S8" s="46">
        <f>+E8/R8</f>
        <v>1.8845338850559632</v>
      </c>
      <c r="T8" s="24">
        <f t="shared" ref="T8:T18" si="7">IF(R8=0,0,+F8/R8)</f>
        <v>11.078472513638271</v>
      </c>
      <c r="U8" s="24">
        <f t="shared" ref="U8:U18" si="8">IF(L8=0,0,+L8/G8)</f>
        <v>6.0042480883602378</v>
      </c>
      <c r="V8" s="47">
        <v>44.58</v>
      </c>
      <c r="W8" s="43"/>
      <c r="X8" s="24"/>
      <c r="Y8" s="43"/>
      <c r="Z8" s="48">
        <f t="shared" ref="Z8:Z18" si="9">IF(V8=0,0,+M8/V8)</f>
        <v>6.2415833915563483E-2</v>
      </c>
      <c r="AA8" s="62" t="str">
        <f t="shared" ref="AA8:AA18" si="10">IF(W8=0,"",+X8/W8)</f>
        <v/>
      </c>
      <c r="AB8" s="48">
        <v>0.31666666666666665</v>
      </c>
      <c r="AC8" s="48">
        <v>1.4310606060606061</v>
      </c>
      <c r="AD8" s="48">
        <v>2.4553030303030301</v>
      </c>
      <c r="AE8" s="48">
        <v>1.1507575757575759</v>
      </c>
      <c r="AF8" s="50" t="s">
        <v>81</v>
      </c>
      <c r="AG8" s="51"/>
      <c r="AH8" s="51"/>
      <c r="AI8" s="51"/>
      <c r="AJ8" s="51"/>
      <c r="AK8" s="51">
        <v>20900</v>
      </c>
      <c r="AL8" s="52"/>
      <c r="AM8" s="51"/>
      <c r="AN8" s="53"/>
      <c r="AO8" s="54">
        <f t="shared" si="0"/>
        <v>0.79166666666666663</v>
      </c>
      <c r="AP8" s="55" t="s">
        <v>82</v>
      </c>
      <c r="AQ8" s="51"/>
      <c r="AR8" s="43"/>
      <c r="AS8" s="43"/>
      <c r="AT8" s="43"/>
      <c r="AU8" s="43"/>
      <c r="AV8" s="43">
        <v>5500</v>
      </c>
      <c r="AW8" s="52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56"/>
      <c r="BI8" s="57">
        <f t="shared" si="1"/>
        <v>0.20833333333333334</v>
      </c>
      <c r="BJ8" s="58">
        <v>2.8660000000000001</v>
      </c>
      <c r="BK8" s="59">
        <v>44</v>
      </c>
      <c r="BL8" s="48">
        <v>4.1500000000000002E-2</v>
      </c>
      <c r="BM8" s="48">
        <v>0.16500000000000001</v>
      </c>
      <c r="BN8" s="48">
        <v>0.4</v>
      </c>
      <c r="BO8" s="48">
        <v>0.8125</v>
      </c>
      <c r="BP8" s="48">
        <v>1.4</v>
      </c>
      <c r="BQ8" s="48">
        <v>1.97</v>
      </c>
      <c r="BR8" s="48">
        <v>0</v>
      </c>
      <c r="BS8" s="48">
        <v>2.718</v>
      </c>
      <c r="BT8" s="41">
        <v>45</v>
      </c>
      <c r="BU8" s="43">
        <v>2000</v>
      </c>
      <c r="BV8" s="60">
        <v>42058</v>
      </c>
      <c r="BW8" s="44">
        <v>0.68068656488549617</v>
      </c>
      <c r="BX8" s="43">
        <v>22960</v>
      </c>
      <c r="BY8" s="43">
        <v>8752</v>
      </c>
      <c r="BZ8" s="44">
        <v>0.38118466898954706</v>
      </c>
      <c r="CA8" s="43">
        <v>200</v>
      </c>
      <c r="CB8" s="43">
        <v>475</v>
      </c>
      <c r="CC8" s="44">
        <v>8.7108013937282226E-3</v>
      </c>
      <c r="CD8" s="44">
        <v>2.068815331010453E-2</v>
      </c>
    </row>
    <row r="9" spans="1:82" x14ac:dyDescent="0.25">
      <c r="A9" s="39" t="s">
        <v>92</v>
      </c>
      <c r="B9" s="40" t="s">
        <v>86</v>
      </c>
      <c r="C9" s="41">
        <v>456</v>
      </c>
      <c r="D9" s="61">
        <v>369.43</v>
      </c>
      <c r="E9" s="61">
        <v>1859.68589</v>
      </c>
      <c r="F9" s="43">
        <v>11500</v>
      </c>
      <c r="G9" s="43">
        <v>10818</v>
      </c>
      <c r="H9" s="44">
        <f t="shared" si="2"/>
        <v>5.9304347826086956E-2</v>
      </c>
      <c r="I9" s="39">
        <v>282</v>
      </c>
      <c r="J9" s="44">
        <f t="shared" si="3"/>
        <v>2.4521739130434782E-2</v>
      </c>
      <c r="K9" s="43">
        <v>22180</v>
      </c>
      <c r="L9" s="43">
        <v>44940</v>
      </c>
      <c r="M9" s="24">
        <f t="shared" si="4"/>
        <v>2.0502865594379736</v>
      </c>
      <c r="N9" s="24">
        <f t="shared" si="5"/>
        <v>2.0261496844003606</v>
      </c>
      <c r="O9" s="24">
        <f t="shared" si="6"/>
        <v>2.026149684400361</v>
      </c>
      <c r="P9" s="45">
        <f t="shared" ref="P9:P14" si="11">IF(G9=0,0,+E9/G9)</f>
        <v>0.17190662691809946</v>
      </c>
      <c r="Q9" s="45">
        <f t="shared" ref="Q9:Q14" si="12">IF(G9=0,0,+D9/G9)</f>
        <v>3.4149565538916619E-2</v>
      </c>
      <c r="R9" s="43">
        <v>960</v>
      </c>
      <c r="S9" s="45">
        <f t="shared" ref="S9:S14" si="13">IF(R9=0,0,+E9/R9)</f>
        <v>1.9371728020833332</v>
      </c>
      <c r="T9" s="24">
        <f t="shared" si="7"/>
        <v>11.979166666666666</v>
      </c>
      <c r="U9" s="24">
        <f t="shared" si="8"/>
        <v>4.1541874653355517</v>
      </c>
      <c r="V9" s="47">
        <v>41</v>
      </c>
      <c r="W9" s="43">
        <v>41</v>
      </c>
      <c r="X9" s="24">
        <v>2.0499999999999998</v>
      </c>
      <c r="Y9" s="43">
        <v>10818</v>
      </c>
      <c r="Z9" s="48">
        <f t="shared" si="9"/>
        <v>5.0006989254584723E-2</v>
      </c>
      <c r="AA9" s="62">
        <f t="shared" si="10"/>
        <v>4.9999999999999996E-2</v>
      </c>
      <c r="AB9" s="48">
        <v>0.30086956521739128</v>
      </c>
      <c r="AC9" s="48">
        <v>1.4330434782608696</v>
      </c>
      <c r="AD9" s="48">
        <v>2.1739130434782608</v>
      </c>
      <c r="AE9" s="48">
        <v>0</v>
      </c>
      <c r="AF9" s="50" t="s">
        <v>81</v>
      </c>
      <c r="AG9" s="51"/>
      <c r="AH9" s="51">
        <v>3900</v>
      </c>
      <c r="AI9" s="51"/>
      <c r="AJ9" s="51"/>
      <c r="AK9" s="51"/>
      <c r="AL9" s="52"/>
      <c r="AM9" s="51"/>
      <c r="AN9" s="53"/>
      <c r="AO9" s="54">
        <f t="shared" si="0"/>
        <v>0.33913043478260868</v>
      </c>
      <c r="AP9" s="55" t="s">
        <v>82</v>
      </c>
      <c r="AQ9" s="51"/>
      <c r="AR9" s="43"/>
      <c r="AS9" s="43"/>
      <c r="AT9" s="43"/>
      <c r="AU9" s="43"/>
      <c r="AV9" s="43"/>
      <c r="AW9" s="52"/>
      <c r="AX9" s="43"/>
      <c r="AY9" s="43"/>
      <c r="AZ9" s="43"/>
      <c r="BA9" s="43"/>
      <c r="BB9" s="43"/>
      <c r="BC9" s="43"/>
      <c r="BD9" s="43"/>
      <c r="BE9" s="43"/>
      <c r="BF9" s="51">
        <v>7600</v>
      </c>
      <c r="BG9" s="43"/>
      <c r="BH9" s="56"/>
      <c r="BI9" s="57">
        <f t="shared" si="1"/>
        <v>0.66086956521739126</v>
      </c>
      <c r="BJ9" s="58">
        <v>2.0499999999999998</v>
      </c>
      <c r="BK9" s="59">
        <v>41</v>
      </c>
      <c r="BL9" s="48">
        <v>4.2000000000000003E-2</v>
      </c>
      <c r="BM9" s="48">
        <v>0.18</v>
      </c>
      <c r="BN9" s="48">
        <v>0.41499999999999998</v>
      </c>
      <c r="BO9" s="48">
        <v>0.75</v>
      </c>
      <c r="BP9" s="48">
        <v>1.35</v>
      </c>
      <c r="BQ9" s="48"/>
      <c r="BR9" s="48"/>
      <c r="BS9" s="48">
        <v>2.0499999999999998</v>
      </c>
      <c r="BT9" s="41">
        <v>41</v>
      </c>
      <c r="BU9" s="43">
        <v>5000</v>
      </c>
      <c r="BV9" s="60">
        <v>42212</v>
      </c>
      <c r="BW9" s="70" t="s">
        <v>93</v>
      </c>
      <c r="BX9" s="70"/>
      <c r="BY9" s="70"/>
      <c r="BZ9" s="70"/>
      <c r="CA9" s="70"/>
      <c r="CB9" s="70"/>
      <c r="CC9" s="70"/>
      <c r="CD9" s="70"/>
    </row>
    <row r="10" spans="1:82" x14ac:dyDescent="0.25">
      <c r="A10" s="39" t="s">
        <v>87</v>
      </c>
      <c r="B10" s="40" t="s">
        <v>80</v>
      </c>
      <c r="C10" s="41">
        <v>790</v>
      </c>
      <c r="D10" s="61">
        <v>2378.35</v>
      </c>
      <c r="E10" s="61">
        <v>4456.1087900000002</v>
      </c>
      <c r="F10" s="43">
        <v>22900</v>
      </c>
      <c r="G10" s="43">
        <v>19798</v>
      </c>
      <c r="H10" s="44">
        <f t="shared" si="2"/>
        <v>0.13545851528384278</v>
      </c>
      <c r="I10" s="39">
        <v>962</v>
      </c>
      <c r="J10" s="44">
        <f t="shared" si="3"/>
        <v>4.2008733624454148E-2</v>
      </c>
      <c r="K10" s="43">
        <v>55120</v>
      </c>
      <c r="L10" s="43">
        <v>117260</v>
      </c>
      <c r="M10" s="24">
        <f t="shared" si="4"/>
        <v>2.7841196080412165</v>
      </c>
      <c r="N10" s="24">
        <f t="shared" si="5"/>
        <v>2.1273584905660377</v>
      </c>
      <c r="O10" s="24">
        <f t="shared" si="6"/>
        <v>2.1976229270141618</v>
      </c>
      <c r="P10" s="45">
        <f t="shared" si="11"/>
        <v>0.22507873472067888</v>
      </c>
      <c r="Q10" s="45">
        <f t="shared" si="12"/>
        <v>0.12013082129508031</v>
      </c>
      <c r="R10" s="43">
        <v>2296</v>
      </c>
      <c r="S10" s="45">
        <f t="shared" si="13"/>
        <v>1.9408139329268295</v>
      </c>
      <c r="T10" s="24">
        <f t="shared" si="7"/>
        <v>9.973867595818815</v>
      </c>
      <c r="U10" s="24">
        <f t="shared" si="8"/>
        <v>5.9228204869178702</v>
      </c>
      <c r="V10" s="47">
        <v>44.95</v>
      </c>
      <c r="W10" s="43"/>
      <c r="X10" s="24"/>
      <c r="Y10" s="43"/>
      <c r="Z10" s="48">
        <f t="shared" si="9"/>
        <v>6.1938144784009261E-2</v>
      </c>
      <c r="AA10" s="71" t="str">
        <f t="shared" si="10"/>
        <v/>
      </c>
      <c r="AB10" s="48">
        <v>0.30393013100436683</v>
      </c>
      <c r="AC10" s="48">
        <v>1.4131004366812228</v>
      </c>
      <c r="AD10" s="48">
        <v>1.9572052401746725</v>
      </c>
      <c r="AE10" s="48">
        <v>1.4462882096069869</v>
      </c>
      <c r="AF10" s="50" t="s">
        <v>81</v>
      </c>
      <c r="AG10" s="51"/>
      <c r="AH10" s="51"/>
      <c r="AI10" s="51"/>
      <c r="AJ10" s="51"/>
      <c r="AK10" s="51"/>
      <c r="AL10" s="52"/>
      <c r="AM10" s="51"/>
      <c r="AN10" s="53"/>
      <c r="AO10" s="54">
        <f t="shared" si="0"/>
        <v>0</v>
      </c>
      <c r="AP10" s="55" t="s">
        <v>82</v>
      </c>
      <c r="AQ10" s="51"/>
      <c r="AR10" s="43"/>
      <c r="AS10" s="43"/>
      <c r="AT10" s="43"/>
      <c r="AU10" s="51"/>
      <c r="AV10" s="43">
        <v>21000</v>
      </c>
      <c r="AW10" s="52"/>
      <c r="AX10" s="43"/>
      <c r="AY10" s="51"/>
      <c r="AZ10" s="43"/>
      <c r="BA10" s="43">
        <v>1900</v>
      </c>
      <c r="BB10" s="43"/>
      <c r="BC10" s="43"/>
      <c r="BD10" s="43"/>
      <c r="BE10" s="43"/>
      <c r="BF10" s="51"/>
      <c r="BG10" s="43"/>
      <c r="BH10" s="53"/>
      <c r="BI10" s="57">
        <f t="shared" si="1"/>
        <v>1</v>
      </c>
      <c r="BJ10" s="58">
        <v>2.7429999999999999</v>
      </c>
      <c r="BK10" s="59">
        <v>44</v>
      </c>
      <c r="BL10" s="48">
        <v>4.2000000000000003E-2</v>
      </c>
      <c r="BM10" s="48">
        <v>0.156</v>
      </c>
      <c r="BN10" s="48">
        <v>0.48</v>
      </c>
      <c r="BO10" s="48">
        <v>0.94</v>
      </c>
      <c r="BP10" s="48">
        <v>1.57</v>
      </c>
      <c r="BQ10" s="48">
        <v>2.1</v>
      </c>
      <c r="BR10" s="48">
        <v>2.7</v>
      </c>
      <c r="BS10" s="48">
        <v>2.8210000000000002</v>
      </c>
      <c r="BT10" s="41">
        <v>46</v>
      </c>
      <c r="BU10" s="43"/>
      <c r="BV10" s="60">
        <v>42141</v>
      </c>
      <c r="BW10" s="44">
        <v>0.68879426705370095</v>
      </c>
      <c r="BX10" s="43">
        <v>19124</v>
      </c>
      <c r="BY10" s="43">
        <v>7472</v>
      </c>
      <c r="BZ10" s="44">
        <v>0.39071323990796902</v>
      </c>
      <c r="CA10" s="43">
        <v>84</v>
      </c>
      <c r="CB10" s="43">
        <v>549</v>
      </c>
      <c r="CC10" s="44">
        <v>4.3923865300146414E-3</v>
      </c>
      <c r="CD10" s="44">
        <v>2.8707383392595692E-2</v>
      </c>
    </row>
    <row r="11" spans="1:82" x14ac:dyDescent="0.25">
      <c r="A11" s="39" t="s">
        <v>85</v>
      </c>
      <c r="B11" s="40" t="s">
        <v>86</v>
      </c>
      <c r="C11" s="41">
        <v>430</v>
      </c>
      <c r="D11" s="61">
        <v>1128.0360000000001</v>
      </c>
      <c r="E11" s="61">
        <v>2421.44</v>
      </c>
      <c r="F11" s="43">
        <v>16200</v>
      </c>
      <c r="G11" s="43">
        <v>14360</v>
      </c>
      <c r="H11" s="44">
        <f t="shared" si="2"/>
        <v>0.11358024691358025</v>
      </c>
      <c r="I11" s="39">
        <v>148</v>
      </c>
      <c r="J11" s="44">
        <f t="shared" si="3"/>
        <v>9.1358024691358033E-3</v>
      </c>
      <c r="K11" s="43">
        <v>35240</v>
      </c>
      <c r="L11" s="43">
        <v>84290</v>
      </c>
      <c r="M11" s="24">
        <f t="shared" si="4"/>
        <v>2.4540389972144845</v>
      </c>
      <c r="N11" s="24">
        <f t="shared" si="5"/>
        <v>2.3918842224744608</v>
      </c>
      <c r="O11" s="24">
        <f t="shared" si="6"/>
        <v>2.5491656104151152</v>
      </c>
      <c r="P11" s="45">
        <f t="shared" si="11"/>
        <v>0.16862395543175487</v>
      </c>
      <c r="Q11" s="45">
        <f t="shared" si="12"/>
        <v>7.8554038997214484E-2</v>
      </c>
      <c r="R11" s="43">
        <v>1200</v>
      </c>
      <c r="S11" s="45">
        <f t="shared" si="13"/>
        <v>2.0178666666666669</v>
      </c>
      <c r="T11" s="24">
        <f t="shared" si="7"/>
        <v>13.5</v>
      </c>
      <c r="U11" s="24">
        <f t="shared" si="8"/>
        <v>5.8697771587743732</v>
      </c>
      <c r="V11" s="47">
        <v>49.61</v>
      </c>
      <c r="W11" s="43"/>
      <c r="X11" s="24"/>
      <c r="Y11" s="43"/>
      <c r="Z11" s="48">
        <f t="shared" si="9"/>
        <v>4.9466619576990216E-2</v>
      </c>
      <c r="AA11" s="71" t="str">
        <f t="shared" si="10"/>
        <v/>
      </c>
      <c r="AB11" s="48">
        <v>0.29629629629629628</v>
      </c>
      <c r="AC11" s="48">
        <v>1.6469135802469135</v>
      </c>
      <c r="AD11" s="48">
        <v>2.2172839506172841</v>
      </c>
      <c r="AE11" s="48">
        <v>1.0425925925925925</v>
      </c>
      <c r="AF11" s="50" t="s">
        <v>81</v>
      </c>
      <c r="AG11" s="51"/>
      <c r="AH11" s="51"/>
      <c r="AI11" s="39"/>
      <c r="AJ11" s="51"/>
      <c r="AK11" s="51"/>
      <c r="AL11" s="52"/>
      <c r="AM11" s="39"/>
      <c r="AN11" s="72"/>
      <c r="AO11" s="54">
        <f t="shared" si="0"/>
        <v>0</v>
      </c>
      <c r="AP11" s="55" t="s">
        <v>82</v>
      </c>
      <c r="AQ11" s="39"/>
      <c r="AR11" s="39"/>
      <c r="AS11" s="39"/>
      <c r="AT11" s="39"/>
      <c r="AU11" s="51"/>
      <c r="AV11" s="39"/>
      <c r="AW11" s="52"/>
      <c r="AX11" s="39"/>
      <c r="AY11" s="51"/>
      <c r="AZ11" s="39"/>
      <c r="BA11" s="39"/>
      <c r="BB11" s="39"/>
      <c r="BC11" s="43"/>
      <c r="BD11" s="43"/>
      <c r="BE11" s="43">
        <v>16200</v>
      </c>
      <c r="BF11" s="51"/>
      <c r="BG11" s="43"/>
      <c r="BH11" s="53"/>
      <c r="BI11" s="57">
        <f t="shared" si="1"/>
        <v>1</v>
      </c>
      <c r="BJ11" s="58">
        <v>2.4359999999999999</v>
      </c>
      <c r="BK11" s="59">
        <v>48</v>
      </c>
      <c r="BL11" s="48">
        <v>0.04</v>
      </c>
      <c r="BM11" s="48">
        <v>0.18</v>
      </c>
      <c r="BN11" s="48">
        <v>0.41799999999999998</v>
      </c>
      <c r="BO11" s="48">
        <v>0.72599999999999998</v>
      </c>
      <c r="BP11" s="48">
        <v>1.2</v>
      </c>
      <c r="BQ11" s="48">
        <v>1.65</v>
      </c>
      <c r="BR11" s="48"/>
      <c r="BS11" s="48">
        <v>2.4430000000000001</v>
      </c>
      <c r="BT11" s="41">
        <v>51</v>
      </c>
      <c r="BU11" s="43"/>
      <c r="BV11" s="60">
        <v>42131</v>
      </c>
      <c r="BW11" s="44">
        <v>0.66268303064699197</v>
      </c>
      <c r="BX11" s="43">
        <v>13518</v>
      </c>
      <c r="BY11" s="43">
        <v>4976</v>
      </c>
      <c r="BZ11" s="44">
        <v>0.3681017902056517</v>
      </c>
      <c r="CA11" s="43">
        <v>95</v>
      </c>
      <c r="CB11" s="43">
        <v>791</v>
      </c>
      <c r="CC11" s="44">
        <v>7.0276668146175472E-3</v>
      </c>
      <c r="CD11" s="44">
        <v>5.8514573161710312E-2</v>
      </c>
    </row>
    <row r="12" spans="1:82" x14ac:dyDescent="0.25">
      <c r="A12" s="39" t="s">
        <v>94</v>
      </c>
      <c r="B12" s="40" t="s">
        <v>80</v>
      </c>
      <c r="C12" s="41">
        <v>820</v>
      </c>
      <c r="D12" s="61">
        <v>595.75</v>
      </c>
      <c r="E12" s="61">
        <v>2705.4</v>
      </c>
      <c r="F12" s="43">
        <v>18300</v>
      </c>
      <c r="G12" s="43">
        <v>15550</v>
      </c>
      <c r="H12" s="44">
        <f t="shared" si="2"/>
        <v>0.15027322404371585</v>
      </c>
      <c r="I12" s="39">
        <v>696</v>
      </c>
      <c r="J12" s="44">
        <f t="shared" si="3"/>
        <v>3.8032786885245903E-2</v>
      </c>
      <c r="K12" s="43">
        <v>43520</v>
      </c>
      <c r="L12" s="43">
        <v>94780</v>
      </c>
      <c r="M12" s="24">
        <f t="shared" si="4"/>
        <v>2.7987138263665594</v>
      </c>
      <c r="N12" s="24">
        <f t="shared" si="5"/>
        <v>2.1778492647058822</v>
      </c>
      <c r="O12" s="24">
        <f t="shared" si="6"/>
        <v>2.225361812733373</v>
      </c>
      <c r="P12" s="45">
        <f t="shared" si="11"/>
        <v>0.1739807073954984</v>
      </c>
      <c r="Q12" s="45">
        <f t="shared" si="12"/>
        <v>3.8311897106109327E-2</v>
      </c>
      <c r="R12" s="43">
        <v>1302</v>
      </c>
      <c r="S12" s="45">
        <f t="shared" si="13"/>
        <v>2.0778801843317973</v>
      </c>
      <c r="T12" s="24">
        <f t="shared" si="7"/>
        <v>14.055299539170507</v>
      </c>
      <c r="U12" s="24">
        <f t="shared" si="8"/>
        <v>6.0951768488745977</v>
      </c>
      <c r="V12" s="47">
        <v>47</v>
      </c>
      <c r="W12" s="43"/>
      <c r="X12" s="24"/>
      <c r="Y12" s="43"/>
      <c r="Z12" s="48">
        <f t="shared" si="9"/>
        <v>5.9547102688650197E-2</v>
      </c>
      <c r="AA12" s="71" t="str">
        <f t="shared" si="10"/>
        <v/>
      </c>
      <c r="AB12" s="48">
        <v>0.29508196721311475</v>
      </c>
      <c r="AC12" s="48">
        <v>1.389071038251366</v>
      </c>
      <c r="AD12" s="48">
        <v>2.1617486338797813</v>
      </c>
      <c r="AE12" s="48">
        <v>1.3333333333333333</v>
      </c>
      <c r="AF12" s="50" t="s">
        <v>81</v>
      </c>
      <c r="AG12" s="51"/>
      <c r="AH12" s="51"/>
      <c r="AI12" s="51">
        <v>6600</v>
      </c>
      <c r="AJ12" s="51"/>
      <c r="AK12" s="51"/>
      <c r="AL12" s="52"/>
      <c r="AM12" s="51"/>
      <c r="AN12" s="53"/>
      <c r="AO12" s="54">
        <f t="shared" si="0"/>
        <v>0.36065573770491804</v>
      </c>
      <c r="AP12" s="55" t="s">
        <v>82</v>
      </c>
      <c r="AQ12" s="51"/>
      <c r="AR12" s="43"/>
      <c r="AS12" s="43"/>
      <c r="AT12" s="43"/>
      <c r="AU12" s="51"/>
      <c r="AV12" s="43"/>
      <c r="AW12" s="52"/>
      <c r="AX12" s="43"/>
      <c r="AY12" s="51"/>
      <c r="AZ12" s="43"/>
      <c r="BA12" s="43"/>
      <c r="BB12" s="43"/>
      <c r="BC12" s="43"/>
      <c r="BD12" s="43"/>
      <c r="BE12" s="43">
        <v>11700</v>
      </c>
      <c r="BF12" s="51"/>
      <c r="BG12" s="43"/>
      <c r="BH12" s="53"/>
      <c r="BI12" s="57">
        <f t="shared" si="1"/>
        <v>0.63934426229508201</v>
      </c>
      <c r="BJ12" s="58">
        <v>2.7989999999999999</v>
      </c>
      <c r="BK12" s="59">
        <v>47</v>
      </c>
      <c r="BL12" s="48">
        <v>3.6999999999999998E-2</v>
      </c>
      <c r="BM12" s="48">
        <v>0.17199999999999999</v>
      </c>
      <c r="BN12" s="48">
        <v>0.44500000000000001</v>
      </c>
      <c r="BO12" s="48">
        <v>0.9</v>
      </c>
      <c r="BP12" s="48">
        <v>1.468</v>
      </c>
      <c r="BQ12" s="48">
        <v>1.988</v>
      </c>
      <c r="BR12" s="48">
        <v>2.6</v>
      </c>
      <c r="BS12" s="48">
        <v>2.7989999999999999</v>
      </c>
      <c r="BT12" s="41">
        <v>47</v>
      </c>
      <c r="BU12" s="43">
        <v>5500</v>
      </c>
      <c r="BV12" s="60">
        <v>42127</v>
      </c>
      <c r="BW12" s="44">
        <v>0.69775459558823527</v>
      </c>
      <c r="BX12" s="43">
        <v>15224</v>
      </c>
      <c r="BY12" s="43">
        <v>6200</v>
      </c>
      <c r="BZ12" s="44">
        <v>0.40725170782974252</v>
      </c>
      <c r="CA12" s="43">
        <v>135</v>
      </c>
      <c r="CB12" s="43">
        <v>197</v>
      </c>
      <c r="CC12" s="44">
        <v>8.8675775091960063E-3</v>
      </c>
      <c r="CD12" s="44">
        <v>1.2940094587493432E-2</v>
      </c>
    </row>
    <row r="13" spans="1:82" x14ac:dyDescent="0.25">
      <c r="A13" s="39" t="s">
        <v>95</v>
      </c>
      <c r="B13" s="40" t="s">
        <v>86</v>
      </c>
      <c r="C13" s="41">
        <v>430</v>
      </c>
      <c r="D13" s="61">
        <v>677.03</v>
      </c>
      <c r="E13" s="61">
        <v>7441.7820000000002</v>
      </c>
      <c r="F13" s="43">
        <v>38000</v>
      </c>
      <c r="G13" s="43">
        <v>34400</v>
      </c>
      <c r="H13" s="44">
        <f t="shared" si="2"/>
        <v>9.4736842105263161E-2</v>
      </c>
      <c r="I13" s="39">
        <v>631</v>
      </c>
      <c r="J13" s="44">
        <f t="shared" si="3"/>
        <v>1.6605263157894738E-2</v>
      </c>
      <c r="K13" s="43">
        <v>83710</v>
      </c>
      <c r="L13" s="43">
        <v>175320</v>
      </c>
      <c r="M13" s="24">
        <f t="shared" si="4"/>
        <v>2.4334302325581394</v>
      </c>
      <c r="N13" s="24">
        <f t="shared" si="5"/>
        <v>2.0943734320869667</v>
      </c>
      <c r="O13" s="24">
        <f t="shared" si="6"/>
        <v>2.1220713988922761</v>
      </c>
      <c r="P13" s="45">
        <f t="shared" si="11"/>
        <v>0.21633087209302326</v>
      </c>
      <c r="Q13" s="45">
        <f t="shared" si="12"/>
        <v>1.9681104651162788E-2</v>
      </c>
      <c r="R13" s="43">
        <v>3430</v>
      </c>
      <c r="S13" s="45">
        <f t="shared" si="13"/>
        <v>2.1696157434402332</v>
      </c>
      <c r="T13" s="24">
        <f t="shared" si="7"/>
        <v>11.078717201166182</v>
      </c>
      <c r="U13" s="24">
        <f t="shared" si="8"/>
        <v>5.0965116279069766</v>
      </c>
      <c r="V13" s="47">
        <v>48</v>
      </c>
      <c r="W13" s="43"/>
      <c r="X13" s="24"/>
      <c r="Y13" s="43"/>
      <c r="Z13" s="48">
        <f t="shared" si="9"/>
        <v>5.0696463178294571E-2</v>
      </c>
      <c r="AA13" s="62" t="str">
        <f t="shared" si="10"/>
        <v/>
      </c>
      <c r="AB13" s="48">
        <v>0.3142105263157895</v>
      </c>
      <c r="AC13" s="48">
        <v>1.57</v>
      </c>
      <c r="AD13" s="48">
        <v>1.8847368421052633</v>
      </c>
      <c r="AE13" s="48">
        <v>0.84473684210526312</v>
      </c>
      <c r="AF13" s="50" t="s">
        <v>81</v>
      </c>
      <c r="AG13" s="51"/>
      <c r="AH13" s="51"/>
      <c r="AI13" s="51"/>
      <c r="AJ13" s="51"/>
      <c r="AK13" s="51"/>
      <c r="AL13" s="52"/>
      <c r="AM13" s="51"/>
      <c r="AN13" s="53"/>
      <c r="AO13" s="54">
        <f t="shared" si="0"/>
        <v>0</v>
      </c>
      <c r="AP13" s="55" t="s">
        <v>82</v>
      </c>
      <c r="AQ13" s="51"/>
      <c r="AR13" s="43"/>
      <c r="AS13" s="43"/>
      <c r="AT13" s="43"/>
      <c r="AU13" s="43"/>
      <c r="AV13" s="43"/>
      <c r="AW13" s="52"/>
      <c r="AX13" s="43"/>
      <c r="AY13" s="43"/>
      <c r="AZ13" s="43">
        <v>28300</v>
      </c>
      <c r="BA13" s="43"/>
      <c r="BB13" s="43"/>
      <c r="BC13" s="43"/>
      <c r="BD13" s="43"/>
      <c r="BE13" s="43"/>
      <c r="BF13" s="51">
        <v>9700</v>
      </c>
      <c r="BG13" s="43"/>
      <c r="BH13" s="56"/>
      <c r="BI13" s="57">
        <f t="shared" si="1"/>
        <v>1</v>
      </c>
      <c r="BJ13" s="58">
        <v>2.4329999999999998</v>
      </c>
      <c r="BK13" s="59">
        <v>48</v>
      </c>
      <c r="BL13" s="48">
        <v>0.04</v>
      </c>
      <c r="BM13" s="48">
        <v>0.17674999999999999</v>
      </c>
      <c r="BN13" s="48">
        <v>0.4</v>
      </c>
      <c r="BO13" s="48">
        <v>0.8</v>
      </c>
      <c r="BP13" s="48">
        <v>1.325</v>
      </c>
      <c r="BQ13" s="48">
        <v>1.85</v>
      </c>
      <c r="BR13" s="48"/>
      <c r="BS13" s="48">
        <v>2.4329999999999998</v>
      </c>
      <c r="BT13" s="41">
        <v>48</v>
      </c>
      <c r="BU13" s="43"/>
      <c r="BV13" s="60">
        <v>42212</v>
      </c>
      <c r="BW13" s="44">
        <v>0.69747162824035358</v>
      </c>
      <c r="BX13" s="43">
        <v>33968</v>
      </c>
      <c r="BY13" s="43">
        <v>13296</v>
      </c>
      <c r="BZ13" s="44">
        <v>0.3914272256241168</v>
      </c>
      <c r="CA13" s="43">
        <v>88</v>
      </c>
      <c r="CB13" s="43">
        <v>361</v>
      </c>
      <c r="CC13" s="44">
        <v>2.5906735751295338E-3</v>
      </c>
      <c r="CD13" s="44">
        <v>1.0627649552520019E-2</v>
      </c>
    </row>
    <row r="14" spans="1:82" x14ac:dyDescent="0.25">
      <c r="A14" s="39" t="s">
        <v>96</v>
      </c>
      <c r="B14" s="40" t="s">
        <v>80</v>
      </c>
      <c r="C14" s="41">
        <v>796</v>
      </c>
      <c r="D14" s="42">
        <v>1766.87</v>
      </c>
      <c r="E14" s="42">
        <v>4931.35052</v>
      </c>
      <c r="F14" s="43">
        <v>28000</v>
      </c>
      <c r="G14" s="43">
        <v>19624</v>
      </c>
      <c r="H14" s="44">
        <f t="shared" si="2"/>
        <v>0.29914285714285715</v>
      </c>
      <c r="I14" s="39">
        <v>310</v>
      </c>
      <c r="J14" s="44">
        <f t="shared" si="3"/>
        <v>1.1071428571428571E-2</v>
      </c>
      <c r="K14" s="43">
        <v>57870</v>
      </c>
      <c r="L14" s="43">
        <v>116560</v>
      </c>
      <c r="M14" s="24">
        <f t="shared" si="4"/>
        <v>2.9489400733795352</v>
      </c>
      <c r="N14" s="24">
        <f t="shared" si="5"/>
        <v>2.0141696906860203</v>
      </c>
      <c r="O14" s="24">
        <f t="shared" si="6"/>
        <v>2.0751859090682241</v>
      </c>
      <c r="P14" s="45">
        <f t="shared" si="11"/>
        <v>0.25129181206685691</v>
      </c>
      <c r="Q14" s="45">
        <f t="shared" si="12"/>
        <v>9.0036180187525475E-2</v>
      </c>
      <c r="R14" s="43">
        <v>2200</v>
      </c>
      <c r="S14" s="45">
        <f t="shared" si="13"/>
        <v>2.2415229636363638</v>
      </c>
      <c r="T14" s="24">
        <f t="shared" si="7"/>
        <v>12.727272727272727</v>
      </c>
      <c r="U14" s="24">
        <f t="shared" si="8"/>
        <v>5.9396657154504684</v>
      </c>
      <c r="V14" s="47">
        <v>43.75</v>
      </c>
      <c r="W14" s="43"/>
      <c r="X14" s="24"/>
      <c r="Y14" s="43"/>
      <c r="Z14" s="48">
        <f t="shared" si="9"/>
        <v>6.7404344534389371E-2</v>
      </c>
      <c r="AA14" s="49" t="str">
        <f t="shared" si="10"/>
        <v/>
      </c>
      <c r="AB14" s="48">
        <v>0.30499999999999999</v>
      </c>
      <c r="AC14" s="48">
        <v>1.3864285714285713</v>
      </c>
      <c r="AD14" s="48">
        <v>1.9357142857142857</v>
      </c>
      <c r="AE14" s="48">
        <v>0.5357142857142857</v>
      </c>
      <c r="AF14" s="50" t="s">
        <v>81</v>
      </c>
      <c r="AG14" s="73">
        <v>4100</v>
      </c>
      <c r="AH14" s="73"/>
      <c r="AI14" s="73"/>
      <c r="AJ14" s="73"/>
      <c r="AK14" s="73"/>
      <c r="AL14" s="39"/>
      <c r="AM14" s="73"/>
      <c r="AN14" s="74"/>
      <c r="AO14" s="54">
        <f t="shared" si="0"/>
        <v>0.14642857142857144</v>
      </c>
      <c r="AP14" s="55" t="s">
        <v>82</v>
      </c>
      <c r="AQ14" s="73">
        <v>11900</v>
      </c>
      <c r="AR14" s="39">
        <v>7800</v>
      </c>
      <c r="AS14" s="39">
        <v>2700</v>
      </c>
      <c r="AT14" s="39">
        <v>1500</v>
      </c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72"/>
      <c r="BI14" s="57">
        <f t="shared" si="1"/>
        <v>0.85357142857142854</v>
      </c>
      <c r="BJ14" s="58">
        <v>2.867</v>
      </c>
      <c r="BK14" s="59">
        <v>42</v>
      </c>
      <c r="BL14" s="48">
        <v>4.2000000000000003E-2</v>
      </c>
      <c r="BM14" s="48">
        <v>0.186</v>
      </c>
      <c r="BN14" s="48"/>
      <c r="BO14" s="48">
        <v>0.94499999999999995</v>
      </c>
      <c r="BP14" s="48">
        <v>1.5</v>
      </c>
      <c r="BQ14" s="48">
        <v>2.1</v>
      </c>
      <c r="BR14" s="48">
        <v>2.87</v>
      </c>
      <c r="BS14" s="48">
        <v>3.0449999999999999</v>
      </c>
      <c r="BT14" s="41">
        <v>45</v>
      </c>
      <c r="BU14" s="43">
        <v>8000</v>
      </c>
      <c r="BV14" s="60">
        <v>42022</v>
      </c>
      <c r="BW14" s="44">
        <v>0.66681596682218769</v>
      </c>
      <c r="BX14" s="39">
        <v>18768</v>
      </c>
      <c r="BY14" s="43">
        <v>6880</v>
      </c>
      <c r="BZ14" s="44">
        <v>0.36658141517476556</v>
      </c>
      <c r="CA14" s="43">
        <v>175</v>
      </c>
      <c r="CB14" s="43">
        <v>402</v>
      </c>
      <c r="CC14" s="44">
        <v>9.3243819266837173E-3</v>
      </c>
      <c r="CD14" s="44">
        <v>2.1419437340153454E-2</v>
      </c>
    </row>
    <row r="15" spans="1:82" x14ac:dyDescent="0.25">
      <c r="A15" s="39" t="s">
        <v>85</v>
      </c>
      <c r="B15" s="40" t="s">
        <v>86</v>
      </c>
      <c r="C15" s="41">
        <v>430</v>
      </c>
      <c r="D15" s="61">
        <v>590.6</v>
      </c>
      <c r="E15" s="61">
        <f>2734.92+U15+V15</f>
        <v>2785.693739742087</v>
      </c>
      <c r="F15" s="43">
        <v>15800</v>
      </c>
      <c r="G15" s="43">
        <v>13648</v>
      </c>
      <c r="H15" s="44">
        <f t="shared" si="2"/>
        <v>0.13620253164556961</v>
      </c>
      <c r="I15" s="39">
        <v>135</v>
      </c>
      <c r="J15" s="44">
        <f t="shared" si="3"/>
        <v>8.5443037974683549E-3</v>
      </c>
      <c r="K15" s="43">
        <v>35500</v>
      </c>
      <c r="L15" s="43">
        <v>78800</v>
      </c>
      <c r="M15" s="24">
        <f t="shared" si="4"/>
        <v>2.6011137162954281</v>
      </c>
      <c r="N15" s="24">
        <f t="shared" si="5"/>
        <v>2.2197183098591551</v>
      </c>
      <c r="O15" s="24">
        <f t="shared" si="6"/>
        <v>2.2554136013220476</v>
      </c>
      <c r="P15" s="45">
        <f>+E15/G15</f>
        <v>0.2041100336856746</v>
      </c>
      <c r="Q15" s="45">
        <f>+D15/G15</f>
        <v>4.3273739742086752E-2</v>
      </c>
      <c r="R15" s="43">
        <v>1200</v>
      </c>
      <c r="S15" s="46">
        <f>+E15/R15</f>
        <v>2.3214114497850726</v>
      </c>
      <c r="T15" s="24">
        <f t="shared" si="7"/>
        <v>13.166666666666666</v>
      </c>
      <c r="U15" s="24">
        <f t="shared" si="8"/>
        <v>5.7737397420867529</v>
      </c>
      <c r="V15" s="47">
        <v>45</v>
      </c>
      <c r="W15" s="43"/>
      <c r="X15" s="24"/>
      <c r="Y15" s="43"/>
      <c r="Z15" s="48">
        <f t="shared" si="9"/>
        <v>5.7802527028787291E-2</v>
      </c>
      <c r="AA15" s="62" t="str">
        <f t="shared" si="10"/>
        <v/>
      </c>
      <c r="AB15" s="48">
        <v>0.30379746835443039</v>
      </c>
      <c r="AC15" s="48">
        <v>1.4113924050632911</v>
      </c>
      <c r="AD15" s="48">
        <v>2.5088607594936709</v>
      </c>
      <c r="AE15" s="48">
        <v>0.76329113924050629</v>
      </c>
      <c r="AF15" s="50" t="s">
        <v>81</v>
      </c>
      <c r="AG15" s="51"/>
      <c r="AH15" s="51"/>
      <c r="AI15" s="51"/>
      <c r="AJ15" s="51"/>
      <c r="AK15" s="51"/>
      <c r="AL15" s="52"/>
      <c r="AM15" s="51"/>
      <c r="AN15" s="53"/>
      <c r="AO15" s="54">
        <f t="shared" si="0"/>
        <v>0</v>
      </c>
      <c r="AP15" s="55" t="s">
        <v>82</v>
      </c>
      <c r="AQ15" s="51"/>
      <c r="AR15" s="43"/>
      <c r="AS15" s="43"/>
      <c r="AT15" s="43">
        <v>13600</v>
      </c>
      <c r="AU15" s="43"/>
      <c r="AV15" s="43">
        <v>2200</v>
      </c>
      <c r="AW15" s="52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56"/>
      <c r="BI15" s="57">
        <f t="shared" si="1"/>
        <v>1</v>
      </c>
      <c r="BJ15" s="58">
        <v>2.601</v>
      </c>
      <c r="BK15" s="59">
        <v>45</v>
      </c>
      <c r="BL15" s="48">
        <v>0</v>
      </c>
      <c r="BM15" s="48">
        <v>0.19</v>
      </c>
      <c r="BN15" s="48">
        <v>0.44</v>
      </c>
      <c r="BO15" s="48">
        <v>0.84</v>
      </c>
      <c r="BP15" s="48">
        <v>1.33</v>
      </c>
      <c r="BQ15" s="48">
        <v>1.85</v>
      </c>
      <c r="BR15" s="48">
        <v>2.4500000000000002</v>
      </c>
      <c r="BS15" s="48">
        <v>2.601</v>
      </c>
      <c r="BT15" s="41">
        <v>45</v>
      </c>
      <c r="BU15" s="43"/>
      <c r="BV15" s="60">
        <v>42054</v>
      </c>
      <c r="BW15" s="44">
        <v>0.68327718309859153</v>
      </c>
      <c r="BX15" s="43">
        <v>13436</v>
      </c>
      <c r="BY15" s="43">
        <v>4528</v>
      </c>
      <c r="BZ15" s="44">
        <v>0.3370050610300685</v>
      </c>
      <c r="CA15" s="43">
        <v>76</v>
      </c>
      <c r="CB15" s="43">
        <v>140</v>
      </c>
      <c r="CC15" s="44">
        <v>5.6564453706460256E-3</v>
      </c>
      <c r="CD15" s="44">
        <v>1.0419767788032152E-2</v>
      </c>
    </row>
    <row r="16" spans="1:82" x14ac:dyDescent="0.25">
      <c r="A16" s="39" t="s">
        <v>83</v>
      </c>
      <c r="B16" s="40" t="s">
        <v>80</v>
      </c>
      <c r="C16" s="41">
        <v>870</v>
      </c>
      <c r="D16" s="42">
        <v>804.04</v>
      </c>
      <c r="E16" s="42">
        <v>5873.4057499999999</v>
      </c>
      <c r="F16" s="43">
        <v>27700</v>
      </c>
      <c r="G16" s="43">
        <v>24150</v>
      </c>
      <c r="H16" s="44">
        <f t="shared" si="2"/>
        <v>0.12815884476534295</v>
      </c>
      <c r="I16" s="39">
        <v>1637</v>
      </c>
      <c r="J16" s="44">
        <f t="shared" si="3"/>
        <v>5.9097472924187724E-2</v>
      </c>
      <c r="K16" s="43">
        <v>68400</v>
      </c>
      <c r="L16" s="43">
        <v>146660</v>
      </c>
      <c r="M16" s="24">
        <f t="shared" si="4"/>
        <v>2.8322981366459627</v>
      </c>
      <c r="N16" s="24">
        <f t="shared" si="5"/>
        <v>2.1441520467836259</v>
      </c>
      <c r="O16" s="24">
        <f t="shared" si="6"/>
        <v>2.2284933693331279</v>
      </c>
      <c r="P16" s="45">
        <f>IF(G16=0,0,+E16/G16)</f>
        <v>0.24320520703933746</v>
      </c>
      <c r="Q16" s="45">
        <f>IF(G16=0,0,+D16/G16)</f>
        <v>3.3293581780538303E-2</v>
      </c>
      <c r="R16" s="43">
        <v>2500</v>
      </c>
      <c r="S16" s="45">
        <f>IF(R16=0,0,+E16/R16)</f>
        <v>2.3493623000000001</v>
      </c>
      <c r="T16" s="24">
        <f t="shared" si="7"/>
        <v>11.08</v>
      </c>
      <c r="U16" s="24">
        <f t="shared" si="8"/>
        <v>6.0728778467908899</v>
      </c>
      <c r="V16" s="47">
        <v>44</v>
      </c>
      <c r="W16" s="43"/>
      <c r="X16" s="24"/>
      <c r="Y16" s="43"/>
      <c r="Z16" s="48">
        <f t="shared" si="9"/>
        <v>6.4370412196499152E-2</v>
      </c>
      <c r="AA16" s="49" t="str">
        <f t="shared" si="10"/>
        <v/>
      </c>
      <c r="AB16" s="48">
        <v>0.30685920577617326</v>
      </c>
      <c r="AC16" s="48">
        <v>1.4209386281588448</v>
      </c>
      <c r="AD16" s="48">
        <v>2.8469314079422383</v>
      </c>
      <c r="AE16" s="48">
        <v>0.71985559566787005</v>
      </c>
      <c r="AF16" s="50" t="s">
        <v>81</v>
      </c>
      <c r="AG16" s="73"/>
      <c r="AH16" s="73"/>
      <c r="AI16" s="73"/>
      <c r="AJ16" s="73"/>
      <c r="AK16" s="73"/>
      <c r="AL16" s="39"/>
      <c r="AM16" s="73"/>
      <c r="AN16" s="74"/>
      <c r="AO16" s="54">
        <f t="shared" si="0"/>
        <v>0</v>
      </c>
      <c r="AP16" s="55" t="s">
        <v>82</v>
      </c>
      <c r="AQ16" s="73"/>
      <c r="AR16" s="39"/>
      <c r="AS16" s="39"/>
      <c r="AT16" s="39"/>
      <c r="AU16" s="39"/>
      <c r="AV16" s="39">
        <v>27700</v>
      </c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72"/>
      <c r="BI16" s="57">
        <f t="shared" si="1"/>
        <v>1</v>
      </c>
      <c r="BJ16" s="58">
        <v>2.8319999999999999</v>
      </c>
      <c r="BK16" s="59">
        <v>44</v>
      </c>
      <c r="BL16" s="48"/>
      <c r="BM16" s="48">
        <v>0.2</v>
      </c>
      <c r="BN16" s="48">
        <v>0.42</v>
      </c>
      <c r="BO16" s="48">
        <v>0.91400000000000003</v>
      </c>
      <c r="BP16" s="48"/>
      <c r="BQ16" s="48">
        <v>2.1829999999999998</v>
      </c>
      <c r="BR16" s="48">
        <v>2.5299999999999998</v>
      </c>
      <c r="BS16" s="48">
        <v>2.8319999999999999</v>
      </c>
      <c r="BT16" s="41">
        <v>44</v>
      </c>
      <c r="BU16" s="43"/>
      <c r="BV16" s="60">
        <v>42026</v>
      </c>
      <c r="BW16" s="44">
        <v>0.66332690058479526</v>
      </c>
      <c r="BX16" s="39">
        <v>23232</v>
      </c>
      <c r="BY16" s="43">
        <v>9552</v>
      </c>
      <c r="BZ16" s="44">
        <v>0.41115702479338845</v>
      </c>
      <c r="CA16" s="43">
        <v>653</v>
      </c>
      <c r="CB16" s="43">
        <v>261</v>
      </c>
      <c r="CC16" s="44">
        <v>2.8107782369146007E-2</v>
      </c>
      <c r="CD16" s="44">
        <v>1.1234504132231406E-2</v>
      </c>
    </row>
    <row r="17" spans="1:82" x14ac:dyDescent="0.25">
      <c r="A17" s="39" t="s">
        <v>85</v>
      </c>
      <c r="B17" s="40" t="s">
        <v>86</v>
      </c>
      <c r="C17" s="41">
        <v>430</v>
      </c>
      <c r="D17" s="61">
        <v>719.97</v>
      </c>
      <c r="E17" s="61">
        <v>3831.6623500000001</v>
      </c>
      <c r="F17" s="43">
        <v>21000</v>
      </c>
      <c r="G17" s="43">
        <v>19070</v>
      </c>
      <c r="H17" s="44">
        <f t="shared" si="2"/>
        <v>9.1904761904761906E-2</v>
      </c>
      <c r="I17" s="39">
        <v>396</v>
      </c>
      <c r="J17" s="44">
        <f t="shared" si="3"/>
        <v>1.8857142857142857E-2</v>
      </c>
      <c r="K17" s="43">
        <v>46780</v>
      </c>
      <c r="L17" s="43">
        <v>98740</v>
      </c>
      <c r="M17" s="24">
        <f t="shared" si="4"/>
        <v>2.4530676455165179</v>
      </c>
      <c r="N17" s="24">
        <f t="shared" si="5"/>
        <v>2.1107310816588285</v>
      </c>
      <c r="O17" s="24">
        <f t="shared" si="6"/>
        <v>2.1508839225838337</v>
      </c>
      <c r="P17" s="45">
        <f>IF(G17=0,0,+E17/G17)</f>
        <v>0.20092618510749868</v>
      </c>
      <c r="Q17" s="45">
        <f>IF(G17=0,0,+D17/G17)</f>
        <v>3.7754063974829576E-2</v>
      </c>
      <c r="R17" s="43">
        <v>1590</v>
      </c>
      <c r="S17" s="45">
        <f>IF(R17=0,0,+E17/R17)</f>
        <v>2.4098505345911949</v>
      </c>
      <c r="T17" s="24">
        <f t="shared" si="7"/>
        <v>13.20754716981132</v>
      </c>
      <c r="U17" s="24">
        <f t="shared" si="8"/>
        <v>5.1777661248033562</v>
      </c>
      <c r="V17" s="47">
        <v>45</v>
      </c>
      <c r="W17" s="43"/>
      <c r="X17" s="24"/>
      <c r="Y17" s="43"/>
      <c r="Z17" s="48">
        <f t="shared" si="9"/>
        <v>5.4512614344811507E-2</v>
      </c>
      <c r="AA17" s="62" t="str">
        <f t="shared" si="10"/>
        <v/>
      </c>
      <c r="AB17" s="48">
        <v>0.3295238095238095</v>
      </c>
      <c r="AC17" s="48">
        <v>1.7523809523809524</v>
      </c>
      <c r="AD17" s="48">
        <v>1.9542857142857142</v>
      </c>
      <c r="AE17" s="48">
        <v>0.6657142857142857</v>
      </c>
      <c r="AF17" s="50" t="s">
        <v>81</v>
      </c>
      <c r="AG17" s="51"/>
      <c r="AH17" s="51"/>
      <c r="AI17" s="51"/>
      <c r="AJ17" s="51"/>
      <c r="AK17" s="51">
        <v>14300</v>
      </c>
      <c r="AL17" s="52"/>
      <c r="AM17" s="51">
        <v>6700</v>
      </c>
      <c r="AN17" s="53"/>
      <c r="AO17" s="54">
        <f t="shared" si="0"/>
        <v>1</v>
      </c>
      <c r="AP17" s="55" t="s">
        <v>82</v>
      </c>
      <c r="AQ17" s="51"/>
      <c r="AR17" s="43"/>
      <c r="AS17" s="43"/>
      <c r="AT17" s="43"/>
      <c r="AU17" s="43"/>
      <c r="AV17" s="43"/>
      <c r="AW17" s="52"/>
      <c r="AX17" s="43"/>
      <c r="AY17" s="43"/>
      <c r="AZ17" s="43"/>
      <c r="BA17" s="43"/>
      <c r="BB17" s="43"/>
      <c r="BC17" s="43"/>
      <c r="BD17" s="43"/>
      <c r="BE17" s="43"/>
      <c r="BF17" s="51"/>
      <c r="BG17" s="43"/>
      <c r="BH17" s="56"/>
      <c r="BI17" s="57">
        <f t="shared" si="1"/>
        <v>0</v>
      </c>
      <c r="BJ17" s="58">
        <v>2.4529999999999998</v>
      </c>
      <c r="BK17" s="59">
        <v>45</v>
      </c>
      <c r="BL17" s="48">
        <v>4.2000000000000003E-2</v>
      </c>
      <c r="BM17" s="48">
        <v>0.17499999999999999</v>
      </c>
      <c r="BN17" s="48">
        <v>0.48</v>
      </c>
      <c r="BO17" s="48">
        <v>0.87</v>
      </c>
      <c r="BP17" s="48">
        <v>1.4750000000000001</v>
      </c>
      <c r="BQ17" s="48">
        <v>2.1</v>
      </c>
      <c r="BR17" s="48"/>
      <c r="BS17" s="48">
        <v>2.4529999999999998</v>
      </c>
      <c r="BT17" s="41">
        <v>45</v>
      </c>
      <c r="BU17" s="43"/>
      <c r="BV17" s="60">
        <v>42204</v>
      </c>
      <c r="BW17" s="44">
        <v>0.6952492518170158</v>
      </c>
      <c r="BX17" s="43">
        <v>18576</v>
      </c>
      <c r="BY17" s="43">
        <v>6512</v>
      </c>
      <c r="BZ17" s="44">
        <v>0.35055986218776919</v>
      </c>
      <c r="CA17" s="43">
        <v>61</v>
      </c>
      <c r="CB17" s="43">
        <v>295</v>
      </c>
      <c r="CC17" s="44">
        <v>3.2838070628768302E-3</v>
      </c>
      <c r="CD17" s="44">
        <v>1.5880706287683032E-2</v>
      </c>
    </row>
    <row r="18" spans="1:82" x14ac:dyDescent="0.25">
      <c r="A18" s="39" t="s">
        <v>95</v>
      </c>
      <c r="B18" s="40" t="s">
        <v>86</v>
      </c>
      <c r="C18" s="41">
        <v>430</v>
      </c>
      <c r="D18" s="61">
        <v>1342.67</v>
      </c>
      <c r="E18" s="61">
        <v>8588.76</v>
      </c>
      <c r="F18" s="43">
        <v>40700</v>
      </c>
      <c r="G18" s="43">
        <v>37340</v>
      </c>
      <c r="H18" s="44">
        <f t="shared" si="2"/>
        <v>8.255528255528255E-2</v>
      </c>
      <c r="I18" s="39">
        <v>1095</v>
      </c>
      <c r="J18" s="44">
        <f t="shared" si="3"/>
        <v>2.6904176904176905E-2</v>
      </c>
      <c r="K18" s="43">
        <v>96800</v>
      </c>
      <c r="L18" s="43">
        <v>193920</v>
      </c>
      <c r="M18" s="24">
        <f t="shared" si="4"/>
        <v>2.5923942153186932</v>
      </c>
      <c r="N18" s="24">
        <f t="shared" si="5"/>
        <v>2.0033057851239668</v>
      </c>
      <c r="O18" s="24">
        <f t="shared" si="6"/>
        <v>2.0288429079611858</v>
      </c>
      <c r="P18" s="45">
        <f>IF(G18=0,0,+E18/G18)</f>
        <v>0.23001499732190681</v>
      </c>
      <c r="Q18" s="45">
        <f>IF(G18=0,0,+D18/G18)</f>
        <v>3.5957953936797002E-2</v>
      </c>
      <c r="R18" s="43">
        <v>3430</v>
      </c>
      <c r="S18" s="45">
        <f>IF(R18=0,0,+E18/R18)</f>
        <v>2.5040116618075801</v>
      </c>
      <c r="T18" s="24">
        <f t="shared" si="7"/>
        <v>11.865889212827989</v>
      </c>
      <c r="U18" s="24">
        <f t="shared" si="8"/>
        <v>5.1933583288698451</v>
      </c>
      <c r="V18" s="47">
        <v>46.65</v>
      </c>
      <c r="W18" s="43">
        <v>37</v>
      </c>
      <c r="X18" s="24">
        <v>2.0110000000000001</v>
      </c>
      <c r="Y18" s="43">
        <v>7000</v>
      </c>
      <c r="Z18" s="48">
        <f t="shared" si="9"/>
        <v>5.5571151453776918E-2</v>
      </c>
      <c r="AA18" s="71">
        <f t="shared" si="10"/>
        <v>5.4351351351351357E-2</v>
      </c>
      <c r="AB18" s="48">
        <v>0.29484029484029484</v>
      </c>
      <c r="AC18" s="48">
        <v>1.4378378378378378</v>
      </c>
      <c r="AD18" s="48">
        <v>2.0958230958230959</v>
      </c>
      <c r="AE18" s="48">
        <v>0.93611793611793614</v>
      </c>
      <c r="AF18" s="50" t="s">
        <v>81</v>
      </c>
      <c r="AG18" s="51"/>
      <c r="AH18" s="51"/>
      <c r="AI18" s="51"/>
      <c r="AJ18" s="51">
        <v>2900</v>
      </c>
      <c r="AK18" s="51"/>
      <c r="AL18" s="52"/>
      <c r="AM18" s="51"/>
      <c r="AN18" s="53"/>
      <c r="AO18" s="54">
        <f t="shared" si="0"/>
        <v>7.125307125307126E-2</v>
      </c>
      <c r="AP18" s="55" t="s">
        <v>82</v>
      </c>
      <c r="AQ18" s="51"/>
      <c r="AR18" s="43"/>
      <c r="AS18" s="43"/>
      <c r="AT18" s="43"/>
      <c r="AU18" s="51"/>
      <c r="AV18" s="43"/>
      <c r="AW18" s="52"/>
      <c r="AX18" s="43"/>
      <c r="AY18" s="51"/>
      <c r="AZ18" s="43">
        <v>2700</v>
      </c>
      <c r="BA18" s="43"/>
      <c r="BB18" s="43"/>
      <c r="BC18" s="43"/>
      <c r="BD18" s="43"/>
      <c r="BE18" s="43"/>
      <c r="BF18" s="51"/>
      <c r="BG18" s="43">
        <v>35100</v>
      </c>
      <c r="BH18" s="53"/>
      <c r="BI18" s="57">
        <f t="shared" si="1"/>
        <v>0.92874692874692877</v>
      </c>
      <c r="BJ18" s="58">
        <v>2.6880000000000002</v>
      </c>
      <c r="BK18" s="59">
        <v>45</v>
      </c>
      <c r="BL18" s="48">
        <v>0.04</v>
      </c>
      <c r="BM18" s="48">
        <v>0.16</v>
      </c>
      <c r="BN18" s="48">
        <v>0.4</v>
      </c>
      <c r="BO18" s="48">
        <v>0.8</v>
      </c>
      <c r="BP18" s="48">
        <v>1.35</v>
      </c>
      <c r="BQ18" s="48">
        <v>1.9350000000000001</v>
      </c>
      <c r="BR18" s="48"/>
      <c r="BS18" s="48">
        <v>2.762</v>
      </c>
      <c r="BT18" s="41">
        <v>48</v>
      </c>
      <c r="BU18" s="43"/>
      <c r="BV18" s="60">
        <v>42149</v>
      </c>
      <c r="BW18" s="44">
        <v>0.68946010638297872</v>
      </c>
      <c r="BX18" s="43">
        <v>30086</v>
      </c>
      <c r="BY18" s="43">
        <v>11312</v>
      </c>
      <c r="BZ18" s="44">
        <v>0.37598883201489064</v>
      </c>
      <c r="CA18" s="43">
        <v>62</v>
      </c>
      <c r="CB18" s="43">
        <v>408</v>
      </c>
      <c r="CC18" s="44">
        <v>2.0607591570830286E-3</v>
      </c>
      <c r="CD18" s="44">
        <v>1.3561124775643156E-2</v>
      </c>
    </row>
    <row r="19" spans="1:82" x14ac:dyDescent="0.25">
      <c r="A19" s="39" t="s">
        <v>97</v>
      </c>
      <c r="B19" s="40" t="s">
        <v>80</v>
      </c>
      <c r="C19" s="41">
        <v>870</v>
      </c>
      <c r="D19" s="42">
        <v>286.81</v>
      </c>
      <c r="E19" s="42">
        <v>3540.7107599999999</v>
      </c>
      <c r="F19" s="43">
        <v>15100</v>
      </c>
      <c r="G19" s="43">
        <v>13912</v>
      </c>
      <c r="H19" s="44">
        <v>7.8675496688741728E-2</v>
      </c>
      <c r="I19" s="39">
        <v>662</v>
      </c>
      <c r="J19" s="44">
        <v>4.3841059602649009E-2</v>
      </c>
      <c r="K19" s="43">
        <v>38200</v>
      </c>
      <c r="L19" s="43">
        <v>81070</v>
      </c>
      <c r="M19" s="24">
        <v>2.7458309373202989</v>
      </c>
      <c r="N19" s="24">
        <v>2.1222513089005237</v>
      </c>
      <c r="O19" s="24">
        <f t="shared" si="6"/>
        <v>2.1687057594699635</v>
      </c>
      <c r="P19" s="45">
        <v>0.2545076739505463</v>
      </c>
      <c r="Q19" s="45">
        <v>2.0616014951121333E-2</v>
      </c>
      <c r="R19" s="43">
        <v>1400</v>
      </c>
      <c r="S19" s="46">
        <v>2.5290791142857141</v>
      </c>
      <c r="T19" s="24">
        <v>10.785714285714286</v>
      </c>
      <c r="U19" s="24">
        <v>5.8273433007475557</v>
      </c>
      <c r="V19" s="47">
        <v>45</v>
      </c>
      <c r="W19" s="43"/>
      <c r="X19" s="24"/>
      <c r="Y19" s="43"/>
      <c r="Z19" s="48">
        <v>6.101846527378442E-2</v>
      </c>
      <c r="AA19" s="49" t="s">
        <v>84</v>
      </c>
      <c r="AB19" s="48">
        <v>0.30993377483443707</v>
      </c>
      <c r="AC19" s="48">
        <v>1.429139072847682</v>
      </c>
      <c r="AD19" s="48">
        <v>2.5178807947019868</v>
      </c>
      <c r="AE19" s="48">
        <v>1.1119205298013246</v>
      </c>
      <c r="AF19" s="50" t="s">
        <v>81</v>
      </c>
      <c r="AG19" s="51"/>
      <c r="AH19" s="51"/>
      <c r="AI19" s="51"/>
      <c r="AJ19" s="51"/>
      <c r="AK19" s="51"/>
      <c r="AL19" s="52"/>
      <c r="AM19" s="51"/>
      <c r="AN19" s="53"/>
      <c r="AO19" s="54">
        <f t="shared" si="0"/>
        <v>0</v>
      </c>
      <c r="AP19" s="55" t="s">
        <v>82</v>
      </c>
      <c r="AQ19" s="51"/>
      <c r="AR19" s="43"/>
      <c r="AS19" s="43"/>
      <c r="AT19" s="43"/>
      <c r="AU19" s="43"/>
      <c r="AV19" s="43">
        <v>13300</v>
      </c>
      <c r="AW19" s="52"/>
      <c r="AX19" s="43"/>
      <c r="AY19" s="43"/>
      <c r="AZ19" s="43"/>
      <c r="BA19" s="43">
        <v>1800</v>
      </c>
      <c r="BB19" s="43"/>
      <c r="BC19" s="43"/>
      <c r="BD19" s="43"/>
      <c r="BE19" s="43"/>
      <c r="BF19" s="43"/>
      <c r="BG19" s="43"/>
      <c r="BH19" s="56"/>
      <c r="BI19" s="57">
        <f t="shared" si="1"/>
        <v>1</v>
      </c>
      <c r="BJ19" s="58">
        <v>2.746</v>
      </c>
      <c r="BK19" s="59">
        <v>45</v>
      </c>
      <c r="BL19" s="48">
        <v>4.4999999999999998E-2</v>
      </c>
      <c r="BM19" s="48">
        <v>0.2</v>
      </c>
      <c r="BN19" s="48">
        <v>0.5</v>
      </c>
      <c r="BO19" s="48">
        <v>1.048</v>
      </c>
      <c r="BP19" s="48">
        <v>1.59</v>
      </c>
      <c r="BQ19" s="48">
        <v>2.1749999999999998</v>
      </c>
      <c r="BR19" s="48"/>
      <c r="BS19" s="48">
        <v>2.746</v>
      </c>
      <c r="BT19" s="41">
        <v>45</v>
      </c>
      <c r="BU19" s="43">
        <v>500</v>
      </c>
      <c r="BV19" s="60">
        <v>42100</v>
      </c>
      <c r="BW19" s="44">
        <v>0.69588612565445018</v>
      </c>
      <c r="BX19" s="43">
        <v>13630</v>
      </c>
      <c r="BY19" s="43">
        <v>3136</v>
      </c>
      <c r="BZ19" s="44">
        <v>0.23008070432868671</v>
      </c>
      <c r="CA19" s="43">
        <v>21</v>
      </c>
      <c r="CB19" s="43">
        <v>277</v>
      </c>
      <c r="CC19" s="44">
        <v>1.5407190022010272E-3</v>
      </c>
      <c r="CD19" s="44">
        <v>2.0322817314746881E-2</v>
      </c>
    </row>
    <row r="20" spans="1:82" x14ac:dyDescent="0.25">
      <c r="A20" s="39" t="s">
        <v>98</v>
      </c>
      <c r="B20" s="40" t="s">
        <v>80</v>
      </c>
      <c r="C20" s="41">
        <v>823</v>
      </c>
      <c r="D20" s="61">
        <v>762.43</v>
      </c>
      <c r="E20" s="61">
        <v>4050.7737499999998</v>
      </c>
      <c r="F20" s="43">
        <v>17700</v>
      </c>
      <c r="G20" s="43">
        <v>15750</v>
      </c>
      <c r="H20" s="44">
        <f>IF(F20=0,0,+((F20-G20)/F20))</f>
        <v>0.11016949152542373</v>
      </c>
      <c r="I20" s="39">
        <v>137</v>
      </c>
      <c r="J20" s="44">
        <f>+(I20/F20)</f>
        <v>7.7401129943502822E-3</v>
      </c>
      <c r="K20" s="43">
        <v>41780</v>
      </c>
      <c r="L20" s="43">
        <v>86440</v>
      </c>
      <c r="M20" s="24">
        <f>IF(G20=0,0,+K20/G20)</f>
        <v>2.6526984126984128</v>
      </c>
      <c r="N20" s="24">
        <f>IF(K20=0,0,+L20/K20)</f>
        <v>2.0689325035902346</v>
      </c>
      <c r="O20" s="24">
        <f t="shared" si="6"/>
        <v>2.1182920712179807</v>
      </c>
      <c r="P20" s="45">
        <f>+E20/G20</f>
        <v>0.25719198412698413</v>
      </c>
      <c r="Q20" s="45">
        <f>+D20/G20</f>
        <v>4.8408253968253968E-2</v>
      </c>
      <c r="R20" s="43">
        <v>1600</v>
      </c>
      <c r="S20" s="45">
        <f>+E20/R20</f>
        <v>2.5317335937499998</v>
      </c>
      <c r="T20" s="24">
        <f>IF(R20=0,0,+F20/R20)</f>
        <v>11.0625</v>
      </c>
      <c r="U20" s="24">
        <f>IF(L20=0,0,+L20/G20)</f>
        <v>5.4882539682539679</v>
      </c>
      <c r="V20" s="47">
        <v>43.29</v>
      </c>
      <c r="W20" s="43"/>
      <c r="X20" s="24"/>
      <c r="Y20" s="43"/>
      <c r="Z20" s="48">
        <f>IF(V20=0,0,+M20/V20)</f>
        <v>6.1277394610727946E-2</v>
      </c>
      <c r="AA20" s="62" t="str">
        <f>IF(W20=0,"",+X20/W20)</f>
        <v/>
      </c>
      <c r="AB20" s="48">
        <v>0.29491525423728815</v>
      </c>
      <c r="AC20" s="48">
        <v>1.6824858757062147</v>
      </c>
      <c r="AD20" s="48">
        <v>2.5073446327683615</v>
      </c>
      <c r="AE20" s="48">
        <v>0.39887005649717516</v>
      </c>
      <c r="AF20" s="50" t="s">
        <v>81</v>
      </c>
      <c r="AG20" s="51"/>
      <c r="AH20" s="51"/>
      <c r="AI20" s="51"/>
      <c r="AJ20" s="51"/>
      <c r="AK20" s="51"/>
      <c r="AL20" s="52"/>
      <c r="AM20" s="43"/>
      <c r="AN20" s="53"/>
      <c r="AO20" s="54">
        <f t="shared" si="0"/>
        <v>0</v>
      </c>
      <c r="AP20" s="55" t="s">
        <v>82</v>
      </c>
      <c r="AQ20" s="51"/>
      <c r="AR20" s="43"/>
      <c r="AS20" s="43"/>
      <c r="AT20" s="43"/>
      <c r="AU20" s="51"/>
      <c r="AV20" s="43">
        <v>16800</v>
      </c>
      <c r="AW20" s="52"/>
      <c r="AX20" s="43"/>
      <c r="AY20" s="51"/>
      <c r="AZ20" s="43">
        <v>900</v>
      </c>
      <c r="BA20" s="43"/>
      <c r="BB20" s="43"/>
      <c r="BC20" s="43"/>
      <c r="BD20" s="43"/>
      <c r="BE20" s="43"/>
      <c r="BF20" s="43"/>
      <c r="BG20" s="43"/>
      <c r="BH20" s="56"/>
      <c r="BI20" s="57">
        <f t="shared" si="1"/>
        <v>1</v>
      </c>
      <c r="BJ20" s="58">
        <v>2.63</v>
      </c>
      <c r="BK20" s="59">
        <v>43</v>
      </c>
      <c r="BL20" s="48"/>
      <c r="BM20" s="48">
        <v>0.16</v>
      </c>
      <c r="BN20" s="48">
        <v>0.5</v>
      </c>
      <c r="BO20" s="48">
        <v>0.8</v>
      </c>
      <c r="BP20" s="48">
        <v>1.5</v>
      </c>
      <c r="BQ20" s="48">
        <v>1.9750000000000001</v>
      </c>
      <c r="BR20" s="48"/>
      <c r="BS20" s="48">
        <v>2.7080000000000002</v>
      </c>
      <c r="BT20" s="41">
        <v>44</v>
      </c>
      <c r="BU20" s="43">
        <v>4000</v>
      </c>
      <c r="BV20" s="60">
        <v>42082</v>
      </c>
      <c r="BW20" s="44">
        <v>0.68524629009095261</v>
      </c>
      <c r="BX20" s="43">
        <v>15392</v>
      </c>
      <c r="BY20" s="43">
        <v>5280</v>
      </c>
      <c r="BZ20" s="44">
        <v>0.34303534303534305</v>
      </c>
      <c r="CA20" s="43">
        <v>154</v>
      </c>
      <c r="CB20" s="43">
        <v>213</v>
      </c>
      <c r="CC20" s="44">
        <v>1.0005197505197506E-2</v>
      </c>
      <c r="CD20" s="44">
        <v>1.3838357588357589E-2</v>
      </c>
    </row>
    <row r="21" spans="1:82" x14ac:dyDescent="0.25">
      <c r="A21" s="39" t="s">
        <v>87</v>
      </c>
      <c r="B21" s="40" t="s">
        <v>80</v>
      </c>
      <c r="C21" s="41">
        <v>832</v>
      </c>
      <c r="D21" s="42">
        <v>1053.1300000000001</v>
      </c>
      <c r="E21" s="42">
        <v>6252.2492500000008</v>
      </c>
      <c r="F21" s="43">
        <v>23000</v>
      </c>
      <c r="G21" s="43">
        <v>20850</v>
      </c>
      <c r="H21" s="44">
        <v>9.3478260869565219E-2</v>
      </c>
      <c r="I21" s="39">
        <v>405</v>
      </c>
      <c r="J21" s="44">
        <v>1.7608695652173913E-2</v>
      </c>
      <c r="K21" s="43">
        <v>52190</v>
      </c>
      <c r="L21" s="43">
        <v>101970</v>
      </c>
      <c r="M21" s="24">
        <v>2.503117505995204</v>
      </c>
      <c r="N21" s="24">
        <v>1.9538225713738264</v>
      </c>
      <c r="O21" s="24">
        <f t="shared" si="6"/>
        <v>1.9962366155311548</v>
      </c>
      <c r="P21" s="45">
        <v>0.29986806954436457</v>
      </c>
      <c r="Q21" s="45">
        <v>5.0509832134292575E-2</v>
      </c>
      <c r="R21" s="43">
        <v>2400</v>
      </c>
      <c r="S21" s="46">
        <v>2.6051038541666669</v>
      </c>
      <c r="T21" s="24">
        <v>9.5833333333333339</v>
      </c>
      <c r="U21" s="24">
        <v>4.8906474820143888</v>
      </c>
      <c r="V21" s="47">
        <v>41.71</v>
      </c>
      <c r="W21" s="43"/>
      <c r="X21" s="24"/>
      <c r="Y21" s="43"/>
      <c r="Z21" s="48">
        <v>6.0012407240354927E-2</v>
      </c>
      <c r="AA21" s="49" t="s">
        <v>84</v>
      </c>
      <c r="AB21" s="48">
        <v>0.30086956521739128</v>
      </c>
      <c r="AC21" s="48">
        <v>1.56</v>
      </c>
      <c r="AD21" s="48">
        <v>2.577391304347826</v>
      </c>
      <c r="AE21" s="48">
        <v>-4.7826086956521737E-3</v>
      </c>
      <c r="AF21" s="50" t="s">
        <v>81</v>
      </c>
      <c r="AG21" s="51"/>
      <c r="AH21" s="51"/>
      <c r="AI21" s="51"/>
      <c r="AJ21" s="51"/>
      <c r="AK21" s="51"/>
      <c r="AL21" s="52"/>
      <c r="AM21" s="51">
        <f>10600+8000</f>
        <v>18600</v>
      </c>
      <c r="AN21" s="53"/>
      <c r="AO21" s="54">
        <f t="shared" si="0"/>
        <v>0.80869565217391304</v>
      </c>
      <c r="AP21" s="55" t="s">
        <v>82</v>
      </c>
      <c r="AQ21" s="51"/>
      <c r="AR21" s="43"/>
      <c r="AS21" s="43"/>
      <c r="AT21" s="43"/>
      <c r="AU21" s="43"/>
      <c r="AV21" s="43"/>
      <c r="AW21" s="52"/>
      <c r="AX21" s="43"/>
      <c r="AY21" s="43"/>
      <c r="AZ21" s="43"/>
      <c r="BA21" s="43"/>
      <c r="BB21" s="43"/>
      <c r="BC21" s="43"/>
      <c r="BD21" s="43"/>
      <c r="BE21" s="43">
        <v>4400</v>
      </c>
      <c r="BF21" s="43"/>
      <c r="BG21" s="43"/>
      <c r="BH21" s="56"/>
      <c r="BI21" s="57">
        <f t="shared" si="1"/>
        <v>0.19130434782608696</v>
      </c>
      <c r="BJ21" s="58">
        <v>2.5190000000000001</v>
      </c>
      <c r="BK21" s="59">
        <v>41</v>
      </c>
      <c r="BL21" s="48">
        <v>4.1000000000000002E-2</v>
      </c>
      <c r="BM21" s="48">
        <v>0.15</v>
      </c>
      <c r="BN21" s="48">
        <v>0.39</v>
      </c>
      <c r="BO21" s="48">
        <v>0.78</v>
      </c>
      <c r="BP21" s="48">
        <v>1.405</v>
      </c>
      <c r="BQ21" s="48">
        <v>2</v>
      </c>
      <c r="BR21" s="48">
        <v>2.5</v>
      </c>
      <c r="BS21" s="48">
        <v>2.5009999999999999</v>
      </c>
      <c r="BT21" s="41">
        <v>43</v>
      </c>
      <c r="BU21" s="75">
        <v>6610</v>
      </c>
      <c r="BV21" s="60">
        <v>42102</v>
      </c>
      <c r="BW21" s="44">
        <v>0.67446809733665458</v>
      </c>
      <c r="BX21" s="43">
        <v>20380</v>
      </c>
      <c r="BY21" s="43">
        <v>5760</v>
      </c>
      <c r="BZ21" s="44">
        <v>0.28263002944062809</v>
      </c>
      <c r="CA21" s="43">
        <v>64</v>
      </c>
      <c r="CB21" s="43">
        <v>379</v>
      </c>
      <c r="CC21" s="44">
        <v>3.1403336604514231E-3</v>
      </c>
      <c r="CD21" s="44">
        <v>1.8596663395485772E-2</v>
      </c>
    </row>
    <row r="22" spans="1:82" x14ac:dyDescent="0.25">
      <c r="A22" s="39" t="s">
        <v>99</v>
      </c>
      <c r="B22" s="40" t="s">
        <v>80</v>
      </c>
      <c r="C22" s="41">
        <v>800</v>
      </c>
      <c r="D22" s="61">
        <v>1177.82</v>
      </c>
      <c r="E22" s="61">
        <v>8183.25</v>
      </c>
      <c r="F22" s="43">
        <v>36300</v>
      </c>
      <c r="G22" s="43">
        <v>34460</v>
      </c>
      <c r="H22" s="44">
        <f>IF(F22=0,0,+((F22-G22)/F22))</f>
        <v>5.0688705234159782E-2</v>
      </c>
      <c r="I22" s="39">
        <v>158</v>
      </c>
      <c r="J22" s="44">
        <f>+(I22/F22)</f>
        <v>4.352617079889807E-3</v>
      </c>
      <c r="K22" s="43">
        <v>89380</v>
      </c>
      <c r="L22" s="43">
        <v>177950</v>
      </c>
      <c r="M22" s="24">
        <f>IF(G22=0,0,+K22/G22)</f>
        <v>2.5937318630295993</v>
      </c>
      <c r="N22" s="24">
        <f>IF(K22=0,0,+L22/K22)</f>
        <v>1.990937569926158</v>
      </c>
      <c r="O22" s="24">
        <f t="shared" si="6"/>
        <v>2.020012621000336</v>
      </c>
      <c r="P22" s="45">
        <f>IF(G22=0,0,+E22/G22)</f>
        <v>0.23747098084735926</v>
      </c>
      <c r="Q22" s="45">
        <f>IF(G22=0,0,+D22/G22)</f>
        <v>3.4179338363319788E-2</v>
      </c>
      <c r="R22" s="43">
        <v>3072</v>
      </c>
      <c r="S22" s="45">
        <f>IF(R22=0,0,+E22/R22)</f>
        <v>2.663818359375</v>
      </c>
      <c r="T22" s="24">
        <f>IF(R22=0,0,+F22/R22)</f>
        <v>11.81640625</v>
      </c>
      <c r="U22" s="24">
        <f>IF(L22=0,0,+L22/G22)</f>
        <v>5.163958212420197</v>
      </c>
      <c r="V22" s="47">
        <v>43</v>
      </c>
      <c r="W22" s="43"/>
      <c r="X22" s="24"/>
      <c r="Y22" s="43"/>
      <c r="Z22" s="48">
        <f>IF(V22=0,0,+M22/V22)</f>
        <v>6.0319345651851146E-2</v>
      </c>
      <c r="AA22" s="71" t="str">
        <f>IF(W22=0,"",+X22/W22)</f>
        <v/>
      </c>
      <c r="AB22" s="48">
        <v>0.3322314049586777</v>
      </c>
      <c r="AC22" s="48">
        <v>1.4148760330578511</v>
      </c>
      <c r="AD22" s="48">
        <v>2.433608815426997</v>
      </c>
      <c r="AE22" s="48">
        <v>0.7214876033057851</v>
      </c>
      <c r="AF22" s="50" t="s">
        <v>81</v>
      </c>
      <c r="AG22" s="51"/>
      <c r="AH22" s="51"/>
      <c r="AI22" s="51"/>
      <c r="AJ22" s="51"/>
      <c r="AK22" s="51"/>
      <c r="AL22" s="52"/>
      <c r="AM22" s="51"/>
      <c r="AN22" s="53"/>
      <c r="AO22" s="54">
        <f t="shared" si="0"/>
        <v>0</v>
      </c>
      <c r="AP22" s="55" t="s">
        <v>82</v>
      </c>
      <c r="AQ22" s="51"/>
      <c r="AR22" s="43"/>
      <c r="AS22" s="43"/>
      <c r="AT22" s="43"/>
      <c r="AU22" s="51"/>
      <c r="AV22" s="43">
        <v>6200</v>
      </c>
      <c r="AW22" s="52"/>
      <c r="AX22" s="43"/>
      <c r="AY22" s="51"/>
      <c r="AZ22" s="43">
        <v>30100</v>
      </c>
      <c r="BA22" s="43"/>
      <c r="BB22" s="43"/>
      <c r="BC22" s="43"/>
      <c r="BD22" s="43"/>
      <c r="BE22" s="43"/>
      <c r="BF22" s="51"/>
      <c r="BG22" s="43"/>
      <c r="BH22" s="53"/>
      <c r="BI22" s="57">
        <f t="shared" si="1"/>
        <v>1</v>
      </c>
      <c r="BJ22" s="58">
        <v>2.5939999999999999</v>
      </c>
      <c r="BK22" s="59">
        <v>43</v>
      </c>
      <c r="BL22" s="48"/>
      <c r="BM22" s="48"/>
      <c r="BN22" s="48"/>
      <c r="BO22" s="48"/>
      <c r="BP22" s="48"/>
      <c r="BQ22" s="48"/>
      <c r="BR22" s="48"/>
      <c r="BS22" s="48">
        <v>2.5939999999999999</v>
      </c>
      <c r="BT22" s="41">
        <v>43</v>
      </c>
      <c r="BU22" s="43">
        <v>6520</v>
      </c>
      <c r="BV22" s="60">
        <v>42144</v>
      </c>
      <c r="BW22" s="44">
        <v>0.68963213246811372</v>
      </c>
      <c r="BX22" s="43">
        <v>33932</v>
      </c>
      <c r="BY22" s="43">
        <v>14984</v>
      </c>
      <c r="BZ22" s="44">
        <v>0.44158906047388896</v>
      </c>
      <c r="CA22" s="43">
        <v>188</v>
      </c>
      <c r="CB22" s="43">
        <v>308</v>
      </c>
      <c r="CC22" s="44">
        <v>5.5404927502062948E-3</v>
      </c>
      <c r="CD22" s="44">
        <v>9.0769774843805252E-3</v>
      </c>
    </row>
    <row r="23" spans="1:82" x14ac:dyDescent="0.25">
      <c r="A23" s="39" t="s">
        <v>100</v>
      </c>
      <c r="B23" s="40" t="s">
        <v>80</v>
      </c>
      <c r="C23" s="41">
        <v>764</v>
      </c>
      <c r="D23" s="61">
        <v>1074.25</v>
      </c>
      <c r="E23" s="61">
        <f>3528.4+U23+V23</f>
        <v>3577.0245103857569</v>
      </c>
      <c r="F23" s="43">
        <v>17900</v>
      </c>
      <c r="G23" s="43">
        <v>15165</v>
      </c>
      <c r="H23" s="44">
        <f>IF(F23=0,0,+((F23-G23)/F23))</f>
        <v>0.15279329608938547</v>
      </c>
      <c r="I23" s="39">
        <v>268</v>
      </c>
      <c r="J23" s="44">
        <f>+(I23/F23)</f>
        <v>1.4972067039106146E-2</v>
      </c>
      <c r="K23" s="43">
        <v>39370</v>
      </c>
      <c r="L23" s="43">
        <v>76500</v>
      </c>
      <c r="M23" s="24">
        <f>IF(G23=0,0,+K23/G23)</f>
        <v>2.5961094625783052</v>
      </c>
      <c r="N23" s="24">
        <f>IF(K23=0,0,+L23/K23)</f>
        <v>1.9431038862077725</v>
      </c>
      <c r="O23" s="24">
        <f t="shared" si="6"/>
        <v>2.0880931430230207</v>
      </c>
      <c r="P23" s="45">
        <f>+E23/G23</f>
        <v>0.23587369010126982</v>
      </c>
      <c r="Q23" s="45">
        <f>+D23/G23</f>
        <v>7.083745466534784E-2</v>
      </c>
      <c r="R23" s="43">
        <v>1330</v>
      </c>
      <c r="S23" s="46">
        <f>+E23/R23</f>
        <v>2.6894921130719975</v>
      </c>
      <c r="T23" s="24">
        <f>IF(R23=0,0,+F23/R23)</f>
        <v>13.458646616541353</v>
      </c>
      <c r="U23" s="24">
        <f>IF(L23=0,0,+L23/G23)</f>
        <v>5.0445103857566762</v>
      </c>
      <c r="V23" s="47">
        <v>43.58</v>
      </c>
      <c r="W23" s="43"/>
      <c r="X23" s="24"/>
      <c r="Y23" s="43"/>
      <c r="Z23" s="48">
        <f>IF(V23=0,0,+M23/V23)</f>
        <v>5.9571121215656386E-2</v>
      </c>
      <c r="AA23" s="62" t="str">
        <f>IF(W23=0,"",+X23/W23)</f>
        <v/>
      </c>
      <c r="AB23" s="48">
        <v>0.29944134078212292</v>
      </c>
      <c r="AC23" s="48">
        <v>1.4067039106145252</v>
      </c>
      <c r="AD23" s="48">
        <v>2.51731843575419</v>
      </c>
      <c r="AE23" s="48">
        <v>5.027932960893855E-2</v>
      </c>
      <c r="AF23" s="50" t="s">
        <v>81</v>
      </c>
      <c r="AG23" s="51"/>
      <c r="AH23" s="51"/>
      <c r="AI23" s="51"/>
      <c r="AJ23" s="51"/>
      <c r="AK23" s="51"/>
      <c r="AL23" s="52"/>
      <c r="AM23" s="51"/>
      <c r="AN23" s="53"/>
      <c r="AO23" s="54">
        <f t="shared" si="0"/>
        <v>0</v>
      </c>
      <c r="AP23" s="55" t="s">
        <v>82</v>
      </c>
      <c r="AQ23" s="51"/>
      <c r="AR23" s="43"/>
      <c r="AS23" s="43"/>
      <c r="AT23" s="43"/>
      <c r="AU23" s="43"/>
      <c r="AV23" s="43"/>
      <c r="AW23" s="52"/>
      <c r="AX23" s="43"/>
      <c r="AY23" s="43"/>
      <c r="AZ23" s="43"/>
      <c r="BA23" s="43">
        <v>17900</v>
      </c>
      <c r="BB23" s="43"/>
      <c r="BC23" s="43"/>
      <c r="BD23" s="43"/>
      <c r="BE23" s="43"/>
      <c r="BF23" s="43"/>
      <c r="BG23" s="43"/>
      <c r="BH23" s="56"/>
      <c r="BI23" s="57">
        <f t="shared" si="1"/>
        <v>1</v>
      </c>
      <c r="BJ23" s="58">
        <v>2.5550000000000002</v>
      </c>
      <c r="BK23" s="59">
        <v>43</v>
      </c>
      <c r="BL23" s="48">
        <v>0.04</v>
      </c>
      <c r="BM23" s="48">
        <v>0.18</v>
      </c>
      <c r="BN23" s="48">
        <v>0.48</v>
      </c>
      <c r="BO23" s="48">
        <v>0.9</v>
      </c>
      <c r="BP23" s="48">
        <v>0</v>
      </c>
      <c r="BQ23" s="48">
        <v>2.02</v>
      </c>
      <c r="BR23" s="48">
        <v>2.6</v>
      </c>
      <c r="BS23" s="48">
        <v>2.69</v>
      </c>
      <c r="BT23" s="41">
        <v>44</v>
      </c>
      <c r="BU23" s="43">
        <v>8000</v>
      </c>
      <c r="BV23" s="60">
        <v>42055</v>
      </c>
      <c r="BW23" s="44">
        <v>0.64438760477520962</v>
      </c>
      <c r="BX23" s="43">
        <v>14228</v>
      </c>
      <c r="BY23" s="43">
        <v>5104</v>
      </c>
      <c r="BZ23" s="44">
        <v>0.35872926623559181</v>
      </c>
      <c r="CA23" s="43">
        <v>577</v>
      </c>
      <c r="CB23" s="43">
        <v>476</v>
      </c>
      <c r="CC23" s="44">
        <v>4.0553837503514198E-2</v>
      </c>
      <c r="CD23" s="44">
        <v>3.3455158841720553E-2</v>
      </c>
    </row>
    <row r="24" spans="1:82" x14ac:dyDescent="0.25">
      <c r="A24" s="39" t="s">
        <v>85</v>
      </c>
      <c r="B24" s="40" t="s">
        <v>86</v>
      </c>
      <c r="C24" s="41">
        <v>430</v>
      </c>
      <c r="D24" s="68">
        <v>948.17</v>
      </c>
      <c r="E24" s="68">
        <v>5660.45</v>
      </c>
      <c r="F24" s="43">
        <v>22300</v>
      </c>
      <c r="G24" s="43">
        <v>19520</v>
      </c>
      <c r="H24" s="44">
        <v>0.12466367713004484</v>
      </c>
      <c r="I24" s="39">
        <v>445</v>
      </c>
      <c r="J24" s="44">
        <v>1.9955156950672646E-2</v>
      </c>
      <c r="K24" s="43">
        <v>47840</v>
      </c>
      <c r="L24" s="43">
        <v>91860</v>
      </c>
      <c r="M24" s="24">
        <v>2.4508196721311477</v>
      </c>
      <c r="N24" s="24">
        <v>1.9201505016722409</v>
      </c>
      <c r="O24" s="24">
        <v>1.9376208536312105</v>
      </c>
      <c r="P24" s="45">
        <v>0.28998206967213114</v>
      </c>
      <c r="Q24" s="45">
        <v>4.8574282786885241E-2</v>
      </c>
      <c r="R24" s="43">
        <v>2040</v>
      </c>
      <c r="S24" s="45">
        <v>2.7747303921568625</v>
      </c>
      <c r="T24" s="24">
        <v>10.931372549019608</v>
      </c>
      <c r="U24" s="24">
        <v>4.7059426229508201</v>
      </c>
      <c r="V24" s="47">
        <v>44.74</v>
      </c>
      <c r="W24" s="43"/>
      <c r="X24" s="24"/>
      <c r="Y24" s="43"/>
      <c r="Z24" s="48">
        <v>5.4779161200964405E-2</v>
      </c>
      <c r="AA24" s="69" t="s">
        <v>84</v>
      </c>
      <c r="AB24" s="48">
        <v>0.31031390134529147</v>
      </c>
      <c r="AC24" s="48">
        <v>1.4457399103139013</v>
      </c>
      <c r="AD24" s="48">
        <v>2.1085201793721975</v>
      </c>
      <c r="AE24" s="48">
        <v>0.25470852017937218</v>
      </c>
      <c r="AF24" s="50" t="s">
        <v>81</v>
      </c>
      <c r="AG24" s="51"/>
      <c r="AH24" s="51"/>
      <c r="AI24" s="51"/>
      <c r="AJ24" s="51"/>
      <c r="AK24" s="51"/>
      <c r="AL24" s="39"/>
      <c r="AM24" s="51"/>
      <c r="AN24" s="53"/>
      <c r="AO24" s="54">
        <f t="shared" si="0"/>
        <v>0</v>
      </c>
      <c r="AP24" s="55" t="s">
        <v>82</v>
      </c>
      <c r="AQ24" s="51"/>
      <c r="AR24" s="43"/>
      <c r="AS24" s="43"/>
      <c r="AT24" s="43"/>
      <c r="AU24" s="43"/>
      <c r="AV24" s="43"/>
      <c r="AW24" s="43"/>
      <c r="AX24" s="43"/>
      <c r="AY24" s="43">
        <v>16500</v>
      </c>
      <c r="AZ24" s="43"/>
      <c r="BA24" s="43"/>
      <c r="BB24" s="43"/>
      <c r="BC24" s="43"/>
      <c r="BD24" s="43"/>
      <c r="BE24" s="43"/>
      <c r="BF24" s="51">
        <v>5800</v>
      </c>
      <c r="BG24" s="43"/>
      <c r="BH24" s="56"/>
      <c r="BI24" s="57">
        <f t="shared" si="1"/>
        <v>1</v>
      </c>
      <c r="BJ24" s="58">
        <v>2.4249999999999998</v>
      </c>
      <c r="BK24" s="59">
        <v>44</v>
      </c>
      <c r="BL24" s="48">
        <v>3.6999999999999998E-2</v>
      </c>
      <c r="BM24" s="48">
        <v>0.17</v>
      </c>
      <c r="BN24" s="48">
        <v>0.433</v>
      </c>
      <c r="BO24" s="48">
        <v>0.78500000000000003</v>
      </c>
      <c r="BP24" s="48">
        <v>1.3</v>
      </c>
      <c r="BQ24" s="48">
        <v>1.7</v>
      </c>
      <c r="BR24" s="48">
        <v>2.2999999999999998</v>
      </c>
      <c r="BS24" s="48">
        <v>2.464</v>
      </c>
      <c r="BT24" s="41">
        <v>45</v>
      </c>
      <c r="BU24" s="43"/>
      <c r="BV24" s="60">
        <v>42226</v>
      </c>
      <c r="BW24" s="44">
        <v>0.70330392976588629</v>
      </c>
      <c r="BX24" s="43">
        <v>19294</v>
      </c>
      <c r="BY24" s="43">
        <v>8160</v>
      </c>
      <c r="BZ24" s="44">
        <v>0.42292940810614699</v>
      </c>
      <c r="CA24" s="43">
        <v>42</v>
      </c>
      <c r="CB24" s="43">
        <v>239</v>
      </c>
      <c r="CC24" s="44">
        <v>2.1768425417228155E-3</v>
      </c>
      <c r="CD24" s="44">
        <v>1.2387270654089354E-2</v>
      </c>
    </row>
    <row r="25" spans="1:82" x14ac:dyDescent="0.25">
      <c r="A25" s="39" t="s">
        <v>79</v>
      </c>
      <c r="B25" s="40" t="s">
        <v>80</v>
      </c>
      <c r="C25" s="41">
        <v>860</v>
      </c>
      <c r="D25" s="61">
        <v>2070.59</v>
      </c>
      <c r="E25" s="61">
        <v>10282.952724999999</v>
      </c>
      <c r="F25" s="43">
        <v>37000</v>
      </c>
      <c r="G25" s="43">
        <v>34645</v>
      </c>
      <c r="H25" s="44">
        <f>IF(F25=0,0,+((F25-G25)/F25))</f>
        <v>6.3648648648648651E-2</v>
      </c>
      <c r="I25" s="39">
        <v>791</v>
      </c>
      <c r="J25" s="44">
        <f>+(I25/F25)</f>
        <v>2.1378378378378377E-2</v>
      </c>
      <c r="K25" s="43">
        <v>85980</v>
      </c>
      <c r="L25" s="43">
        <v>167880</v>
      </c>
      <c r="M25" s="24">
        <f>IF(G25=0,0,+K25/G25)</f>
        <v>2.48174339731563</v>
      </c>
      <c r="N25" s="24">
        <f>IF(K25=0,0,+L25/K25)</f>
        <v>1.9525471039776692</v>
      </c>
      <c r="O25" s="24">
        <f>+L25/((G25-CA25-CB25)*M25)</f>
        <v>1.9738552833972265</v>
      </c>
      <c r="P25" s="45">
        <f>IF(G25=0,0,+E25/G25)</f>
        <v>0.29680914201183428</v>
      </c>
      <c r="Q25" s="45">
        <f>IF(G25=0,0,+D25/G25)</f>
        <v>5.9765911386924525E-2</v>
      </c>
      <c r="R25" s="43">
        <v>3600</v>
      </c>
      <c r="S25" s="45">
        <f>IF(R25=0,0,+E25/R25)</f>
        <v>2.8563757569444443</v>
      </c>
      <c r="T25" s="24">
        <f>IF(R25=0,0,+F25/R25)</f>
        <v>10.277777777777779</v>
      </c>
      <c r="U25" s="24">
        <f>IF(L25=0,0,+L25/G25)</f>
        <v>4.8457208832443355</v>
      </c>
      <c r="V25" s="47">
        <v>43.48</v>
      </c>
      <c r="W25" s="43"/>
      <c r="X25" s="24"/>
      <c r="Y25" s="43"/>
      <c r="Z25" s="48">
        <f>IF(V25=0,0,+M25/V25)</f>
        <v>5.7077815025658465E-2</v>
      </c>
      <c r="AA25" s="62" t="str">
        <f>IF(W25=0,"",+X25/W25)</f>
        <v/>
      </c>
      <c r="AB25" s="48">
        <v>0.32324324324324322</v>
      </c>
      <c r="AC25" s="48">
        <v>1.3951351351351351</v>
      </c>
      <c r="AD25" s="48">
        <v>2.129189189189189</v>
      </c>
      <c r="AE25" s="48">
        <v>0.68972972972972968</v>
      </c>
      <c r="AF25" s="50" t="s">
        <v>81</v>
      </c>
      <c r="AG25" s="51"/>
      <c r="AH25" s="51"/>
      <c r="AI25" s="51">
        <v>3800</v>
      </c>
      <c r="AJ25" s="51"/>
      <c r="AK25" s="51"/>
      <c r="AL25" s="52"/>
      <c r="AM25" s="51"/>
      <c r="AN25" s="53"/>
      <c r="AO25" s="54">
        <f t="shared" si="0"/>
        <v>0.10270270270270271</v>
      </c>
      <c r="AP25" s="55" t="s">
        <v>82</v>
      </c>
      <c r="AQ25" s="51"/>
      <c r="AR25" s="43"/>
      <c r="AS25" s="43"/>
      <c r="AT25" s="43"/>
      <c r="AU25" s="43"/>
      <c r="AV25" s="43"/>
      <c r="AW25" s="52"/>
      <c r="AX25" s="43"/>
      <c r="AY25" s="43"/>
      <c r="AZ25" s="43">
        <v>21300</v>
      </c>
      <c r="BA25" s="43">
        <v>11900</v>
      </c>
      <c r="BB25" s="43"/>
      <c r="BC25" s="43"/>
      <c r="BD25" s="43"/>
      <c r="BE25" s="43"/>
      <c r="BF25" s="51"/>
      <c r="BG25" s="43"/>
      <c r="BH25" s="56"/>
      <c r="BI25" s="57">
        <f t="shared" si="1"/>
        <v>0.89729729729729735</v>
      </c>
      <c r="BJ25" s="58">
        <v>2.4340000000000002</v>
      </c>
      <c r="BK25" s="59">
        <v>42</v>
      </c>
      <c r="BL25" s="48">
        <v>4.2000000000000003E-2</v>
      </c>
      <c r="BM25" s="48">
        <v>0.16750000000000001</v>
      </c>
      <c r="BN25" s="48">
        <v>0.47399999999999998</v>
      </c>
      <c r="BO25" s="48">
        <v>0.89600000000000002</v>
      </c>
      <c r="BP25" s="48">
        <v>1.41</v>
      </c>
      <c r="BQ25" s="48"/>
      <c r="BR25" s="48">
        <v>2.4980000000000002</v>
      </c>
      <c r="BS25" s="48">
        <v>2.4990000000000001</v>
      </c>
      <c r="BT25" s="41">
        <v>44</v>
      </c>
      <c r="BU25" s="43"/>
      <c r="BV25" s="60">
        <v>42208</v>
      </c>
      <c r="BW25" s="44">
        <v>0.68837229588276339</v>
      </c>
      <c r="BX25" s="43">
        <v>34284</v>
      </c>
      <c r="BY25" s="43">
        <v>12480</v>
      </c>
      <c r="BZ25" s="44">
        <v>0.3640182009100455</v>
      </c>
      <c r="CA25" s="43">
        <v>50</v>
      </c>
      <c r="CB25" s="43">
        <v>324</v>
      </c>
      <c r="CC25" s="44">
        <v>1.4584062536460156E-3</v>
      </c>
      <c r="CD25" s="44">
        <v>9.450472523626182E-3</v>
      </c>
    </row>
    <row r="26" spans="1:82" x14ac:dyDescent="0.25">
      <c r="A26" s="39" t="s">
        <v>95</v>
      </c>
      <c r="B26" s="40" t="s">
        <v>86</v>
      </c>
      <c r="C26" s="41">
        <v>430</v>
      </c>
      <c r="D26" s="61">
        <v>639.27</v>
      </c>
      <c r="E26" s="61">
        <v>10015.825200000001</v>
      </c>
      <c r="F26" s="43">
        <v>39500</v>
      </c>
      <c r="G26" s="43">
        <v>36240</v>
      </c>
      <c r="H26" s="44">
        <f>IF(F26=0,0,+((F26-G26)/F26))</f>
        <v>8.2531645569620254E-2</v>
      </c>
      <c r="I26" s="39">
        <f>318+516</f>
        <v>834</v>
      </c>
      <c r="J26" s="44">
        <f>+(I26/F26)</f>
        <v>2.111392405063291E-2</v>
      </c>
      <c r="K26" s="43">
        <v>87880</v>
      </c>
      <c r="L26" s="43">
        <v>176240</v>
      </c>
      <c r="M26" s="24">
        <f>IF(G26=0,0,+K26/G26)</f>
        <v>2.424944812362031</v>
      </c>
      <c r="N26" s="24">
        <f>IF(K26=0,0,+L26/K26)</f>
        <v>2.0054619936276743</v>
      </c>
      <c r="O26" s="24">
        <f>+L26/((G26-CA26-CB26)*M26)</f>
        <v>2.0488820097278673</v>
      </c>
      <c r="P26" s="45">
        <f>+E26/G26</f>
        <v>0.27637486754966889</v>
      </c>
      <c r="Q26" s="45">
        <f>+D26/G26</f>
        <v>1.7639900662251656E-2</v>
      </c>
      <c r="R26" s="43">
        <v>3430</v>
      </c>
      <c r="S26" s="45">
        <f>+E26/R26</f>
        <v>2.9200656559766767</v>
      </c>
      <c r="T26" s="24">
        <f>IF(R26=0,0,+F26/R26)</f>
        <v>11.51603498542274</v>
      </c>
      <c r="U26" s="24">
        <f>IF(L26=0,0,+L26/G26)</f>
        <v>4.8631346578366443</v>
      </c>
      <c r="V26" s="47">
        <v>42.71</v>
      </c>
      <c r="W26" s="43"/>
      <c r="X26" s="24"/>
      <c r="Y26" s="43"/>
      <c r="Z26" s="48">
        <f>IF(V26=0,0,+M26/V26)</f>
        <v>5.6776979919504353E-2</v>
      </c>
      <c r="AA26" s="62" t="str">
        <f>IF(W26=0,"",+X26/W26)</f>
        <v/>
      </c>
      <c r="AB26" s="48">
        <v>0.30278481012658226</v>
      </c>
      <c r="AC26" s="48">
        <v>1.3837974683544303</v>
      </c>
      <c r="AD26" s="48">
        <v>2</v>
      </c>
      <c r="AE26" s="48">
        <v>0.7751898734177215</v>
      </c>
      <c r="AF26" s="50" t="s">
        <v>81</v>
      </c>
      <c r="AG26" s="51"/>
      <c r="AH26" s="51"/>
      <c r="AI26" s="51"/>
      <c r="AJ26" s="51"/>
      <c r="AK26" s="51"/>
      <c r="AL26" s="52"/>
      <c r="AM26" s="43"/>
      <c r="AN26" s="53"/>
      <c r="AO26" s="54">
        <f t="shared" si="0"/>
        <v>0</v>
      </c>
      <c r="AP26" s="55" t="s">
        <v>82</v>
      </c>
      <c r="AQ26" s="51"/>
      <c r="AR26" s="43"/>
      <c r="AS26" s="43"/>
      <c r="AT26" s="43"/>
      <c r="AU26" s="51"/>
      <c r="AV26" s="43"/>
      <c r="AW26" s="52"/>
      <c r="AX26" s="43"/>
      <c r="AY26" s="51"/>
      <c r="AZ26" s="43">
        <f>20700+18800</f>
        <v>39500</v>
      </c>
      <c r="BA26" s="43"/>
      <c r="BB26" s="43"/>
      <c r="BC26" s="43"/>
      <c r="BD26" s="43"/>
      <c r="BE26" s="43"/>
      <c r="BF26" s="43"/>
      <c r="BG26" s="43"/>
      <c r="BH26" s="56"/>
      <c r="BI26" s="57">
        <f t="shared" si="1"/>
        <v>1</v>
      </c>
      <c r="BJ26" s="58">
        <v>2.4710000000000001</v>
      </c>
      <c r="BK26" s="59">
        <v>42</v>
      </c>
      <c r="BL26" s="48">
        <v>3.7999999999999999E-2</v>
      </c>
      <c r="BM26" s="48">
        <v>0.16</v>
      </c>
      <c r="BN26" s="48">
        <v>0.4</v>
      </c>
      <c r="BO26" s="48">
        <v>0.85</v>
      </c>
      <c r="BP26" s="48">
        <v>1.35</v>
      </c>
      <c r="BQ26" s="48">
        <v>2.0750000000000002</v>
      </c>
      <c r="BR26" s="48">
        <v>2.4710000000000001</v>
      </c>
      <c r="BS26" s="48">
        <v>2.4049999999999998</v>
      </c>
      <c r="BT26" s="41">
        <v>43</v>
      </c>
      <c r="BU26" s="43"/>
      <c r="BV26" s="60">
        <v>42074</v>
      </c>
      <c r="BW26" s="44">
        <v>0.685454483386436</v>
      </c>
      <c r="BX26" s="43">
        <v>35494</v>
      </c>
      <c r="BY26" s="43">
        <v>9800</v>
      </c>
      <c r="BZ26" s="44">
        <v>0.27610300332450555</v>
      </c>
      <c r="CA26" s="43">
        <v>345</v>
      </c>
      <c r="CB26" s="43">
        <v>423</v>
      </c>
      <c r="CC26" s="44">
        <v>9.7199526680565723E-3</v>
      </c>
      <c r="CD26" s="44">
        <v>1.1917507184312842E-2</v>
      </c>
    </row>
    <row r="27" spans="1:82" x14ac:dyDescent="0.25">
      <c r="A27" s="39" t="s">
        <v>92</v>
      </c>
      <c r="B27" s="40" t="s">
        <v>86</v>
      </c>
      <c r="C27" s="41">
        <v>456</v>
      </c>
      <c r="D27" s="61">
        <v>728.15</v>
      </c>
      <c r="E27" s="61">
        <v>2891.67</v>
      </c>
      <c r="F27" s="43">
        <v>11500</v>
      </c>
      <c r="G27" s="43">
        <v>10715</v>
      </c>
      <c r="H27" s="44">
        <f>IF(F27=0,0,+((F27-G27)/F27))</f>
        <v>6.8260869565217389E-2</v>
      </c>
      <c r="I27" s="39">
        <v>149</v>
      </c>
      <c r="J27" s="44">
        <f>+(I27/F27)</f>
        <v>1.2956521739130434E-2</v>
      </c>
      <c r="K27" s="43">
        <v>32540</v>
      </c>
      <c r="L27" s="43">
        <v>69100</v>
      </c>
      <c r="M27" s="24">
        <f>IF(G27=0,0,+K27/G27)</f>
        <v>3.0368642090527298</v>
      </c>
      <c r="N27" s="24">
        <f>IF(K27=0,0,+L27/K27)</f>
        <v>2.123540258143823</v>
      </c>
      <c r="O27" s="24">
        <f>+L27/((G27-CA27-CB27)*M27)</f>
        <v>2.123540258143823</v>
      </c>
      <c r="P27" s="45">
        <f>IF(G27=0,0,+E27/G27)</f>
        <v>0.26987120858609426</v>
      </c>
      <c r="Q27" s="45">
        <f>IF(G27=0,0,+D27/G27)</f>
        <v>6.795613625758283E-2</v>
      </c>
      <c r="R27" s="43">
        <v>960</v>
      </c>
      <c r="S27" s="45">
        <f>IF(R27=0,0,+E27/R27)</f>
        <v>3.0121562499999999</v>
      </c>
      <c r="T27" s="24">
        <f>IF(R27=0,0,+F27/R27)</f>
        <v>11.979166666666666</v>
      </c>
      <c r="U27" s="24">
        <f>IF(L27=0,0,+L27/G27)</f>
        <v>6.4489034064395705</v>
      </c>
      <c r="V27" s="47">
        <v>50</v>
      </c>
      <c r="W27" s="43"/>
      <c r="X27" s="24"/>
      <c r="Y27" s="43"/>
      <c r="Z27" s="48">
        <f>IF(V27=0,0,+M27/V27)</f>
        <v>6.0737284181054597E-2</v>
      </c>
      <c r="AA27" s="62" t="str">
        <f>IF(W27=0,"",+X27/W27)</f>
        <v/>
      </c>
      <c r="AB27" s="48">
        <v>0.32173913043478258</v>
      </c>
      <c r="AC27" s="48">
        <v>1.5130434782608695</v>
      </c>
      <c r="AD27" s="48">
        <v>2.3930434782608696</v>
      </c>
      <c r="AE27" s="48">
        <v>1.7808695652173914</v>
      </c>
      <c r="AF27" s="50" t="s">
        <v>81</v>
      </c>
      <c r="AG27" s="51"/>
      <c r="AH27" s="43"/>
      <c r="AI27" s="51">
        <v>11500</v>
      </c>
      <c r="AJ27" s="51"/>
      <c r="AK27" s="51"/>
      <c r="AL27" s="52"/>
      <c r="AM27" s="51"/>
      <c r="AN27" s="53"/>
      <c r="AO27" s="54">
        <f t="shared" si="0"/>
        <v>1</v>
      </c>
      <c r="AP27" s="55" t="s">
        <v>82</v>
      </c>
      <c r="AQ27" s="51"/>
      <c r="AR27" s="43"/>
      <c r="AS27" s="43"/>
      <c r="AT27" s="43"/>
      <c r="AU27" s="43"/>
      <c r="AV27" s="43"/>
      <c r="AW27" s="52"/>
      <c r="AX27" s="43"/>
      <c r="AY27" s="43"/>
      <c r="AZ27" s="43"/>
      <c r="BA27" s="43"/>
      <c r="BB27" s="43"/>
      <c r="BC27" s="43"/>
      <c r="BD27" s="43"/>
      <c r="BE27" s="43"/>
      <c r="BF27" s="39"/>
      <c r="BG27" s="39"/>
      <c r="BH27" s="56"/>
      <c r="BI27" s="57">
        <f t="shared" si="1"/>
        <v>0</v>
      </c>
      <c r="BJ27" s="58">
        <v>3.13</v>
      </c>
      <c r="BK27" s="59">
        <v>50</v>
      </c>
      <c r="BL27" s="48"/>
      <c r="BM27" s="48">
        <v>0.16</v>
      </c>
      <c r="BN27" s="48">
        <v>0.38</v>
      </c>
      <c r="BO27" s="48">
        <v>0.73</v>
      </c>
      <c r="BP27" s="48">
        <v>1.35</v>
      </c>
      <c r="BQ27" s="48">
        <v>1.95</v>
      </c>
      <c r="BR27" s="48"/>
      <c r="BS27" s="48">
        <v>3.13</v>
      </c>
      <c r="BT27" s="41">
        <v>50</v>
      </c>
      <c r="BU27" s="43"/>
      <c r="BV27" s="60">
        <v>42158</v>
      </c>
      <c r="BW27" s="44"/>
      <c r="BX27" s="43"/>
      <c r="BY27" s="43"/>
      <c r="BZ27" s="44"/>
      <c r="CA27" s="43">
        <v>0</v>
      </c>
      <c r="CB27" s="43">
        <v>0</v>
      </c>
      <c r="CC27" s="44"/>
      <c r="CD27" s="44"/>
    </row>
    <row r="28" spans="1:82" x14ac:dyDescent="0.25">
      <c r="A28" s="39" t="s">
        <v>90</v>
      </c>
      <c r="B28" s="40" t="s">
        <v>91</v>
      </c>
      <c r="C28" s="41">
        <v>870</v>
      </c>
      <c r="D28" s="61">
        <v>1908.38</v>
      </c>
      <c r="E28" s="61">
        <v>7316.3289500000001</v>
      </c>
      <c r="F28" s="43">
        <v>26400</v>
      </c>
      <c r="G28" s="43">
        <v>23990</v>
      </c>
      <c r="H28" s="44">
        <f>IF(F28=0,0,+((F28-G28)/F28))</f>
        <v>9.1287878787878793E-2</v>
      </c>
      <c r="I28" s="39">
        <v>446</v>
      </c>
      <c r="J28" s="44">
        <f>+(I28/F28)</f>
        <v>1.6893939393939395E-2</v>
      </c>
      <c r="K28" s="43">
        <v>66100</v>
      </c>
      <c r="L28" s="43">
        <v>132800</v>
      </c>
      <c r="M28" s="24">
        <f>IF(G28=0,0,+K28/G28)</f>
        <v>2.7553147144643599</v>
      </c>
      <c r="N28" s="24">
        <f>IF(K28=0,0,+L28/K28)</f>
        <v>2.0090771558245084</v>
      </c>
      <c r="O28" s="24">
        <f>+L28/((G28-CA28-CB28)*M28)</f>
        <v>2.0342616371177122</v>
      </c>
      <c r="P28" s="45">
        <f>IF(G28=0,0,+E28/G28)</f>
        <v>0.30497411213005421</v>
      </c>
      <c r="Q28" s="45">
        <f>IF(G28=0,0,+D28/G28)</f>
        <v>7.9548978741142154E-2</v>
      </c>
      <c r="R28" s="43">
        <v>2383</v>
      </c>
      <c r="S28" s="45">
        <f>IF(R28=0,0,+E28/R28)</f>
        <v>3.0702177717163242</v>
      </c>
      <c r="T28" s="24">
        <f>IF(R28=0,0,+F28/R28)</f>
        <v>11.078472513638271</v>
      </c>
      <c r="U28" s="24">
        <f>IF(L28=0,0,+L28/G28)</f>
        <v>5.5356398499374739</v>
      </c>
      <c r="V28" s="47">
        <v>44.54</v>
      </c>
      <c r="W28" s="43"/>
      <c r="X28" s="24"/>
      <c r="Y28" s="43"/>
      <c r="Z28" s="48">
        <f>IF(V28=0,0,+M28/V28)</f>
        <v>6.1861578681283343E-2</v>
      </c>
      <c r="AA28" s="71" t="str">
        <f>IF(W28=0,"",+X28/W28)</f>
        <v/>
      </c>
      <c r="AB28" s="48">
        <v>0.30151515151515151</v>
      </c>
      <c r="AC28" s="48">
        <v>1.4257575757575758</v>
      </c>
      <c r="AD28" s="48">
        <v>2.562121212121212</v>
      </c>
      <c r="AE28" s="48">
        <v>0.74090909090909096</v>
      </c>
      <c r="AF28" s="50" t="s">
        <v>81</v>
      </c>
      <c r="AG28" s="51"/>
      <c r="AH28" s="51"/>
      <c r="AI28" s="51"/>
      <c r="AJ28" s="51"/>
      <c r="AK28" s="51"/>
      <c r="AL28" s="52"/>
      <c r="AM28" s="51"/>
      <c r="AN28" s="53"/>
      <c r="AO28" s="54">
        <f t="shared" si="0"/>
        <v>0</v>
      </c>
      <c r="AP28" s="55" t="s">
        <v>82</v>
      </c>
      <c r="AQ28" s="51"/>
      <c r="AR28" s="43"/>
      <c r="AS28" s="43"/>
      <c r="AT28" s="43"/>
      <c r="AU28" s="51"/>
      <c r="AV28" s="43">
        <v>6100</v>
      </c>
      <c r="AW28" s="52"/>
      <c r="AX28" s="43"/>
      <c r="AY28" s="51"/>
      <c r="AZ28" s="43"/>
      <c r="BA28" s="43"/>
      <c r="BB28" s="43"/>
      <c r="BC28" s="43"/>
      <c r="BD28" s="43"/>
      <c r="BE28" s="43"/>
      <c r="BF28" s="51"/>
      <c r="BG28" s="43">
        <v>20300</v>
      </c>
      <c r="BH28" s="53"/>
      <c r="BI28" s="57">
        <f t="shared" si="1"/>
        <v>1</v>
      </c>
      <c r="BJ28" s="58">
        <v>2.6819999999999999</v>
      </c>
      <c r="BK28" s="59">
        <v>44</v>
      </c>
      <c r="BL28" s="48">
        <v>0.04</v>
      </c>
      <c r="BM28" s="48">
        <v>0.152</v>
      </c>
      <c r="BN28" s="48">
        <v>0.40300000000000002</v>
      </c>
      <c r="BO28" s="48">
        <v>0.85</v>
      </c>
      <c r="BP28" s="48">
        <v>1.42</v>
      </c>
      <c r="BQ28" s="48"/>
      <c r="BR28" s="48"/>
      <c r="BS28" s="48">
        <v>2.8159999999999998</v>
      </c>
      <c r="BT28" s="41">
        <v>45</v>
      </c>
      <c r="BU28" s="43">
        <v>2000</v>
      </c>
      <c r="BV28" s="60">
        <v>42132</v>
      </c>
      <c r="BW28" s="44">
        <v>0.68751467473524963</v>
      </c>
      <c r="BX28" s="43">
        <v>23698</v>
      </c>
      <c r="BY28" s="43">
        <v>11152</v>
      </c>
      <c r="BZ28" s="44">
        <v>0.47058823529411764</v>
      </c>
      <c r="CA28" s="43">
        <v>103</v>
      </c>
      <c r="CB28" s="43">
        <v>194</v>
      </c>
      <c r="CC28" s="44">
        <v>4.3463583424761584E-3</v>
      </c>
      <c r="CD28" s="44">
        <v>8.1863448392269396E-3</v>
      </c>
    </row>
    <row r="29" spans="1:82" x14ac:dyDescent="0.25">
      <c r="A29" s="39" t="s">
        <v>90</v>
      </c>
      <c r="B29" s="40" t="s">
        <v>91</v>
      </c>
      <c r="C29" s="41">
        <v>870</v>
      </c>
      <c r="D29" s="68">
        <v>681.1</v>
      </c>
      <c r="E29" s="68">
        <v>5352.4511750000001</v>
      </c>
      <c r="F29" s="43">
        <v>21900</v>
      </c>
      <c r="G29" s="43">
        <v>20535</v>
      </c>
      <c r="H29" s="44">
        <v>6.2328767123287672E-2</v>
      </c>
      <c r="I29" s="39">
        <v>394</v>
      </c>
      <c r="J29" s="44">
        <v>1.7990867579908677E-2</v>
      </c>
      <c r="K29" s="43">
        <v>52240</v>
      </c>
      <c r="L29" s="43">
        <v>107800</v>
      </c>
      <c r="M29" s="24">
        <v>2.5439493547601657</v>
      </c>
      <c r="N29" s="24">
        <v>2.0635528330781012</v>
      </c>
      <c r="O29" s="24">
        <v>2.0939396860828583</v>
      </c>
      <c r="P29" s="45">
        <v>0.26065016678841002</v>
      </c>
      <c r="Q29" s="45">
        <v>3.3167762356951548E-2</v>
      </c>
      <c r="R29" s="43">
        <v>1725</v>
      </c>
      <c r="S29" s="45">
        <v>3.1028702463768116</v>
      </c>
      <c r="T29" s="24">
        <v>12.695652173913043</v>
      </c>
      <c r="U29" s="24">
        <v>5.2495738982225468</v>
      </c>
      <c r="V29" s="47">
        <v>42</v>
      </c>
      <c r="W29" s="43"/>
      <c r="X29" s="24"/>
      <c r="Y29" s="43"/>
      <c r="Z29" s="48">
        <v>6.0570222732384896E-2</v>
      </c>
      <c r="AA29" s="69" t="s">
        <v>84</v>
      </c>
      <c r="AB29" s="48">
        <v>0.32876712328767121</v>
      </c>
      <c r="AC29" s="48">
        <v>1.4602739726027398</v>
      </c>
      <c r="AD29" s="48">
        <v>2.0812785388127852</v>
      </c>
      <c r="AE29" s="48">
        <v>0.86940639269406395</v>
      </c>
      <c r="AF29" s="50" t="s">
        <v>81</v>
      </c>
      <c r="AG29" s="51"/>
      <c r="AH29" s="51"/>
      <c r="AI29" s="51"/>
      <c r="AJ29" s="51"/>
      <c r="AK29" s="39"/>
      <c r="AL29" s="39"/>
      <c r="AM29" s="39"/>
      <c r="AN29" s="72"/>
      <c r="AO29" s="54">
        <f t="shared" si="0"/>
        <v>0</v>
      </c>
      <c r="AP29" s="55" t="s">
        <v>82</v>
      </c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>
        <v>3100</v>
      </c>
      <c r="BF29" s="43"/>
      <c r="BG29" s="43">
        <v>18800</v>
      </c>
      <c r="BH29" s="56"/>
      <c r="BI29" s="57">
        <f t="shared" si="1"/>
        <v>1</v>
      </c>
      <c r="BJ29" s="58">
        <v>2.544</v>
      </c>
      <c r="BK29" s="59">
        <v>42</v>
      </c>
      <c r="BL29" s="48">
        <v>4.2000000000000003E-2</v>
      </c>
      <c r="BM29" s="48">
        <v>0.17599999999999999</v>
      </c>
      <c r="BN29" s="48">
        <v>0.502</v>
      </c>
      <c r="BO29" s="48">
        <v>0.89600000000000002</v>
      </c>
      <c r="BP29" s="48">
        <v>1.4</v>
      </c>
      <c r="BQ29" s="48">
        <v>2.2000000000000002</v>
      </c>
      <c r="BR29" s="48">
        <v>2.544</v>
      </c>
      <c r="BS29" s="48">
        <v>2.544</v>
      </c>
      <c r="BT29" s="41">
        <v>42</v>
      </c>
      <c r="BU29" s="43">
        <v>4000</v>
      </c>
      <c r="BV29" s="60">
        <v>42220</v>
      </c>
      <c r="BW29" s="44">
        <v>0.70626895099540576</v>
      </c>
      <c r="BX29" s="43">
        <v>20406</v>
      </c>
      <c r="BY29" s="43">
        <v>9840</v>
      </c>
      <c r="BZ29" s="44">
        <v>0.48221111437812408</v>
      </c>
      <c r="CA29" s="43">
        <v>16</v>
      </c>
      <c r="CB29" s="43">
        <v>196</v>
      </c>
      <c r="CC29" s="44">
        <v>7.8408311280995786E-4</v>
      </c>
      <c r="CD29" s="44">
        <v>9.6050181319219836E-3</v>
      </c>
    </row>
    <row r="30" spans="1:82" x14ac:dyDescent="0.25">
      <c r="A30" s="39" t="s">
        <v>100</v>
      </c>
      <c r="B30" s="40" t="s">
        <v>80</v>
      </c>
      <c r="C30" s="41">
        <v>764</v>
      </c>
      <c r="D30" s="68">
        <v>1151.3800000000001</v>
      </c>
      <c r="E30" s="68">
        <v>12415.838610000001</v>
      </c>
      <c r="F30" s="43">
        <v>41900</v>
      </c>
      <c r="G30" s="43">
        <v>40082</v>
      </c>
      <c r="H30" s="44">
        <v>4.3389021479713602E-2</v>
      </c>
      <c r="I30" s="39">
        <v>330</v>
      </c>
      <c r="J30" s="44">
        <v>7.8758949880668259E-3</v>
      </c>
      <c r="K30" s="43">
        <v>99620</v>
      </c>
      <c r="L30" s="43">
        <v>196610</v>
      </c>
      <c r="M30" s="24">
        <v>2.4854049199141759</v>
      </c>
      <c r="N30" s="24">
        <v>1.9735996787793615</v>
      </c>
      <c r="O30" s="24">
        <v>1.9834471410083085</v>
      </c>
      <c r="P30" s="45">
        <v>0.30976095529165215</v>
      </c>
      <c r="Q30" s="45">
        <v>2.8725612494386512E-2</v>
      </c>
      <c r="R30" s="43">
        <v>3850</v>
      </c>
      <c r="S30" s="45">
        <v>3.2248931454545455</v>
      </c>
      <c r="T30" s="24">
        <v>10.883116883116884</v>
      </c>
      <c r="U30" s="24">
        <v>4.9051943515792624</v>
      </c>
      <c r="V30" s="47">
        <v>42.83</v>
      </c>
      <c r="W30" s="43">
        <v>34</v>
      </c>
      <c r="X30" s="24">
        <v>1.869</v>
      </c>
      <c r="Y30" s="43">
        <v>8000</v>
      </c>
      <c r="Z30" s="48">
        <v>5.8029533502549052E-2</v>
      </c>
      <c r="AA30" s="69">
        <v>5.4970588235294118E-2</v>
      </c>
      <c r="AB30" s="48">
        <v>0.3073985680190931</v>
      </c>
      <c r="AC30" s="48">
        <v>1.5417661097852029</v>
      </c>
      <c r="AD30" s="48">
        <v>1.8644391408114558</v>
      </c>
      <c r="AE30" s="48">
        <v>0.97875894988066825</v>
      </c>
      <c r="AF30" s="50" t="s">
        <v>81</v>
      </c>
      <c r="AG30" s="51"/>
      <c r="AH30" s="51"/>
      <c r="AI30" s="51"/>
      <c r="AJ30" s="51"/>
      <c r="AK30" s="51"/>
      <c r="AL30" s="39"/>
      <c r="AM30" s="51"/>
      <c r="AN30" s="53"/>
      <c r="AO30" s="54">
        <f t="shared" si="0"/>
        <v>0</v>
      </c>
      <c r="AP30" s="55" t="s">
        <v>82</v>
      </c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>
        <v>41900</v>
      </c>
      <c r="BH30" s="56"/>
      <c r="BI30" s="57">
        <f t="shared" si="1"/>
        <v>1</v>
      </c>
      <c r="BJ30" s="58">
        <v>2.5579999999999998</v>
      </c>
      <c r="BK30" s="59">
        <v>43</v>
      </c>
      <c r="BL30" s="48">
        <v>4.1500000000000002E-2</v>
      </c>
      <c r="BM30" s="48">
        <v>0.215</v>
      </c>
      <c r="BN30" s="48">
        <v>0.46</v>
      </c>
      <c r="BO30" s="48">
        <v>0.85499999999999998</v>
      </c>
      <c r="BP30" s="48">
        <v>1.5249999999999999</v>
      </c>
      <c r="BQ30" s="48">
        <v>2.06</v>
      </c>
      <c r="BR30" s="48"/>
      <c r="BS30" s="48">
        <v>2.665</v>
      </c>
      <c r="BT30" s="41">
        <v>45</v>
      </c>
      <c r="BU30" s="43"/>
      <c r="BV30" s="60">
        <v>42244</v>
      </c>
      <c r="BW30" s="44">
        <v>0.70660557657278977</v>
      </c>
      <c r="BX30" s="43">
        <v>26544</v>
      </c>
      <c r="BY30" s="43">
        <v>13616</v>
      </c>
      <c r="BZ30" s="44">
        <v>0.51295961422543701</v>
      </c>
      <c r="CA30" s="43">
        <v>85</v>
      </c>
      <c r="CB30" s="43">
        <v>152</v>
      </c>
      <c r="CC30" s="44">
        <v>3.2022302591922843E-3</v>
      </c>
      <c r="CD30" s="44">
        <v>5.7263411693791438E-3</v>
      </c>
    </row>
    <row r="31" spans="1:82" x14ac:dyDescent="0.25">
      <c r="A31" s="39" t="s">
        <v>101</v>
      </c>
      <c r="B31" s="40" t="s">
        <v>91</v>
      </c>
      <c r="C31" s="41">
        <v>840</v>
      </c>
      <c r="D31" s="61">
        <v>1277.28</v>
      </c>
      <c r="E31" s="61">
        <v>6455.1358999999993</v>
      </c>
      <c r="F31" s="43">
        <v>23000</v>
      </c>
      <c r="G31" s="43">
        <v>21580</v>
      </c>
      <c r="H31" s="44">
        <f>IF(F31=0,0,+((F31-G31)/F31))</f>
        <v>6.1739130434782609E-2</v>
      </c>
      <c r="I31" s="39">
        <v>633</v>
      </c>
      <c r="J31" s="44">
        <f>+(I31/F31)</f>
        <v>2.7521739130434781E-2</v>
      </c>
      <c r="K31" s="43">
        <v>55300</v>
      </c>
      <c r="L31" s="43">
        <v>109650</v>
      </c>
      <c r="M31" s="24">
        <f>IF(G31=0,0,+K31/G31)</f>
        <v>2.5625579240037073</v>
      </c>
      <c r="N31" s="24">
        <f>IF(K31=0,0,+L31/K31)</f>
        <v>1.9828209764918625</v>
      </c>
      <c r="O31" s="24">
        <f t="shared" ref="O31:O36" si="14">+L31/((G31-CA31-CB31)*M31)</f>
        <v>1.99400142936271</v>
      </c>
      <c r="P31" s="45">
        <f>IF(G31=0,0,+E31/G31)</f>
        <v>0.29912585264133451</v>
      </c>
      <c r="Q31" s="45">
        <f>IF(G31=0,0,+D31/G31)</f>
        <v>5.9188137164040776E-2</v>
      </c>
      <c r="R31" s="43">
        <v>2000</v>
      </c>
      <c r="S31" s="45">
        <f>IF(R31=0,0,+E31/R31)</f>
        <v>3.2275679499999996</v>
      </c>
      <c r="T31" s="24">
        <f>IF(R31=0,0,+F31/R31)</f>
        <v>11.5</v>
      </c>
      <c r="U31" s="24">
        <f>IF(L31=0,0,+L31/G31)</f>
        <v>5.0810936051899906</v>
      </c>
      <c r="V31" s="47">
        <v>43</v>
      </c>
      <c r="W31" s="43"/>
      <c r="X31" s="24"/>
      <c r="Y31" s="43"/>
      <c r="Z31" s="48">
        <f>IF(V31=0,0,+M31/V31)</f>
        <v>5.9594370325667612E-2</v>
      </c>
      <c r="AA31" s="62" t="str">
        <f>IF(W31=0,"",+X31/W31)</f>
        <v/>
      </c>
      <c r="AB31" s="48">
        <v>0.33130434782608698</v>
      </c>
      <c r="AC31" s="48">
        <v>1.4539130434782608</v>
      </c>
      <c r="AD31" s="48">
        <v>1.7908695652173914</v>
      </c>
      <c r="AE31" s="48">
        <v>1.191304347826087</v>
      </c>
      <c r="AF31" s="50" t="s">
        <v>81</v>
      </c>
      <c r="AG31" s="51"/>
      <c r="AH31" s="51"/>
      <c r="AI31" s="51"/>
      <c r="AJ31" s="51"/>
      <c r="AK31" s="51"/>
      <c r="AL31" s="52"/>
      <c r="AM31" s="51">
        <v>10900</v>
      </c>
      <c r="AN31" s="53"/>
      <c r="AO31" s="54">
        <f t="shared" si="0"/>
        <v>0.47391304347826085</v>
      </c>
      <c r="AP31" s="55" t="s">
        <v>82</v>
      </c>
      <c r="AQ31" s="51"/>
      <c r="AR31" s="43"/>
      <c r="AS31" s="43"/>
      <c r="AT31" s="43"/>
      <c r="AU31" s="43"/>
      <c r="AV31" s="43"/>
      <c r="AW31" s="52"/>
      <c r="AX31" s="43"/>
      <c r="AY31" s="43"/>
      <c r="AZ31" s="43"/>
      <c r="BA31" s="43">
        <v>2500</v>
      </c>
      <c r="BB31" s="43"/>
      <c r="BC31" s="43"/>
      <c r="BD31" s="43"/>
      <c r="BE31" s="43"/>
      <c r="BF31" s="51"/>
      <c r="BG31" s="43">
        <v>9600</v>
      </c>
      <c r="BH31" s="56"/>
      <c r="BI31" s="57">
        <f t="shared" si="1"/>
        <v>0.52608695652173909</v>
      </c>
      <c r="BJ31" s="58">
        <v>2.5630000000000002</v>
      </c>
      <c r="BK31" s="59">
        <v>43</v>
      </c>
      <c r="BL31" s="48">
        <v>4.4499999999999998E-2</v>
      </c>
      <c r="BM31" s="48">
        <v>0.20050000000000001</v>
      </c>
      <c r="BN31" s="48">
        <v>0.46700000000000003</v>
      </c>
      <c r="BO31" s="48">
        <v>1.075</v>
      </c>
      <c r="BP31" s="48">
        <v>1.5009999999999999</v>
      </c>
      <c r="BQ31" s="48">
        <v>2.0750000000000002</v>
      </c>
      <c r="BR31" s="48">
        <v>2.5249999999999999</v>
      </c>
      <c r="BS31" s="48">
        <v>2.5630000000000002</v>
      </c>
      <c r="BT31" s="41">
        <v>43</v>
      </c>
      <c r="BU31" s="43"/>
      <c r="BV31" s="60">
        <v>42209</v>
      </c>
      <c r="BW31" s="44">
        <v>0.71098119349005429</v>
      </c>
      <c r="BX31" s="43">
        <v>21444</v>
      </c>
      <c r="BY31" s="43">
        <v>9264</v>
      </c>
      <c r="BZ31" s="44">
        <v>0.43200895355344154</v>
      </c>
      <c r="CA31" s="43">
        <v>12</v>
      </c>
      <c r="CB31" s="43">
        <v>109</v>
      </c>
      <c r="CC31" s="44">
        <v>5.5959709009513155E-4</v>
      </c>
      <c r="CD31" s="44">
        <v>5.0830069016974443E-3</v>
      </c>
    </row>
    <row r="32" spans="1:82" x14ac:dyDescent="0.25">
      <c r="A32" s="39" t="s">
        <v>102</v>
      </c>
      <c r="B32" s="40" t="s">
        <v>86</v>
      </c>
      <c r="C32" s="41">
        <v>444</v>
      </c>
      <c r="D32" s="61">
        <v>995.63</v>
      </c>
      <c r="E32" s="61">
        <f>5155.37+U32+V32</f>
        <v>5204.8561660079049</v>
      </c>
      <c r="F32" s="43">
        <v>17200</v>
      </c>
      <c r="G32" s="43">
        <v>15180</v>
      </c>
      <c r="H32" s="44">
        <f>IF(F32=0,0,+((F32-G32)/F32))</f>
        <v>0.11744186046511627</v>
      </c>
      <c r="I32" s="39">
        <v>745</v>
      </c>
      <c r="J32" s="44">
        <f>+(I32/F32)</f>
        <v>4.3313953488372095E-2</v>
      </c>
      <c r="K32" s="43">
        <v>43720</v>
      </c>
      <c r="L32" s="43">
        <v>83280</v>
      </c>
      <c r="M32" s="24">
        <f>IF(G32=0,0,+K32/G32)</f>
        <v>2.8801054018445322</v>
      </c>
      <c r="N32" s="24">
        <f>IF(K32=0,0,+L32/K32)</f>
        <v>1.9048490393412625</v>
      </c>
      <c r="O32" s="24">
        <f t="shared" si="14"/>
        <v>1.9405146243339619</v>
      </c>
      <c r="P32" s="45">
        <f>+E32/G32</f>
        <v>0.34287590026402537</v>
      </c>
      <c r="Q32" s="45">
        <f>+D32/G32</f>
        <v>6.558827404479578E-2</v>
      </c>
      <c r="R32" s="43">
        <v>1600</v>
      </c>
      <c r="S32" s="46">
        <f>+E32/R32</f>
        <v>3.2530351037549408</v>
      </c>
      <c r="T32" s="24">
        <f>IF(R32=0,0,+F32/R32)</f>
        <v>10.75</v>
      </c>
      <c r="U32" s="24">
        <f>IF(L32=0,0,+L32/G32)</f>
        <v>5.4861660079051386</v>
      </c>
      <c r="V32" s="47">
        <v>44</v>
      </c>
      <c r="W32" s="43"/>
      <c r="X32" s="24"/>
      <c r="Y32" s="43"/>
      <c r="Z32" s="48">
        <f>IF(V32=0,0,+M32/V32)</f>
        <v>6.5456940951012094E-2</v>
      </c>
      <c r="AA32" s="62" t="str">
        <f>IF(W32=0,"",+X32/W32)</f>
        <v/>
      </c>
      <c r="AB32" s="48">
        <v>0.31976744186046513</v>
      </c>
      <c r="AC32" s="48">
        <v>1.45</v>
      </c>
      <c r="AD32" s="48">
        <v>2.4872093023255815</v>
      </c>
      <c r="AE32" s="48">
        <v>0.58488372093023255</v>
      </c>
      <c r="AF32" s="50" t="s">
        <v>81</v>
      </c>
      <c r="AG32" s="51"/>
      <c r="AH32" s="51"/>
      <c r="AI32" s="51"/>
      <c r="AJ32" s="51"/>
      <c r="AK32" s="51"/>
      <c r="AL32" s="52"/>
      <c r="AM32" s="51"/>
      <c r="AN32" s="53"/>
      <c r="AO32" s="54">
        <f t="shared" si="0"/>
        <v>0</v>
      </c>
      <c r="AP32" s="55" t="s">
        <v>82</v>
      </c>
      <c r="AQ32" s="51"/>
      <c r="AR32" s="43"/>
      <c r="AS32" s="43"/>
      <c r="AT32" s="43"/>
      <c r="AU32" s="43"/>
      <c r="AV32" s="43"/>
      <c r="AW32" s="52"/>
      <c r="AX32" s="43"/>
      <c r="AY32" s="43"/>
      <c r="AZ32" s="43">
        <v>3700</v>
      </c>
      <c r="BA32" s="43">
        <v>13500</v>
      </c>
      <c r="BB32" s="43"/>
      <c r="BC32" s="43"/>
      <c r="BD32" s="43"/>
      <c r="BE32" s="43"/>
      <c r="BF32" s="43"/>
      <c r="BG32" s="43"/>
      <c r="BH32" s="56"/>
      <c r="BI32" s="57">
        <f t="shared" si="1"/>
        <v>1</v>
      </c>
      <c r="BJ32" s="58">
        <v>2.88</v>
      </c>
      <c r="BK32" s="59">
        <v>44</v>
      </c>
      <c r="BL32" s="48">
        <v>0</v>
      </c>
      <c r="BM32" s="48">
        <v>0.16</v>
      </c>
      <c r="BN32" s="48">
        <v>0.4</v>
      </c>
      <c r="BO32" s="48">
        <v>0.84</v>
      </c>
      <c r="BP32" s="48">
        <v>1.45</v>
      </c>
      <c r="BQ32" s="48">
        <v>2.2000000000000002</v>
      </c>
      <c r="BR32" s="48">
        <v>2.75</v>
      </c>
      <c r="BS32" s="48">
        <v>2.88</v>
      </c>
      <c r="BT32" s="41">
        <v>44</v>
      </c>
      <c r="BU32" s="43">
        <v>6000</v>
      </c>
      <c r="BV32" s="60">
        <v>42036</v>
      </c>
      <c r="BW32" s="44">
        <v>0.68604277218664234</v>
      </c>
      <c r="BX32" s="43">
        <v>14812</v>
      </c>
      <c r="BY32" s="43">
        <v>5744</v>
      </c>
      <c r="BZ32" s="44">
        <v>0.38779368079935189</v>
      </c>
      <c r="CA32" s="43">
        <v>64</v>
      </c>
      <c r="CB32" s="43">
        <v>215</v>
      </c>
      <c r="CC32" s="44">
        <v>4.3208209559816363E-3</v>
      </c>
      <c r="CD32" s="44">
        <v>1.451525789900081E-2</v>
      </c>
    </row>
    <row r="33" spans="1:82" x14ac:dyDescent="0.25">
      <c r="A33" s="39" t="s">
        <v>102</v>
      </c>
      <c r="B33" s="40" t="s">
        <v>86</v>
      </c>
      <c r="C33" s="41">
        <v>444</v>
      </c>
      <c r="D33" s="42">
        <v>216.76</v>
      </c>
      <c r="E33" s="42">
        <v>5538.24</v>
      </c>
      <c r="F33" s="43">
        <v>21100</v>
      </c>
      <c r="G33" s="43">
        <v>20185</v>
      </c>
      <c r="H33" s="44">
        <v>4.3364928909952603E-2</v>
      </c>
      <c r="I33" s="39">
        <v>266</v>
      </c>
      <c r="J33" s="44">
        <v>1.2606635071090047E-2</v>
      </c>
      <c r="K33" s="43">
        <v>55580</v>
      </c>
      <c r="L33" s="43">
        <v>113330</v>
      </c>
      <c r="M33" s="24">
        <v>2.7535298488976965</v>
      </c>
      <c r="N33" s="24">
        <v>2.0390428211586902</v>
      </c>
      <c r="O33" s="24">
        <f t="shared" si="14"/>
        <v>2.0618214279675464</v>
      </c>
      <c r="P33" s="45">
        <v>0.27437404012880851</v>
      </c>
      <c r="Q33" s="45">
        <v>1.0738667327223185E-2</v>
      </c>
      <c r="R33" s="43">
        <v>1680</v>
      </c>
      <c r="S33" s="46">
        <v>3.2965714285714283</v>
      </c>
      <c r="T33" s="24">
        <v>12.55952380952381</v>
      </c>
      <c r="U33" s="24">
        <v>5.6145652712410206</v>
      </c>
      <c r="V33" s="47">
        <v>45.23</v>
      </c>
      <c r="W33" s="43"/>
      <c r="X33" s="24"/>
      <c r="Y33" s="43"/>
      <c r="Z33" s="48">
        <v>6.0878395951750978E-2</v>
      </c>
      <c r="AA33" s="62" t="s">
        <v>84</v>
      </c>
      <c r="AB33" s="48">
        <v>0.32037914691943126</v>
      </c>
      <c r="AC33" s="48">
        <v>1.3867298578199052</v>
      </c>
      <c r="AD33" s="48">
        <v>2.4417061611374407</v>
      </c>
      <c r="AE33" s="48">
        <v>1.2222748815165876</v>
      </c>
      <c r="AF33" s="50" t="s">
        <v>81</v>
      </c>
      <c r="AG33" s="51"/>
      <c r="AH33" s="51"/>
      <c r="AI33" s="51"/>
      <c r="AJ33" s="51"/>
      <c r="AK33" s="51"/>
      <c r="AL33" s="52"/>
      <c r="AM33" s="51"/>
      <c r="AN33" s="53"/>
      <c r="AO33" s="54">
        <f t="shared" si="0"/>
        <v>0</v>
      </c>
      <c r="AP33" s="55" t="s">
        <v>82</v>
      </c>
      <c r="AQ33" s="51"/>
      <c r="AR33" s="43"/>
      <c r="AS33" s="43">
        <v>10800</v>
      </c>
      <c r="AT33" s="43"/>
      <c r="AU33" s="43"/>
      <c r="AV33" s="43"/>
      <c r="AW33" s="52"/>
      <c r="AX33" s="43"/>
      <c r="AY33" s="43"/>
      <c r="AZ33" s="43"/>
      <c r="BA33" s="43"/>
      <c r="BB33" s="44"/>
      <c r="BC33" s="43">
        <v>10300</v>
      </c>
      <c r="BD33" s="43"/>
      <c r="BE33" s="43"/>
      <c r="BF33" s="43"/>
      <c r="BG33" s="43"/>
      <c r="BH33" s="56"/>
      <c r="BI33" s="57">
        <f t="shared" si="1"/>
        <v>1</v>
      </c>
      <c r="BJ33" s="58">
        <v>2.7650000000000001</v>
      </c>
      <c r="BK33" s="59">
        <v>45</v>
      </c>
      <c r="BL33" s="48">
        <v>0.04</v>
      </c>
      <c r="BM33" s="48">
        <v>0.17199999999999999</v>
      </c>
      <c r="BN33" s="48">
        <v>0.42599999999999999</v>
      </c>
      <c r="BO33" s="48">
        <v>0.77700000000000002</v>
      </c>
      <c r="BP33" s="48">
        <v>1.38</v>
      </c>
      <c r="BQ33" s="48">
        <v>2</v>
      </c>
      <c r="BR33" s="48"/>
      <c r="BS33" s="48">
        <v>2.7130000000000001</v>
      </c>
      <c r="BT33" s="41">
        <v>46</v>
      </c>
      <c r="BU33" s="43"/>
      <c r="BV33" s="60">
        <v>42100</v>
      </c>
      <c r="BW33" s="44">
        <v>0.68599928031666058</v>
      </c>
      <c r="BX33" s="43">
        <v>19886</v>
      </c>
      <c r="BY33" s="43">
        <v>9040</v>
      </c>
      <c r="BZ33" s="44">
        <v>0.4545911696671025</v>
      </c>
      <c r="CA33" s="43">
        <v>25</v>
      </c>
      <c r="CB33" s="43">
        <v>198</v>
      </c>
      <c r="CC33" s="44">
        <v>1.2571658453183145E-3</v>
      </c>
      <c r="CD33" s="44">
        <v>9.9567534949210508E-3</v>
      </c>
    </row>
    <row r="34" spans="1:82" x14ac:dyDescent="0.25">
      <c r="A34" s="39" t="s">
        <v>102</v>
      </c>
      <c r="B34" s="40" t="s">
        <v>86</v>
      </c>
      <c r="C34" s="41">
        <v>452</v>
      </c>
      <c r="D34" s="61">
        <v>1626.84</v>
      </c>
      <c r="E34" s="61">
        <v>11249.12</v>
      </c>
      <c r="F34" s="43">
        <v>36500</v>
      </c>
      <c r="G34" s="43">
        <v>32190</v>
      </c>
      <c r="H34" s="44">
        <f t="shared" ref="H34:H41" si="15">IF(F34=0,0,+((F34-G34)/F34))</f>
        <v>0.11808219178082192</v>
      </c>
      <c r="I34" s="39">
        <f>134+116+96</f>
        <v>346</v>
      </c>
      <c r="J34" s="44">
        <f t="shared" ref="J34:J41" si="16">+(I34/F34)</f>
        <v>9.4794520547945207E-3</v>
      </c>
      <c r="K34" s="43">
        <v>88680</v>
      </c>
      <c r="L34" s="43">
        <v>168840</v>
      </c>
      <c r="M34" s="24">
        <f t="shared" ref="M34:M41" si="17">IF(G34=0,0,+K34/G34)</f>
        <v>2.754892823858341</v>
      </c>
      <c r="N34" s="24">
        <f t="shared" ref="N34:N41" si="18">IF(K34=0,0,+L34/K34)</f>
        <v>1.9039242219215156</v>
      </c>
      <c r="O34" s="24">
        <f t="shared" si="14"/>
        <v>1.9464943372817629</v>
      </c>
      <c r="P34" s="45">
        <f>+E34/G34</f>
        <v>0.34946008077042562</v>
      </c>
      <c r="Q34" s="45">
        <f>+D34/G34</f>
        <v>5.0538676607642122E-2</v>
      </c>
      <c r="R34" s="43">
        <v>3400</v>
      </c>
      <c r="S34" s="45">
        <f>+E34/R34</f>
        <v>3.3085647058823531</v>
      </c>
      <c r="T34" s="24">
        <f t="shared" ref="T34:T41" si="19">IF(R34=0,0,+F34/R34)</f>
        <v>10.735294117647058</v>
      </c>
      <c r="U34" s="24">
        <f t="shared" ref="U34:U41" si="20">IF(L34=0,0,+L34/G34)</f>
        <v>5.2451071761416586</v>
      </c>
      <c r="V34" s="47">
        <v>44</v>
      </c>
      <c r="W34" s="43"/>
      <c r="X34" s="24"/>
      <c r="Y34" s="43"/>
      <c r="Z34" s="48">
        <f t="shared" ref="Z34:Z41" si="21">IF(V34=0,0,+M34/V34)</f>
        <v>6.2611200542235027E-2</v>
      </c>
      <c r="AA34" s="62" t="str">
        <f t="shared" ref="AA34:AA41" si="22">IF(W34=0,"",+X34/W34)</f>
        <v/>
      </c>
      <c r="AB34" s="48">
        <v>0.31342465753424659</v>
      </c>
      <c r="AC34" s="48">
        <v>1.4120547945205479</v>
      </c>
      <c r="AD34" s="48">
        <v>2.1232876712328768</v>
      </c>
      <c r="AE34" s="48">
        <v>0.77698630136986302</v>
      </c>
      <c r="AF34" s="50" t="s">
        <v>81</v>
      </c>
      <c r="AG34" s="51"/>
      <c r="AH34" s="51"/>
      <c r="AI34" s="51"/>
      <c r="AJ34" s="51"/>
      <c r="AK34" s="51">
        <f>2000+11500</f>
        <v>13500</v>
      </c>
      <c r="AL34" s="52"/>
      <c r="AM34" s="43">
        <f>12500+10500</f>
        <v>23000</v>
      </c>
      <c r="AN34" s="53"/>
      <c r="AO34" s="54">
        <f t="shared" si="0"/>
        <v>1</v>
      </c>
      <c r="AP34" s="55" t="s">
        <v>82</v>
      </c>
      <c r="AQ34" s="51"/>
      <c r="AR34" s="43"/>
      <c r="AS34" s="43"/>
      <c r="AT34" s="43"/>
      <c r="AU34" s="51"/>
      <c r="AV34" s="43"/>
      <c r="AW34" s="52"/>
      <c r="AX34" s="43"/>
      <c r="AY34" s="51"/>
      <c r="AZ34" s="43"/>
      <c r="BA34" s="43"/>
      <c r="BB34" s="43"/>
      <c r="BC34" s="43"/>
      <c r="BD34" s="43"/>
      <c r="BE34" s="43"/>
      <c r="BF34" s="43"/>
      <c r="BG34" s="43"/>
      <c r="BH34" s="56"/>
      <c r="BI34" s="57">
        <f t="shared" si="1"/>
        <v>0</v>
      </c>
      <c r="BJ34" s="58">
        <v>2.7549999999999999</v>
      </c>
      <c r="BK34" s="59">
        <v>44</v>
      </c>
      <c r="BL34" s="48"/>
      <c r="BM34" s="48">
        <v>0.14000000000000001</v>
      </c>
      <c r="BN34" s="48">
        <v>0.4</v>
      </c>
      <c r="BO34" s="48">
        <v>0.8</v>
      </c>
      <c r="BP34" s="48">
        <v>1.43</v>
      </c>
      <c r="BQ34" s="48">
        <v>2</v>
      </c>
      <c r="BR34" s="48">
        <v>2.5670000000000002</v>
      </c>
      <c r="BS34" s="48">
        <v>2.7549999999999999</v>
      </c>
      <c r="BT34" s="41">
        <v>44</v>
      </c>
      <c r="BU34" s="43">
        <v>2000</v>
      </c>
      <c r="BV34" s="60">
        <v>42085</v>
      </c>
      <c r="BW34" s="44">
        <v>0.69062528191249439</v>
      </c>
      <c r="BX34" s="43">
        <v>31500</v>
      </c>
      <c r="BY34" s="43">
        <v>8512</v>
      </c>
      <c r="BZ34" s="44">
        <v>0.2702222222222222</v>
      </c>
      <c r="CA34" s="43">
        <v>227</v>
      </c>
      <c r="CB34" s="43">
        <v>477</v>
      </c>
      <c r="CC34" s="44">
        <v>7.2063492063492067E-3</v>
      </c>
      <c r="CD34" s="44">
        <v>1.5142857142857144E-2</v>
      </c>
    </row>
    <row r="35" spans="1:82" x14ac:dyDescent="0.25">
      <c r="A35" s="39" t="s">
        <v>103</v>
      </c>
      <c r="B35" s="40" t="s">
        <v>80</v>
      </c>
      <c r="C35" s="41">
        <v>1018</v>
      </c>
      <c r="D35" s="61">
        <v>450.35</v>
      </c>
      <c r="E35" s="61">
        <f>6644.16+U35+V35</f>
        <v>6689.8003376815614</v>
      </c>
      <c r="F35" s="43">
        <v>23400</v>
      </c>
      <c r="G35" s="43">
        <v>21618</v>
      </c>
      <c r="H35" s="44">
        <f t="shared" si="15"/>
        <v>7.6153846153846155E-2</v>
      </c>
      <c r="I35" s="39">
        <v>266</v>
      </c>
      <c r="J35" s="44">
        <f t="shared" si="16"/>
        <v>1.1367521367521368E-2</v>
      </c>
      <c r="K35" s="43">
        <v>56640</v>
      </c>
      <c r="L35" s="43">
        <v>111340</v>
      </c>
      <c r="M35" s="24">
        <f t="shared" si="17"/>
        <v>2.6200388565084651</v>
      </c>
      <c r="N35" s="24">
        <f t="shared" si="18"/>
        <v>1.9657485875706215</v>
      </c>
      <c r="O35" s="24">
        <f t="shared" si="14"/>
        <v>2.0407007763206728</v>
      </c>
      <c r="P35" s="45">
        <f>+E35/G35</f>
        <v>0.30945509934691284</v>
      </c>
      <c r="Q35" s="45">
        <f>+D35/G35</f>
        <v>2.0832176889629014E-2</v>
      </c>
      <c r="R35" s="43">
        <v>2000</v>
      </c>
      <c r="S35" s="46">
        <f>+E35/R35</f>
        <v>3.3449001688407809</v>
      </c>
      <c r="T35" s="24">
        <f t="shared" si="19"/>
        <v>11.7</v>
      </c>
      <c r="U35" s="24">
        <f t="shared" si="20"/>
        <v>5.1503376815616617</v>
      </c>
      <c r="V35" s="47">
        <v>40.49</v>
      </c>
      <c r="W35" s="43"/>
      <c r="X35" s="24"/>
      <c r="Y35" s="43"/>
      <c r="Z35" s="48">
        <f t="shared" si="21"/>
        <v>6.4708294801394547E-2</v>
      </c>
      <c r="AA35" s="62" t="str">
        <f t="shared" si="22"/>
        <v/>
      </c>
      <c r="AB35" s="48">
        <v>0.3487179487179487</v>
      </c>
      <c r="AC35" s="48">
        <v>1.4222222222222223</v>
      </c>
      <c r="AD35" s="48">
        <v>2.2384615384615385</v>
      </c>
      <c r="AE35" s="48">
        <v>0.74871794871794872</v>
      </c>
      <c r="AF35" s="50" t="s">
        <v>81</v>
      </c>
      <c r="AG35" s="51"/>
      <c r="AH35" s="51"/>
      <c r="AI35" s="51"/>
      <c r="AJ35" s="51"/>
      <c r="AK35" s="51"/>
      <c r="AL35" s="52"/>
      <c r="AM35" s="51"/>
      <c r="AN35" s="53"/>
      <c r="AO35" s="54">
        <f t="shared" si="0"/>
        <v>0</v>
      </c>
      <c r="AP35" s="55" t="s">
        <v>82</v>
      </c>
      <c r="AQ35" s="51"/>
      <c r="AR35" s="43"/>
      <c r="AS35" s="43"/>
      <c r="AT35" s="43"/>
      <c r="AU35" s="43"/>
      <c r="AV35" s="43"/>
      <c r="AW35" s="52"/>
      <c r="AX35" s="43"/>
      <c r="AY35" s="43"/>
      <c r="AZ35" s="43">
        <v>23400</v>
      </c>
      <c r="BA35" s="43"/>
      <c r="BB35" s="43"/>
      <c r="BC35" s="43"/>
      <c r="BD35" s="43"/>
      <c r="BE35" s="43"/>
      <c r="BF35" s="43"/>
      <c r="BG35" s="43"/>
      <c r="BH35" s="56"/>
      <c r="BI35" s="57">
        <f t="shared" si="1"/>
        <v>1</v>
      </c>
      <c r="BJ35" s="58">
        <v>2.5950000000000002</v>
      </c>
      <c r="BK35" s="59">
        <v>40</v>
      </c>
      <c r="BL35" s="48">
        <v>3.5000000000000003E-2</v>
      </c>
      <c r="BM35" s="48">
        <v>0.15</v>
      </c>
      <c r="BN35" s="48">
        <v>0.41</v>
      </c>
      <c r="BO35" s="48">
        <v>0.78</v>
      </c>
      <c r="BP35" s="48">
        <v>1.36</v>
      </c>
      <c r="BQ35" s="48">
        <v>1.96</v>
      </c>
      <c r="BR35" s="48">
        <v>0</v>
      </c>
      <c r="BS35" s="48">
        <v>2.6459999999999999</v>
      </c>
      <c r="BT35" s="41">
        <v>41</v>
      </c>
      <c r="BU35" s="43"/>
      <c r="BV35" s="60">
        <v>42061</v>
      </c>
      <c r="BW35" s="44">
        <v>0.67361122881355928</v>
      </c>
      <c r="BX35" s="43">
        <v>20806</v>
      </c>
      <c r="BY35" s="43">
        <v>7736</v>
      </c>
      <c r="BZ35" s="44">
        <v>0.3718158223589349</v>
      </c>
      <c r="CA35" s="43">
        <v>336</v>
      </c>
      <c r="CB35" s="43">
        <v>458</v>
      </c>
      <c r="CC35" s="44">
        <v>1.6149187734307412E-2</v>
      </c>
      <c r="CD35" s="44">
        <v>2.2012880899740458E-2</v>
      </c>
    </row>
    <row r="36" spans="1:82" x14ac:dyDescent="0.25">
      <c r="A36" s="39" t="s">
        <v>85</v>
      </c>
      <c r="B36" s="40" t="s">
        <v>86</v>
      </c>
      <c r="C36" s="41">
        <v>430</v>
      </c>
      <c r="D36" s="61">
        <v>943</v>
      </c>
      <c r="E36" s="61">
        <v>6858.69</v>
      </c>
      <c r="F36" s="43">
        <v>24500</v>
      </c>
      <c r="G36" s="43">
        <v>23270</v>
      </c>
      <c r="H36" s="44">
        <f t="shared" si="15"/>
        <v>5.020408163265306E-2</v>
      </c>
      <c r="I36" s="39">
        <v>319</v>
      </c>
      <c r="J36" s="44">
        <f t="shared" si="16"/>
        <v>1.3020408163265306E-2</v>
      </c>
      <c r="K36" s="43">
        <v>60700</v>
      </c>
      <c r="L36" s="43">
        <v>119220</v>
      </c>
      <c r="M36" s="24">
        <f t="shared" si="17"/>
        <v>2.608508809626128</v>
      </c>
      <c r="N36" s="24">
        <f t="shared" si="18"/>
        <v>1.9640856672158156</v>
      </c>
      <c r="O36" s="24">
        <f t="shared" si="14"/>
        <v>1.9823158169722428</v>
      </c>
      <c r="P36" s="45">
        <f>IF(G36=0,0,+E36/G36)</f>
        <v>0.2947438762354963</v>
      </c>
      <c r="Q36" s="45">
        <f>IF(G36=0,0,+D36/G36)</f>
        <v>4.052428018908466E-2</v>
      </c>
      <c r="R36" s="43">
        <v>2040</v>
      </c>
      <c r="S36" s="45">
        <f>IF(R36=0,0,+E36/R36)</f>
        <v>3.3621029411764702</v>
      </c>
      <c r="T36" s="24">
        <f t="shared" si="19"/>
        <v>12.009803921568627</v>
      </c>
      <c r="U36" s="24">
        <f t="shared" si="20"/>
        <v>5.1233347657928663</v>
      </c>
      <c r="V36" s="47">
        <v>44</v>
      </c>
      <c r="W36" s="43"/>
      <c r="X36" s="24"/>
      <c r="Y36" s="43"/>
      <c r="Z36" s="48">
        <f t="shared" si="21"/>
        <v>5.9284291127866547E-2</v>
      </c>
      <c r="AA36" s="62" t="str">
        <f t="shared" si="22"/>
        <v/>
      </c>
      <c r="AB36" s="48">
        <v>0.32</v>
      </c>
      <c r="AC36" s="48">
        <v>1.4269387755102041</v>
      </c>
      <c r="AD36" s="48">
        <v>2.2195918367346938</v>
      </c>
      <c r="AE36" s="48">
        <v>0.89959183673469389</v>
      </c>
      <c r="AF36" s="50" t="s">
        <v>81</v>
      </c>
      <c r="AG36" s="51"/>
      <c r="AH36" s="43"/>
      <c r="AI36" s="51"/>
      <c r="AJ36" s="51"/>
      <c r="AK36" s="51"/>
      <c r="AL36" s="52"/>
      <c r="AM36" s="51"/>
      <c r="AN36" s="53"/>
      <c r="AO36" s="54">
        <f t="shared" si="0"/>
        <v>0</v>
      </c>
      <c r="AP36" s="55" t="s">
        <v>82</v>
      </c>
      <c r="AQ36" s="51"/>
      <c r="AR36" s="43"/>
      <c r="AS36" s="43"/>
      <c r="AT36" s="43"/>
      <c r="AU36" s="43"/>
      <c r="AV36" s="43"/>
      <c r="AW36" s="52"/>
      <c r="AX36" s="43"/>
      <c r="AY36" s="43"/>
      <c r="AZ36" s="43"/>
      <c r="BA36" s="43"/>
      <c r="BB36" s="43"/>
      <c r="BC36" s="43"/>
      <c r="BD36" s="43"/>
      <c r="BE36" s="43"/>
      <c r="BF36" s="51"/>
      <c r="BG36" s="43"/>
      <c r="BH36" s="56">
        <v>24500</v>
      </c>
      <c r="BI36" s="57">
        <f t="shared" si="1"/>
        <v>1</v>
      </c>
      <c r="BJ36" s="58">
        <v>2.609</v>
      </c>
      <c r="BK36" s="59">
        <v>44</v>
      </c>
      <c r="BL36" s="48"/>
      <c r="BM36" s="48">
        <v>0.183</v>
      </c>
      <c r="BN36" s="48">
        <v>0.49299999999999999</v>
      </c>
      <c r="BO36" s="48">
        <v>0.84</v>
      </c>
      <c r="BP36" s="48">
        <v>1.45</v>
      </c>
      <c r="BQ36" s="48">
        <v>2</v>
      </c>
      <c r="BR36" s="48"/>
      <c r="BS36" s="48">
        <v>2.609</v>
      </c>
      <c r="BT36" s="41">
        <v>44</v>
      </c>
      <c r="BU36" s="43"/>
      <c r="BV36" s="60">
        <v>42160</v>
      </c>
      <c r="BW36" s="44">
        <v>0.69623064250411859</v>
      </c>
      <c r="BX36" s="43">
        <v>23096</v>
      </c>
      <c r="BY36" s="43">
        <v>11680</v>
      </c>
      <c r="BZ36" s="44">
        <v>0.50571527537235883</v>
      </c>
      <c r="CA36" s="43">
        <v>40</v>
      </c>
      <c r="CB36" s="43">
        <v>174</v>
      </c>
      <c r="CC36" s="44">
        <v>1.7319016279875303E-3</v>
      </c>
      <c r="CD36" s="44">
        <v>7.5337720817457571E-3</v>
      </c>
    </row>
    <row r="37" spans="1:82" x14ac:dyDescent="0.25">
      <c r="A37" s="39" t="s">
        <v>85</v>
      </c>
      <c r="B37" s="40" t="s">
        <v>86</v>
      </c>
      <c r="C37" s="41">
        <v>430</v>
      </c>
      <c r="D37" s="42">
        <v>1462.1959999999999</v>
      </c>
      <c r="E37" s="42">
        <v>8010.39</v>
      </c>
      <c r="F37" s="43">
        <v>28400</v>
      </c>
      <c r="G37" s="43">
        <v>26830</v>
      </c>
      <c r="H37" s="44">
        <f t="shared" si="15"/>
        <v>5.5281690140845073E-2</v>
      </c>
      <c r="I37" s="39">
        <v>185</v>
      </c>
      <c r="J37" s="44">
        <f t="shared" si="16"/>
        <v>6.5140845070422535E-3</v>
      </c>
      <c r="K37" s="43">
        <v>68490</v>
      </c>
      <c r="L37" s="43">
        <v>137060</v>
      </c>
      <c r="M37" s="24">
        <f t="shared" si="17"/>
        <v>2.5527394707417073</v>
      </c>
      <c r="N37" s="24">
        <f t="shared" si="18"/>
        <v>2.0011680537304715</v>
      </c>
      <c r="O37" s="24">
        <f>+L37/((G37-CA46-CB46)*M37)</f>
        <v>2.0521074331749176</v>
      </c>
      <c r="P37" s="45">
        <f>+E37/G37</f>
        <v>0.29856093924711147</v>
      </c>
      <c r="Q37" s="45">
        <f>+D37/G37</f>
        <v>5.4498546403279904E-2</v>
      </c>
      <c r="R37" s="43">
        <v>2310</v>
      </c>
      <c r="S37" s="46">
        <f>+E37/R37</f>
        <v>3.4677012987012987</v>
      </c>
      <c r="T37" s="24">
        <f t="shared" si="19"/>
        <v>12.294372294372295</v>
      </c>
      <c r="U37" s="24">
        <f t="shared" si="20"/>
        <v>5.1084606783451356</v>
      </c>
      <c r="V37" s="47">
        <v>46.84</v>
      </c>
      <c r="W37" s="43"/>
      <c r="X37" s="24"/>
      <c r="Y37" s="43"/>
      <c r="Z37" s="48">
        <f t="shared" si="21"/>
        <v>5.4499134729754636E-2</v>
      </c>
      <c r="AA37" s="49" t="str">
        <f t="shared" si="22"/>
        <v/>
      </c>
      <c r="AB37" s="65">
        <v>0.31619718309859157</v>
      </c>
      <c r="AC37" s="65">
        <v>1.4133802816901408</v>
      </c>
      <c r="AD37" s="65">
        <v>2.2183098591549295</v>
      </c>
      <c r="AE37" s="65">
        <v>0.87816901408450709</v>
      </c>
      <c r="AF37" s="50" t="s">
        <v>81</v>
      </c>
      <c r="AG37" s="51"/>
      <c r="AH37" s="51"/>
      <c r="AI37" s="51"/>
      <c r="AJ37" s="51"/>
      <c r="AK37" s="43"/>
      <c r="AL37" s="43"/>
      <c r="AM37" s="43">
        <v>28400</v>
      </c>
      <c r="AN37" s="56"/>
      <c r="AO37" s="54">
        <f t="shared" si="0"/>
        <v>1</v>
      </c>
      <c r="AP37" s="55" t="s">
        <v>82</v>
      </c>
      <c r="AQ37" s="39"/>
      <c r="AR37" s="39"/>
      <c r="AS37" s="39"/>
      <c r="AT37" s="39"/>
      <c r="AU37" s="39"/>
      <c r="AV37" s="39"/>
      <c r="AW37" s="39"/>
      <c r="AX37" s="39"/>
      <c r="AY37" s="39"/>
      <c r="AZ37" s="43"/>
      <c r="BA37" s="43"/>
      <c r="BB37" s="43"/>
      <c r="BC37" s="43"/>
      <c r="BD37" s="43"/>
      <c r="BE37" s="43"/>
      <c r="BF37" s="51"/>
      <c r="BG37" s="43"/>
      <c r="BH37" s="56"/>
      <c r="BI37" s="57">
        <f t="shared" si="1"/>
        <v>0</v>
      </c>
      <c r="BJ37" s="58">
        <v>2.4380000000000002</v>
      </c>
      <c r="BK37" s="59">
        <v>46</v>
      </c>
      <c r="BL37" s="76" t="s">
        <v>104</v>
      </c>
      <c r="BM37" s="76" t="s">
        <v>104</v>
      </c>
      <c r="BN37" s="76" t="s">
        <v>104</v>
      </c>
      <c r="BO37" s="76" t="s">
        <v>104</v>
      </c>
      <c r="BP37" s="48">
        <v>1.36</v>
      </c>
      <c r="BQ37" s="48">
        <v>1.85</v>
      </c>
      <c r="BR37" s="48">
        <v>2.298</v>
      </c>
      <c r="BS37" s="48">
        <v>2.7080000000000002</v>
      </c>
      <c r="BT37" s="41">
        <v>48</v>
      </c>
      <c r="BU37" s="43"/>
      <c r="BV37" s="60">
        <v>42249</v>
      </c>
      <c r="BW37" s="44">
        <v>0.71872988757482836</v>
      </c>
      <c r="BX37" s="43">
        <v>26236</v>
      </c>
      <c r="BY37" s="43">
        <v>9872</v>
      </c>
      <c r="BZ37" s="44">
        <v>0.3762768714743101</v>
      </c>
      <c r="CA37" s="43">
        <v>68</v>
      </c>
      <c r="CB37" s="43">
        <v>423</v>
      </c>
      <c r="CC37" s="44">
        <v>2.5918585150175332E-3</v>
      </c>
      <c r="CD37" s="44">
        <v>1.6122884586064951E-2</v>
      </c>
    </row>
    <row r="38" spans="1:82" x14ac:dyDescent="0.25">
      <c r="A38" s="39" t="s">
        <v>97</v>
      </c>
      <c r="B38" s="40" t="s">
        <v>80</v>
      </c>
      <c r="C38" s="41">
        <v>870</v>
      </c>
      <c r="D38" s="63">
        <v>114.53</v>
      </c>
      <c r="E38" s="63">
        <v>4868.7552249999999</v>
      </c>
      <c r="F38" s="43">
        <v>16000</v>
      </c>
      <c r="G38" s="43">
        <v>15145</v>
      </c>
      <c r="H38" s="44">
        <f t="shared" si="15"/>
        <v>5.3437499999999999E-2</v>
      </c>
      <c r="I38" s="39">
        <v>255</v>
      </c>
      <c r="J38" s="44">
        <f t="shared" si="16"/>
        <v>1.59375E-2</v>
      </c>
      <c r="K38" s="43">
        <v>39970</v>
      </c>
      <c r="L38" s="43">
        <v>81100</v>
      </c>
      <c r="M38" s="24">
        <f t="shared" si="17"/>
        <v>2.6391548365797295</v>
      </c>
      <c r="N38" s="24">
        <f t="shared" si="18"/>
        <v>2.0290217663247434</v>
      </c>
      <c r="O38" s="24">
        <f t="shared" ref="O38:O54" si="23">+L38/((G38-CA38-CB38)*M38)</f>
        <v>2.0404737484055935</v>
      </c>
      <c r="P38" s="45">
        <f>IF(G38=0,0,+E38/G38)</f>
        <v>0.32147607956421259</v>
      </c>
      <c r="Q38" s="45">
        <f>IF(G38=0,0,+D38/G38)</f>
        <v>7.5622317596566527E-3</v>
      </c>
      <c r="R38" s="43">
        <v>1400</v>
      </c>
      <c r="S38" s="45">
        <f>IF(R38=0,0,+E38/R38)</f>
        <v>3.4776823035714286</v>
      </c>
      <c r="T38" s="24">
        <f t="shared" si="19"/>
        <v>11.428571428571429</v>
      </c>
      <c r="U38" s="24">
        <f t="shared" si="20"/>
        <v>5.3549026081214919</v>
      </c>
      <c r="V38" s="47">
        <v>45</v>
      </c>
      <c r="W38" s="43"/>
      <c r="X38" s="24"/>
      <c r="Y38" s="43"/>
      <c r="Z38" s="48">
        <f t="shared" si="21"/>
        <v>5.8647885257327323E-2</v>
      </c>
      <c r="AA38" s="64" t="str">
        <f t="shared" si="22"/>
        <v/>
      </c>
      <c r="AB38" s="65">
        <v>0.30625000000000002</v>
      </c>
      <c r="AC38" s="65">
        <v>1.4087499999999999</v>
      </c>
      <c r="AD38" s="65">
        <v>2.375</v>
      </c>
      <c r="AE38" s="65">
        <v>0.97875000000000001</v>
      </c>
      <c r="AF38" s="50" t="s">
        <v>81</v>
      </c>
      <c r="AG38" s="51"/>
      <c r="AH38" s="51"/>
      <c r="AI38" s="51"/>
      <c r="AJ38" s="51"/>
      <c r="AK38" s="51"/>
      <c r="AL38" s="51"/>
      <c r="AM38" s="51"/>
      <c r="AN38" s="53"/>
      <c r="AO38" s="54">
        <f t="shared" si="0"/>
        <v>0</v>
      </c>
      <c r="AP38" s="55" t="s">
        <v>82</v>
      </c>
      <c r="AQ38" s="51"/>
      <c r="AR38" s="43"/>
      <c r="AS38" s="43"/>
      <c r="AT38" s="43"/>
      <c r="AU38" s="43"/>
      <c r="AV38" s="43"/>
      <c r="AW38" s="43">
        <v>16000</v>
      </c>
      <c r="AX38" s="43"/>
      <c r="AY38" s="43"/>
      <c r="AZ38" s="43"/>
      <c r="BA38" s="43"/>
      <c r="BB38" s="43"/>
      <c r="BC38" s="43"/>
      <c r="BD38" s="43"/>
      <c r="BE38" s="43"/>
      <c r="BF38" s="51"/>
      <c r="BG38" s="43"/>
      <c r="BH38" s="56"/>
      <c r="BI38" s="57">
        <f t="shared" si="1"/>
        <v>1</v>
      </c>
      <c r="BJ38" s="58">
        <v>2.6389999999999998</v>
      </c>
      <c r="BK38" s="59">
        <v>45</v>
      </c>
      <c r="BL38" s="77">
        <v>4.4999999999999998E-2</v>
      </c>
      <c r="BM38" s="77">
        <v>0.19500000000000001</v>
      </c>
      <c r="BN38" s="77">
        <v>0.58799999999999997</v>
      </c>
      <c r="BO38" s="77">
        <v>1</v>
      </c>
      <c r="BP38" s="77">
        <v>1.5</v>
      </c>
      <c r="BQ38" s="77">
        <v>2.1</v>
      </c>
      <c r="BR38" s="77"/>
      <c r="BS38" s="77">
        <v>2.6389999999999998</v>
      </c>
      <c r="BT38" s="41">
        <v>45</v>
      </c>
      <c r="BU38" s="43"/>
      <c r="BV38" s="67">
        <v>42366</v>
      </c>
      <c r="BW38" s="44">
        <v>0.70900675506629973</v>
      </c>
      <c r="BX38" s="43">
        <v>15016</v>
      </c>
      <c r="BY38" s="43">
        <v>2915</v>
      </c>
      <c r="BZ38" s="44">
        <v>0.1941262653169952</v>
      </c>
      <c r="CA38" s="43">
        <v>26</v>
      </c>
      <c r="CB38" s="43">
        <v>59</v>
      </c>
      <c r="CC38" s="44">
        <v>1.7314864144912093E-3</v>
      </c>
      <c r="CD38" s="44">
        <v>3.9291422482685134E-3</v>
      </c>
    </row>
    <row r="39" spans="1:82" x14ac:dyDescent="0.25">
      <c r="A39" s="39" t="s">
        <v>102</v>
      </c>
      <c r="B39" s="40" t="s">
        <v>86</v>
      </c>
      <c r="C39" s="41">
        <v>444</v>
      </c>
      <c r="D39" s="61">
        <v>883.76</v>
      </c>
      <c r="E39" s="61">
        <v>5659.24262</v>
      </c>
      <c r="F39" s="43">
        <v>17000</v>
      </c>
      <c r="G39" s="43">
        <v>15644</v>
      </c>
      <c r="H39" s="44">
        <f t="shared" si="15"/>
        <v>7.9764705882352946E-2</v>
      </c>
      <c r="I39" s="39">
        <v>516</v>
      </c>
      <c r="J39" s="44">
        <f t="shared" si="16"/>
        <v>3.0352941176470589E-2</v>
      </c>
      <c r="K39" s="43">
        <v>39680</v>
      </c>
      <c r="L39" s="43">
        <v>73850</v>
      </c>
      <c r="M39" s="24">
        <f t="shared" si="17"/>
        <v>2.5364356941958577</v>
      </c>
      <c r="N39" s="24">
        <f t="shared" si="18"/>
        <v>1.8611391129032258</v>
      </c>
      <c r="O39" s="24">
        <f t="shared" si="23"/>
        <v>1.8886650416617843</v>
      </c>
      <c r="P39" s="45">
        <f>IF(G39=0,0,+E39/G39)</f>
        <v>0.36175163768857072</v>
      </c>
      <c r="Q39" s="45">
        <f>IF(G39=0,0,+D39/G39)</f>
        <v>5.6491945793914602E-2</v>
      </c>
      <c r="R39" s="43">
        <v>1600</v>
      </c>
      <c r="S39" s="45">
        <f>IF(R39=0,0,+E39/R39)</f>
        <v>3.5370266374999999</v>
      </c>
      <c r="T39" s="24">
        <f t="shared" si="19"/>
        <v>10.625</v>
      </c>
      <c r="U39" s="24">
        <f t="shared" si="20"/>
        <v>4.7206596778317564</v>
      </c>
      <c r="V39" s="47">
        <v>42</v>
      </c>
      <c r="W39" s="43"/>
      <c r="X39" s="24"/>
      <c r="Y39" s="43"/>
      <c r="Z39" s="48">
        <f t="shared" si="21"/>
        <v>6.0391326052282326E-2</v>
      </c>
      <c r="AA39" s="62" t="str">
        <f t="shared" si="22"/>
        <v/>
      </c>
      <c r="AB39" s="48">
        <v>0.3411764705882353</v>
      </c>
      <c r="AC39" s="48">
        <v>1.4076470588235295</v>
      </c>
      <c r="AD39" s="48">
        <v>2.4070588235294119</v>
      </c>
      <c r="AE39" s="48">
        <v>0.18823529411764706</v>
      </c>
      <c r="AF39" s="50" t="s">
        <v>81</v>
      </c>
      <c r="AG39" s="51"/>
      <c r="AH39" s="43"/>
      <c r="AI39" s="51">
        <v>17000</v>
      </c>
      <c r="AJ39" s="51"/>
      <c r="AK39" s="51"/>
      <c r="AL39" s="52"/>
      <c r="AM39" s="51"/>
      <c r="AN39" s="53"/>
      <c r="AO39" s="54">
        <f t="shared" si="0"/>
        <v>1</v>
      </c>
      <c r="AP39" s="55" t="s">
        <v>82</v>
      </c>
      <c r="AQ39" s="51"/>
      <c r="AR39" s="43"/>
      <c r="AS39" s="43"/>
      <c r="AT39" s="43"/>
      <c r="AU39" s="43"/>
      <c r="AV39" s="43"/>
      <c r="AW39" s="52"/>
      <c r="AX39" s="43"/>
      <c r="AY39" s="43"/>
      <c r="AZ39" s="43"/>
      <c r="BA39" s="43"/>
      <c r="BB39" s="43"/>
      <c r="BC39" s="43"/>
      <c r="BD39" s="43"/>
      <c r="BE39" s="43"/>
      <c r="BF39" s="51"/>
      <c r="BG39" s="43"/>
      <c r="BH39" s="56"/>
      <c r="BI39" s="57">
        <f t="shared" si="1"/>
        <v>0</v>
      </c>
      <c r="BJ39" s="58">
        <v>2.536</v>
      </c>
      <c r="BK39" s="59">
        <v>42</v>
      </c>
      <c r="BL39" s="48">
        <v>0.04</v>
      </c>
      <c r="BM39" s="48">
        <v>0.16200000000000001</v>
      </c>
      <c r="BN39" s="48">
        <v>0.44400000000000001</v>
      </c>
      <c r="BO39" s="48">
        <v>0.82</v>
      </c>
      <c r="BP39" s="48">
        <v>1.5</v>
      </c>
      <c r="BQ39" s="48">
        <v>2.1</v>
      </c>
      <c r="BR39" s="48">
        <v>2.5350000000000001</v>
      </c>
      <c r="BS39" s="48">
        <v>2.536</v>
      </c>
      <c r="BT39" s="41">
        <v>42</v>
      </c>
      <c r="BU39" s="43">
        <v>4000</v>
      </c>
      <c r="BV39" s="60">
        <v>42171</v>
      </c>
      <c r="BW39" s="44">
        <v>0.68926285282258071</v>
      </c>
      <c r="BX39" s="43">
        <v>15404</v>
      </c>
      <c r="BY39" s="43">
        <v>4368</v>
      </c>
      <c r="BZ39" s="44">
        <v>0.28356271098415997</v>
      </c>
      <c r="CA39" s="43">
        <v>23</v>
      </c>
      <c r="CB39" s="43">
        <v>205</v>
      </c>
      <c r="CC39" s="44">
        <v>1.4931186704752013E-3</v>
      </c>
      <c r="CD39" s="44">
        <v>1.3308231628148533E-2</v>
      </c>
    </row>
    <row r="40" spans="1:82" x14ac:dyDescent="0.25">
      <c r="A40" s="39" t="s">
        <v>100</v>
      </c>
      <c r="B40" s="40" t="s">
        <v>80</v>
      </c>
      <c r="C40" s="41">
        <v>764</v>
      </c>
      <c r="D40" s="61">
        <v>890.86</v>
      </c>
      <c r="E40" s="61">
        <v>4738.2299999999996</v>
      </c>
      <c r="F40" s="43">
        <v>18000</v>
      </c>
      <c r="G40" s="43">
        <v>16300</v>
      </c>
      <c r="H40" s="44">
        <f t="shared" si="15"/>
        <v>9.4444444444444442E-2</v>
      </c>
      <c r="I40" s="39">
        <v>885</v>
      </c>
      <c r="J40" s="44">
        <f t="shared" si="16"/>
        <v>4.9166666666666664E-2</v>
      </c>
      <c r="K40" s="43">
        <v>46440</v>
      </c>
      <c r="L40" s="43">
        <v>92400</v>
      </c>
      <c r="M40" s="24">
        <f t="shared" si="17"/>
        <v>2.849079754601227</v>
      </c>
      <c r="N40" s="24">
        <f t="shared" si="18"/>
        <v>1.9896640826873384</v>
      </c>
      <c r="O40" s="24">
        <f t="shared" si="23"/>
        <v>2.0130050616227186</v>
      </c>
      <c r="P40" s="45">
        <f>IF(G40=0,0,+E40/G40)</f>
        <v>0.29068895705521469</v>
      </c>
      <c r="Q40" s="45">
        <f>IF(G40=0,0,+D40/G40)</f>
        <v>5.4653987730061353E-2</v>
      </c>
      <c r="R40" s="43">
        <v>1330</v>
      </c>
      <c r="S40" s="45">
        <f>IF(R40=0,0,+E40/R40)</f>
        <v>3.5625789473684208</v>
      </c>
      <c r="T40" s="24">
        <f t="shared" si="19"/>
        <v>13.533834586466165</v>
      </c>
      <c r="U40" s="24">
        <f t="shared" si="20"/>
        <v>5.6687116564417179</v>
      </c>
      <c r="V40" s="47">
        <v>46</v>
      </c>
      <c r="W40" s="43"/>
      <c r="X40" s="24"/>
      <c r="Y40" s="43"/>
      <c r="Z40" s="48">
        <f t="shared" si="21"/>
        <v>6.1936516404374496E-2</v>
      </c>
      <c r="AA40" s="71" t="str">
        <f t="shared" si="22"/>
        <v/>
      </c>
      <c r="AB40" s="48">
        <v>0.28555555555555556</v>
      </c>
      <c r="AC40" s="48">
        <v>1.4433333333333334</v>
      </c>
      <c r="AD40" s="48">
        <v>1.768888888888889</v>
      </c>
      <c r="AE40" s="48">
        <v>1.6355555555555557</v>
      </c>
      <c r="AF40" s="50" t="s">
        <v>81</v>
      </c>
      <c r="AG40" s="51"/>
      <c r="AH40" s="51"/>
      <c r="AI40" s="51"/>
      <c r="AJ40" s="51"/>
      <c r="AK40" s="51"/>
      <c r="AL40" s="52"/>
      <c r="AM40" s="51"/>
      <c r="AN40" s="53"/>
      <c r="AO40" s="54">
        <f t="shared" si="0"/>
        <v>0</v>
      </c>
      <c r="AP40" s="55" t="s">
        <v>82</v>
      </c>
      <c r="AQ40" s="51"/>
      <c r="AR40" s="43"/>
      <c r="AS40" s="43"/>
      <c r="AT40" s="43"/>
      <c r="AU40" s="51"/>
      <c r="AV40" s="43">
        <v>18000</v>
      </c>
      <c r="AW40" s="52"/>
      <c r="AX40" s="43"/>
      <c r="AY40" s="51"/>
      <c r="AZ40" s="43"/>
      <c r="BA40" s="43"/>
      <c r="BB40" s="43"/>
      <c r="BC40" s="43"/>
      <c r="BD40" s="43"/>
      <c r="BE40" s="43"/>
      <c r="BF40" s="51"/>
      <c r="BG40" s="43"/>
      <c r="BH40" s="53"/>
      <c r="BI40" s="57">
        <f t="shared" si="1"/>
        <v>1</v>
      </c>
      <c r="BJ40" s="58">
        <v>2.8490000000000002</v>
      </c>
      <c r="BK40" s="59">
        <v>46</v>
      </c>
      <c r="BL40" s="48">
        <v>4.4999999999999998E-2</v>
      </c>
      <c r="BM40" s="48">
        <v>0.2</v>
      </c>
      <c r="BN40" s="48">
        <v>0.49</v>
      </c>
      <c r="BO40" s="48">
        <v>0.9</v>
      </c>
      <c r="BP40" s="48">
        <v>1.49</v>
      </c>
      <c r="BQ40" s="48">
        <v>2.0499999999999998</v>
      </c>
      <c r="BR40" s="48"/>
      <c r="BS40" s="48">
        <v>2.8490000000000002</v>
      </c>
      <c r="BT40" s="41">
        <v>46</v>
      </c>
      <c r="BU40" s="43">
        <v>3500</v>
      </c>
      <c r="BV40" s="60">
        <v>42129</v>
      </c>
      <c r="BW40" s="44">
        <v>0.69542635658914731</v>
      </c>
      <c r="BX40" s="43">
        <v>16176</v>
      </c>
      <c r="BY40" s="43">
        <v>7704</v>
      </c>
      <c r="BZ40" s="44">
        <v>0.47626112759643918</v>
      </c>
      <c r="CA40" s="43">
        <v>93</v>
      </c>
      <c r="CB40" s="43">
        <v>96</v>
      </c>
      <c r="CC40" s="44">
        <v>5.7492581602373886E-3</v>
      </c>
      <c r="CD40" s="44">
        <v>5.9347181008902079E-3</v>
      </c>
    </row>
    <row r="41" spans="1:82" x14ac:dyDescent="0.25">
      <c r="A41" s="39" t="s">
        <v>105</v>
      </c>
      <c r="B41" s="40" t="s">
        <v>86</v>
      </c>
      <c r="C41" s="41">
        <v>426</v>
      </c>
      <c r="D41" s="61">
        <v>1568.7059999999999</v>
      </c>
      <c r="E41" s="61">
        <v>9624.35</v>
      </c>
      <c r="F41" s="43">
        <v>31000</v>
      </c>
      <c r="G41" s="43">
        <v>30156</v>
      </c>
      <c r="H41" s="44">
        <f t="shared" si="15"/>
        <v>2.7225806451612902E-2</v>
      </c>
      <c r="I41" s="39">
        <v>236</v>
      </c>
      <c r="J41" s="44">
        <f t="shared" si="16"/>
        <v>7.6129032258064515E-3</v>
      </c>
      <c r="K41" s="43">
        <v>80600</v>
      </c>
      <c r="L41" s="43">
        <v>154520</v>
      </c>
      <c r="M41" s="24">
        <f t="shared" si="17"/>
        <v>2.6727682716540655</v>
      </c>
      <c r="N41" s="24">
        <f t="shared" si="18"/>
        <v>1.91712158808933</v>
      </c>
      <c r="O41" s="24">
        <f t="shared" si="23"/>
        <v>1.9315976816044715</v>
      </c>
      <c r="P41" s="45">
        <f>IF(G41=0,0,+E41/G41)</f>
        <v>0.31915207587213157</v>
      </c>
      <c r="Q41" s="45">
        <f>IF(G41=0,0,+D41/G41)</f>
        <v>5.2019697572622363E-2</v>
      </c>
      <c r="R41" s="43">
        <v>2700</v>
      </c>
      <c r="S41" s="45">
        <f>IF(R41=0,0,+E41/R41)</f>
        <v>3.5645740740740743</v>
      </c>
      <c r="T41" s="24">
        <f t="shared" si="19"/>
        <v>11.481481481481481</v>
      </c>
      <c r="U41" s="24">
        <f t="shared" si="20"/>
        <v>5.1240217535482158</v>
      </c>
      <c r="V41" s="47">
        <v>41</v>
      </c>
      <c r="W41" s="43"/>
      <c r="X41" s="24"/>
      <c r="Y41" s="43"/>
      <c r="Z41" s="48">
        <f t="shared" si="21"/>
        <v>6.5189470040343062E-2</v>
      </c>
      <c r="AA41" s="71" t="str">
        <f t="shared" si="22"/>
        <v/>
      </c>
      <c r="AB41" s="48">
        <v>0.29935483870967744</v>
      </c>
      <c r="AC41" s="48">
        <v>1.5703225806451613</v>
      </c>
      <c r="AD41" s="48">
        <v>2.5154838709677421</v>
      </c>
      <c r="AE41" s="48">
        <v>0.59935483870967743</v>
      </c>
      <c r="AF41" s="50" t="s">
        <v>81</v>
      </c>
      <c r="AG41" s="51"/>
      <c r="AH41" s="51"/>
      <c r="AI41" s="51">
        <v>20300</v>
      </c>
      <c r="AJ41" s="51"/>
      <c r="AK41" s="51"/>
      <c r="AL41" s="52"/>
      <c r="AM41" s="51"/>
      <c r="AN41" s="53"/>
      <c r="AO41" s="54">
        <f t="shared" si="0"/>
        <v>0.65483870967741931</v>
      </c>
      <c r="AP41" s="55" t="s">
        <v>82</v>
      </c>
      <c r="AQ41" s="51"/>
      <c r="AR41" s="43"/>
      <c r="AS41" s="43"/>
      <c r="AT41" s="43"/>
      <c r="AU41" s="51"/>
      <c r="AV41" s="43"/>
      <c r="AW41" s="52"/>
      <c r="AX41" s="43"/>
      <c r="AY41" s="51"/>
      <c r="AZ41" s="43"/>
      <c r="BA41" s="43">
        <v>10700</v>
      </c>
      <c r="BB41" s="44"/>
      <c r="BC41" s="43"/>
      <c r="BD41" s="43"/>
      <c r="BE41" s="43"/>
      <c r="BF41" s="51"/>
      <c r="BG41" s="43"/>
      <c r="BH41" s="53"/>
      <c r="BI41" s="57">
        <f t="shared" si="1"/>
        <v>0.34516129032258064</v>
      </c>
      <c r="BJ41" s="58">
        <v>2.673</v>
      </c>
      <c r="BK41" s="59">
        <v>41</v>
      </c>
      <c r="BL41" s="48">
        <v>4.4999999999999998E-2</v>
      </c>
      <c r="BM41" s="48">
        <v>0.17899999999999999</v>
      </c>
      <c r="BN41" s="48">
        <v>0.47499999999999998</v>
      </c>
      <c r="BO41" s="48">
        <v>0.97499999999999998</v>
      </c>
      <c r="BP41" s="48">
        <v>1.595</v>
      </c>
      <c r="BQ41" s="48">
        <v>2.1</v>
      </c>
      <c r="BR41" s="48">
        <v>2.6720000000000002</v>
      </c>
      <c r="BS41" s="48">
        <v>2.673</v>
      </c>
      <c r="BT41" s="41">
        <v>41</v>
      </c>
      <c r="BU41" s="43"/>
      <c r="BV41" s="60">
        <v>42134</v>
      </c>
      <c r="BW41" s="44">
        <v>0.70157555831265506</v>
      </c>
      <c r="BX41" s="43">
        <v>30002</v>
      </c>
      <c r="BY41" s="43">
        <v>13760</v>
      </c>
      <c r="BZ41" s="44">
        <v>0.45863609092727153</v>
      </c>
      <c r="CA41" s="43">
        <v>41</v>
      </c>
      <c r="CB41" s="43">
        <v>185</v>
      </c>
      <c r="CC41" s="44">
        <v>1.3665755616292248E-3</v>
      </c>
      <c r="CD41" s="44">
        <v>6.1662555829611358E-3</v>
      </c>
    </row>
    <row r="42" spans="1:82" x14ac:dyDescent="0.25">
      <c r="A42" s="39" t="s">
        <v>106</v>
      </c>
      <c r="B42" s="40" t="s">
        <v>86</v>
      </c>
      <c r="C42" s="41">
        <v>734</v>
      </c>
      <c r="D42" s="42">
        <v>822.48</v>
      </c>
      <c r="E42" s="42">
        <v>4303.0600000000004</v>
      </c>
      <c r="F42" s="43">
        <v>15500</v>
      </c>
      <c r="G42" s="43">
        <v>14460</v>
      </c>
      <c r="H42" s="44">
        <v>6.7096774193548384E-2</v>
      </c>
      <c r="I42" s="39">
        <v>314</v>
      </c>
      <c r="J42" s="44">
        <v>2.0258064516129031E-2</v>
      </c>
      <c r="K42" s="43">
        <v>38740</v>
      </c>
      <c r="L42" s="43">
        <v>73440</v>
      </c>
      <c r="M42" s="24">
        <v>2.6791147994467495</v>
      </c>
      <c r="N42" s="24">
        <v>1.8957150232318019</v>
      </c>
      <c r="O42" s="24">
        <f t="shared" si="23"/>
        <v>1.9309692333003561</v>
      </c>
      <c r="P42" s="45">
        <v>0.29758367911479949</v>
      </c>
      <c r="Q42" s="45">
        <v>5.6879668049792532E-2</v>
      </c>
      <c r="R42" s="43">
        <v>1200</v>
      </c>
      <c r="S42" s="46">
        <v>3.5858833333333338</v>
      </c>
      <c r="T42" s="24">
        <v>12.916666666666666</v>
      </c>
      <c r="U42" s="24">
        <v>5.0788381742738586</v>
      </c>
      <c r="V42" s="47">
        <v>44.31</v>
      </c>
      <c r="W42" s="43"/>
      <c r="X42" s="24"/>
      <c r="Y42" s="43"/>
      <c r="Z42" s="48">
        <v>6.0462983512677711E-2</v>
      </c>
      <c r="AA42" s="49" t="s">
        <v>84</v>
      </c>
      <c r="AB42" s="48">
        <v>0.29935483870967744</v>
      </c>
      <c r="AC42" s="48">
        <v>1.4</v>
      </c>
      <c r="AD42" s="48">
        <v>2.5483870967741935</v>
      </c>
      <c r="AE42" s="48">
        <v>0.49032258064516127</v>
      </c>
      <c r="AF42" s="50" t="s">
        <v>81</v>
      </c>
      <c r="AG42" s="51"/>
      <c r="AH42" s="51"/>
      <c r="AI42" s="51"/>
      <c r="AJ42" s="51"/>
      <c r="AK42" s="39"/>
      <c r="AL42" s="52"/>
      <c r="AM42" s="39"/>
      <c r="AN42" s="72"/>
      <c r="AO42" s="54">
        <f t="shared" si="0"/>
        <v>0</v>
      </c>
      <c r="AP42" s="55" t="s">
        <v>82</v>
      </c>
      <c r="AQ42" s="39"/>
      <c r="AR42" s="39"/>
      <c r="AS42" s="39"/>
      <c r="AT42" s="39"/>
      <c r="AU42" s="39"/>
      <c r="AV42" s="39"/>
      <c r="AW42" s="52"/>
      <c r="AX42" s="39"/>
      <c r="AY42" s="39"/>
      <c r="AZ42" s="39"/>
      <c r="BA42" s="39"/>
      <c r="BB42" s="39"/>
      <c r="BC42" s="43"/>
      <c r="BD42" s="43"/>
      <c r="BE42" s="43">
        <v>15500</v>
      </c>
      <c r="BF42" s="39"/>
      <c r="BG42" s="43"/>
      <c r="BH42" s="72"/>
      <c r="BI42" s="57">
        <f t="shared" si="1"/>
        <v>1</v>
      </c>
      <c r="BJ42" s="58">
        <v>2.6920000000000002</v>
      </c>
      <c r="BK42" s="59">
        <v>44</v>
      </c>
      <c r="BL42" s="48"/>
      <c r="BM42" s="48">
        <v>0.17499999999999999</v>
      </c>
      <c r="BN42" s="48">
        <v>0.44</v>
      </c>
      <c r="BO42" s="48">
        <v>0.78</v>
      </c>
      <c r="BP42" s="48">
        <v>1.4</v>
      </c>
      <c r="BQ42" s="48"/>
      <c r="BR42" s="48"/>
      <c r="BS42" s="48">
        <v>2.65</v>
      </c>
      <c r="BT42" s="41">
        <v>45</v>
      </c>
      <c r="BU42" s="43"/>
      <c r="BV42" s="60">
        <v>42114</v>
      </c>
      <c r="BW42" s="44">
        <v>0.68084331440371704</v>
      </c>
      <c r="BX42" s="43">
        <v>14276</v>
      </c>
      <c r="BY42" s="43">
        <v>4888</v>
      </c>
      <c r="BZ42" s="44">
        <v>0.34239282712244329</v>
      </c>
      <c r="CA42" s="43">
        <v>111</v>
      </c>
      <c r="CB42" s="43">
        <v>153</v>
      </c>
      <c r="CC42" s="44">
        <v>7.7752871952927989E-3</v>
      </c>
      <c r="CD42" s="44">
        <v>1.0717287755673858E-2</v>
      </c>
    </row>
    <row r="43" spans="1:82" x14ac:dyDescent="0.25">
      <c r="A43" s="39" t="s">
        <v>107</v>
      </c>
      <c r="B43" s="40" t="s">
        <v>80</v>
      </c>
      <c r="C43" s="41">
        <v>862</v>
      </c>
      <c r="D43" s="61">
        <v>865.02</v>
      </c>
      <c r="E43" s="61">
        <v>9029.4557600000007</v>
      </c>
      <c r="F43" s="43">
        <v>28600</v>
      </c>
      <c r="G43" s="43">
        <v>26912</v>
      </c>
      <c r="H43" s="44">
        <f>IF(F43=0,0,+((F43-G43)/F43))</f>
        <v>5.9020979020979018E-2</v>
      </c>
      <c r="I43" s="39">
        <f>167+104</f>
        <v>271</v>
      </c>
      <c r="J43" s="44">
        <f>+(I43/F43)</f>
        <v>9.4755244755244748E-3</v>
      </c>
      <c r="K43" s="43">
        <v>73130</v>
      </c>
      <c r="L43" s="43">
        <v>147000</v>
      </c>
      <c r="M43" s="24">
        <f>IF(G43=0,0,+K43/G43)</f>
        <v>2.7173751486325801</v>
      </c>
      <c r="N43" s="24">
        <f>IF(K43=0,0,+L43/K43)</f>
        <v>2.0101189662245318</v>
      </c>
      <c r="O43" s="24">
        <f t="shared" si="23"/>
        <v>2.0536927838363996</v>
      </c>
      <c r="P43" s="45">
        <f>+E43/G43</f>
        <v>0.33551782699167659</v>
      </c>
      <c r="Q43" s="45">
        <f>+D43/G43</f>
        <v>3.2142538644470871E-2</v>
      </c>
      <c r="R43" s="43">
        <v>2500</v>
      </c>
      <c r="S43" s="45">
        <f>+E43/R43</f>
        <v>3.6117823040000001</v>
      </c>
      <c r="T43" s="24">
        <f>IF(R43=0,0,+F43/R43)</f>
        <v>11.44</v>
      </c>
      <c r="U43" s="24">
        <f>IF(L43=0,0,+L43/G43)</f>
        <v>5.4622473246135552</v>
      </c>
      <c r="V43" s="47">
        <v>44.39</v>
      </c>
      <c r="W43" s="43"/>
      <c r="X43" s="24"/>
      <c r="Y43" s="43"/>
      <c r="Z43" s="48">
        <f>IF(V43=0,0,+M43/V43)</f>
        <v>6.1215930358922734E-2</v>
      </c>
      <c r="AA43" s="62" t="str">
        <f>IF(W43=0,"",+X43/W43)</f>
        <v/>
      </c>
      <c r="AB43" s="48">
        <v>0.30419580419580422</v>
      </c>
      <c r="AC43" s="48">
        <v>1.4545454545454546</v>
      </c>
      <c r="AD43" s="48">
        <v>2.534965034965035</v>
      </c>
      <c r="AE43" s="48">
        <v>0.84615384615384615</v>
      </c>
      <c r="AF43" s="50" t="s">
        <v>81</v>
      </c>
      <c r="AG43" s="51"/>
      <c r="AH43" s="51"/>
      <c r="AI43" s="51"/>
      <c r="AJ43" s="51"/>
      <c r="AK43" s="51"/>
      <c r="AL43" s="52"/>
      <c r="AM43" s="43">
        <f>12800+15800</f>
        <v>28600</v>
      </c>
      <c r="AN43" s="53"/>
      <c r="AO43" s="54">
        <f t="shared" si="0"/>
        <v>1</v>
      </c>
      <c r="AP43" s="55" t="s">
        <v>82</v>
      </c>
      <c r="AQ43" s="51"/>
      <c r="AR43" s="43"/>
      <c r="AS43" s="43"/>
      <c r="AT43" s="43"/>
      <c r="AU43" s="51"/>
      <c r="AV43" s="43"/>
      <c r="AW43" s="52"/>
      <c r="AX43" s="43"/>
      <c r="AY43" s="51"/>
      <c r="AZ43" s="43"/>
      <c r="BA43" s="43"/>
      <c r="BB43" s="43"/>
      <c r="BC43" s="43"/>
      <c r="BD43" s="43"/>
      <c r="BE43" s="43"/>
      <c r="BF43" s="43"/>
      <c r="BG43" s="43"/>
      <c r="BH43" s="56"/>
      <c r="BI43" s="57">
        <f t="shared" si="1"/>
        <v>0</v>
      </c>
      <c r="BJ43" s="58">
        <v>2.702</v>
      </c>
      <c r="BK43" s="59">
        <v>44</v>
      </c>
      <c r="BL43" s="48">
        <v>0.04</v>
      </c>
      <c r="BM43" s="48">
        <v>0.18</v>
      </c>
      <c r="BN43" s="48">
        <v>0.41</v>
      </c>
      <c r="BO43" s="48">
        <v>0.76500000000000001</v>
      </c>
      <c r="BP43" s="48">
        <v>1.55</v>
      </c>
      <c r="BQ43" s="48">
        <v>2.11</v>
      </c>
      <c r="BR43" s="48"/>
      <c r="BS43" s="48">
        <v>2.74</v>
      </c>
      <c r="BT43" s="41">
        <v>45</v>
      </c>
      <c r="BU43" s="43">
        <v>5000</v>
      </c>
      <c r="BV43" s="60">
        <v>42083</v>
      </c>
      <c r="BW43" s="44">
        <v>0.68441870641323677</v>
      </c>
      <c r="BX43" s="43">
        <v>26400</v>
      </c>
      <c r="BY43" s="43">
        <v>8736</v>
      </c>
      <c r="BZ43" s="44">
        <v>0.33090909090909093</v>
      </c>
      <c r="CA43" s="43">
        <v>194</v>
      </c>
      <c r="CB43" s="43">
        <v>377</v>
      </c>
      <c r="CC43" s="44">
        <v>7.3484848484848481E-3</v>
      </c>
      <c r="CD43" s="44">
        <v>1.428030303030303E-2</v>
      </c>
    </row>
    <row r="44" spans="1:82" x14ac:dyDescent="0.25">
      <c r="A44" s="39" t="s">
        <v>88</v>
      </c>
      <c r="B44" s="40" t="s">
        <v>80</v>
      </c>
      <c r="C44" s="41">
        <v>874</v>
      </c>
      <c r="D44" s="61">
        <v>1408.87</v>
      </c>
      <c r="E44" s="61">
        <v>12657.18778</v>
      </c>
      <c r="F44" s="43">
        <v>34600</v>
      </c>
      <c r="G44" s="43">
        <v>30836</v>
      </c>
      <c r="H44" s="44">
        <f>IF(F44=0,0,+((F44-G44)/F44))</f>
        <v>0.10878612716763006</v>
      </c>
      <c r="I44" s="39">
        <f>363+499</f>
        <v>862</v>
      </c>
      <c r="J44" s="44">
        <f>+(I44/F44)</f>
        <v>2.4913294797687863E-2</v>
      </c>
      <c r="K44" s="43">
        <v>88390</v>
      </c>
      <c r="L44" s="43">
        <v>169480</v>
      </c>
      <c r="M44" s="24">
        <f>IF(G44=0,0,+K44/G44)</f>
        <v>2.8664547930989754</v>
      </c>
      <c r="N44" s="24">
        <f>IF(K44=0,0,+L44/K44)</f>
        <v>1.9174114718859598</v>
      </c>
      <c r="O44" s="24">
        <f t="shared" si="23"/>
        <v>1.9594783637262363</v>
      </c>
      <c r="P44" s="45">
        <f>+E44/G44</f>
        <v>0.41046788753405111</v>
      </c>
      <c r="Q44" s="45">
        <f>+D44/G44</f>
        <v>4.5689129588792315E-2</v>
      </c>
      <c r="R44" s="43">
        <v>3500</v>
      </c>
      <c r="S44" s="45">
        <f>+E44/R44</f>
        <v>3.6163393657142859</v>
      </c>
      <c r="T44" s="24">
        <f>IF(R44=0,0,+F44/R44)</f>
        <v>9.8857142857142861</v>
      </c>
      <c r="U44" s="24">
        <f>IF(L44=0,0,+L44/G44)</f>
        <v>5.4961733039304708</v>
      </c>
      <c r="V44" s="47">
        <v>44</v>
      </c>
      <c r="W44" s="43"/>
      <c r="X44" s="24"/>
      <c r="Y44" s="43"/>
      <c r="Z44" s="48">
        <f>IF(V44=0,0,+M44/V44)</f>
        <v>6.5146699843158531E-2</v>
      </c>
      <c r="AA44" s="62" t="str">
        <f>IF(W44=0,"",+X44/W44)</f>
        <v/>
      </c>
      <c r="AB44" s="48">
        <v>0.33121387283236992</v>
      </c>
      <c r="AC44" s="48">
        <v>1.3826589595375722</v>
      </c>
      <c r="AD44" s="48">
        <v>2.4664739884393065</v>
      </c>
      <c r="AE44" s="48">
        <v>0.7179190751445087</v>
      </c>
      <c r="AF44" s="50" t="s">
        <v>81</v>
      </c>
      <c r="AG44" s="51"/>
      <c r="AH44" s="51"/>
      <c r="AI44" s="51"/>
      <c r="AJ44" s="51"/>
      <c r="AK44" s="51"/>
      <c r="AL44" s="52"/>
      <c r="AM44" s="43">
        <v>34600</v>
      </c>
      <c r="AN44" s="53"/>
      <c r="AO44" s="54">
        <f t="shared" si="0"/>
        <v>1</v>
      </c>
      <c r="AP44" s="55" t="s">
        <v>82</v>
      </c>
      <c r="AQ44" s="51"/>
      <c r="AR44" s="43"/>
      <c r="AS44" s="43"/>
      <c r="AT44" s="43"/>
      <c r="AU44" s="51"/>
      <c r="AV44" s="43"/>
      <c r="AW44" s="52"/>
      <c r="AX44" s="43"/>
      <c r="AY44" s="51"/>
      <c r="AZ44" s="43"/>
      <c r="BA44" s="43"/>
      <c r="BB44" s="43"/>
      <c r="BC44" s="43"/>
      <c r="BD44" s="43"/>
      <c r="BE44" s="43"/>
      <c r="BF44" s="43"/>
      <c r="BG44" s="43"/>
      <c r="BH44" s="56"/>
      <c r="BI44" s="57">
        <f t="shared" si="1"/>
        <v>0</v>
      </c>
      <c r="BJ44" s="58">
        <v>2.8660000000000001</v>
      </c>
      <c r="BK44" s="59">
        <v>44</v>
      </c>
      <c r="BL44" s="48">
        <v>3.5999999999999997E-2</v>
      </c>
      <c r="BM44" s="48">
        <v>0.14399999999999999</v>
      </c>
      <c r="BN44" s="48">
        <v>0.44600000000000001</v>
      </c>
      <c r="BO44" s="48">
        <v>0.90800000000000003</v>
      </c>
      <c r="BP44" s="48">
        <v>1.425</v>
      </c>
      <c r="BQ44" s="48">
        <v>2.0950000000000002</v>
      </c>
      <c r="BR44" s="48"/>
      <c r="BS44" s="48">
        <v>2.8660000000000001</v>
      </c>
      <c r="BT44" s="41">
        <v>44</v>
      </c>
      <c r="BU44" s="43">
        <v>3000</v>
      </c>
      <c r="BV44" s="60">
        <v>42078</v>
      </c>
      <c r="BW44" s="44">
        <v>0.69337900214956438</v>
      </c>
      <c r="BX44" s="43">
        <v>30330</v>
      </c>
      <c r="BY44" s="43">
        <v>10592</v>
      </c>
      <c r="BZ44" s="44">
        <v>0.34922518958127269</v>
      </c>
      <c r="CA44" s="43">
        <v>151</v>
      </c>
      <c r="CB44" s="43">
        <v>511</v>
      </c>
      <c r="CC44" s="44">
        <v>4.9785690735245636E-3</v>
      </c>
      <c r="CD44" s="44">
        <v>1.6848005275304979E-2</v>
      </c>
    </row>
    <row r="45" spans="1:82" x14ac:dyDescent="0.25">
      <c r="A45" s="39" t="s">
        <v>96</v>
      </c>
      <c r="B45" s="40" t="s">
        <v>80</v>
      </c>
      <c r="C45" s="41">
        <v>796</v>
      </c>
      <c r="D45" s="63">
        <v>2174.81</v>
      </c>
      <c r="E45" s="63">
        <v>7999.65</v>
      </c>
      <c r="F45" s="43">
        <v>25500</v>
      </c>
      <c r="G45" s="43">
        <v>23495</v>
      </c>
      <c r="H45" s="44">
        <f>IF(F45=0,0,+((F45-G45)/F45))</f>
        <v>7.8627450980392158E-2</v>
      </c>
      <c r="I45" s="39">
        <v>137</v>
      </c>
      <c r="J45" s="44">
        <f>+(I45/F45)</f>
        <v>5.372549019607843E-3</v>
      </c>
      <c r="K45" s="43">
        <v>65140</v>
      </c>
      <c r="L45" s="43">
        <v>127580</v>
      </c>
      <c r="M45" s="24">
        <f>IF(G45=0,0,+K45/G45)</f>
        <v>2.7725047882528195</v>
      </c>
      <c r="N45" s="24">
        <f>IF(K45=0,0,+L45/K45)</f>
        <v>1.9585508136321768</v>
      </c>
      <c r="O45" s="24">
        <f t="shared" si="23"/>
        <v>1.995410058813061</v>
      </c>
      <c r="P45" s="45">
        <f>IF(G45=0,0,+E45/G45)</f>
        <v>0.34048308150670353</v>
      </c>
      <c r="Q45" s="45">
        <f>IF(G45=0,0,+D45/G45)</f>
        <v>9.2564801021493934E-2</v>
      </c>
      <c r="R45" s="43">
        <v>2200</v>
      </c>
      <c r="S45" s="45">
        <f>IF(R45=0,0,+E45/R45)</f>
        <v>3.6362045454545453</v>
      </c>
      <c r="T45" s="24">
        <f>IF(R45=0,0,+F45/R45)</f>
        <v>11.590909090909092</v>
      </c>
      <c r="U45" s="24">
        <f>IF(L45=0,0,+L45/G45)</f>
        <v>5.4300915088316666</v>
      </c>
      <c r="V45" s="47">
        <v>44.16</v>
      </c>
      <c r="W45" s="43"/>
      <c r="X45" s="24"/>
      <c r="Y45" s="43"/>
      <c r="Z45" s="48">
        <f>IF(V45=0,0,+M45/V45)</f>
        <v>6.2783170023841026E-2</v>
      </c>
      <c r="AA45" s="64" t="str">
        <f>IF(W45=0,"",+X45/W45)</f>
        <v/>
      </c>
      <c r="AB45" s="65">
        <v>0.31686274509803919</v>
      </c>
      <c r="AC45" s="65">
        <v>1.611764705882353</v>
      </c>
      <c r="AD45" s="65">
        <v>2.6745098039215685</v>
      </c>
      <c r="AE45" s="65">
        <v>0.4</v>
      </c>
      <c r="AF45" s="50" t="s">
        <v>81</v>
      </c>
      <c r="AG45" s="51"/>
      <c r="AH45" s="51">
        <v>1500</v>
      </c>
      <c r="AI45" s="51"/>
      <c r="AJ45" s="51"/>
      <c r="AK45" s="51"/>
      <c r="AL45" s="51"/>
      <c r="AM45" s="51"/>
      <c r="AN45" s="53"/>
      <c r="AO45" s="54">
        <f t="shared" si="0"/>
        <v>5.8823529411764705E-2</v>
      </c>
      <c r="AP45" s="55" t="s">
        <v>82</v>
      </c>
      <c r="AQ45" s="43"/>
      <c r="AR45" s="43"/>
      <c r="AS45" s="43"/>
      <c r="AT45" s="43"/>
      <c r="AU45" s="43"/>
      <c r="AV45" s="43"/>
      <c r="AW45" s="43"/>
      <c r="AX45" s="43"/>
      <c r="AY45" s="43">
        <v>11700</v>
      </c>
      <c r="AZ45" s="43"/>
      <c r="BA45" s="43"/>
      <c r="BB45" s="43"/>
      <c r="BC45" s="43"/>
      <c r="BD45" s="43"/>
      <c r="BE45" s="43"/>
      <c r="BF45" s="43">
        <v>12300</v>
      </c>
      <c r="BG45" s="43"/>
      <c r="BH45" s="56"/>
      <c r="BI45" s="57">
        <f t="shared" si="1"/>
        <v>0.94117647058823528</v>
      </c>
      <c r="BJ45" s="58">
        <v>2.879</v>
      </c>
      <c r="BK45" s="59">
        <v>43</v>
      </c>
      <c r="BL45" s="77">
        <v>0.04</v>
      </c>
      <c r="BM45" s="77">
        <v>0.2</v>
      </c>
      <c r="BN45" s="77">
        <v>0.50600000000000001</v>
      </c>
      <c r="BO45" s="77">
        <v>0.995</v>
      </c>
      <c r="BP45" s="77">
        <v>1.575</v>
      </c>
      <c r="BQ45" s="77">
        <v>2.1749999999999998</v>
      </c>
      <c r="BR45" s="77">
        <v>2.879</v>
      </c>
      <c r="BS45" s="77">
        <v>2.6890000000000001</v>
      </c>
      <c r="BT45" s="41">
        <v>45</v>
      </c>
      <c r="BU45" s="43">
        <v>4000</v>
      </c>
      <c r="BV45" s="67">
        <v>42351</v>
      </c>
      <c r="BW45" s="44">
        <v>0.68161344795824386</v>
      </c>
      <c r="BX45" s="43">
        <v>22593</v>
      </c>
      <c r="BY45" s="43">
        <v>4437</v>
      </c>
      <c r="BZ45" s="44">
        <v>0.19638826185101579</v>
      </c>
      <c r="CA45" s="43">
        <v>87</v>
      </c>
      <c r="CB45" s="43">
        <v>347</v>
      </c>
      <c r="CC45" s="44">
        <v>3.7029155139391358E-3</v>
      </c>
      <c r="CD45" s="44">
        <v>1.4769099808469887E-2</v>
      </c>
    </row>
    <row r="46" spans="1:82" x14ac:dyDescent="0.25">
      <c r="A46" s="39" t="s">
        <v>102</v>
      </c>
      <c r="B46" s="40" t="s">
        <v>86</v>
      </c>
      <c r="C46" s="41">
        <v>452</v>
      </c>
      <c r="D46" s="61">
        <v>537.82000000000005</v>
      </c>
      <c r="E46" s="61">
        <v>12793.9478</v>
      </c>
      <c r="F46" s="43">
        <v>34500</v>
      </c>
      <c r="G46" s="43">
        <v>32360</v>
      </c>
      <c r="H46" s="44">
        <f>IF(F46=0,0,+((F46-G46)/F46))</f>
        <v>6.2028985507246379E-2</v>
      </c>
      <c r="I46" s="39">
        <v>638</v>
      </c>
      <c r="J46" s="44">
        <f>+(I46/F46)</f>
        <v>1.8492753623188404E-2</v>
      </c>
      <c r="K46" s="43">
        <v>87740</v>
      </c>
      <c r="L46" s="43">
        <v>169400</v>
      </c>
      <c r="M46" s="24">
        <f>IF(G46=0,0,+K46/G46)</f>
        <v>2.711372064276885</v>
      </c>
      <c r="N46" s="24">
        <f>IF(K46=0,0,+L46/K46)</f>
        <v>1.9307043537725097</v>
      </c>
      <c r="O46" s="24">
        <f t="shared" si="23"/>
        <v>1.971275095856579</v>
      </c>
      <c r="P46" s="45">
        <f>IF(G46=0,0,+E46/G46)</f>
        <v>0.39536303461063038</v>
      </c>
      <c r="Q46" s="45">
        <f>IF(G46=0,0,+D46/G46)</f>
        <v>1.6619901112484549E-2</v>
      </c>
      <c r="R46" s="43">
        <v>3400</v>
      </c>
      <c r="S46" s="45">
        <f>IF(R46=0,0,+E46/R46)</f>
        <v>3.7629258235294119</v>
      </c>
      <c r="T46" s="24">
        <f>IF(R46=0,0,+F46/R46)</f>
        <v>10.147058823529411</v>
      </c>
      <c r="U46" s="24">
        <f>IF(L46=0,0,+L46/G46)</f>
        <v>5.2348578491965387</v>
      </c>
      <c r="V46" s="47">
        <v>43.81</v>
      </c>
      <c r="W46" s="43"/>
      <c r="X46" s="24"/>
      <c r="Y46" s="43"/>
      <c r="Z46" s="48">
        <f>IF(V46=0,0,+M46/V46)</f>
        <v>6.1889341800431062E-2</v>
      </c>
      <c r="AA46" s="71" t="str">
        <f>IF(W46=0,"",+X46/W46)</f>
        <v/>
      </c>
      <c r="AB46" s="48">
        <v>0.32521739130434785</v>
      </c>
      <c r="AC46" s="48">
        <v>1.4765217391304348</v>
      </c>
      <c r="AD46" s="48">
        <v>2.0231884057971015</v>
      </c>
      <c r="AE46" s="48">
        <v>1.0852173913043479</v>
      </c>
      <c r="AF46" s="50" t="s">
        <v>81</v>
      </c>
      <c r="AG46" s="51"/>
      <c r="AH46" s="51"/>
      <c r="AI46" s="51"/>
      <c r="AJ46" s="51">
        <v>1800</v>
      </c>
      <c r="AK46" s="51"/>
      <c r="AL46" s="52"/>
      <c r="AM46" s="51"/>
      <c r="AN46" s="53"/>
      <c r="AO46" s="54">
        <f t="shared" si="0"/>
        <v>5.2173913043478258E-2</v>
      </c>
      <c r="AP46" s="55" t="s">
        <v>82</v>
      </c>
      <c r="AQ46" s="51"/>
      <c r="AR46" s="43"/>
      <c r="AS46" s="43"/>
      <c r="AT46" s="43"/>
      <c r="AU46" s="51"/>
      <c r="AV46" s="43"/>
      <c r="AW46" s="52"/>
      <c r="AX46" s="43"/>
      <c r="AY46" s="51"/>
      <c r="AZ46" s="43"/>
      <c r="BA46" s="43"/>
      <c r="BB46" s="43"/>
      <c r="BC46" s="43"/>
      <c r="BD46" s="43"/>
      <c r="BE46" s="43"/>
      <c r="BF46" s="51"/>
      <c r="BG46" s="43">
        <v>32700</v>
      </c>
      <c r="BH46" s="53"/>
      <c r="BI46" s="57">
        <f t="shared" si="1"/>
        <v>0.94782608695652171</v>
      </c>
      <c r="BJ46" s="58">
        <v>2.78</v>
      </c>
      <c r="BK46" s="59">
        <v>43</v>
      </c>
      <c r="BL46" s="48"/>
      <c r="BM46" s="48">
        <v>0.157</v>
      </c>
      <c r="BN46" s="48">
        <v>0.44</v>
      </c>
      <c r="BO46" s="48">
        <v>0.83</v>
      </c>
      <c r="BP46" s="48">
        <v>1.4</v>
      </c>
      <c r="BQ46" s="48">
        <v>2.08</v>
      </c>
      <c r="BR46" s="48"/>
      <c r="BS46" s="48">
        <v>2.694</v>
      </c>
      <c r="BT46" s="41">
        <v>44</v>
      </c>
      <c r="BU46" s="43">
        <v>4000</v>
      </c>
      <c r="BV46" s="60">
        <v>42152</v>
      </c>
      <c r="BW46" s="44">
        <v>0.69738796444039208</v>
      </c>
      <c r="BX46" s="43">
        <v>31678</v>
      </c>
      <c r="BY46" s="43">
        <v>14512</v>
      </c>
      <c r="BZ46" s="44">
        <v>0.45810972914956755</v>
      </c>
      <c r="CA46" s="43">
        <v>82</v>
      </c>
      <c r="CB46" s="43">
        <v>584</v>
      </c>
      <c r="CC46" s="44">
        <v>2.588547256771261E-3</v>
      </c>
      <c r="CD46" s="44">
        <v>1.8435507292127028E-2</v>
      </c>
    </row>
    <row r="47" spans="1:82" x14ac:dyDescent="0.25">
      <c r="A47" s="39" t="s">
        <v>108</v>
      </c>
      <c r="B47" s="40" t="s">
        <v>80</v>
      </c>
      <c r="C47" s="41">
        <v>932</v>
      </c>
      <c r="D47" s="42">
        <v>1413.9059999999999</v>
      </c>
      <c r="E47" s="42">
        <v>10186.9702</v>
      </c>
      <c r="F47" s="39">
        <v>38900</v>
      </c>
      <c r="G47" s="39">
        <v>35240</v>
      </c>
      <c r="H47" s="44">
        <v>9.4087403598971719E-2</v>
      </c>
      <c r="I47" s="39">
        <v>404</v>
      </c>
      <c r="J47" s="44">
        <v>1.038560411311054E-2</v>
      </c>
      <c r="K47" s="39">
        <v>89220</v>
      </c>
      <c r="L47" s="39">
        <v>177820</v>
      </c>
      <c r="M47" s="24">
        <v>2.5317820658342791</v>
      </c>
      <c r="N47" s="24">
        <v>1.9930508854516924</v>
      </c>
      <c r="O47" s="24">
        <f t="shared" si="23"/>
        <v>2.03456195368957</v>
      </c>
      <c r="P47" s="45">
        <v>0.28907406923950058</v>
      </c>
      <c r="Q47" s="45">
        <v>4.0122190692395004E-2</v>
      </c>
      <c r="R47" s="43">
        <v>2700</v>
      </c>
      <c r="S47" s="46">
        <v>3.7729519259259257</v>
      </c>
      <c r="T47" s="24">
        <v>14.407407407407407</v>
      </c>
      <c r="U47" s="24">
        <v>5.0459704880817249</v>
      </c>
      <c r="V47" s="47">
        <v>43.28</v>
      </c>
      <c r="W47" s="43"/>
      <c r="X47" s="24"/>
      <c r="Y47" s="43"/>
      <c r="Z47" s="48">
        <v>5.8497737195801272E-2</v>
      </c>
      <c r="AA47" s="62" t="s">
        <v>84</v>
      </c>
      <c r="AB47" s="48">
        <v>0.28226221079691516</v>
      </c>
      <c r="AC47" s="48">
        <v>1.4272493573264782</v>
      </c>
      <c r="AD47" s="48">
        <v>2.2287917737789202</v>
      </c>
      <c r="AE47" s="48">
        <v>0.63290488431876601</v>
      </c>
      <c r="AF47" s="50" t="s">
        <v>81</v>
      </c>
      <c r="AG47" s="51"/>
      <c r="AH47" s="51"/>
      <c r="AI47" s="51"/>
      <c r="AJ47" s="51"/>
      <c r="AK47" s="51"/>
      <c r="AL47" s="52"/>
      <c r="AM47" s="51">
        <v>30600</v>
      </c>
      <c r="AN47" s="53"/>
      <c r="AO47" s="54">
        <f t="shared" si="0"/>
        <v>0.78663239074550129</v>
      </c>
      <c r="AP47" s="55" t="s">
        <v>82</v>
      </c>
      <c r="AQ47" s="51"/>
      <c r="AR47" s="43"/>
      <c r="AS47" s="43"/>
      <c r="AT47" s="43"/>
      <c r="AU47" s="43"/>
      <c r="AV47" s="43"/>
      <c r="AW47" s="52"/>
      <c r="AX47" s="43"/>
      <c r="AY47" s="43"/>
      <c r="AZ47" s="43"/>
      <c r="BA47" s="43"/>
      <c r="BB47" s="43"/>
      <c r="BC47" s="43"/>
      <c r="BD47" s="43"/>
      <c r="BE47" s="43">
        <v>8300</v>
      </c>
      <c r="BF47" s="43"/>
      <c r="BG47" s="43"/>
      <c r="BH47" s="56"/>
      <c r="BI47" s="57">
        <f t="shared" si="1"/>
        <v>0.21336760925449871</v>
      </c>
      <c r="BJ47" s="58">
        <v>2.5329999999999999</v>
      </c>
      <c r="BK47" s="59">
        <v>42</v>
      </c>
      <c r="BL47" s="48"/>
      <c r="BM47" s="48"/>
      <c r="BN47" s="48">
        <v>4.2000000000000003E-2</v>
      </c>
      <c r="BO47" s="48">
        <v>0.89800000000000002</v>
      </c>
      <c r="BP47" s="48">
        <v>1.39</v>
      </c>
      <c r="BQ47" s="48">
        <v>0</v>
      </c>
      <c r="BR47" s="48">
        <v>2.5169999999999999</v>
      </c>
      <c r="BS47" s="48">
        <v>2.5299999999999998</v>
      </c>
      <c r="BT47" s="41">
        <v>44</v>
      </c>
      <c r="BU47" s="43">
        <v>4000</v>
      </c>
      <c r="BV47" s="60">
        <v>42106</v>
      </c>
      <c r="BW47" s="44">
        <v>0.67219827392961218</v>
      </c>
      <c r="BX47" s="43">
        <v>34396</v>
      </c>
      <c r="BY47" s="43">
        <v>14144</v>
      </c>
      <c r="BZ47" s="44">
        <v>0.41121060588440517</v>
      </c>
      <c r="CA47" s="43">
        <v>273</v>
      </c>
      <c r="CB47" s="43">
        <v>446</v>
      </c>
      <c r="CC47" s="44">
        <v>7.9369694150482617E-3</v>
      </c>
      <c r="CD47" s="44">
        <v>1.2966624026049541E-2</v>
      </c>
    </row>
    <row r="48" spans="1:82" x14ac:dyDescent="0.25">
      <c r="A48" s="39" t="s">
        <v>87</v>
      </c>
      <c r="B48" s="40" t="s">
        <v>80</v>
      </c>
      <c r="C48" s="41">
        <v>832</v>
      </c>
      <c r="D48" s="42">
        <v>405.38</v>
      </c>
      <c r="E48" s="42">
        <v>9070.6564850000013</v>
      </c>
      <c r="F48" s="43">
        <v>23000</v>
      </c>
      <c r="G48" s="43">
        <v>22157</v>
      </c>
      <c r="H48" s="44">
        <f t="shared" ref="H48:H54" si="24">IF(F48=0,0,+((F48-G48)/F48))</f>
        <v>3.6652173913043477E-2</v>
      </c>
      <c r="I48" s="39">
        <f>49+128</f>
        <v>177</v>
      </c>
      <c r="J48" s="44">
        <f t="shared" ref="J48:J54" si="25">+(I48/F48)</f>
        <v>7.6956521739130436E-3</v>
      </c>
      <c r="K48" s="43">
        <v>64250</v>
      </c>
      <c r="L48" s="43">
        <v>127160</v>
      </c>
      <c r="M48" s="24">
        <f t="shared" ref="M48:M54" si="26">IF(G48=0,0,+K48/G48)</f>
        <v>2.8997607979419597</v>
      </c>
      <c r="N48" s="24">
        <f t="shared" ref="N48:N54" si="27">IF(K48=0,0,+L48/K48)</f>
        <v>1.9791439688715953</v>
      </c>
      <c r="O48" s="24">
        <f t="shared" si="23"/>
        <v>1.9954447086953009</v>
      </c>
      <c r="P48" s="45">
        <f>IF(G48=0,0,+E48/G48)</f>
        <v>0.40938107528094964</v>
      </c>
      <c r="Q48" s="45">
        <f>IF(G48=0,0,+D48/G48)</f>
        <v>1.829579816762197E-2</v>
      </c>
      <c r="R48" s="43">
        <v>2400</v>
      </c>
      <c r="S48" s="45">
        <f>IF(R48=0,0,+E48/R48)</f>
        <v>3.7794402020833338</v>
      </c>
      <c r="T48" s="24">
        <f t="shared" ref="T48:T54" si="28">IF(R48=0,0,+F48/R48)</f>
        <v>9.5833333333333339</v>
      </c>
      <c r="U48" s="24">
        <f t="shared" ref="U48:U54" si="29">IF(L48=0,0,+L48/G48)</f>
        <v>5.7390440944171139</v>
      </c>
      <c r="V48" s="47">
        <v>45.75</v>
      </c>
      <c r="W48" s="43"/>
      <c r="X48" s="24"/>
      <c r="Y48" s="43"/>
      <c r="Z48" s="48">
        <f t="shared" ref="Z48:Z54" si="30">IF(V48=0,0,+M48/V48)</f>
        <v>6.3382749681791473E-2</v>
      </c>
      <c r="AA48" s="49" t="str">
        <f t="shared" ref="AA48:AA54" si="31">IF(W48=0,"",+X48/W48)</f>
        <v/>
      </c>
      <c r="AB48" s="48">
        <v>0.30086956521739128</v>
      </c>
      <c r="AC48" s="48">
        <v>1.6773913043478261</v>
      </c>
      <c r="AD48" s="48">
        <v>2.2034782608695651</v>
      </c>
      <c r="AE48" s="48">
        <v>1.3469565217391304</v>
      </c>
      <c r="AF48" s="50" t="s">
        <v>81</v>
      </c>
      <c r="AG48" s="73">
        <f>13800+2400</f>
        <v>16200</v>
      </c>
      <c r="AH48" s="73"/>
      <c r="AI48" s="73"/>
      <c r="AJ48" s="73"/>
      <c r="AK48" s="73"/>
      <c r="AL48" s="39"/>
      <c r="AM48" s="73"/>
      <c r="AN48" s="74"/>
      <c r="AO48" s="54">
        <f t="shared" si="0"/>
        <v>0.70434782608695656</v>
      </c>
      <c r="AP48" s="55" t="s">
        <v>82</v>
      </c>
      <c r="AQ48" s="73"/>
      <c r="AR48" s="39"/>
      <c r="AS48" s="39">
        <v>5600</v>
      </c>
      <c r="AT48" s="39"/>
      <c r="AU48" s="39"/>
      <c r="AV48" s="39"/>
      <c r="AW48" s="39">
        <v>1200</v>
      </c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72"/>
      <c r="BI48" s="57">
        <f t="shared" si="1"/>
        <v>0.29565217391304349</v>
      </c>
      <c r="BJ48" s="58">
        <v>2.9590000000000001</v>
      </c>
      <c r="BK48" s="59">
        <v>45</v>
      </c>
      <c r="BL48" s="48">
        <v>4.1000000000000002E-2</v>
      </c>
      <c r="BM48" s="48">
        <v>0.1525</v>
      </c>
      <c r="BN48" s="48">
        <v>0.44500000000000001</v>
      </c>
      <c r="BO48" s="48">
        <v>0.90249999999999997</v>
      </c>
      <c r="BP48" s="48">
        <v>1.2949999999999999</v>
      </c>
      <c r="BQ48" s="48">
        <v>1.8285</v>
      </c>
      <c r="BR48" s="48">
        <v>2.6225000000000001</v>
      </c>
      <c r="BS48" s="48">
        <v>2.8769999999999998</v>
      </c>
      <c r="BT48" s="41">
        <v>46</v>
      </c>
      <c r="BU48" s="43">
        <v>6500</v>
      </c>
      <c r="BV48" s="60">
        <v>42030</v>
      </c>
      <c r="BW48" s="44">
        <v>0.68890412451361871</v>
      </c>
      <c r="BX48" s="39">
        <v>22066</v>
      </c>
      <c r="BY48" s="43">
        <v>7960</v>
      </c>
      <c r="BZ48" s="44">
        <v>0.36073597389649237</v>
      </c>
      <c r="CA48" s="43">
        <v>104</v>
      </c>
      <c r="CB48" s="43">
        <v>77</v>
      </c>
      <c r="CC48" s="44">
        <v>4.7131333272908546E-3</v>
      </c>
      <c r="CD48" s="44">
        <v>3.489531405782652E-3</v>
      </c>
    </row>
    <row r="49" spans="1:82" x14ac:dyDescent="0.25">
      <c r="A49" s="39" t="s">
        <v>90</v>
      </c>
      <c r="B49" s="40" t="s">
        <v>91</v>
      </c>
      <c r="C49" s="41">
        <v>870</v>
      </c>
      <c r="D49" s="61">
        <v>689.82</v>
      </c>
      <c r="E49" s="61">
        <v>9028.2869250000003</v>
      </c>
      <c r="F49" s="43">
        <v>23400</v>
      </c>
      <c r="G49" s="43">
        <v>22685</v>
      </c>
      <c r="H49" s="44">
        <f t="shared" si="24"/>
        <v>3.0555555555555555E-2</v>
      </c>
      <c r="I49" s="39">
        <v>256</v>
      </c>
      <c r="J49" s="44">
        <f t="shared" si="25"/>
        <v>1.094017094017094E-2</v>
      </c>
      <c r="K49" s="43">
        <v>62940</v>
      </c>
      <c r="L49" s="43">
        <v>122760</v>
      </c>
      <c r="M49" s="24">
        <f t="shared" si="26"/>
        <v>2.7745206083314966</v>
      </c>
      <c r="N49" s="24">
        <f t="shared" si="27"/>
        <v>1.9504289799809342</v>
      </c>
      <c r="O49" s="24">
        <f t="shared" si="23"/>
        <v>1.9617576221897444</v>
      </c>
      <c r="P49" s="45">
        <f>IF(G49=0,0,+E49/G49)</f>
        <v>0.39798487657042098</v>
      </c>
      <c r="Q49" s="45">
        <f>IF(G49=0,0,+D49/G49)</f>
        <v>3.0408640070531189E-2</v>
      </c>
      <c r="R49" s="43">
        <v>2383</v>
      </c>
      <c r="S49" s="45">
        <f>IF(R49=0,0,+E49/R49)</f>
        <v>3.7886222933277383</v>
      </c>
      <c r="T49" s="24">
        <f t="shared" si="28"/>
        <v>9.819555182543013</v>
      </c>
      <c r="U49" s="24">
        <f t="shared" si="29"/>
        <v>5.4115054000440823</v>
      </c>
      <c r="V49" s="47">
        <v>42.74</v>
      </c>
      <c r="W49" s="43"/>
      <c r="X49" s="24"/>
      <c r="Y49" s="43"/>
      <c r="Z49" s="48">
        <f t="shared" si="30"/>
        <v>6.4916251949730844E-2</v>
      </c>
      <c r="AA49" s="62" t="str">
        <f t="shared" si="31"/>
        <v/>
      </c>
      <c r="AB49" s="48">
        <v>0.35641025641025642</v>
      </c>
      <c r="AC49" s="48">
        <v>1.5692307692307692</v>
      </c>
      <c r="AD49" s="48">
        <v>2.6128205128205129</v>
      </c>
      <c r="AE49" s="48">
        <v>0.70769230769230773</v>
      </c>
      <c r="AF49" s="50" t="s">
        <v>81</v>
      </c>
      <c r="AG49" s="51"/>
      <c r="AH49" s="51"/>
      <c r="AI49" s="51"/>
      <c r="AJ49" s="51"/>
      <c r="AK49" s="39"/>
      <c r="AL49" s="52"/>
      <c r="AM49" s="39"/>
      <c r="AN49" s="72"/>
      <c r="AO49" s="54">
        <f t="shared" si="0"/>
        <v>0</v>
      </c>
      <c r="AP49" s="55" t="s">
        <v>82</v>
      </c>
      <c r="AQ49" s="43"/>
      <c r="AR49" s="43"/>
      <c r="AS49" s="43"/>
      <c r="AT49" s="43"/>
      <c r="AU49" s="43"/>
      <c r="AV49" s="43">
        <v>11700</v>
      </c>
      <c r="AW49" s="52"/>
      <c r="AX49" s="43"/>
      <c r="AY49" s="43">
        <v>11700</v>
      </c>
      <c r="AZ49" s="43"/>
      <c r="BA49" s="43"/>
      <c r="BB49" s="43"/>
      <c r="BC49" s="43"/>
      <c r="BD49" s="43"/>
      <c r="BE49" s="43"/>
      <c r="BF49" s="43"/>
      <c r="BG49" s="43"/>
      <c r="BH49" s="56"/>
      <c r="BI49" s="57">
        <f t="shared" si="1"/>
        <v>1</v>
      </c>
      <c r="BJ49" s="58">
        <v>2.7440000000000002</v>
      </c>
      <c r="BK49" s="59">
        <v>42</v>
      </c>
      <c r="BL49" s="48">
        <v>4.2000000000000003E-2</v>
      </c>
      <c r="BM49" s="48">
        <v>0.17100000000000001</v>
      </c>
      <c r="BN49" s="48">
        <v>0.46500000000000002</v>
      </c>
      <c r="BO49" s="48">
        <v>0.92500000000000004</v>
      </c>
      <c r="BP49" s="48">
        <v>1.4650000000000001</v>
      </c>
      <c r="BQ49" s="48">
        <v>2.25</v>
      </c>
      <c r="BR49" s="48"/>
      <c r="BS49" s="48">
        <v>2.8050000000000002</v>
      </c>
      <c r="BT49" s="41">
        <v>44</v>
      </c>
      <c r="BU49" s="43">
        <v>4000</v>
      </c>
      <c r="BV49" s="60">
        <v>42200</v>
      </c>
      <c r="BW49" s="44">
        <v>0.67905067350865933</v>
      </c>
      <c r="BX49" s="43">
        <v>11266</v>
      </c>
      <c r="BY49" s="43">
        <v>5472</v>
      </c>
      <c r="BZ49" s="44">
        <v>0.48570921356293273</v>
      </c>
      <c r="CA49" s="43">
        <v>45</v>
      </c>
      <c r="CB49" s="43">
        <v>86</v>
      </c>
      <c r="CC49" s="44">
        <v>3.9943191904846442E-3</v>
      </c>
      <c r="CD49" s="44">
        <v>7.6335877862595417E-3</v>
      </c>
    </row>
    <row r="50" spans="1:82" x14ac:dyDescent="0.25">
      <c r="A50" s="39" t="s">
        <v>88</v>
      </c>
      <c r="B50" s="40" t="s">
        <v>80</v>
      </c>
      <c r="C50" s="41">
        <v>874</v>
      </c>
      <c r="D50" s="42">
        <v>195.22</v>
      </c>
      <c r="E50" s="42">
        <v>13420.378299999998</v>
      </c>
      <c r="F50" s="43">
        <v>36500</v>
      </c>
      <c r="G50" s="43">
        <v>34460</v>
      </c>
      <c r="H50" s="44">
        <f t="shared" si="24"/>
        <v>5.589041095890411E-2</v>
      </c>
      <c r="I50" s="39">
        <v>297</v>
      </c>
      <c r="J50" s="44">
        <f t="shared" si="25"/>
        <v>8.1369863013698637E-3</v>
      </c>
      <c r="K50" s="43">
        <v>95070</v>
      </c>
      <c r="L50" s="43">
        <v>186460</v>
      </c>
      <c r="M50" s="24">
        <f t="shared" si="26"/>
        <v>2.7588508415554265</v>
      </c>
      <c r="N50" s="24">
        <f t="shared" si="27"/>
        <v>1.9612916798148732</v>
      </c>
      <c r="O50" s="24">
        <f t="shared" si="23"/>
        <v>2.0158110023389568</v>
      </c>
      <c r="P50" s="45">
        <f>IF(G50=0,0,+E50/G50)</f>
        <v>0.38944800638421356</v>
      </c>
      <c r="Q50" s="45">
        <f>IF(G50=0,0,+D50/G50)</f>
        <v>5.6651189785258274E-3</v>
      </c>
      <c r="R50" s="43">
        <v>3500</v>
      </c>
      <c r="S50" s="45">
        <f>IF(R50=0,0,+E50/R50)</f>
        <v>3.8343937999999995</v>
      </c>
      <c r="T50" s="24">
        <f t="shared" si="28"/>
        <v>10.428571428571429</v>
      </c>
      <c r="U50" s="24">
        <f t="shared" si="29"/>
        <v>5.4109112013929197</v>
      </c>
      <c r="V50" s="47">
        <v>43.32</v>
      </c>
      <c r="W50" s="43"/>
      <c r="X50" s="24"/>
      <c r="Y50" s="43"/>
      <c r="Z50" s="48">
        <f t="shared" si="30"/>
        <v>6.368538415409572E-2</v>
      </c>
      <c r="AA50" s="49" t="str">
        <f t="shared" si="31"/>
        <v/>
      </c>
      <c r="AB50" s="48">
        <v>0.30575342465753425</v>
      </c>
      <c r="AC50" s="48">
        <v>1.4038356164383561</v>
      </c>
      <c r="AD50" s="48">
        <v>2.2213698630136984</v>
      </c>
      <c r="AE50" s="48">
        <v>1.1775342465753424</v>
      </c>
      <c r="AF50" s="50" t="s">
        <v>81</v>
      </c>
      <c r="AG50" s="73"/>
      <c r="AH50" s="73"/>
      <c r="AI50" s="73"/>
      <c r="AJ50" s="73">
        <v>15800</v>
      </c>
      <c r="AK50" s="73"/>
      <c r="AL50" s="39"/>
      <c r="AM50" s="73"/>
      <c r="AN50" s="74"/>
      <c r="AO50" s="54">
        <f t="shared" si="0"/>
        <v>0.43287671232876712</v>
      </c>
      <c r="AP50" s="55" t="s">
        <v>82</v>
      </c>
      <c r="AQ50" s="73">
        <v>19200</v>
      </c>
      <c r="AR50" s="39"/>
      <c r="AS50" s="39"/>
      <c r="AT50" s="39">
        <v>1500</v>
      </c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72"/>
      <c r="BI50" s="57">
        <f t="shared" si="1"/>
        <v>0.56712328767123288</v>
      </c>
      <c r="BJ50" s="58">
        <v>2.78</v>
      </c>
      <c r="BK50" s="59">
        <v>43</v>
      </c>
      <c r="BL50" s="48">
        <v>0.04</v>
      </c>
      <c r="BM50" s="48">
        <v>0.17</v>
      </c>
      <c r="BN50" s="48">
        <v>0.51500000000000001</v>
      </c>
      <c r="BO50" s="48">
        <v>0.90500000000000003</v>
      </c>
      <c r="BP50" s="48">
        <v>1.4750000000000001</v>
      </c>
      <c r="BQ50" s="48">
        <v>2.1059999999999999</v>
      </c>
      <c r="BR50" s="48">
        <v>2.7749999999999999</v>
      </c>
      <c r="BS50" s="48">
        <v>2.7109999999999999</v>
      </c>
      <c r="BT50" s="41">
        <v>44</v>
      </c>
      <c r="BU50" s="43">
        <v>6000</v>
      </c>
      <c r="BV50" s="60">
        <v>42011</v>
      </c>
      <c r="BW50" s="44">
        <v>0.67595561165457041</v>
      </c>
      <c r="BX50" s="39">
        <v>33615</v>
      </c>
      <c r="BY50" s="43">
        <v>14048</v>
      </c>
      <c r="BZ50" s="44">
        <v>0.41790867172393276</v>
      </c>
      <c r="CA50" s="43">
        <v>414</v>
      </c>
      <c r="CB50" s="43">
        <v>518</v>
      </c>
      <c r="CC50" s="44">
        <v>1.2315930388219544E-2</v>
      </c>
      <c r="CD50" s="44">
        <v>1.5409787297337498E-2</v>
      </c>
    </row>
    <row r="51" spans="1:82" x14ac:dyDescent="0.25">
      <c r="A51" s="39" t="s">
        <v>85</v>
      </c>
      <c r="B51" s="40" t="s">
        <v>86</v>
      </c>
      <c r="C51" s="41">
        <v>430</v>
      </c>
      <c r="D51" s="61">
        <v>923.04</v>
      </c>
      <c r="E51" s="61">
        <v>6137.38</v>
      </c>
      <c r="F51" s="43">
        <v>22000</v>
      </c>
      <c r="G51" s="43">
        <v>20408</v>
      </c>
      <c r="H51" s="44">
        <f t="shared" si="24"/>
        <v>7.2363636363636366E-2</v>
      </c>
      <c r="I51" s="39">
        <v>493</v>
      </c>
      <c r="J51" s="44">
        <f t="shared" si="25"/>
        <v>2.240909090909091E-2</v>
      </c>
      <c r="K51" s="43">
        <v>54110</v>
      </c>
      <c r="L51" s="43">
        <v>106420</v>
      </c>
      <c r="M51" s="24">
        <f t="shared" si="26"/>
        <v>2.6514112112896902</v>
      </c>
      <c r="N51" s="24">
        <f t="shared" si="27"/>
        <v>1.9667344298650897</v>
      </c>
      <c r="O51" s="24">
        <f t="shared" si="23"/>
        <v>1.97963581971328</v>
      </c>
      <c r="P51" s="45">
        <f>IF(G51=0,0,+E51/G51)</f>
        <v>0.30073402587220699</v>
      </c>
      <c r="Q51" s="45">
        <f>IF(G51=0,0,+D51/G51)</f>
        <v>4.5229321834574676E-2</v>
      </c>
      <c r="R51" s="43">
        <v>1590</v>
      </c>
      <c r="S51" s="45">
        <f>IF(R51=0,0,+E51/R51)</f>
        <v>3.8599874213836478</v>
      </c>
      <c r="T51" s="24">
        <f t="shared" si="28"/>
        <v>13.836477987421384</v>
      </c>
      <c r="U51" s="24">
        <f t="shared" si="29"/>
        <v>5.2146217169737357</v>
      </c>
      <c r="V51" s="47">
        <v>45.24</v>
      </c>
      <c r="W51" s="43"/>
      <c r="X51" s="24"/>
      <c r="Y51" s="43"/>
      <c r="Z51" s="48">
        <f t="shared" si="30"/>
        <v>5.860767487377741E-2</v>
      </c>
      <c r="AA51" s="71" t="str">
        <f t="shared" si="31"/>
        <v/>
      </c>
      <c r="AB51" s="48">
        <v>0.31090909090909091</v>
      </c>
      <c r="AC51" s="48">
        <v>1.4136363636363636</v>
      </c>
      <c r="AD51" s="48">
        <v>2.5127272727272727</v>
      </c>
      <c r="AE51" s="48">
        <v>0.6</v>
      </c>
      <c r="AF51" s="50" t="s">
        <v>81</v>
      </c>
      <c r="AG51" s="51"/>
      <c r="AH51" s="51"/>
      <c r="AI51" s="51">
        <v>22000</v>
      </c>
      <c r="AJ51" s="51"/>
      <c r="AK51" s="51"/>
      <c r="AL51" s="52"/>
      <c r="AM51" s="51"/>
      <c r="AN51" s="53"/>
      <c r="AO51" s="54">
        <f t="shared" si="0"/>
        <v>1</v>
      </c>
      <c r="AP51" s="55" t="s">
        <v>82</v>
      </c>
      <c r="AQ51" s="51"/>
      <c r="AR51" s="43"/>
      <c r="AS51" s="43"/>
      <c r="AT51" s="43"/>
      <c r="AU51" s="51"/>
      <c r="AV51" s="43"/>
      <c r="AW51" s="52"/>
      <c r="AX51" s="43"/>
      <c r="AY51" s="51"/>
      <c r="AZ51" s="43"/>
      <c r="BA51" s="43"/>
      <c r="BB51" s="43"/>
      <c r="BC51" s="43"/>
      <c r="BD51" s="43"/>
      <c r="BE51" s="43"/>
      <c r="BF51" s="51"/>
      <c r="BG51" s="43"/>
      <c r="BH51" s="53"/>
      <c r="BI51" s="57">
        <f t="shared" si="1"/>
        <v>0</v>
      </c>
      <c r="BJ51" s="58">
        <v>2.6339999999999999</v>
      </c>
      <c r="BK51" s="59">
        <v>45</v>
      </c>
      <c r="BL51" s="48"/>
      <c r="BM51" s="48">
        <v>0.18</v>
      </c>
      <c r="BN51" s="48">
        <v>0.42499999999999999</v>
      </c>
      <c r="BO51" s="48">
        <v>0.83</v>
      </c>
      <c r="BP51" s="48">
        <v>1.45</v>
      </c>
      <c r="BQ51" s="48">
        <v>2.0499999999999998</v>
      </c>
      <c r="BR51" s="48">
        <v>2.54</v>
      </c>
      <c r="BS51" s="48">
        <v>2.6509999999999998</v>
      </c>
      <c r="BT51" s="41">
        <v>46</v>
      </c>
      <c r="BU51" s="75"/>
      <c r="BV51" s="60">
        <v>42139</v>
      </c>
      <c r="BW51" s="44">
        <v>0.71281001663278509</v>
      </c>
      <c r="BX51" s="43">
        <v>20170</v>
      </c>
      <c r="BY51" s="43">
        <v>8560</v>
      </c>
      <c r="BZ51" s="44">
        <v>0.42439266236985623</v>
      </c>
      <c r="CA51" s="43">
        <v>26</v>
      </c>
      <c r="CB51" s="43">
        <v>107</v>
      </c>
      <c r="CC51" s="44">
        <v>1.2890431333663858E-3</v>
      </c>
      <c r="CD51" s="44">
        <v>5.3049082796232027E-3</v>
      </c>
    </row>
    <row r="52" spans="1:82" x14ac:dyDescent="0.25">
      <c r="A52" s="39" t="s">
        <v>102</v>
      </c>
      <c r="B52" s="40" t="s">
        <v>86</v>
      </c>
      <c r="C52" s="41">
        <v>444</v>
      </c>
      <c r="D52" s="61">
        <v>165.24</v>
      </c>
      <c r="E52" s="61">
        <v>6184.162515</v>
      </c>
      <c r="F52" s="43">
        <v>16700</v>
      </c>
      <c r="G52" s="43">
        <v>15643</v>
      </c>
      <c r="H52" s="44">
        <f t="shared" si="24"/>
        <v>6.3293413173652696E-2</v>
      </c>
      <c r="I52" s="39">
        <v>454</v>
      </c>
      <c r="J52" s="44">
        <f t="shared" si="25"/>
        <v>2.718562874251497E-2</v>
      </c>
      <c r="K52" s="43">
        <v>40180</v>
      </c>
      <c r="L52" s="43">
        <v>75050</v>
      </c>
      <c r="M52" s="24">
        <f t="shared" si="26"/>
        <v>2.568561017707601</v>
      </c>
      <c r="N52" s="24">
        <f t="shared" si="27"/>
        <v>1.8678446988551518</v>
      </c>
      <c r="O52" s="24">
        <f t="shared" si="23"/>
        <v>1.8882444503160873</v>
      </c>
      <c r="P52" s="45">
        <f>+E52/G52</f>
        <v>0.3953309796714185</v>
      </c>
      <c r="Q52" s="45">
        <f>+D52/G52</f>
        <v>1.0563191203733301E-2</v>
      </c>
      <c r="R52" s="43">
        <v>1600</v>
      </c>
      <c r="S52" s="45">
        <f>+E52/R52</f>
        <v>3.8651015718749999</v>
      </c>
      <c r="T52" s="24">
        <f t="shared" si="28"/>
        <v>10.4375</v>
      </c>
      <c r="U52" s="24">
        <f t="shared" si="29"/>
        <v>4.7976730806111361</v>
      </c>
      <c r="V52" s="47">
        <v>40</v>
      </c>
      <c r="W52" s="43"/>
      <c r="X52" s="24"/>
      <c r="Y52" s="43"/>
      <c r="Z52" s="48">
        <f t="shared" si="30"/>
        <v>6.4214025442690031E-2</v>
      </c>
      <c r="AA52" s="62" t="str">
        <f t="shared" si="31"/>
        <v/>
      </c>
      <c r="AB52" s="48">
        <v>0.3</v>
      </c>
      <c r="AC52" s="48">
        <v>1.389</v>
      </c>
      <c r="AD52" s="48">
        <v>2.4670000000000001</v>
      </c>
      <c r="AE52" s="48">
        <v>0.33700000000000002</v>
      </c>
      <c r="AF52" s="50" t="s">
        <v>81</v>
      </c>
      <c r="AG52" s="51"/>
      <c r="AH52" s="51"/>
      <c r="AI52" s="51"/>
      <c r="AJ52" s="51"/>
      <c r="AK52" s="51"/>
      <c r="AL52" s="52"/>
      <c r="AM52" s="51"/>
      <c r="AN52" s="53"/>
      <c r="AO52" s="54">
        <f t="shared" si="0"/>
        <v>0</v>
      </c>
      <c r="AP52" s="55" t="s">
        <v>82</v>
      </c>
      <c r="AQ52" s="51"/>
      <c r="AR52" s="43"/>
      <c r="AS52" s="43">
        <v>11700</v>
      </c>
      <c r="AT52" s="43"/>
      <c r="AU52" s="51"/>
      <c r="AV52" s="43"/>
      <c r="AW52" s="52"/>
      <c r="AX52" s="43">
        <v>5000</v>
      </c>
      <c r="AY52" s="51"/>
      <c r="AZ52" s="43"/>
      <c r="BA52" s="43"/>
      <c r="BB52" s="43"/>
      <c r="BC52" s="43"/>
      <c r="BD52" s="43"/>
      <c r="BE52" s="43"/>
      <c r="BF52" s="43"/>
      <c r="BG52" s="43"/>
      <c r="BH52" s="56"/>
      <c r="BI52" s="57">
        <f t="shared" si="1"/>
        <v>1</v>
      </c>
      <c r="BJ52" s="58">
        <v>2.569</v>
      </c>
      <c r="BK52" s="59">
        <v>40</v>
      </c>
      <c r="BL52" s="48">
        <v>0.04</v>
      </c>
      <c r="BM52" s="48">
        <v>0.17499999999999999</v>
      </c>
      <c r="BN52" s="48">
        <v>0.42399999999999999</v>
      </c>
      <c r="BO52" s="48">
        <v>0.82</v>
      </c>
      <c r="BP52" s="48">
        <v>1.46</v>
      </c>
      <c r="BQ52" s="48">
        <v>2.15</v>
      </c>
      <c r="BR52" s="48"/>
      <c r="BS52" s="48">
        <v>2.569</v>
      </c>
      <c r="BT52" s="41">
        <v>40</v>
      </c>
      <c r="BU52" s="43"/>
      <c r="BV52" s="60">
        <v>42094</v>
      </c>
      <c r="BW52" s="44">
        <f>+27199.43/40180</f>
        <v>0.6769395221503236</v>
      </c>
      <c r="BX52" s="43">
        <v>15464</v>
      </c>
      <c r="BY52" s="43">
        <v>5264</v>
      </c>
      <c r="BZ52" s="44">
        <f>+BY52/BX52</f>
        <v>0.34040351784790479</v>
      </c>
      <c r="CA52" s="43">
        <v>34</v>
      </c>
      <c r="CB52" s="43">
        <v>135</v>
      </c>
      <c r="CC52" s="44">
        <f>+(CA52/25690)</f>
        <v>1.3234721681588167E-3</v>
      </c>
      <c r="CD52" s="44">
        <f>+CB52/25690</f>
        <v>5.2549630206305958E-3</v>
      </c>
    </row>
    <row r="53" spans="1:82" x14ac:dyDescent="0.25">
      <c r="A53" s="39" t="s">
        <v>103</v>
      </c>
      <c r="B53" s="40" t="s">
        <v>80</v>
      </c>
      <c r="C53" s="41">
        <v>1018</v>
      </c>
      <c r="D53" s="61">
        <v>252.57</v>
      </c>
      <c r="E53" s="61">
        <v>7748.7769499999995</v>
      </c>
      <c r="F53" s="43">
        <v>22600</v>
      </c>
      <c r="G53" s="43">
        <v>21590</v>
      </c>
      <c r="H53" s="44">
        <f t="shared" si="24"/>
        <v>4.4690265486725667E-2</v>
      </c>
      <c r="I53" s="39">
        <v>179</v>
      </c>
      <c r="J53" s="44">
        <f t="shared" si="25"/>
        <v>7.9203539823008845E-3</v>
      </c>
      <c r="K53" s="43">
        <v>54960</v>
      </c>
      <c r="L53" s="43">
        <v>106260</v>
      </c>
      <c r="M53" s="24">
        <f t="shared" si="26"/>
        <v>2.5456229735988884</v>
      </c>
      <c r="N53" s="24">
        <f t="shared" si="27"/>
        <v>1.9334061135371179</v>
      </c>
      <c r="O53" s="24">
        <f t="shared" si="23"/>
        <v>1.9572484639783549</v>
      </c>
      <c r="P53" s="45">
        <f>IF(G53=0,0,+E53/G53)</f>
        <v>0.35890583371931445</v>
      </c>
      <c r="Q53" s="45">
        <f>IF(G53=0,0,+D53/G53)</f>
        <v>1.1698471514590088E-2</v>
      </c>
      <c r="R53" s="43">
        <v>2000</v>
      </c>
      <c r="S53" s="45">
        <f>IF(R53=0,0,+E53/R53)</f>
        <v>3.8743884749999999</v>
      </c>
      <c r="T53" s="24">
        <f t="shared" si="28"/>
        <v>11.3</v>
      </c>
      <c r="U53" s="24">
        <f t="shared" si="29"/>
        <v>4.9217230199166284</v>
      </c>
      <c r="V53" s="47">
        <v>41.24</v>
      </c>
      <c r="W53" s="43"/>
      <c r="X53" s="24"/>
      <c r="Y53" s="43"/>
      <c r="Z53" s="48">
        <f t="shared" si="30"/>
        <v>6.1727036217237838E-2</v>
      </c>
      <c r="AA53" s="62" t="str">
        <f t="shared" si="31"/>
        <v/>
      </c>
      <c r="AB53" s="48">
        <v>0.32123893805309733</v>
      </c>
      <c r="AC53" s="48">
        <v>1.4610619469026549</v>
      </c>
      <c r="AD53" s="48">
        <v>2.5663716814159292</v>
      </c>
      <c r="AE53" s="48">
        <v>0.35309734513274338</v>
      </c>
      <c r="AF53" s="50" t="s">
        <v>81</v>
      </c>
      <c r="AG53" s="51"/>
      <c r="AH53" s="51"/>
      <c r="AI53" s="51"/>
      <c r="AJ53" s="51"/>
      <c r="AK53" s="39"/>
      <c r="AL53" s="52"/>
      <c r="AM53" s="39"/>
      <c r="AN53" s="72"/>
      <c r="AO53" s="54">
        <f t="shared" si="0"/>
        <v>0</v>
      </c>
      <c r="AP53" s="55" t="s">
        <v>82</v>
      </c>
      <c r="AQ53" s="43"/>
      <c r="AR53" s="43"/>
      <c r="AS53" s="43"/>
      <c r="AT53" s="43"/>
      <c r="AU53" s="43"/>
      <c r="AV53" s="43"/>
      <c r="AW53" s="52"/>
      <c r="AX53" s="43"/>
      <c r="AY53" s="43"/>
      <c r="AZ53" s="43"/>
      <c r="BA53" s="43"/>
      <c r="BB53" s="43"/>
      <c r="BC53" s="43"/>
      <c r="BD53" s="43"/>
      <c r="BE53" s="43"/>
      <c r="BF53" s="43"/>
      <c r="BG53" s="43">
        <v>22600</v>
      </c>
      <c r="BH53" s="56"/>
      <c r="BI53" s="57">
        <f t="shared" si="1"/>
        <v>1</v>
      </c>
      <c r="BJ53" s="58">
        <v>2.532</v>
      </c>
      <c r="BK53" s="59">
        <v>41</v>
      </c>
      <c r="BL53" s="48">
        <v>3.9E-2</v>
      </c>
      <c r="BM53" s="48">
        <v>0.17499999999999999</v>
      </c>
      <c r="BN53" s="48">
        <v>0.47099999999999997</v>
      </c>
      <c r="BO53" s="48">
        <v>0.95</v>
      </c>
      <c r="BP53" s="48">
        <v>1.6</v>
      </c>
      <c r="BQ53" s="48">
        <v>2.1</v>
      </c>
      <c r="BR53" s="48"/>
      <c r="BS53" s="48">
        <v>2.589</v>
      </c>
      <c r="BT53" s="41">
        <v>42</v>
      </c>
      <c r="BU53" s="43"/>
      <c r="BV53" s="60">
        <v>42192</v>
      </c>
      <c r="BW53" s="44">
        <v>0.6993959243085881</v>
      </c>
      <c r="BX53" s="43">
        <v>21408</v>
      </c>
      <c r="BY53" s="43">
        <v>9392</v>
      </c>
      <c r="BZ53" s="44">
        <v>0.43871449925261585</v>
      </c>
      <c r="CA53" s="43">
        <v>74</v>
      </c>
      <c r="CB53" s="43">
        <v>189</v>
      </c>
      <c r="CC53" s="44">
        <v>3.4566517189835574E-3</v>
      </c>
      <c r="CD53" s="44">
        <v>8.8284753363228694E-3</v>
      </c>
    </row>
    <row r="54" spans="1:82" x14ac:dyDescent="0.25">
      <c r="A54" s="39" t="s">
        <v>109</v>
      </c>
      <c r="B54" s="40" t="s">
        <v>80</v>
      </c>
      <c r="C54" s="41">
        <v>850</v>
      </c>
      <c r="D54" s="61">
        <v>1208.17</v>
      </c>
      <c r="E54" s="61">
        <v>7660.5967499999997</v>
      </c>
      <c r="F54" s="43">
        <v>23400</v>
      </c>
      <c r="G54" s="43">
        <v>22350</v>
      </c>
      <c r="H54" s="44">
        <f t="shared" si="24"/>
        <v>4.4871794871794872E-2</v>
      </c>
      <c r="I54" s="39">
        <v>431</v>
      </c>
      <c r="J54" s="44">
        <f t="shared" si="25"/>
        <v>1.841880341880342E-2</v>
      </c>
      <c r="K54" s="43">
        <v>62570</v>
      </c>
      <c r="L54" s="43">
        <v>126040</v>
      </c>
      <c r="M54" s="24">
        <f t="shared" si="26"/>
        <v>2.799552572706935</v>
      </c>
      <c r="N54" s="24">
        <f t="shared" si="27"/>
        <v>2.0143838900431517</v>
      </c>
      <c r="O54" s="24">
        <f t="shared" si="23"/>
        <v>2.035973406704854</v>
      </c>
      <c r="P54" s="45">
        <f>IF(G54=0,0,+E54/G54)</f>
        <v>0.34275600671140938</v>
      </c>
      <c r="Q54" s="45">
        <f>IF(G54=0,0,+D54/G54)</f>
        <v>5.4056823266219245E-2</v>
      </c>
      <c r="R54" s="43">
        <v>1960</v>
      </c>
      <c r="S54" s="45">
        <f>IF(R54=0,0,+E54/R54)</f>
        <v>3.9084677295918366</v>
      </c>
      <c r="T54" s="24">
        <f t="shared" si="28"/>
        <v>11.938775510204081</v>
      </c>
      <c r="U54" s="24">
        <f t="shared" si="29"/>
        <v>5.6393736017897096</v>
      </c>
      <c r="V54" s="47">
        <v>44</v>
      </c>
      <c r="W54" s="43"/>
      <c r="X54" s="24"/>
      <c r="Y54" s="43"/>
      <c r="Z54" s="48">
        <f t="shared" si="30"/>
        <v>6.3626194834248528E-2</v>
      </c>
      <c r="AA54" s="62" t="str">
        <f t="shared" si="31"/>
        <v/>
      </c>
      <c r="AB54" s="48">
        <v>0.29829059829059829</v>
      </c>
      <c r="AC54" s="48">
        <v>1.4299145299145299</v>
      </c>
      <c r="AD54" s="48">
        <v>2.3504273504273505</v>
      </c>
      <c r="AE54" s="48">
        <v>1.3076923076923077</v>
      </c>
      <c r="AF54" s="50" t="s">
        <v>81</v>
      </c>
      <c r="AG54" s="51"/>
      <c r="AH54" s="43"/>
      <c r="AI54" s="51"/>
      <c r="AJ54" s="51"/>
      <c r="AK54" s="51"/>
      <c r="AL54" s="52"/>
      <c r="AM54" s="51"/>
      <c r="AN54" s="53"/>
      <c r="AO54" s="54">
        <f t="shared" si="0"/>
        <v>0</v>
      </c>
      <c r="AP54" s="55" t="s">
        <v>82</v>
      </c>
      <c r="AQ54" s="51"/>
      <c r="AR54" s="43"/>
      <c r="AS54" s="43"/>
      <c r="AT54" s="43"/>
      <c r="AU54" s="43"/>
      <c r="AV54" s="43">
        <v>23400</v>
      </c>
      <c r="AW54" s="52"/>
      <c r="AX54" s="43"/>
      <c r="AY54" s="43"/>
      <c r="AZ54" s="43"/>
      <c r="BA54" s="43"/>
      <c r="BB54" s="43"/>
      <c r="BC54" s="43"/>
      <c r="BD54" s="43"/>
      <c r="BE54" s="43"/>
      <c r="BF54" s="51"/>
      <c r="BG54" s="43"/>
      <c r="BH54" s="56"/>
      <c r="BI54" s="57">
        <f t="shared" si="1"/>
        <v>1</v>
      </c>
      <c r="BJ54" s="58">
        <v>2.8</v>
      </c>
      <c r="BK54" s="59">
        <v>44</v>
      </c>
      <c r="BL54" s="48">
        <v>4.5999999999999999E-2</v>
      </c>
      <c r="BM54" s="48">
        <v>0.216</v>
      </c>
      <c r="BN54" s="48">
        <v>0.44600000000000001</v>
      </c>
      <c r="BO54" s="48">
        <v>0.90600000000000003</v>
      </c>
      <c r="BP54" s="48">
        <v>1.35</v>
      </c>
      <c r="BQ54" s="48">
        <v>2.2080000000000002</v>
      </c>
      <c r="BR54" s="48">
        <v>2.8250000000000002</v>
      </c>
      <c r="BS54" s="48">
        <v>2.8</v>
      </c>
      <c r="BT54" s="41">
        <v>44</v>
      </c>
      <c r="BU54" s="43"/>
      <c r="BV54" s="60">
        <v>42162</v>
      </c>
      <c r="BW54" s="44">
        <v>0.69465654466996973</v>
      </c>
      <c r="BX54" s="43">
        <v>22084</v>
      </c>
      <c r="BY54" s="43">
        <v>9696</v>
      </c>
      <c r="BZ54" s="44">
        <v>0.43905089657670709</v>
      </c>
      <c r="CA54" s="43">
        <v>116</v>
      </c>
      <c r="CB54" s="43">
        <v>121</v>
      </c>
      <c r="CC54" s="44">
        <v>5.2526716174606048E-3</v>
      </c>
      <c r="CD54" s="44">
        <v>5.4790798768339071E-3</v>
      </c>
    </row>
    <row r="55" spans="1:82" x14ac:dyDescent="0.25">
      <c r="A55" s="39" t="s">
        <v>109</v>
      </c>
      <c r="B55" s="40" t="s">
        <v>80</v>
      </c>
      <c r="C55" s="41">
        <v>850</v>
      </c>
      <c r="D55" s="68">
        <v>633.51</v>
      </c>
      <c r="E55" s="68">
        <v>7684.2079000000003</v>
      </c>
      <c r="F55" s="43">
        <v>22700</v>
      </c>
      <c r="G55" s="43">
        <v>21980</v>
      </c>
      <c r="H55" s="44">
        <v>3.1718061674008813E-2</v>
      </c>
      <c r="I55" s="39">
        <v>249</v>
      </c>
      <c r="J55" s="44">
        <v>1.0969162995594714E-2</v>
      </c>
      <c r="K55" s="43">
        <v>54360</v>
      </c>
      <c r="L55" s="43">
        <v>103680</v>
      </c>
      <c r="M55" s="24">
        <v>2.4731574158325751</v>
      </c>
      <c r="N55" s="24">
        <v>1.9072847682119205</v>
      </c>
      <c r="O55" s="24">
        <v>1.9258599414414741</v>
      </c>
      <c r="P55" s="45">
        <v>0.34959999545040948</v>
      </c>
      <c r="Q55" s="45">
        <v>2.8822111010009099E-2</v>
      </c>
      <c r="R55" s="43">
        <v>1960</v>
      </c>
      <c r="S55" s="45">
        <v>3.9205142346938779</v>
      </c>
      <c r="T55" s="24">
        <v>11.581632653061224</v>
      </c>
      <c r="U55" s="24">
        <v>4.7170154686078254</v>
      </c>
      <c r="V55" s="47">
        <v>42</v>
      </c>
      <c r="W55" s="43"/>
      <c r="X55" s="24"/>
      <c r="Y55" s="43"/>
      <c r="Z55" s="48">
        <v>5.8884700376966075E-2</v>
      </c>
      <c r="AA55" s="69" t="s">
        <v>84</v>
      </c>
      <c r="AB55" s="48">
        <v>0.29779735682819386</v>
      </c>
      <c r="AC55" s="48">
        <v>1.4229074889867841</v>
      </c>
      <c r="AD55" s="48">
        <v>1.9189427312775331</v>
      </c>
      <c r="AE55" s="48">
        <v>0.92775330396475775</v>
      </c>
      <c r="AF55" s="50" t="s">
        <v>81</v>
      </c>
      <c r="AG55" s="51"/>
      <c r="AH55" s="51"/>
      <c r="AI55" s="51"/>
      <c r="AJ55" s="51"/>
      <c r="AK55" s="39"/>
      <c r="AL55" s="39"/>
      <c r="AM55" s="39"/>
      <c r="AN55" s="72"/>
      <c r="AO55" s="54">
        <f t="shared" si="0"/>
        <v>0</v>
      </c>
      <c r="AP55" s="55" t="s">
        <v>82</v>
      </c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>
        <v>22700</v>
      </c>
      <c r="BH55" s="56"/>
      <c r="BI55" s="57">
        <f t="shared" si="1"/>
        <v>1</v>
      </c>
      <c r="BJ55" s="58">
        <v>2.4729999999999999</v>
      </c>
      <c r="BK55" s="59">
        <v>42</v>
      </c>
      <c r="BL55" s="48">
        <v>4.2000000000000003E-2</v>
      </c>
      <c r="BM55" s="48">
        <v>0.153</v>
      </c>
      <c r="BN55" s="48"/>
      <c r="BO55" s="48">
        <v>0.82</v>
      </c>
      <c r="BP55" s="48">
        <v>1.4</v>
      </c>
      <c r="BQ55" s="48">
        <v>2.13</v>
      </c>
      <c r="BR55" s="48"/>
      <c r="BS55" s="48">
        <v>2.4729999999999999</v>
      </c>
      <c r="BT55" s="41">
        <v>42</v>
      </c>
      <c r="BU55" s="43"/>
      <c r="BV55" s="60">
        <v>42230</v>
      </c>
      <c r="BW55" s="44">
        <v>0.64051103752759386</v>
      </c>
      <c r="BX55" s="43">
        <v>21888</v>
      </c>
      <c r="BY55" s="43">
        <v>10816</v>
      </c>
      <c r="BZ55" s="44">
        <v>0.49415204678362573</v>
      </c>
      <c r="CA55" s="43">
        <v>13</v>
      </c>
      <c r="CB55" s="43">
        <v>163</v>
      </c>
      <c r="CC55" s="44">
        <v>5.9393274853801166E-4</v>
      </c>
      <c r="CD55" s="44">
        <v>7.4470029239766082E-3</v>
      </c>
    </row>
    <row r="56" spans="1:82" x14ac:dyDescent="0.25">
      <c r="A56" s="39" t="s">
        <v>102</v>
      </c>
      <c r="B56" s="40" t="s">
        <v>86</v>
      </c>
      <c r="C56" s="41">
        <v>444</v>
      </c>
      <c r="D56" s="61">
        <v>1150.6400000000001</v>
      </c>
      <c r="E56" s="61">
        <v>6591.03</v>
      </c>
      <c r="F56" s="43">
        <v>22000</v>
      </c>
      <c r="G56" s="43">
        <v>21204</v>
      </c>
      <c r="H56" s="44">
        <f>IF(F56=0,0,+((F56-G56)/F56))</f>
        <v>3.6181818181818183E-2</v>
      </c>
      <c r="I56" s="39">
        <v>272</v>
      </c>
      <c r="J56" s="44">
        <f>+(I56/F56)</f>
        <v>1.2363636363636363E-2</v>
      </c>
      <c r="K56" s="43">
        <v>54100</v>
      </c>
      <c r="L56" s="43">
        <v>100910</v>
      </c>
      <c r="M56" s="24">
        <f>IF(G56=0,0,+K56/G56)</f>
        <v>2.5514053952084512</v>
      </c>
      <c r="N56" s="24">
        <f>IF(K56=0,0,+L56/K56)</f>
        <v>1.8652495378927911</v>
      </c>
      <c r="O56" s="24">
        <f>+L56/((G56-CA56-CB56)*M56)</f>
        <v>1.8880442620526421</v>
      </c>
      <c r="P56" s="45">
        <f>IF(G56=0,0,+E56/G56)</f>
        <v>0.31083899264289755</v>
      </c>
      <c r="Q56" s="45">
        <f>IF(G56=0,0,+D56/G56)</f>
        <v>5.4265232974910399E-2</v>
      </c>
      <c r="R56" s="43">
        <v>1680</v>
      </c>
      <c r="S56" s="45">
        <f>IF(R56=0,0,+E56/R56)</f>
        <v>3.9232321428571426</v>
      </c>
      <c r="T56" s="24">
        <f>IF(R56=0,0,+F56/R56)</f>
        <v>13.095238095238095</v>
      </c>
      <c r="U56" s="24">
        <f>IF(L56=0,0,+L56/G56)</f>
        <v>4.7590077343897379</v>
      </c>
      <c r="V56" s="47">
        <v>42.24</v>
      </c>
      <c r="W56" s="43"/>
      <c r="X56" s="24"/>
      <c r="Y56" s="43"/>
      <c r="Z56" s="48">
        <f>IF(V56=0,0,+M56/V56)</f>
        <v>6.0402589848684921E-2</v>
      </c>
      <c r="AA56" s="62" t="str">
        <f>IF(W56=0,"",+X56/W56)</f>
        <v/>
      </c>
      <c r="AB56" s="48">
        <v>0.30363636363636365</v>
      </c>
      <c r="AC56" s="48">
        <v>1.405909090909091</v>
      </c>
      <c r="AD56" s="48">
        <v>2.6036363636363635</v>
      </c>
      <c r="AE56" s="48">
        <v>0.27363636363636362</v>
      </c>
      <c r="AF56" s="50" t="s">
        <v>81</v>
      </c>
      <c r="AG56" s="51"/>
      <c r="AH56" s="43"/>
      <c r="AI56" s="51">
        <v>22000</v>
      </c>
      <c r="AJ56" s="51"/>
      <c r="AK56" s="51"/>
      <c r="AL56" s="52"/>
      <c r="AM56" s="51"/>
      <c r="AN56" s="53"/>
      <c r="AO56" s="54">
        <f t="shared" si="0"/>
        <v>1</v>
      </c>
      <c r="AP56" s="55" t="s">
        <v>82</v>
      </c>
      <c r="AQ56" s="51"/>
      <c r="AR56" s="43"/>
      <c r="AS56" s="43"/>
      <c r="AT56" s="43"/>
      <c r="AU56" s="43"/>
      <c r="AV56" s="43"/>
      <c r="AW56" s="52"/>
      <c r="AX56" s="43"/>
      <c r="AY56" s="43"/>
      <c r="AZ56" s="43"/>
      <c r="BA56" s="43"/>
      <c r="BB56" s="43"/>
      <c r="BC56" s="43"/>
      <c r="BD56" s="43"/>
      <c r="BE56" s="43"/>
      <c r="BF56" s="51"/>
      <c r="BG56" s="43"/>
      <c r="BH56" s="56"/>
      <c r="BI56" s="57">
        <f t="shared" si="1"/>
        <v>0</v>
      </c>
      <c r="BJ56" s="58">
        <v>2.556</v>
      </c>
      <c r="BK56" s="59">
        <v>42</v>
      </c>
      <c r="BL56" s="48">
        <v>0.04</v>
      </c>
      <c r="BM56" s="48">
        <v>0.152</v>
      </c>
      <c r="BN56" s="48">
        <v>0.39800000000000002</v>
      </c>
      <c r="BO56" s="48">
        <v>0.76</v>
      </c>
      <c r="BP56" s="48">
        <v>1.488</v>
      </c>
      <c r="BQ56" s="48">
        <v>2.0499999999999998</v>
      </c>
      <c r="BR56" s="48">
        <v>2.556</v>
      </c>
      <c r="BS56" s="48">
        <v>2.5379999999999998</v>
      </c>
      <c r="BT56" s="41">
        <v>43</v>
      </c>
      <c r="BU56" s="43">
        <v>4000</v>
      </c>
      <c r="BV56" s="60">
        <v>42172</v>
      </c>
      <c r="BW56" s="44">
        <v>0.69303807763401115</v>
      </c>
      <c r="BX56" s="43">
        <v>20974</v>
      </c>
      <c r="BY56" s="43">
        <v>8200</v>
      </c>
      <c r="BZ56" s="44">
        <v>0.390960236483265</v>
      </c>
      <c r="CA56" s="43">
        <v>22</v>
      </c>
      <c r="CB56" s="43">
        <v>234</v>
      </c>
      <c r="CC56" s="44">
        <v>1.0489177076380279E-3</v>
      </c>
      <c r="CD56" s="44">
        <v>1.1156670163059025E-2</v>
      </c>
    </row>
    <row r="57" spans="1:82" x14ac:dyDescent="0.25">
      <c r="A57" s="39" t="s">
        <v>99</v>
      </c>
      <c r="B57" s="40" t="s">
        <v>80</v>
      </c>
      <c r="C57" s="41">
        <v>800</v>
      </c>
      <c r="D57" s="68">
        <v>637.19000000000005</v>
      </c>
      <c r="E57" s="68">
        <v>12188.658759999998</v>
      </c>
      <c r="F57" s="43">
        <v>36000</v>
      </c>
      <c r="G57" s="43">
        <v>33512</v>
      </c>
      <c r="H57" s="44">
        <v>6.9111111111111109E-2</v>
      </c>
      <c r="I57" s="39">
        <v>335</v>
      </c>
      <c r="J57" s="44">
        <v>9.3055555555555548E-3</v>
      </c>
      <c r="K57" s="43">
        <v>92280</v>
      </c>
      <c r="L57" s="43">
        <v>188320</v>
      </c>
      <c r="M57" s="24">
        <v>2.7536404869897351</v>
      </c>
      <c r="N57" s="24">
        <v>2.0407455570004336</v>
      </c>
      <c r="O57" s="24">
        <v>2.0599856955389781</v>
      </c>
      <c r="P57" s="45">
        <v>0.36371027572212933</v>
      </c>
      <c r="Q57" s="45">
        <v>1.9013786106469328E-2</v>
      </c>
      <c r="R57" s="43">
        <v>3072</v>
      </c>
      <c r="S57" s="45">
        <v>3.9676623567708327</v>
      </c>
      <c r="T57" s="24">
        <v>11.71875</v>
      </c>
      <c r="U57" s="24">
        <v>5.6194795894008118</v>
      </c>
      <c r="V57" s="47">
        <v>45.53</v>
      </c>
      <c r="W57" s="43"/>
      <c r="X57" s="24"/>
      <c r="Y57" s="43"/>
      <c r="Z57" s="48">
        <v>6.0479694421035249E-2</v>
      </c>
      <c r="AA57" s="69" t="s">
        <v>84</v>
      </c>
      <c r="AB57" s="48">
        <v>0.31055555555555553</v>
      </c>
      <c r="AC57" s="48">
        <v>1.4544444444444444</v>
      </c>
      <c r="AD57" s="48">
        <v>2.4405555555555556</v>
      </c>
      <c r="AE57" s="48">
        <v>1.0255555555555556</v>
      </c>
      <c r="AF57" s="50" t="s">
        <v>81</v>
      </c>
      <c r="AG57" s="51"/>
      <c r="AH57" s="51"/>
      <c r="AI57" s="51">
        <v>4400</v>
      </c>
      <c r="AJ57" s="51"/>
      <c r="AK57" s="51"/>
      <c r="AL57" s="39"/>
      <c r="AM57" s="51"/>
      <c r="AN57" s="53"/>
      <c r="AO57" s="54">
        <f t="shared" si="0"/>
        <v>0.12222222222222222</v>
      </c>
      <c r="AP57" s="55" t="s">
        <v>82</v>
      </c>
      <c r="AQ57" s="51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51">
        <v>31600</v>
      </c>
      <c r="BG57" s="43"/>
      <c r="BH57" s="56"/>
      <c r="BI57" s="57">
        <f t="shared" si="1"/>
        <v>0.87777777777777777</v>
      </c>
      <c r="BJ57" s="58">
        <v>2.762</v>
      </c>
      <c r="BK57" s="59">
        <v>45</v>
      </c>
      <c r="BL57" s="48">
        <v>0.04</v>
      </c>
      <c r="BM57" s="48">
        <v>0.182</v>
      </c>
      <c r="BN57" s="48">
        <v>0.48699999999999999</v>
      </c>
      <c r="BO57" s="48">
        <v>0.96499999999999997</v>
      </c>
      <c r="BP57" s="48">
        <v>1.58</v>
      </c>
      <c r="BQ57" s="48">
        <v>2.0470000000000002</v>
      </c>
      <c r="BR57" s="48"/>
      <c r="BS57" s="48">
        <v>2.746</v>
      </c>
      <c r="BT57" s="41">
        <v>46</v>
      </c>
      <c r="BU57" s="43"/>
      <c r="BV57" s="60">
        <v>42219</v>
      </c>
      <c r="BW57" s="44">
        <v>0.71724328131772852</v>
      </c>
      <c r="BX57" s="43">
        <v>33036</v>
      </c>
      <c r="BY57" s="43">
        <v>15688</v>
      </c>
      <c r="BZ57" s="44">
        <v>0.47487589296525001</v>
      </c>
      <c r="CA57" s="43">
        <v>167</v>
      </c>
      <c r="CB57" s="43">
        <v>292</v>
      </c>
      <c r="CC57" s="44">
        <v>5.0550914154255961E-3</v>
      </c>
      <c r="CD57" s="44">
        <v>8.8388424748758933E-3</v>
      </c>
    </row>
    <row r="58" spans="1:82" x14ac:dyDescent="0.25">
      <c r="A58" s="39" t="s">
        <v>85</v>
      </c>
      <c r="B58" s="40" t="s">
        <v>86</v>
      </c>
      <c r="C58" s="41">
        <v>430</v>
      </c>
      <c r="D58" s="61">
        <v>996.07</v>
      </c>
      <c r="E58" s="61">
        <v>9270.35</v>
      </c>
      <c r="F58" s="43">
        <v>29700</v>
      </c>
      <c r="G58" s="43">
        <v>28480</v>
      </c>
      <c r="H58" s="44">
        <f>IF(F58=0,0,+((F58-G58)/F58))</f>
        <v>4.1077441077441081E-2</v>
      </c>
      <c r="I58" s="39">
        <v>241</v>
      </c>
      <c r="J58" s="44">
        <f>+(I58/F58)</f>
        <v>8.1144781144781141E-3</v>
      </c>
      <c r="K58" s="43">
        <v>76140</v>
      </c>
      <c r="L58" s="43">
        <v>149560</v>
      </c>
      <c r="M58" s="24">
        <f>IF(G58=0,0,+K58/G58)</f>
        <v>2.6734550561797752</v>
      </c>
      <c r="N58" s="24">
        <f>IF(K58=0,0,+L58/K58)</f>
        <v>1.9642763330706594</v>
      </c>
      <c r="O58" s="24">
        <f t="shared" ref="O58:O67" si="32">+L58/((G58-CA58-CB58)*M58)</f>
        <v>1.9813908750390445</v>
      </c>
      <c r="P58" s="45">
        <f>IF(G58=0,0,+E58/G58)</f>
        <v>0.32550386235955059</v>
      </c>
      <c r="Q58" s="45">
        <f>IF(G58=0,0,+D58/G58)</f>
        <v>3.4974367977528092E-2</v>
      </c>
      <c r="R58" s="43">
        <v>2310</v>
      </c>
      <c r="S58" s="45">
        <f>IF(R58=0,0,+E58/R58)</f>
        <v>4.0131385281385281</v>
      </c>
      <c r="T58" s="24">
        <f>IF(R58=0,0,+F58/R58)</f>
        <v>12.857142857142858</v>
      </c>
      <c r="U58" s="24">
        <f>IF(L58=0,0,+L58/G58)</f>
        <v>5.2514044943820224</v>
      </c>
      <c r="V58" s="47">
        <v>45.16</v>
      </c>
      <c r="W58" s="43"/>
      <c r="X58" s="24"/>
      <c r="Y58" s="43"/>
      <c r="Z58" s="48">
        <f>IF(V58=0,0,+M58/V58)</f>
        <v>5.9199624804689446E-2</v>
      </c>
      <c r="AA58" s="62" t="str">
        <f>IF(W58=0,"",+X58/W58)</f>
        <v/>
      </c>
      <c r="AB58" s="48">
        <v>0.30033670033670035</v>
      </c>
      <c r="AC58" s="48">
        <v>1.4343434343434343</v>
      </c>
      <c r="AD58" s="48">
        <v>2.3932659932659934</v>
      </c>
      <c r="AE58" s="48">
        <v>0.90774410774410774</v>
      </c>
      <c r="AF58" s="50" t="s">
        <v>81</v>
      </c>
      <c r="AG58" s="51"/>
      <c r="AH58" s="43"/>
      <c r="AI58" s="51"/>
      <c r="AJ58" s="51"/>
      <c r="AK58" s="51"/>
      <c r="AL58" s="52"/>
      <c r="AM58" s="51"/>
      <c r="AN58" s="53"/>
      <c r="AO58" s="54">
        <f t="shared" si="0"/>
        <v>0</v>
      </c>
      <c r="AP58" s="55" t="s">
        <v>82</v>
      </c>
      <c r="AQ58" s="51"/>
      <c r="AR58" s="43"/>
      <c r="AS58" s="43"/>
      <c r="AT58" s="43"/>
      <c r="AU58" s="43"/>
      <c r="AV58" s="43"/>
      <c r="AW58" s="52"/>
      <c r="AX58" s="43"/>
      <c r="AY58" s="43"/>
      <c r="AZ58" s="43"/>
      <c r="BA58" s="43"/>
      <c r="BB58" s="43"/>
      <c r="BC58" s="43"/>
      <c r="BD58" s="43"/>
      <c r="BE58" s="43"/>
      <c r="BF58" s="51"/>
      <c r="BG58" s="43"/>
      <c r="BH58" s="56">
        <v>29700</v>
      </c>
      <c r="BI58" s="57">
        <f t="shared" si="1"/>
        <v>1</v>
      </c>
      <c r="BJ58" s="58">
        <v>2.6040000000000001</v>
      </c>
      <c r="BK58" s="59">
        <v>44</v>
      </c>
      <c r="BL58" s="48">
        <v>0.04</v>
      </c>
      <c r="BM58" s="48">
        <v>0.1525</v>
      </c>
      <c r="BN58" s="48"/>
      <c r="BO58" s="48">
        <v>0.86799999999999999</v>
      </c>
      <c r="BP58" s="48">
        <v>1.375</v>
      </c>
      <c r="BQ58" s="48">
        <v>1.95</v>
      </c>
      <c r="BR58" s="48">
        <v>2.4754999999999998</v>
      </c>
      <c r="BS58" s="48">
        <v>2.7229999999999999</v>
      </c>
      <c r="BT58" s="41">
        <v>45</v>
      </c>
      <c r="BU58" s="43">
        <v>5000</v>
      </c>
      <c r="BV58" s="60">
        <v>42178</v>
      </c>
      <c r="BW58" s="44">
        <v>0.71004058313632779</v>
      </c>
      <c r="BX58" s="43">
        <v>28274</v>
      </c>
      <c r="BY58" s="43">
        <v>13520</v>
      </c>
      <c r="BZ58" s="44">
        <v>0.47817783122303176</v>
      </c>
      <c r="CA58" s="43">
        <v>25</v>
      </c>
      <c r="CB58" s="43">
        <v>221</v>
      </c>
      <c r="CC58" s="44">
        <v>8.8420456956921556E-4</v>
      </c>
      <c r="CD58" s="44">
        <v>7.8163683949918645E-3</v>
      </c>
    </row>
    <row r="59" spans="1:82" x14ac:dyDescent="0.25">
      <c r="A59" s="39" t="s">
        <v>89</v>
      </c>
      <c r="B59" s="40" t="s">
        <v>80</v>
      </c>
      <c r="C59" s="41">
        <v>775</v>
      </c>
      <c r="D59" s="61">
        <v>583.79</v>
      </c>
      <c r="E59" s="61">
        <f>8459.8+U59+V59</f>
        <v>8510.3764023210824</v>
      </c>
      <c r="F59" s="43">
        <v>21800</v>
      </c>
      <c r="G59" s="43">
        <v>20680</v>
      </c>
      <c r="H59" s="44">
        <f>IF(F59=0,0,+((F59-G59)/F59))</f>
        <v>5.1376146788990829E-2</v>
      </c>
      <c r="I59" s="39">
        <v>717</v>
      </c>
      <c r="J59" s="44">
        <f>+(I59/F59)</f>
        <v>3.2889908256880734E-2</v>
      </c>
      <c r="K59" s="43">
        <v>59890</v>
      </c>
      <c r="L59" s="43">
        <v>115320</v>
      </c>
      <c r="M59" s="24">
        <f>IF(G59=0,0,+K59/G59)</f>
        <v>2.8960348162475822</v>
      </c>
      <c r="N59" s="24">
        <f>IF(K59=0,0,+L59/K59)</f>
        <v>1.9255301385874102</v>
      </c>
      <c r="O59" s="24">
        <f t="shared" si="32"/>
        <v>1.9454740700599786</v>
      </c>
      <c r="P59" s="45">
        <f>+E59/G59</f>
        <v>0.41152690533467517</v>
      </c>
      <c r="Q59" s="45">
        <f>+D59/G59</f>
        <v>2.8229690522243712E-2</v>
      </c>
      <c r="R59" s="43">
        <v>2100</v>
      </c>
      <c r="S59" s="46">
        <f>+E59/R59</f>
        <v>4.0525601915814677</v>
      </c>
      <c r="T59" s="24">
        <f>IF(R59=0,0,+F59/R59)</f>
        <v>10.380952380952381</v>
      </c>
      <c r="U59" s="24">
        <f>IF(L59=0,0,+L59/G59)</f>
        <v>5.5764023210831724</v>
      </c>
      <c r="V59" s="47">
        <v>45</v>
      </c>
      <c r="W59" s="43"/>
      <c r="X59" s="24"/>
      <c r="Y59" s="43"/>
      <c r="Z59" s="48">
        <f>IF(V59=0,0,+M59/V59)</f>
        <v>6.4356329249946276E-2</v>
      </c>
      <c r="AA59" s="62" t="str">
        <f>IF(W59=0,"",+X59/W59)</f>
        <v/>
      </c>
      <c r="AB59" s="48">
        <v>0.33761467889908259</v>
      </c>
      <c r="AC59" s="48">
        <v>1.4688073394495413</v>
      </c>
      <c r="AD59" s="48">
        <v>2.3642201834862386</v>
      </c>
      <c r="AE59" s="48">
        <v>1.1192660550458715</v>
      </c>
      <c r="AF59" s="50" t="s">
        <v>81</v>
      </c>
      <c r="AG59" s="51"/>
      <c r="AH59" s="51"/>
      <c r="AI59" s="51"/>
      <c r="AJ59" s="51"/>
      <c r="AK59" s="51"/>
      <c r="AL59" s="52"/>
      <c r="AM59" s="51"/>
      <c r="AN59" s="53"/>
      <c r="AO59" s="54">
        <f t="shared" si="0"/>
        <v>0</v>
      </c>
      <c r="AP59" s="55" t="s">
        <v>82</v>
      </c>
      <c r="AQ59" s="51"/>
      <c r="AR59" s="43"/>
      <c r="AS59" s="43"/>
      <c r="AT59" s="43"/>
      <c r="AU59" s="43"/>
      <c r="AV59" s="43">
        <v>21800</v>
      </c>
      <c r="AW59" s="52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56"/>
      <c r="BI59" s="57">
        <f t="shared" si="1"/>
        <v>1</v>
      </c>
      <c r="BJ59" s="58">
        <v>2.8959999999999999</v>
      </c>
      <c r="BK59" s="59">
        <v>45</v>
      </c>
      <c r="BL59" s="48">
        <v>0</v>
      </c>
      <c r="BM59" s="48">
        <v>0</v>
      </c>
      <c r="BN59" s="48">
        <v>0.4</v>
      </c>
      <c r="BO59" s="48">
        <v>0.86</v>
      </c>
      <c r="BP59" s="48">
        <v>1.48</v>
      </c>
      <c r="BQ59" s="48">
        <v>2.15</v>
      </c>
      <c r="BR59" s="48">
        <v>2.61</v>
      </c>
      <c r="BS59" s="48">
        <v>2.8959999999999999</v>
      </c>
      <c r="BT59" s="41">
        <v>45</v>
      </c>
      <c r="BU59" s="43"/>
      <c r="BV59" s="60">
        <v>42041</v>
      </c>
      <c r="BW59" s="44">
        <v>0.71377675738854562</v>
      </c>
      <c r="BX59" s="43">
        <v>20484</v>
      </c>
      <c r="BY59" s="43">
        <v>7776</v>
      </c>
      <c r="BZ59" s="44">
        <v>0.37961335676625657</v>
      </c>
      <c r="CA59" s="43">
        <v>76</v>
      </c>
      <c r="CB59" s="43">
        <v>136</v>
      </c>
      <c r="CC59" s="44">
        <v>3.7102128490529192E-3</v>
      </c>
      <c r="CD59" s="44">
        <v>6.6393282561999613E-3</v>
      </c>
    </row>
    <row r="60" spans="1:82" x14ac:dyDescent="0.25">
      <c r="A60" s="39" t="s">
        <v>107</v>
      </c>
      <c r="B60" s="40" t="s">
        <v>80</v>
      </c>
      <c r="C60" s="41">
        <v>862</v>
      </c>
      <c r="D60" s="42">
        <v>1040.502</v>
      </c>
      <c r="E60" s="42">
        <v>10139.903700000001</v>
      </c>
      <c r="F60" s="43">
        <v>29300</v>
      </c>
      <c r="G60" s="43">
        <v>27940</v>
      </c>
      <c r="H60" s="44">
        <f>IF(F60=0,0,+((F60-G60)/F60))</f>
        <v>4.6416382252559729E-2</v>
      </c>
      <c r="I60" s="39">
        <v>190</v>
      </c>
      <c r="J60" s="44">
        <f>+(I60/F60)</f>
        <v>6.4846416382252558E-3</v>
      </c>
      <c r="K60" s="43">
        <v>74360</v>
      </c>
      <c r="L60" s="43">
        <v>144270</v>
      </c>
      <c r="M60" s="24">
        <f>IF(G60=0,0,+K60/G60)</f>
        <v>2.6614173228346458</v>
      </c>
      <c r="N60" s="24">
        <f>IF(K60=0,0,+L60/K60)</f>
        <v>1.9401559978483056</v>
      </c>
      <c r="O60" s="24">
        <f t="shared" si="32"/>
        <v>2.002880420464868</v>
      </c>
      <c r="P60" s="45">
        <f>IF(G60=0,0,+E60/G60)</f>
        <v>0.36291709735146743</v>
      </c>
      <c r="Q60" s="45">
        <f>IF(G60=0,0,+D60/G60)</f>
        <v>3.7240586972083031E-2</v>
      </c>
      <c r="R60" s="43">
        <v>2500</v>
      </c>
      <c r="S60" s="45">
        <f>IF(R60=0,0,+E60/R60)</f>
        <v>4.0559614800000006</v>
      </c>
      <c r="T60" s="24">
        <f>IF(R60=0,0,+F60/R60)</f>
        <v>11.72</v>
      </c>
      <c r="U60" s="24">
        <f>IF(L60=0,0,+L60/G60)</f>
        <v>5.1635647816750181</v>
      </c>
      <c r="V60" s="47">
        <v>42.57</v>
      </c>
      <c r="W60" s="43"/>
      <c r="X60" s="24"/>
      <c r="Y60" s="43"/>
      <c r="Z60" s="48">
        <f>IF(V60=0,0,+M60/V60)</f>
        <v>6.2518612234781432E-2</v>
      </c>
      <c r="AA60" s="49" t="str">
        <f>IF(W60=0,"",+X60/W60)</f>
        <v/>
      </c>
      <c r="AB60" s="48">
        <v>0.29965870307167236</v>
      </c>
      <c r="AC60" s="48">
        <v>1.4894197952218431</v>
      </c>
      <c r="AD60" s="48">
        <v>2.6706484641638224</v>
      </c>
      <c r="AE60" s="48">
        <v>0.46416382252559729</v>
      </c>
      <c r="AF60" s="50" t="s">
        <v>81</v>
      </c>
      <c r="AG60" s="73">
        <v>15600</v>
      </c>
      <c r="AH60" s="73"/>
      <c r="AI60" s="73"/>
      <c r="AJ60" s="73"/>
      <c r="AK60" s="73"/>
      <c r="AL60" s="39"/>
      <c r="AM60" s="73"/>
      <c r="AN60" s="74"/>
      <c r="AO60" s="54">
        <f t="shared" si="0"/>
        <v>0.53242320819112632</v>
      </c>
      <c r="AP60" s="55" t="s">
        <v>82</v>
      </c>
      <c r="AQ60" s="73"/>
      <c r="AR60" s="39">
        <v>13700</v>
      </c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72"/>
      <c r="BI60" s="57">
        <f t="shared" si="1"/>
        <v>0.46757679180887374</v>
      </c>
      <c r="BJ60" s="58">
        <v>2.6749999999999998</v>
      </c>
      <c r="BK60" s="59">
        <v>42</v>
      </c>
      <c r="BL60" s="48">
        <v>4.3999999999999997E-2</v>
      </c>
      <c r="BM60" s="48">
        <v>0.2</v>
      </c>
      <c r="BN60" s="48">
        <v>0.502</v>
      </c>
      <c r="BO60" s="48">
        <v>0.98</v>
      </c>
      <c r="BP60" s="48">
        <v>1.46</v>
      </c>
      <c r="BQ60" s="48">
        <v>2.02</v>
      </c>
      <c r="BR60" s="48">
        <v>2.6680000000000001</v>
      </c>
      <c r="BS60" s="48">
        <v>2.6509999999999998</v>
      </c>
      <c r="BT60" s="41">
        <v>43</v>
      </c>
      <c r="BU60" s="43">
        <v>8000</v>
      </c>
      <c r="BV60" s="60">
        <v>42006</v>
      </c>
      <c r="BW60" s="44">
        <v>0.65997364174287254</v>
      </c>
      <c r="BX60" s="39">
        <v>26929</v>
      </c>
      <c r="BY60" s="43">
        <v>11152</v>
      </c>
      <c r="BZ60" s="44">
        <v>0.41412603512941437</v>
      </c>
      <c r="CA60" s="43">
        <v>566</v>
      </c>
      <c r="CB60" s="43">
        <v>309</v>
      </c>
      <c r="CC60" s="44">
        <v>2.1018233131568198E-2</v>
      </c>
      <c r="CD60" s="44">
        <v>1.1474618441085818E-2</v>
      </c>
    </row>
    <row r="61" spans="1:82" x14ac:dyDescent="0.25">
      <c r="A61" s="39" t="s">
        <v>87</v>
      </c>
      <c r="B61" s="40" t="s">
        <v>80</v>
      </c>
      <c r="C61" s="41">
        <v>790</v>
      </c>
      <c r="D61" s="61">
        <v>1204.8599999999999</v>
      </c>
      <c r="E61" s="61">
        <v>11644.499750000001</v>
      </c>
      <c r="F61" s="43">
        <v>35200</v>
      </c>
      <c r="G61" s="43">
        <v>32950</v>
      </c>
      <c r="H61" s="44">
        <f>IF(F61=0,0,+((F61-G61)/F61))</f>
        <v>6.3920454545454544E-2</v>
      </c>
      <c r="I61" s="39">
        <v>403</v>
      </c>
      <c r="J61" s="44">
        <f>+(I61/F61)</f>
        <v>1.1448863636363637E-2</v>
      </c>
      <c r="K61" s="43">
        <v>84210</v>
      </c>
      <c r="L61" s="43">
        <v>161240</v>
      </c>
      <c r="M61" s="24">
        <f>IF(G61=0,0,+K61/G61)</f>
        <v>2.5556904400606979</v>
      </c>
      <c r="N61" s="24">
        <f>IF(K61=0,0,+L61/K61)</f>
        <v>1.9147369671060444</v>
      </c>
      <c r="O61" s="24">
        <f t="shared" si="32"/>
        <v>1.9419059702097377</v>
      </c>
      <c r="P61" s="45">
        <f>IF(G61=0,0,+E61/G61)</f>
        <v>0.35339908194233688</v>
      </c>
      <c r="Q61" s="45">
        <f>IF(G61=0,0,+D61/G61)</f>
        <v>3.6566312594840666E-2</v>
      </c>
      <c r="R61" s="43">
        <v>2870</v>
      </c>
      <c r="S61" s="45">
        <f>IF(R61=0,0,+E61/R61)</f>
        <v>4.0573169860627178</v>
      </c>
      <c r="T61" s="24">
        <f>IF(R61=0,0,+F61/R61)</f>
        <v>12.264808362369338</v>
      </c>
      <c r="U61" s="24">
        <f>IF(L61=0,0,+L61/G61)</f>
        <v>4.893474962063733</v>
      </c>
      <c r="V61" s="47">
        <v>42.87</v>
      </c>
      <c r="W61" s="43"/>
      <c r="X61" s="24"/>
      <c r="Y61" s="43"/>
      <c r="Z61" s="48">
        <f>IF(V61=0,0,+M61/V61)</f>
        <v>5.9614892467009517E-2</v>
      </c>
      <c r="AA61" s="71" t="str">
        <f>IF(W61=0,"",+X61/W61)</f>
        <v/>
      </c>
      <c r="AB61" s="48">
        <v>0.30795454545454548</v>
      </c>
      <c r="AC61" s="48">
        <v>1.4545454545454546</v>
      </c>
      <c r="AD61" s="48">
        <v>2.353409090909091</v>
      </c>
      <c r="AE61" s="48">
        <v>0.46477272727272728</v>
      </c>
      <c r="AF61" s="50" t="s">
        <v>81</v>
      </c>
      <c r="AG61" s="51"/>
      <c r="AH61" s="51"/>
      <c r="AI61" s="51"/>
      <c r="AJ61" s="51">
        <v>14200</v>
      </c>
      <c r="AK61" s="51"/>
      <c r="AL61" s="52"/>
      <c r="AM61" s="51"/>
      <c r="AN61" s="53"/>
      <c r="AO61" s="54">
        <f t="shared" si="0"/>
        <v>0.40340909090909088</v>
      </c>
      <c r="AP61" s="55" t="s">
        <v>82</v>
      </c>
      <c r="AQ61" s="51"/>
      <c r="AR61" s="43"/>
      <c r="AS61" s="43"/>
      <c r="AT61" s="43"/>
      <c r="AU61" s="51"/>
      <c r="AV61" s="43"/>
      <c r="AW61" s="52"/>
      <c r="AX61" s="43"/>
      <c r="AY61" s="51"/>
      <c r="AZ61" s="43"/>
      <c r="BA61" s="43"/>
      <c r="BB61" s="43"/>
      <c r="BC61" s="43"/>
      <c r="BD61" s="43"/>
      <c r="BE61" s="43"/>
      <c r="BF61" s="51"/>
      <c r="BG61" s="43">
        <v>21000</v>
      </c>
      <c r="BH61" s="53"/>
      <c r="BI61" s="57">
        <f t="shared" si="1"/>
        <v>0.59659090909090906</v>
      </c>
      <c r="BJ61" s="58">
        <v>2.5590000000000002</v>
      </c>
      <c r="BK61" s="59">
        <v>42</v>
      </c>
      <c r="BL61" s="48">
        <v>3.9E-2</v>
      </c>
      <c r="BM61" s="48">
        <v>0.17499999999999999</v>
      </c>
      <c r="BN61" s="48">
        <v>0.4</v>
      </c>
      <c r="BO61" s="48">
        <v>0.92749999999999999</v>
      </c>
      <c r="BP61" s="48">
        <v>1.39</v>
      </c>
      <c r="BQ61" s="48">
        <v>1.92</v>
      </c>
      <c r="BR61" s="48">
        <v>2.605</v>
      </c>
      <c r="BS61" s="48">
        <v>2.5489999999999999</v>
      </c>
      <c r="BT61" s="41">
        <v>44</v>
      </c>
      <c r="BU61" s="43">
        <v>5000</v>
      </c>
      <c r="BV61" s="60">
        <v>42148</v>
      </c>
      <c r="BW61" s="44">
        <v>0.69139745873411707</v>
      </c>
      <c r="BX61" s="43">
        <v>32462</v>
      </c>
      <c r="BY61" s="43">
        <v>10872</v>
      </c>
      <c r="BZ61" s="44">
        <v>0.33491466945967591</v>
      </c>
      <c r="CA61" s="43">
        <v>119</v>
      </c>
      <c r="CB61" s="43">
        <v>342</v>
      </c>
      <c r="CC61" s="44">
        <v>3.6658246565214711E-3</v>
      </c>
      <c r="CD61" s="44">
        <v>1.0535395231347422E-2</v>
      </c>
    </row>
    <row r="62" spans="1:82" x14ac:dyDescent="0.25">
      <c r="A62" s="39" t="s">
        <v>100</v>
      </c>
      <c r="B62" s="40" t="s">
        <v>80</v>
      </c>
      <c r="C62" s="41">
        <v>764</v>
      </c>
      <c r="D62" s="42">
        <v>2137.17</v>
      </c>
      <c r="E62" s="42">
        <v>19845.990000000002</v>
      </c>
      <c r="F62" s="43">
        <v>60800</v>
      </c>
      <c r="G62" s="43">
        <v>59430</v>
      </c>
      <c r="H62" s="44">
        <v>2.2532894736842106E-2</v>
      </c>
      <c r="I62" s="39">
        <v>464</v>
      </c>
      <c r="J62" s="44">
        <v>7.6315789473684207E-3</v>
      </c>
      <c r="K62" s="43">
        <v>155120</v>
      </c>
      <c r="L62" s="43">
        <v>294140</v>
      </c>
      <c r="M62" s="24">
        <v>2.6101295641931683</v>
      </c>
      <c r="N62" s="24">
        <v>1.8962093862815885</v>
      </c>
      <c r="O62" s="24">
        <f t="shared" si="32"/>
        <v>1.914116992674437</v>
      </c>
      <c r="P62" s="45">
        <v>0.33393891973750633</v>
      </c>
      <c r="Q62" s="45">
        <v>3.5961130742049471E-2</v>
      </c>
      <c r="R62" s="43">
        <v>4880</v>
      </c>
      <c r="S62" s="46">
        <v>4.0668012295081972</v>
      </c>
      <c r="T62" s="24">
        <v>12.459016393442623</v>
      </c>
      <c r="U62" s="24">
        <v>4.9493521790341575</v>
      </c>
      <c r="V62" s="47">
        <v>42.49</v>
      </c>
      <c r="W62" s="43"/>
      <c r="X62" s="24"/>
      <c r="Y62" s="43"/>
      <c r="Z62" s="48">
        <v>6.142926722036169E-2</v>
      </c>
      <c r="AA62" s="49" t="s">
        <v>84</v>
      </c>
      <c r="AB62" s="48">
        <v>0.29013157894736841</v>
      </c>
      <c r="AC62" s="48">
        <v>1.4513157894736841</v>
      </c>
      <c r="AD62" s="48">
        <v>2.5167763157894738</v>
      </c>
      <c r="AE62" s="48">
        <v>0.57960526315789473</v>
      </c>
      <c r="AF62" s="50" t="s">
        <v>81</v>
      </c>
      <c r="AG62" s="51"/>
      <c r="AH62" s="51"/>
      <c r="AI62" s="51"/>
      <c r="AJ62" s="51"/>
      <c r="AK62" s="51">
        <v>9000</v>
      </c>
      <c r="AL62" s="52"/>
      <c r="AM62" s="51"/>
      <c r="AN62" s="53"/>
      <c r="AO62" s="54">
        <f t="shared" si="0"/>
        <v>0.14802631578947367</v>
      </c>
      <c r="AP62" s="55" t="s">
        <v>82</v>
      </c>
      <c r="AQ62" s="51"/>
      <c r="AR62" s="43"/>
      <c r="AS62" s="43">
        <v>16300</v>
      </c>
      <c r="AT62" s="43">
        <v>24200</v>
      </c>
      <c r="AU62" s="43"/>
      <c r="AV62" s="43"/>
      <c r="AW62" s="52"/>
      <c r="AX62" s="43">
        <v>1000</v>
      </c>
      <c r="AY62" s="43"/>
      <c r="AZ62" s="43"/>
      <c r="BA62" s="43">
        <v>10300</v>
      </c>
      <c r="BB62" s="43"/>
      <c r="BC62" s="43"/>
      <c r="BD62" s="43"/>
      <c r="BE62" s="43"/>
      <c r="BF62" s="43"/>
      <c r="BG62" s="43"/>
      <c r="BH62" s="56"/>
      <c r="BI62" s="57">
        <f t="shared" si="1"/>
        <v>0.85197368421052633</v>
      </c>
      <c r="BJ62" s="58">
        <v>2.5910000000000002</v>
      </c>
      <c r="BK62" s="59">
        <v>42</v>
      </c>
      <c r="BL62" s="48">
        <v>4.5499999999999999E-2</v>
      </c>
      <c r="BM62" s="48">
        <v>0.191</v>
      </c>
      <c r="BN62" s="48">
        <v>0.50800000000000001</v>
      </c>
      <c r="BO62" s="48">
        <v>0.87</v>
      </c>
      <c r="BP62" s="48">
        <v>1.5880000000000001</v>
      </c>
      <c r="BQ62" s="48">
        <v>2.113</v>
      </c>
      <c r="BR62" s="48">
        <v>2.5910000000000002</v>
      </c>
      <c r="BS62" s="48">
        <v>2.63</v>
      </c>
      <c r="BT62" s="41">
        <v>43</v>
      </c>
      <c r="BU62" s="43">
        <v>1000</v>
      </c>
      <c r="BV62" s="60">
        <v>42118</v>
      </c>
      <c r="BW62" s="44">
        <v>0.67999767921609067</v>
      </c>
      <c r="BX62" s="43">
        <v>58776</v>
      </c>
      <c r="BY62" s="43">
        <v>26120</v>
      </c>
      <c r="BZ62" s="44">
        <v>0.44439907445215732</v>
      </c>
      <c r="CA62" s="43">
        <v>103</v>
      </c>
      <c r="CB62" s="43">
        <v>453</v>
      </c>
      <c r="CC62" s="44">
        <v>1.7524159520892881E-3</v>
      </c>
      <c r="CD62" s="44">
        <v>7.7072274397713353E-3</v>
      </c>
    </row>
    <row r="63" spans="1:82" x14ac:dyDescent="0.25">
      <c r="A63" s="39" t="s">
        <v>110</v>
      </c>
      <c r="B63" s="40" t="s">
        <v>80</v>
      </c>
      <c r="C63" s="41">
        <v>810</v>
      </c>
      <c r="D63" s="61">
        <v>1094.4100000000001</v>
      </c>
      <c r="E63" s="61">
        <v>11706.3</v>
      </c>
      <c r="F63" s="43">
        <v>36000</v>
      </c>
      <c r="G63" s="43">
        <v>33805</v>
      </c>
      <c r="H63" s="44">
        <f>IF(F63=0,0,+((F63-G63)/F63))</f>
        <v>6.0972222222222219E-2</v>
      </c>
      <c r="I63" s="39">
        <v>837</v>
      </c>
      <c r="J63" s="44">
        <f>+(I63/F63)</f>
        <v>2.325E-2</v>
      </c>
      <c r="K63" s="43">
        <v>96380</v>
      </c>
      <c r="L63" s="43">
        <v>186260</v>
      </c>
      <c r="M63" s="24">
        <f>IF(G63=0,0,+K63/G63)</f>
        <v>2.8510575358674752</v>
      </c>
      <c r="N63" s="24">
        <f>IF(K63=0,0,+L63/K63)</f>
        <v>1.932558622120772</v>
      </c>
      <c r="O63" s="24">
        <f t="shared" si="32"/>
        <v>1.9503282150877002</v>
      </c>
      <c r="P63" s="45">
        <f>IF(G63=0,0,+E63/G63)</f>
        <v>0.34628901050140509</v>
      </c>
      <c r="Q63" s="45">
        <f>IF(G63=0,0,+D63/G63)</f>
        <v>3.237420499926047E-2</v>
      </c>
      <c r="R63" s="43">
        <v>2856</v>
      </c>
      <c r="S63" s="45">
        <f>IF(R63=0,0,+E63/R63)</f>
        <v>4.0988445378151255</v>
      </c>
      <c r="T63" s="24">
        <f>IF(R63=0,0,+F63/R63)</f>
        <v>12.605042016806722</v>
      </c>
      <c r="U63" s="24">
        <f>IF(L63=0,0,+L63/G63)</f>
        <v>5.5098358231030913</v>
      </c>
      <c r="V63" s="47">
        <v>45.03</v>
      </c>
      <c r="W63" s="43"/>
      <c r="X63" s="24"/>
      <c r="Y63" s="43"/>
      <c r="Z63" s="48">
        <f>IF(V63=0,0,+M63/V63)</f>
        <v>6.3314624380801141E-2</v>
      </c>
      <c r="AA63" s="62" t="str">
        <f>IF(W63=0,"",+X63/W63)</f>
        <v/>
      </c>
      <c r="AB63" s="48">
        <v>0.30940000000000001</v>
      </c>
      <c r="AC63" s="48">
        <v>1.4378</v>
      </c>
      <c r="AD63" s="48">
        <v>2.5232999999999999</v>
      </c>
      <c r="AE63" s="48">
        <v>0.90329999999999999</v>
      </c>
      <c r="AF63" s="50" t="s">
        <v>81</v>
      </c>
      <c r="AG63" s="51"/>
      <c r="AH63" s="43"/>
      <c r="AI63" s="51"/>
      <c r="AJ63" s="51"/>
      <c r="AK63" s="51"/>
      <c r="AL63" s="52"/>
      <c r="AM63" s="51"/>
      <c r="AN63" s="53"/>
      <c r="AO63" s="54">
        <f t="shared" si="0"/>
        <v>0</v>
      </c>
      <c r="AP63" s="55" t="s">
        <v>82</v>
      </c>
      <c r="AQ63" s="51"/>
      <c r="AR63" s="43"/>
      <c r="AS63" s="43"/>
      <c r="AT63" s="43"/>
      <c r="AU63" s="43"/>
      <c r="AV63" s="43"/>
      <c r="AW63" s="52"/>
      <c r="AX63" s="43"/>
      <c r="AY63" s="43"/>
      <c r="AZ63" s="43"/>
      <c r="BA63" s="43"/>
      <c r="BB63" s="43"/>
      <c r="BC63" s="43"/>
      <c r="BD63" s="43"/>
      <c r="BE63" s="43">
        <v>33100</v>
      </c>
      <c r="BF63" s="51"/>
      <c r="BG63" s="43">
        <v>2900</v>
      </c>
      <c r="BH63" s="56"/>
      <c r="BI63" s="57">
        <f t="shared" si="1"/>
        <v>1</v>
      </c>
      <c r="BJ63" s="58">
        <v>2.8519999999999999</v>
      </c>
      <c r="BK63" s="59">
        <v>45</v>
      </c>
      <c r="BL63" s="48">
        <v>4.3999999999999997E-2</v>
      </c>
      <c r="BM63" s="48">
        <v>0.1865</v>
      </c>
      <c r="BN63" s="48">
        <v>0.5</v>
      </c>
      <c r="BO63" s="48">
        <v>2.0270000000000001</v>
      </c>
      <c r="BP63" s="48">
        <v>1.671</v>
      </c>
      <c r="BQ63" s="48">
        <v>2.19</v>
      </c>
      <c r="BR63" s="48">
        <v>2.5830000000000002</v>
      </c>
      <c r="BS63" s="48">
        <v>2.915</v>
      </c>
      <c r="BT63" s="41">
        <v>46</v>
      </c>
      <c r="BU63" s="43">
        <v>2500</v>
      </c>
      <c r="BV63" s="60">
        <v>42171</v>
      </c>
      <c r="BW63" s="44">
        <v>0.6923287846481877</v>
      </c>
      <c r="BX63" s="43">
        <v>32676</v>
      </c>
      <c r="BY63" s="43">
        <v>15408</v>
      </c>
      <c r="BZ63" s="44">
        <v>0.47153874403231727</v>
      </c>
      <c r="CA63" s="43">
        <v>51</v>
      </c>
      <c r="CB63" s="43">
        <v>257</v>
      </c>
      <c r="CC63" s="44">
        <v>1.5607785530664707E-3</v>
      </c>
      <c r="CD63" s="44">
        <v>7.8650997674133919E-3</v>
      </c>
    </row>
    <row r="64" spans="1:82" x14ac:dyDescent="0.25">
      <c r="A64" s="39" t="s">
        <v>90</v>
      </c>
      <c r="B64" s="40" t="s">
        <v>91</v>
      </c>
      <c r="C64" s="41">
        <v>870</v>
      </c>
      <c r="D64" s="61">
        <v>1484.56</v>
      </c>
      <c r="E64" s="61">
        <v>7078.3765000000003</v>
      </c>
      <c r="F64" s="43">
        <v>22400</v>
      </c>
      <c r="G64" s="43">
        <v>21300</v>
      </c>
      <c r="H64" s="44">
        <f>IF(F64=0,0,+((F64-G64)/F64))</f>
        <v>4.9107142857142856E-2</v>
      </c>
      <c r="I64" s="39">
        <v>212</v>
      </c>
      <c r="J64" s="44">
        <f>+(I64/F64)</f>
        <v>9.464285714285715E-3</v>
      </c>
      <c r="K64" s="43">
        <v>58660</v>
      </c>
      <c r="L64" s="43">
        <v>117220</v>
      </c>
      <c r="M64" s="24">
        <f>IF(G64=0,0,+K64/G64)</f>
        <v>2.7539906103286387</v>
      </c>
      <c r="N64" s="24">
        <f>IF(K64=0,0,+L64/K64)</f>
        <v>1.9982952608250937</v>
      </c>
      <c r="O64" s="24">
        <f t="shared" si="32"/>
        <v>2.0150399590765753</v>
      </c>
      <c r="P64" s="45">
        <f>IF(G64=0,0,+E64/G64)</f>
        <v>0.33231814553990613</v>
      </c>
      <c r="Q64" s="45">
        <f>IF(G64=0,0,+D64/G64)</f>
        <v>6.9697652582159625E-2</v>
      </c>
      <c r="R64" s="43">
        <v>1725</v>
      </c>
      <c r="S64" s="45">
        <f>IF(R64=0,0,+E64/R64)</f>
        <v>4.1034066666666664</v>
      </c>
      <c r="T64" s="24">
        <f>IF(R64=0,0,+F64/R64)</f>
        <v>12.985507246376812</v>
      </c>
      <c r="U64" s="24">
        <f>IF(L64=0,0,+L64/G64)</f>
        <v>5.5032863849765254</v>
      </c>
      <c r="V64" s="47">
        <v>43</v>
      </c>
      <c r="W64" s="43"/>
      <c r="X64" s="24"/>
      <c r="Y64" s="43"/>
      <c r="Z64" s="48">
        <f>IF(V64=0,0,+M64/V64)</f>
        <v>6.4046293263456719E-2</v>
      </c>
      <c r="AA64" s="62" t="str">
        <f>IF(W64=0,"",+X64/W64)</f>
        <v/>
      </c>
      <c r="AB64" s="48">
        <v>0.3125</v>
      </c>
      <c r="AC64" s="48">
        <v>1.4624999999999999</v>
      </c>
      <c r="AD64" s="48">
        <v>2.5169642857142858</v>
      </c>
      <c r="AE64" s="48">
        <v>0.94107142857142856</v>
      </c>
      <c r="AF64" s="50" t="s">
        <v>81</v>
      </c>
      <c r="AG64" s="51"/>
      <c r="AH64" s="39"/>
      <c r="AI64" s="51"/>
      <c r="AJ64" s="51"/>
      <c r="AK64" s="39"/>
      <c r="AL64" s="52"/>
      <c r="AM64" s="39"/>
      <c r="AN64" s="72"/>
      <c r="AO64" s="54">
        <f t="shared" si="0"/>
        <v>0</v>
      </c>
      <c r="AP64" s="55" t="s">
        <v>82</v>
      </c>
      <c r="AQ64" s="39"/>
      <c r="AR64" s="39"/>
      <c r="AS64" s="39"/>
      <c r="AT64" s="39"/>
      <c r="AU64" s="39"/>
      <c r="AV64" s="39"/>
      <c r="AW64" s="52"/>
      <c r="AX64" s="39"/>
      <c r="AY64" s="39"/>
      <c r="AZ64" s="43"/>
      <c r="BA64" s="43"/>
      <c r="BB64" s="43"/>
      <c r="BC64" s="43"/>
      <c r="BD64" s="43"/>
      <c r="BE64" s="43"/>
      <c r="BF64" s="51"/>
      <c r="BG64" s="43">
        <v>22400</v>
      </c>
      <c r="BH64" s="56"/>
      <c r="BI64" s="57">
        <f t="shared" si="1"/>
        <v>1</v>
      </c>
      <c r="BJ64" s="58">
        <v>2.754</v>
      </c>
      <c r="BK64" s="59">
        <v>43</v>
      </c>
      <c r="BL64" s="48">
        <v>4.2999999999999997E-2</v>
      </c>
      <c r="BM64" s="48">
        <v>0.17799999999999999</v>
      </c>
      <c r="BN64" s="48">
        <v>0.48799999999999999</v>
      </c>
      <c r="BO64" s="48">
        <v>0.876</v>
      </c>
      <c r="BP64" s="48">
        <v>1.522</v>
      </c>
      <c r="BQ64" s="48">
        <v>2.2000000000000002</v>
      </c>
      <c r="BR64" s="48"/>
      <c r="BS64" s="48">
        <v>2.754</v>
      </c>
      <c r="BT64" s="41">
        <v>43</v>
      </c>
      <c r="BU64" s="43">
        <v>5000</v>
      </c>
      <c r="BV64" s="60">
        <v>42158</v>
      </c>
      <c r="BW64" s="44">
        <v>0.70188612342311629</v>
      </c>
      <c r="BX64" s="43">
        <v>21066</v>
      </c>
      <c r="BY64" s="43">
        <v>11344</v>
      </c>
      <c r="BZ64" s="44">
        <v>0.53849805373587767</v>
      </c>
      <c r="CA64" s="43">
        <v>67</v>
      </c>
      <c r="CB64" s="43">
        <v>110</v>
      </c>
      <c r="CC64" s="44">
        <v>3.1804803949492073E-3</v>
      </c>
      <c r="CD64" s="44">
        <v>5.2216842305136237E-3</v>
      </c>
    </row>
    <row r="65" spans="1:82" x14ac:dyDescent="0.25">
      <c r="A65" s="39" t="s">
        <v>96</v>
      </c>
      <c r="B65" s="40" t="s">
        <v>80</v>
      </c>
      <c r="C65" s="41">
        <v>796</v>
      </c>
      <c r="D65" s="61">
        <v>2273.3200000000002</v>
      </c>
      <c r="E65" s="61">
        <v>9030.0574500000002</v>
      </c>
      <c r="F65" s="43">
        <v>29100</v>
      </c>
      <c r="G65" s="43">
        <v>25690</v>
      </c>
      <c r="H65" s="44">
        <f>IF(F65=0,0,+((F65-G65)/F65))</f>
        <v>0.11718213058419244</v>
      </c>
      <c r="I65" s="39">
        <f>539+356</f>
        <v>895</v>
      </c>
      <c r="J65" s="44">
        <f>+(I65/F65)</f>
        <v>3.0756013745704466E-2</v>
      </c>
      <c r="K65" s="43">
        <v>71700</v>
      </c>
      <c r="L65" s="43">
        <v>139080</v>
      </c>
      <c r="M65" s="24">
        <f>IF(G65=0,0,+K65/G65)</f>
        <v>2.7909692487349163</v>
      </c>
      <c r="N65" s="24">
        <f>IF(K65=0,0,+L65/K65)</f>
        <v>1.9397489539748953</v>
      </c>
      <c r="O65" s="24">
        <f t="shared" si="32"/>
        <v>1.9847120689666664</v>
      </c>
      <c r="P65" s="45">
        <f>+E65/G65</f>
        <v>0.35150087388088752</v>
      </c>
      <c r="Q65" s="45">
        <f>+D65/G65</f>
        <v>8.8490463215258858E-2</v>
      </c>
      <c r="R65" s="43">
        <v>2200</v>
      </c>
      <c r="S65" s="45">
        <f>+E65/R65</f>
        <v>4.104571568181818</v>
      </c>
      <c r="T65" s="24">
        <f>IF(R65=0,0,+F65/R65)</f>
        <v>13.227272727272727</v>
      </c>
      <c r="U65" s="24">
        <f>IF(L65=0,0,+L65/G65)</f>
        <v>5.4137796808096539</v>
      </c>
      <c r="V65" s="47">
        <v>44</v>
      </c>
      <c r="W65" s="43"/>
      <c r="X65" s="24"/>
      <c r="Y65" s="43"/>
      <c r="Z65" s="48">
        <f>IF(V65=0,0,+M65/V65)</f>
        <v>6.3431119289429919E-2</v>
      </c>
      <c r="AA65" s="62" t="str">
        <f>IF(W65=0,"",+X65/W65)</f>
        <v/>
      </c>
      <c r="AB65" s="48">
        <v>0.30199999999999999</v>
      </c>
      <c r="AC65" s="48">
        <v>1.4350000000000001</v>
      </c>
      <c r="AD65" s="48">
        <v>2.4119999999999999</v>
      </c>
      <c r="AE65" s="48">
        <v>0.63100000000000001</v>
      </c>
      <c r="AF65" s="50" t="s">
        <v>81</v>
      </c>
      <c r="AG65" s="51"/>
      <c r="AH65" s="51"/>
      <c r="AI65" s="51"/>
      <c r="AJ65" s="51"/>
      <c r="AK65" s="51"/>
      <c r="AL65" s="52"/>
      <c r="AM65" s="43">
        <f>16600+12500</f>
        <v>29100</v>
      </c>
      <c r="AN65" s="53"/>
      <c r="AO65" s="54">
        <f t="shared" si="0"/>
        <v>1</v>
      </c>
      <c r="AP65" s="55" t="s">
        <v>82</v>
      </c>
      <c r="AQ65" s="51"/>
      <c r="AR65" s="43"/>
      <c r="AS65" s="43"/>
      <c r="AT65" s="43"/>
      <c r="AU65" s="51"/>
      <c r="AV65" s="43"/>
      <c r="AW65" s="52"/>
      <c r="AX65" s="43"/>
      <c r="AY65" s="51"/>
      <c r="AZ65" s="43"/>
      <c r="BA65" s="43"/>
      <c r="BB65" s="43"/>
      <c r="BC65" s="43"/>
      <c r="BD65" s="43"/>
      <c r="BE65" s="43"/>
      <c r="BF65" s="43"/>
      <c r="BG65" s="43"/>
      <c r="BH65" s="56"/>
      <c r="BI65" s="57">
        <f t="shared" si="1"/>
        <v>0</v>
      </c>
      <c r="BJ65" s="58">
        <v>2.7909999999999999</v>
      </c>
      <c r="BK65" s="59">
        <v>44</v>
      </c>
      <c r="BL65" s="48">
        <v>0.04</v>
      </c>
      <c r="BM65" s="48">
        <v>0.16</v>
      </c>
      <c r="BN65" s="48">
        <v>0.43</v>
      </c>
      <c r="BO65" s="48">
        <v>0.85</v>
      </c>
      <c r="BP65" s="48">
        <v>1.45</v>
      </c>
      <c r="BQ65" s="48">
        <v>2.0750000000000002</v>
      </c>
      <c r="BR65" s="48">
        <v>2.7</v>
      </c>
      <c r="BS65" s="48">
        <v>2.7909999999999999</v>
      </c>
      <c r="BT65" s="41">
        <v>44</v>
      </c>
      <c r="BU65" s="43">
        <v>10000</v>
      </c>
      <c r="BV65" s="60">
        <v>42089</v>
      </c>
      <c r="BW65" s="44">
        <f>49879.75/71700</f>
        <v>0.6956729428172943</v>
      </c>
      <c r="BX65" s="43">
        <v>24740</v>
      </c>
      <c r="BY65" s="43">
        <v>8112</v>
      </c>
      <c r="BZ65" s="44">
        <f>+BY65/BX65</f>
        <v>0.32789005658852061</v>
      </c>
      <c r="CA65" s="43">
        <v>138</v>
      </c>
      <c r="CB65" s="43">
        <v>444</v>
      </c>
      <c r="CC65" s="44">
        <f>+(CA65/25690)</f>
        <v>5.3717399766446084E-3</v>
      </c>
      <c r="CD65" s="44">
        <f>+CB65/25690</f>
        <v>1.7282989490073959E-2</v>
      </c>
    </row>
    <row r="66" spans="1:82" x14ac:dyDescent="0.25">
      <c r="A66" s="39" t="s">
        <v>111</v>
      </c>
      <c r="B66" s="40" t="s">
        <v>86</v>
      </c>
      <c r="C66" s="41">
        <v>428</v>
      </c>
      <c r="D66" s="61">
        <v>2384.66</v>
      </c>
      <c r="E66" s="61">
        <v>11879.12</v>
      </c>
      <c r="F66" s="43">
        <v>33400</v>
      </c>
      <c r="G66" s="43">
        <v>29910</v>
      </c>
      <c r="H66" s="44">
        <f>IF(F66=0,0,+((F66-G66)/F66))</f>
        <v>0.10449101796407186</v>
      </c>
      <c r="I66" s="39">
        <v>1004</v>
      </c>
      <c r="J66" s="44">
        <f>+(I66/F66)</f>
        <v>3.0059880239520959E-2</v>
      </c>
      <c r="K66" s="43">
        <v>85780</v>
      </c>
      <c r="L66" s="43">
        <v>158940</v>
      </c>
      <c r="M66" s="24">
        <f>IF(G66=0,0,+K66/G66)</f>
        <v>2.8679371447676361</v>
      </c>
      <c r="N66" s="24">
        <f>IF(K66=0,0,+L66/K66)</f>
        <v>1.8528794590813709</v>
      </c>
      <c r="O66" s="24">
        <f t="shared" si="32"/>
        <v>1.8637215705247447</v>
      </c>
      <c r="P66" s="45">
        <f>IF(G66=0,0,+E66/G66)</f>
        <v>0.3971621531260448</v>
      </c>
      <c r="Q66" s="45">
        <f>IF(G66=0,0,+D66/G66)</f>
        <v>7.9727850217318624E-2</v>
      </c>
      <c r="R66" s="43">
        <v>2891</v>
      </c>
      <c r="S66" s="45">
        <f>IF(R66=0,0,+E66/R66)</f>
        <v>4.1090003459010722</v>
      </c>
      <c r="T66" s="24">
        <f>IF(R66=0,0,+F66/R66)</f>
        <v>11.553095814597025</v>
      </c>
      <c r="U66" s="24">
        <f>IF(L66=0,0,+L66/G66)</f>
        <v>5.3139418254764292</v>
      </c>
      <c r="V66" s="47">
        <v>44</v>
      </c>
      <c r="W66" s="43"/>
      <c r="X66" s="24"/>
      <c r="Y66" s="43"/>
      <c r="Z66" s="48">
        <f>IF(V66=0,0,+M66/V66)</f>
        <v>6.5180389653809914E-2</v>
      </c>
      <c r="AA66" s="71" t="str">
        <f>IF(W66=0,"",+X66/W66)</f>
        <v/>
      </c>
      <c r="AB66" s="48">
        <v>0.31317365269461078</v>
      </c>
      <c r="AC66" s="48">
        <v>1.4131736526946108</v>
      </c>
      <c r="AD66" s="48">
        <v>2.4077844311377246</v>
      </c>
      <c r="AE66" s="48">
        <v>0.62455089820359277</v>
      </c>
      <c r="AF66" s="50" t="s">
        <v>81</v>
      </c>
      <c r="AG66" s="51"/>
      <c r="AH66" s="51"/>
      <c r="AI66" s="51"/>
      <c r="AJ66" s="51"/>
      <c r="AK66" s="51"/>
      <c r="AL66" s="52"/>
      <c r="AM66" s="51"/>
      <c r="AN66" s="53"/>
      <c r="AO66" s="54">
        <f t="shared" ref="AO66:AO129" si="33">+(AN66+AM66+AL66+AK66+AJ66+AI66+AH66+AG66)/F66</f>
        <v>0</v>
      </c>
      <c r="AP66" s="55" t="s">
        <v>82</v>
      </c>
      <c r="AQ66" s="51"/>
      <c r="AR66" s="43"/>
      <c r="AS66" s="43"/>
      <c r="AT66" s="43">
        <v>14400</v>
      </c>
      <c r="AU66" s="51"/>
      <c r="AV66" s="43"/>
      <c r="AW66" s="52"/>
      <c r="AX66" s="43"/>
      <c r="AY66" s="51"/>
      <c r="AZ66" s="43"/>
      <c r="BA66" s="43"/>
      <c r="BB66" s="43"/>
      <c r="BC66" s="43"/>
      <c r="BD66" s="43"/>
      <c r="BE66" s="43">
        <v>19000</v>
      </c>
      <c r="BF66" s="51"/>
      <c r="BG66" s="43"/>
      <c r="BH66" s="53"/>
      <c r="BI66" s="57">
        <f t="shared" ref="BI66:BI129" si="34">+(BH66+BG66+BF66+BE66+BD66+BC66+BB66+BA66+AZ66+AY66+AX66+AW66+AV66+AU66+AT66+AS66+AR66+AQ66)/F66</f>
        <v>1</v>
      </c>
      <c r="BJ66" s="58">
        <v>2.8679999999999999</v>
      </c>
      <c r="BK66" s="59">
        <v>44</v>
      </c>
      <c r="BL66" s="48">
        <v>4.4999999999999998E-2</v>
      </c>
      <c r="BM66" s="48">
        <v>0.21</v>
      </c>
      <c r="BN66" s="48">
        <v>0.51200000000000001</v>
      </c>
      <c r="BO66" s="48">
        <v>0.99199999999999999</v>
      </c>
      <c r="BP66" s="48">
        <v>1.528</v>
      </c>
      <c r="BQ66" s="48">
        <v>2.1429999999999998</v>
      </c>
      <c r="BR66" s="48"/>
      <c r="BS66" s="48">
        <v>2.8679999999999999</v>
      </c>
      <c r="BT66" s="41">
        <v>44</v>
      </c>
      <c r="BU66" s="43"/>
      <c r="BV66" s="60">
        <v>42142</v>
      </c>
      <c r="BW66" s="44">
        <v>0.70327815341571454</v>
      </c>
      <c r="BX66" s="43">
        <v>29700</v>
      </c>
      <c r="BY66" s="43">
        <v>12160</v>
      </c>
      <c r="BZ66" s="44">
        <v>0.40942760942760942</v>
      </c>
      <c r="CA66" s="43">
        <v>53</v>
      </c>
      <c r="CB66" s="43">
        <v>121</v>
      </c>
      <c r="CC66" s="44">
        <v>1.7845117845117844E-3</v>
      </c>
      <c r="CD66" s="44">
        <v>4.0740740740740737E-3</v>
      </c>
    </row>
    <row r="67" spans="1:82" x14ac:dyDescent="0.25">
      <c r="A67" s="39" t="s">
        <v>95</v>
      </c>
      <c r="B67" s="40" t="s">
        <v>86</v>
      </c>
      <c r="C67" s="41">
        <v>430</v>
      </c>
      <c r="D67" s="63">
        <v>522.63599999999997</v>
      </c>
      <c r="E67" s="63">
        <v>14118.769999999999</v>
      </c>
      <c r="F67" s="43">
        <v>37500</v>
      </c>
      <c r="G67" s="43">
        <v>36528</v>
      </c>
      <c r="H67" s="44">
        <f>IF(F67=0,0,+((F67-G67)/F67))</f>
        <v>2.5919999999999999E-2</v>
      </c>
      <c r="I67" s="39">
        <v>398</v>
      </c>
      <c r="J67" s="44">
        <f>+(I67/F67)</f>
        <v>1.0613333333333334E-2</v>
      </c>
      <c r="K67" s="43">
        <v>96020</v>
      </c>
      <c r="L67" s="43">
        <v>185180</v>
      </c>
      <c r="M67" s="24">
        <f>IF(G67=0,0,+K67/G67)</f>
        <v>2.6286684187472624</v>
      </c>
      <c r="N67" s="24">
        <f>IF(K67=0,0,+L67/K67)</f>
        <v>1.9285565507186002</v>
      </c>
      <c r="O67" s="24">
        <f t="shared" si="32"/>
        <v>1.9477525349659652</v>
      </c>
      <c r="P67" s="45">
        <f>IF(G67=0,0,+E67/G67)</f>
        <v>0.38651910862899691</v>
      </c>
      <c r="Q67" s="45">
        <f>IF(G67=0,0,+D67/G67)</f>
        <v>1.4307818659658343E-2</v>
      </c>
      <c r="R67" s="43">
        <v>3430</v>
      </c>
      <c r="S67" s="45">
        <f>IF(R67=0,0,+E67/R67)</f>
        <v>4.1162594752186585</v>
      </c>
      <c r="T67" s="24">
        <f>IF(R67=0,0,+F67/R67)</f>
        <v>10.932944606413994</v>
      </c>
      <c r="U67" s="24">
        <f>IF(L67=0,0,+L67/G67)</f>
        <v>5.0695356986421372</v>
      </c>
      <c r="V67" s="47">
        <v>45.15</v>
      </c>
      <c r="W67" s="43"/>
      <c r="X67" s="24"/>
      <c r="Y67" s="43"/>
      <c r="Z67" s="48">
        <f>IF(V67=0,0,+M67/V67)</f>
        <v>5.822078446837791E-2</v>
      </c>
      <c r="AA67" s="64" t="str">
        <f>IF(W67=0,"",+X67/W67)</f>
        <v/>
      </c>
      <c r="AB67" s="65">
        <v>0.31946666666666668</v>
      </c>
      <c r="AC67" s="65">
        <v>1.3957333333333333</v>
      </c>
      <c r="AD67" s="65">
        <v>2.4378666666666668</v>
      </c>
      <c r="AE67" s="65">
        <v>0.78506666666666669</v>
      </c>
      <c r="AF67" s="50" t="s">
        <v>81</v>
      </c>
      <c r="AG67" s="51"/>
      <c r="AH67" s="51"/>
      <c r="AI67" s="51"/>
      <c r="AJ67" s="51"/>
      <c r="AK67" s="51"/>
      <c r="AL67" s="51"/>
      <c r="AM67" s="51"/>
      <c r="AN67" s="53"/>
      <c r="AO67" s="54">
        <f t="shared" si="33"/>
        <v>0</v>
      </c>
      <c r="AP67" s="55" t="s">
        <v>82</v>
      </c>
      <c r="AQ67" s="51"/>
      <c r="AR67" s="43"/>
      <c r="AS67" s="43"/>
      <c r="AT67" s="43"/>
      <c r="AU67" s="43">
        <v>37500</v>
      </c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51"/>
      <c r="BG67" s="43"/>
      <c r="BH67" s="56"/>
      <c r="BI67" s="57">
        <f t="shared" si="34"/>
        <v>1</v>
      </c>
      <c r="BJ67" s="58">
        <v>2.629</v>
      </c>
      <c r="BK67" s="59">
        <v>45</v>
      </c>
      <c r="BL67" s="48">
        <v>0.4</v>
      </c>
      <c r="BM67" s="48">
        <v>0.16</v>
      </c>
      <c r="BN67" s="48">
        <v>0.4</v>
      </c>
      <c r="BO67" s="48">
        <v>0.8</v>
      </c>
      <c r="BP67" s="48">
        <v>1.4750000000000001</v>
      </c>
      <c r="BQ67" s="48">
        <v>2.0750000000000002</v>
      </c>
      <c r="BR67" s="48">
        <v>2.4750000000000001</v>
      </c>
      <c r="BS67" s="48">
        <v>2.6269999999999998</v>
      </c>
      <c r="BT67" s="41">
        <v>46</v>
      </c>
      <c r="BU67" s="43"/>
      <c r="BV67" s="67">
        <v>42283</v>
      </c>
      <c r="BW67" s="44">
        <v>0.69807154759425116</v>
      </c>
      <c r="BX67" s="43">
        <v>36232</v>
      </c>
      <c r="BY67" s="43">
        <v>18728</v>
      </c>
      <c r="BZ67" s="44">
        <v>0.51689114594833296</v>
      </c>
      <c r="CA67" s="43">
        <v>72</v>
      </c>
      <c r="CB67" s="43">
        <v>288</v>
      </c>
      <c r="CC67" s="44">
        <v>1.987193640980349E-3</v>
      </c>
      <c r="CD67" s="44">
        <v>7.9487745639213962E-3</v>
      </c>
    </row>
    <row r="68" spans="1:82" x14ac:dyDescent="0.25">
      <c r="A68" s="39" t="s">
        <v>109</v>
      </c>
      <c r="B68" s="40" t="s">
        <v>80</v>
      </c>
      <c r="C68" s="41">
        <v>872</v>
      </c>
      <c r="D68" s="68">
        <v>721.7</v>
      </c>
      <c r="E68" s="68">
        <v>5782.6165000000001</v>
      </c>
      <c r="F68" s="43">
        <v>18400</v>
      </c>
      <c r="G68" s="43">
        <v>17300</v>
      </c>
      <c r="H68" s="44">
        <v>5.9782608695652176E-2</v>
      </c>
      <c r="I68" s="39">
        <v>185</v>
      </c>
      <c r="J68" s="44">
        <v>1.0054347826086956E-2</v>
      </c>
      <c r="K68" s="43">
        <v>43470</v>
      </c>
      <c r="L68" s="43">
        <v>83620</v>
      </c>
      <c r="M68" s="24">
        <v>2.5127167630057805</v>
      </c>
      <c r="N68" s="24">
        <v>1.9236254888428801</v>
      </c>
      <c r="O68" s="24">
        <v>1.9513733409746585</v>
      </c>
      <c r="P68" s="45">
        <v>0.33425528901734103</v>
      </c>
      <c r="Q68" s="45">
        <v>4.1716763005780352E-2</v>
      </c>
      <c r="R68" s="43">
        <v>1400</v>
      </c>
      <c r="S68" s="45">
        <v>4.1304403571428576</v>
      </c>
      <c r="T68" s="24">
        <v>13.142857142857142</v>
      </c>
      <c r="U68" s="24">
        <v>4.8335260115606937</v>
      </c>
      <c r="V68" s="47">
        <v>43</v>
      </c>
      <c r="W68" s="43"/>
      <c r="X68" s="24"/>
      <c r="Y68" s="43"/>
      <c r="Z68" s="48">
        <v>5.8435273558273965E-2</v>
      </c>
      <c r="AA68" s="69" t="s">
        <v>84</v>
      </c>
      <c r="AB68" s="48">
        <v>0.3</v>
      </c>
      <c r="AC68" s="48">
        <v>1.4772000000000001</v>
      </c>
      <c r="AD68" s="48">
        <v>2.2783000000000002</v>
      </c>
      <c r="AE68" s="48">
        <v>0.48909999999999998</v>
      </c>
      <c r="AF68" s="50" t="s">
        <v>81</v>
      </c>
      <c r="AG68" s="51"/>
      <c r="AH68" s="51"/>
      <c r="AI68" s="51"/>
      <c r="AJ68" s="51"/>
      <c r="AK68" s="51"/>
      <c r="AL68" s="39"/>
      <c r="AM68" s="51"/>
      <c r="AN68" s="53"/>
      <c r="AO68" s="54">
        <f t="shared" si="33"/>
        <v>0</v>
      </c>
      <c r="AP68" s="55" t="s">
        <v>82</v>
      </c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>
        <v>18400</v>
      </c>
      <c r="BH68" s="56"/>
      <c r="BI68" s="57">
        <f t="shared" si="34"/>
        <v>1</v>
      </c>
      <c r="BJ68" s="58">
        <v>2.5129999999999999</v>
      </c>
      <c r="BK68" s="59">
        <v>43</v>
      </c>
      <c r="BL68" s="48">
        <v>4.2999999999999997E-2</v>
      </c>
      <c r="BM68" s="48">
        <v>0.19</v>
      </c>
      <c r="BN68" s="48">
        <v>0.38</v>
      </c>
      <c r="BO68" s="48">
        <v>0.82499999999999996</v>
      </c>
      <c r="BP68" s="48">
        <v>1.4450000000000001</v>
      </c>
      <c r="BQ68" s="48">
        <v>2.0350000000000001</v>
      </c>
      <c r="BR68" s="48">
        <v>2.5640000000000001</v>
      </c>
      <c r="BS68" s="48">
        <v>2.5129999999999999</v>
      </c>
      <c r="BT68" s="41">
        <v>43</v>
      </c>
      <c r="BU68" s="43"/>
      <c r="BV68" s="60">
        <v>42235</v>
      </c>
      <c r="BW68" s="44">
        <v>0.72382999769956291</v>
      </c>
      <c r="BX68" s="43">
        <v>17184</v>
      </c>
      <c r="BY68" s="43">
        <v>8280</v>
      </c>
      <c r="BZ68" s="44">
        <v>0.48184357541899442</v>
      </c>
      <c r="CA68" s="43">
        <v>21</v>
      </c>
      <c r="CB68" s="43">
        <v>156</v>
      </c>
      <c r="CC68" s="44">
        <v>1.2220670391061453E-3</v>
      </c>
      <c r="CD68" s="44">
        <v>9.0782122905027941E-3</v>
      </c>
    </row>
    <row r="69" spans="1:82" x14ac:dyDescent="0.25">
      <c r="A69" s="39" t="s">
        <v>102</v>
      </c>
      <c r="B69" s="40" t="s">
        <v>86</v>
      </c>
      <c r="C69" s="41">
        <v>452</v>
      </c>
      <c r="D69" s="68">
        <v>509.77</v>
      </c>
      <c r="E69" s="68">
        <v>14071.89712</v>
      </c>
      <c r="F69" s="43">
        <v>34500</v>
      </c>
      <c r="G69" s="43">
        <v>32544</v>
      </c>
      <c r="H69" s="44">
        <v>5.6695652173913043E-2</v>
      </c>
      <c r="I69" s="39">
        <v>212</v>
      </c>
      <c r="J69" s="44">
        <v>6.1449275362318841E-3</v>
      </c>
      <c r="K69" s="43">
        <v>82490</v>
      </c>
      <c r="L69" s="43">
        <v>148340</v>
      </c>
      <c r="M69" s="24">
        <v>2.5347222222222223</v>
      </c>
      <c r="N69" s="24">
        <v>1.7982785792217237</v>
      </c>
      <c r="O69" s="24">
        <v>1.8183935521436672</v>
      </c>
      <c r="P69" s="45">
        <v>0.43239605211406096</v>
      </c>
      <c r="Q69" s="45">
        <v>1.5664024090462143E-2</v>
      </c>
      <c r="R69" s="43">
        <v>3400</v>
      </c>
      <c r="S69" s="45">
        <v>4.1387932705882351</v>
      </c>
      <c r="T69" s="24">
        <v>10.147058823529411</v>
      </c>
      <c r="U69" s="24">
        <v>4.5581366764995082</v>
      </c>
      <c r="V69" s="47">
        <v>41.66</v>
      </c>
      <c r="W69" s="43"/>
      <c r="X69" s="24"/>
      <c r="Y69" s="43"/>
      <c r="Z69" s="48">
        <v>6.0843068224249224E-2</v>
      </c>
      <c r="AA69" s="69" t="s">
        <v>84</v>
      </c>
      <c r="AB69" s="48">
        <v>0.30666666666666664</v>
      </c>
      <c r="AC69" s="48">
        <v>1.4463768115942028</v>
      </c>
      <c r="AD69" s="48">
        <v>2.026086956521739</v>
      </c>
      <c r="AE69" s="48">
        <v>0.52057971014492754</v>
      </c>
      <c r="AF69" s="50" t="s">
        <v>81</v>
      </c>
      <c r="AG69" s="51"/>
      <c r="AH69" s="51"/>
      <c r="AI69" s="51">
        <v>13500</v>
      </c>
      <c r="AJ69" s="51"/>
      <c r="AK69" s="51"/>
      <c r="AL69" s="39"/>
      <c r="AM69" s="51"/>
      <c r="AN69" s="53"/>
      <c r="AO69" s="54">
        <f t="shared" si="33"/>
        <v>0.39130434782608697</v>
      </c>
      <c r="AP69" s="55" t="s">
        <v>82</v>
      </c>
      <c r="AQ69" s="51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51">
        <v>21000</v>
      </c>
      <c r="BG69" s="43"/>
      <c r="BH69" s="56"/>
      <c r="BI69" s="57">
        <f t="shared" si="34"/>
        <v>0.60869565217391308</v>
      </c>
      <c r="BJ69" s="58">
        <v>2.4860000000000002</v>
      </c>
      <c r="BK69" s="59">
        <v>41</v>
      </c>
      <c r="BL69" s="48">
        <v>3.5999999999999997E-2</v>
      </c>
      <c r="BM69" s="48">
        <v>0.16500000000000001</v>
      </c>
      <c r="BN69" s="48">
        <v>0.51600000000000001</v>
      </c>
      <c r="BO69" s="48">
        <v>0.85</v>
      </c>
      <c r="BP69" s="48">
        <v>1.52</v>
      </c>
      <c r="BQ69" s="48">
        <v>2.0499999999999998</v>
      </c>
      <c r="BR69" s="48">
        <v>2.56</v>
      </c>
      <c r="BS69" s="48">
        <v>2.56</v>
      </c>
      <c r="BT69" s="41">
        <v>42</v>
      </c>
      <c r="BU69" s="43">
        <v>5000</v>
      </c>
      <c r="BV69" s="60">
        <v>42222</v>
      </c>
      <c r="BW69" s="44">
        <v>0.71581561401381988</v>
      </c>
      <c r="BX69" s="43">
        <v>32238</v>
      </c>
      <c r="BY69" s="43">
        <v>15056</v>
      </c>
      <c r="BZ69" s="44">
        <v>0.46702649047707673</v>
      </c>
      <c r="CA69" s="43">
        <v>93</v>
      </c>
      <c r="CB69" s="43">
        <v>220</v>
      </c>
      <c r="CC69" s="44">
        <v>2.8847943420807743E-3</v>
      </c>
      <c r="CD69" s="44">
        <v>6.824244680191079E-3</v>
      </c>
    </row>
    <row r="70" spans="1:82" x14ac:dyDescent="0.25">
      <c r="A70" s="39" t="s">
        <v>102</v>
      </c>
      <c r="B70" s="40" t="s">
        <v>86</v>
      </c>
      <c r="C70" s="41">
        <v>452</v>
      </c>
      <c r="D70" s="42">
        <v>1174.02</v>
      </c>
      <c r="E70" s="42">
        <v>14268.3354</v>
      </c>
      <c r="F70" s="43">
        <v>36000</v>
      </c>
      <c r="G70" s="43">
        <v>33480</v>
      </c>
      <c r="H70" s="44">
        <f>IF(F70=0,0,+((F70-G70)/F70))</f>
        <v>7.0000000000000007E-2</v>
      </c>
      <c r="I70" s="39">
        <v>264</v>
      </c>
      <c r="J70" s="44">
        <f>+(I70/F70)</f>
        <v>7.3333333333333332E-3</v>
      </c>
      <c r="K70" s="43">
        <v>95940</v>
      </c>
      <c r="L70" s="43">
        <v>183640</v>
      </c>
      <c r="M70" s="24">
        <f>IF(G70=0,0,+K70/G70)</f>
        <v>2.8655913978494625</v>
      </c>
      <c r="N70" s="24">
        <f>IF(K70=0,0,+L70/K70)</f>
        <v>1.914112987283719</v>
      </c>
      <c r="O70" s="24">
        <f>+L70/((G70-CA70-CB70)*M70)</f>
        <v>1.9533789378565216</v>
      </c>
      <c r="P70" s="45">
        <f>IF(G70=0,0,+E70/G70)</f>
        <v>0.42617489247311829</v>
      </c>
      <c r="Q70" s="45">
        <f>IF(G70=0,0,+D70/G70)</f>
        <v>3.5066308243727598E-2</v>
      </c>
      <c r="R70" s="43">
        <v>3400</v>
      </c>
      <c r="S70" s="45">
        <f>IF(R70=0,0,+E70/R70)</f>
        <v>4.1965692352941177</v>
      </c>
      <c r="T70" s="24">
        <f>IF(R70=0,0,+F70/R70)</f>
        <v>10.588235294117647</v>
      </c>
      <c r="U70" s="24">
        <f>IF(L70=0,0,+L70/G70)</f>
        <v>5.4850657108721625</v>
      </c>
      <c r="V70" s="47">
        <v>44.63</v>
      </c>
      <c r="W70" s="43"/>
      <c r="X70" s="24"/>
      <c r="Y70" s="43"/>
      <c r="Z70" s="48">
        <f>IF(V70=0,0,+M70/V70)</f>
        <v>6.4207739140700479E-2</v>
      </c>
      <c r="AA70" s="49" t="str">
        <f>IF(W70=0,"",+X70/W70)</f>
        <v/>
      </c>
      <c r="AB70" s="48">
        <v>0.30555555555555558</v>
      </c>
      <c r="AC70" s="48">
        <v>1.6483333333333334</v>
      </c>
      <c r="AD70" s="48">
        <v>2.81</v>
      </c>
      <c r="AE70" s="48">
        <v>0.3372222222222222</v>
      </c>
      <c r="AF70" s="50" t="s">
        <v>81</v>
      </c>
      <c r="AG70" s="73">
        <v>34300</v>
      </c>
      <c r="AH70" s="73"/>
      <c r="AI70" s="73"/>
      <c r="AJ70" s="73"/>
      <c r="AK70" s="73"/>
      <c r="AL70" s="39"/>
      <c r="AM70" s="73"/>
      <c r="AN70" s="74"/>
      <c r="AO70" s="54">
        <f t="shared" si="33"/>
        <v>0.95277777777777772</v>
      </c>
      <c r="AP70" s="55" t="s">
        <v>82</v>
      </c>
      <c r="AQ70" s="73"/>
      <c r="AR70" s="39"/>
      <c r="AS70" s="39">
        <v>1700</v>
      </c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72"/>
      <c r="BI70" s="57">
        <f t="shared" si="34"/>
        <v>4.7222222222222221E-2</v>
      </c>
      <c r="BJ70" s="58">
        <v>2.7349999999999999</v>
      </c>
      <c r="BK70" s="59">
        <v>43</v>
      </c>
      <c r="BL70" s="48"/>
      <c r="BM70" s="48">
        <v>0.16500000000000001</v>
      </c>
      <c r="BN70" s="48">
        <v>0.39</v>
      </c>
      <c r="BO70" s="48">
        <v>0.94</v>
      </c>
      <c r="BP70" s="48">
        <v>1.4</v>
      </c>
      <c r="BQ70" s="48">
        <v>1.9</v>
      </c>
      <c r="BR70" s="48"/>
      <c r="BS70" s="48">
        <v>2.964</v>
      </c>
      <c r="BT70" s="41">
        <v>46</v>
      </c>
      <c r="BU70" s="43"/>
      <c r="BV70" s="60">
        <v>42016</v>
      </c>
      <c r="BW70" s="44">
        <v>0.67633885761934542</v>
      </c>
      <c r="BX70" s="39">
        <v>32058</v>
      </c>
      <c r="BY70" s="43">
        <v>9864</v>
      </c>
      <c r="BZ70" s="44">
        <v>0.30769230769230771</v>
      </c>
      <c r="CA70" s="43">
        <v>130</v>
      </c>
      <c r="CB70" s="43">
        <v>543</v>
      </c>
      <c r="CC70" s="44">
        <v>4.0551500405515001E-3</v>
      </c>
      <c r="CD70" s="44">
        <v>1.6938049784765114E-2</v>
      </c>
    </row>
    <row r="71" spans="1:82" x14ac:dyDescent="0.25">
      <c r="A71" s="39" t="s">
        <v>112</v>
      </c>
      <c r="B71" s="40" t="s">
        <v>80</v>
      </c>
      <c r="C71" s="41">
        <v>820</v>
      </c>
      <c r="D71" s="42">
        <v>2772.41</v>
      </c>
      <c r="E71" s="42">
        <v>18493.063505000002</v>
      </c>
      <c r="F71" s="43">
        <v>53300</v>
      </c>
      <c r="G71" s="43">
        <v>50081</v>
      </c>
      <c r="H71" s="44">
        <v>6.0393996247654784E-2</v>
      </c>
      <c r="I71" s="39">
        <v>460</v>
      </c>
      <c r="J71" s="44">
        <v>8.6303939962476556E-3</v>
      </c>
      <c r="K71" s="43">
        <v>128550</v>
      </c>
      <c r="L71" s="43">
        <v>241440</v>
      </c>
      <c r="M71" s="24">
        <v>2.5668417164194004</v>
      </c>
      <c r="N71" s="24">
        <v>1.8781796966161026</v>
      </c>
      <c r="O71" s="24">
        <f>+L71/((G71-CA71-CB71)*M71)</f>
        <v>1.900646959652267</v>
      </c>
      <c r="P71" s="45">
        <v>0.36926306393642305</v>
      </c>
      <c r="Q71" s="45">
        <v>5.5358519198897782E-2</v>
      </c>
      <c r="R71" s="43">
        <v>4400</v>
      </c>
      <c r="S71" s="46">
        <v>4.2029689784090918</v>
      </c>
      <c r="T71" s="24">
        <v>5.2272727272727275</v>
      </c>
      <c r="U71" s="24">
        <v>4.8906474820143888</v>
      </c>
      <c r="V71" s="47">
        <v>43.74</v>
      </c>
      <c r="W71" s="43">
        <v>34</v>
      </c>
      <c r="X71" s="24">
        <v>1.905</v>
      </c>
      <c r="Y71" s="43">
        <v>8016</v>
      </c>
      <c r="Z71" s="48">
        <v>5.8684081308171016E-2</v>
      </c>
      <c r="AA71" s="62">
        <v>5.6029411764705883E-2</v>
      </c>
      <c r="AB71" s="48">
        <v>0.29799999999999999</v>
      </c>
      <c r="AC71" s="48">
        <v>1.387</v>
      </c>
      <c r="AD71" s="48">
        <v>2.36</v>
      </c>
      <c r="AE71" s="48">
        <v>0.48499999999999999</v>
      </c>
      <c r="AF71" s="50" t="s">
        <v>81</v>
      </c>
      <c r="AG71" s="51"/>
      <c r="AH71" s="51"/>
      <c r="AI71" s="51"/>
      <c r="AJ71" s="51"/>
      <c r="AK71" s="51"/>
      <c r="AL71" s="52"/>
      <c r="AM71" s="51">
        <f>30800+4500</f>
        <v>35300</v>
      </c>
      <c r="AN71" s="53"/>
      <c r="AO71" s="54">
        <f t="shared" si="33"/>
        <v>0.66228893058161353</v>
      </c>
      <c r="AP71" s="55" t="s">
        <v>82</v>
      </c>
      <c r="AQ71" s="51"/>
      <c r="AR71" s="43"/>
      <c r="AS71" s="43"/>
      <c r="AT71" s="43"/>
      <c r="AU71" s="43"/>
      <c r="AV71" s="43"/>
      <c r="AW71" s="52"/>
      <c r="AX71" s="43">
        <v>2000</v>
      </c>
      <c r="AY71" s="43"/>
      <c r="AZ71" s="43"/>
      <c r="BA71" s="43"/>
      <c r="BB71" s="43"/>
      <c r="BC71" s="43"/>
      <c r="BD71" s="43"/>
      <c r="BE71" s="43">
        <v>16000</v>
      </c>
      <c r="BF71" s="43"/>
      <c r="BG71" s="43"/>
      <c r="BH71" s="56"/>
      <c r="BI71" s="57">
        <f t="shared" si="34"/>
        <v>0.33771106941838647</v>
      </c>
      <c r="BJ71" s="58">
        <v>2.722</v>
      </c>
      <c r="BK71" s="59">
        <v>43</v>
      </c>
      <c r="BL71" s="48"/>
      <c r="BM71" s="48">
        <v>0.21</v>
      </c>
      <c r="BN71" s="48">
        <v>0.40799999999999997</v>
      </c>
      <c r="BO71" s="48">
        <v>0.82599999999999996</v>
      </c>
      <c r="BP71" s="48">
        <v>1.38</v>
      </c>
      <c r="BQ71" s="48">
        <v>1.9450000000000001</v>
      </c>
      <c r="BR71" s="48"/>
      <c r="BS71" s="48">
        <v>2.6859999999999999</v>
      </c>
      <c r="BT71" s="41">
        <v>44</v>
      </c>
      <c r="BU71" s="43"/>
      <c r="BV71" s="60">
        <v>42110</v>
      </c>
      <c r="BW71" s="44">
        <v>0.6812209569209039</v>
      </c>
      <c r="BX71" s="43">
        <v>41516</v>
      </c>
      <c r="BY71" s="43">
        <v>18432</v>
      </c>
      <c r="BZ71" s="44">
        <v>0.4439734078427594</v>
      </c>
      <c r="CA71" s="43">
        <v>203</v>
      </c>
      <c r="CB71" s="43">
        <v>389</v>
      </c>
      <c r="CC71" s="44">
        <v>4.8896810868099046E-3</v>
      </c>
      <c r="CD71" s="44">
        <v>9.3698814914731678E-3</v>
      </c>
    </row>
    <row r="72" spans="1:82" x14ac:dyDescent="0.25">
      <c r="A72" s="39" t="s">
        <v>113</v>
      </c>
      <c r="B72" s="40" t="s">
        <v>91</v>
      </c>
      <c r="C72" s="41">
        <v>1002</v>
      </c>
      <c r="D72" s="42">
        <v>646.77</v>
      </c>
      <c r="E72" s="42">
        <v>7108.2696299999998</v>
      </c>
      <c r="F72" s="43">
        <v>21900</v>
      </c>
      <c r="G72" s="43">
        <v>19806</v>
      </c>
      <c r="H72" s="44">
        <v>9.5616438356164388E-2</v>
      </c>
      <c r="I72" s="39">
        <v>286</v>
      </c>
      <c r="J72" s="44">
        <v>1.3059360730593607E-2</v>
      </c>
      <c r="K72" s="43">
        <v>53660</v>
      </c>
      <c r="L72" s="43">
        <v>104820</v>
      </c>
      <c r="M72" s="24">
        <v>2.7092800161567201</v>
      </c>
      <c r="N72" s="24">
        <v>1.9534103615355944</v>
      </c>
      <c r="O72" s="24">
        <f>+L72/((G72-CA72-CB72)*M72)</f>
        <v>1.9972766310760408</v>
      </c>
      <c r="P72" s="45">
        <v>0.35889476067858223</v>
      </c>
      <c r="Q72" s="45">
        <v>3.2655255983035446E-2</v>
      </c>
      <c r="R72" s="43">
        <v>1680</v>
      </c>
      <c r="S72" s="46">
        <v>4.231112875</v>
      </c>
      <c r="T72" s="24">
        <v>13.035714285714286</v>
      </c>
      <c r="U72" s="24">
        <v>5.2923356558618604</v>
      </c>
      <c r="V72" s="47">
        <v>40.5</v>
      </c>
      <c r="W72" s="43"/>
      <c r="X72" s="24"/>
      <c r="Y72" s="43"/>
      <c r="Z72" s="48">
        <v>6.6895802868067164E-2</v>
      </c>
      <c r="AA72" s="62" t="s">
        <v>84</v>
      </c>
      <c r="AB72" s="48">
        <v>0.30867579908675802</v>
      </c>
      <c r="AC72" s="48">
        <v>1.4292237442922375</v>
      </c>
      <c r="AD72" s="48">
        <v>2.5050228310502285</v>
      </c>
      <c r="AE72" s="48">
        <v>0.54337899543378998</v>
      </c>
      <c r="AF72" s="50" t="s">
        <v>81</v>
      </c>
      <c r="AG72" s="51"/>
      <c r="AH72" s="51"/>
      <c r="AI72" s="51"/>
      <c r="AJ72" s="51"/>
      <c r="AK72" s="51"/>
      <c r="AL72" s="52"/>
      <c r="AM72" s="51">
        <v>9600</v>
      </c>
      <c r="AN72" s="53"/>
      <c r="AO72" s="54">
        <f t="shared" si="33"/>
        <v>0.43835616438356162</v>
      </c>
      <c r="AP72" s="55" t="s">
        <v>82</v>
      </c>
      <c r="AQ72" s="51"/>
      <c r="AR72" s="43"/>
      <c r="AS72" s="43">
        <v>2900</v>
      </c>
      <c r="AT72" s="43"/>
      <c r="AU72" s="43"/>
      <c r="AV72" s="43"/>
      <c r="AW72" s="52"/>
      <c r="AX72" s="43"/>
      <c r="AY72" s="43"/>
      <c r="AZ72" s="43"/>
      <c r="BA72" s="43">
        <v>9400</v>
      </c>
      <c r="BB72" s="43"/>
      <c r="BC72" s="43"/>
      <c r="BD72" s="43"/>
      <c r="BE72" s="43"/>
      <c r="BF72" s="43"/>
      <c r="BG72" s="43"/>
      <c r="BH72" s="56"/>
      <c r="BI72" s="57">
        <f t="shared" si="34"/>
        <v>0.56164383561643838</v>
      </c>
      <c r="BJ72" s="58">
        <v>2.68</v>
      </c>
      <c r="BK72" s="59">
        <v>40</v>
      </c>
      <c r="BL72" s="48">
        <v>4.1000000000000002E-2</v>
      </c>
      <c r="BM72" s="48">
        <v>0.20799999999999999</v>
      </c>
      <c r="BN72" s="48">
        <v>0.55000000000000004</v>
      </c>
      <c r="BO72" s="48">
        <v>1.085</v>
      </c>
      <c r="BP72" s="48">
        <v>1.625</v>
      </c>
      <c r="BQ72" s="48">
        <v>2.2999999999999998</v>
      </c>
      <c r="BR72" s="48"/>
      <c r="BS72" s="48">
        <v>2.7389999999999999</v>
      </c>
      <c r="BT72" s="41">
        <v>41</v>
      </c>
      <c r="BU72" s="43"/>
      <c r="BV72" s="60">
        <v>42096</v>
      </c>
      <c r="BW72" s="44">
        <v>0.68933469996272823</v>
      </c>
      <c r="BX72" s="43">
        <v>19396</v>
      </c>
      <c r="BY72" s="43">
        <v>7648</v>
      </c>
      <c r="BZ72" s="44">
        <v>0.43540000000000001</v>
      </c>
      <c r="CA72" s="43">
        <v>124</v>
      </c>
      <c r="CB72" s="43">
        <v>311</v>
      </c>
      <c r="CC72" s="44">
        <v>6.3930707362342748E-3</v>
      </c>
      <c r="CD72" s="44">
        <v>1.6034233862652094E-2</v>
      </c>
    </row>
    <row r="73" spans="1:82" x14ac:dyDescent="0.25">
      <c r="A73" s="39" t="s">
        <v>102</v>
      </c>
      <c r="B73" s="40" t="s">
        <v>86</v>
      </c>
      <c r="C73" s="41">
        <v>444</v>
      </c>
      <c r="D73" s="68">
        <v>725.48800000000006</v>
      </c>
      <c r="E73" s="68">
        <v>6841.5952500000003</v>
      </c>
      <c r="F73" s="43">
        <v>17000</v>
      </c>
      <c r="G73" s="43">
        <v>16050</v>
      </c>
      <c r="H73" s="44">
        <v>5.5882352941176473E-2</v>
      </c>
      <c r="I73" s="39">
        <v>116</v>
      </c>
      <c r="J73" s="44">
        <v>6.8235294117647057E-3</v>
      </c>
      <c r="K73" s="43">
        <v>41940</v>
      </c>
      <c r="L73" s="43">
        <v>76160</v>
      </c>
      <c r="M73" s="24">
        <v>2.6130841121495325</v>
      </c>
      <c r="N73" s="24">
        <v>1.815927515498331</v>
      </c>
      <c r="O73" s="24">
        <v>1.8500467578867723</v>
      </c>
      <c r="P73" s="45">
        <v>0.42626761682242992</v>
      </c>
      <c r="Q73" s="45">
        <v>4.5201744548286606E-2</v>
      </c>
      <c r="R73" s="43">
        <v>1600</v>
      </c>
      <c r="S73" s="45">
        <v>4.2759970312500002</v>
      </c>
      <c r="T73" s="24">
        <v>10.625</v>
      </c>
      <c r="U73" s="24">
        <v>4.7451713395638633</v>
      </c>
      <c r="V73" s="47">
        <v>43</v>
      </c>
      <c r="W73" s="43"/>
      <c r="X73" s="24"/>
      <c r="Y73" s="43"/>
      <c r="Z73" s="48">
        <v>6.076939795696587E-2</v>
      </c>
      <c r="AA73" s="69" t="s">
        <v>84</v>
      </c>
      <c r="AB73" s="48">
        <v>0.30940000000000001</v>
      </c>
      <c r="AC73" s="48">
        <v>1.4623999999999999</v>
      </c>
      <c r="AD73" s="48">
        <v>2.1964999999999999</v>
      </c>
      <c r="AE73" s="48">
        <v>0.51180000000000003</v>
      </c>
      <c r="AF73" s="50" t="s">
        <v>81</v>
      </c>
      <c r="AG73" s="51"/>
      <c r="AH73" s="51"/>
      <c r="AI73" s="51">
        <v>17000</v>
      </c>
      <c r="AJ73" s="51"/>
      <c r="AK73" s="51"/>
      <c r="AL73" s="39"/>
      <c r="AM73" s="51"/>
      <c r="AN73" s="53"/>
      <c r="AO73" s="54">
        <f t="shared" si="33"/>
        <v>1</v>
      </c>
      <c r="AP73" s="55" t="s">
        <v>82</v>
      </c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56"/>
      <c r="BI73" s="57">
        <f t="shared" si="34"/>
        <v>0</v>
      </c>
      <c r="BJ73" s="58">
        <v>2.613</v>
      </c>
      <c r="BK73" s="59">
        <v>43</v>
      </c>
      <c r="BL73" s="48">
        <v>0.04</v>
      </c>
      <c r="BM73" s="48">
        <v>2.3800000000000002E-2</v>
      </c>
      <c r="BN73" s="48">
        <v>0.40799999999999997</v>
      </c>
      <c r="BO73" s="48"/>
      <c r="BP73" s="48">
        <v>1.35</v>
      </c>
      <c r="BQ73" s="48">
        <v>1.85</v>
      </c>
      <c r="BR73" s="48"/>
      <c r="BS73" s="48">
        <v>2.613</v>
      </c>
      <c r="BT73" s="41">
        <v>43</v>
      </c>
      <c r="BU73" s="43"/>
      <c r="BV73" s="60">
        <v>42237</v>
      </c>
      <c r="BW73" s="44">
        <v>0.70454697186456849</v>
      </c>
      <c r="BX73" s="43">
        <v>15946</v>
      </c>
      <c r="BY73" s="43">
        <v>6272</v>
      </c>
      <c r="BZ73" s="44">
        <v>0.3933274802458297</v>
      </c>
      <c r="CA73" s="43">
        <v>22</v>
      </c>
      <c r="CB73" s="43">
        <v>119</v>
      </c>
      <c r="CC73" s="44">
        <v>1.3796563401479995E-3</v>
      </c>
      <c r="CD73" s="44">
        <v>7.462686567164179E-3</v>
      </c>
    </row>
    <row r="74" spans="1:82" x14ac:dyDescent="0.25">
      <c r="A74" s="39" t="s">
        <v>87</v>
      </c>
      <c r="B74" s="40" t="s">
        <v>80</v>
      </c>
      <c r="C74" s="41">
        <v>790</v>
      </c>
      <c r="D74" s="61">
        <f>306.76+82+160.14</f>
        <v>548.9</v>
      </c>
      <c r="E74" s="61">
        <v>12324.260624999999</v>
      </c>
      <c r="F74" s="43">
        <v>34800</v>
      </c>
      <c r="G74" s="43">
        <v>32625</v>
      </c>
      <c r="H74" s="44">
        <f>IF(F74=0,0,+((F74-G74)/F74))</f>
        <v>6.25E-2</v>
      </c>
      <c r="I74" s="39">
        <v>776</v>
      </c>
      <c r="J74" s="44">
        <f>+(I74/F74)</f>
        <v>2.2298850574712644E-2</v>
      </c>
      <c r="K74" s="43">
        <v>86500</v>
      </c>
      <c r="L74" s="43">
        <v>167140</v>
      </c>
      <c r="M74" s="24">
        <f>IF(G74=0,0,+K74/G74)</f>
        <v>2.6513409961685825</v>
      </c>
      <c r="N74" s="24">
        <f>IF(K74=0,0,+L74/K74)</f>
        <v>1.9322543352601156</v>
      </c>
      <c r="O74" s="24">
        <f>+L74/((G74-CA74-CB74)*M74)</f>
        <v>1.9441726349378958</v>
      </c>
      <c r="P74" s="45">
        <f>IF(G74=0,0,+E74/G74)</f>
        <v>0.37775511494252872</v>
      </c>
      <c r="Q74" s="45">
        <f>IF(G74=0,0,+D74/G74)</f>
        <v>1.6824521072796934E-2</v>
      </c>
      <c r="R74" s="43">
        <v>2870</v>
      </c>
      <c r="S74" s="45">
        <f>IF(R74=0,0,+E74/R74)</f>
        <v>4.2941674651567938</v>
      </c>
      <c r="T74" s="24">
        <f>IF(R74=0,0,+F74/R74)</f>
        <v>12.125435540069686</v>
      </c>
      <c r="U74" s="24">
        <f>IF(L74=0,0,+L74/G74)</f>
        <v>5.1230651340996172</v>
      </c>
      <c r="V74" s="47">
        <v>45</v>
      </c>
      <c r="W74" s="43"/>
      <c r="X74" s="24"/>
      <c r="Y74" s="43"/>
      <c r="Z74" s="48">
        <f>IF(V74=0,0,+M74/V74)</f>
        <v>5.8918688803746282E-2</v>
      </c>
      <c r="AA74" s="62" t="str">
        <f>IF(W74=0,"",+X74/W74)</f>
        <v/>
      </c>
      <c r="AB74" s="48">
        <v>0.31149425287356319</v>
      </c>
      <c r="AC74" s="48">
        <v>1.3977011494252873</v>
      </c>
      <c r="AD74" s="48">
        <v>2.1379310344827585</v>
      </c>
      <c r="AE74" s="48">
        <v>0.95574712643678161</v>
      </c>
      <c r="AF74" s="50" t="s">
        <v>81</v>
      </c>
      <c r="AG74" s="51"/>
      <c r="AH74" s="51"/>
      <c r="AI74" s="51"/>
      <c r="AJ74" s="51"/>
      <c r="AK74" s="51"/>
      <c r="AL74" s="52"/>
      <c r="AM74" s="51"/>
      <c r="AN74" s="53"/>
      <c r="AO74" s="54">
        <f t="shared" si="33"/>
        <v>0</v>
      </c>
      <c r="AP74" s="55" t="s">
        <v>82</v>
      </c>
      <c r="AQ74" s="51"/>
      <c r="AR74" s="43"/>
      <c r="AS74" s="43"/>
      <c r="AT74" s="43"/>
      <c r="AU74" s="43"/>
      <c r="AV74" s="43"/>
      <c r="AW74" s="52"/>
      <c r="AX74" s="43"/>
      <c r="AY74" s="43"/>
      <c r="AZ74" s="43">
        <v>24200</v>
      </c>
      <c r="BA74" s="43"/>
      <c r="BB74" s="43"/>
      <c r="BC74" s="43"/>
      <c r="BD74" s="43"/>
      <c r="BE74" s="43"/>
      <c r="BF74" s="51">
        <v>900</v>
      </c>
      <c r="BG74" s="43">
        <v>9700</v>
      </c>
      <c r="BH74" s="56"/>
      <c r="BI74" s="57">
        <f t="shared" si="34"/>
        <v>1</v>
      </c>
      <c r="BJ74" s="58">
        <v>2.6539999999999999</v>
      </c>
      <c r="BK74" s="59">
        <v>44</v>
      </c>
      <c r="BL74" s="48">
        <v>3.9E-2</v>
      </c>
      <c r="BM74" s="48">
        <v>0.17</v>
      </c>
      <c r="BN74" s="48">
        <v>0.47</v>
      </c>
      <c r="BO74" s="48">
        <v>0.83</v>
      </c>
      <c r="BP74" s="48">
        <v>1.425</v>
      </c>
      <c r="BQ74" s="48">
        <v>1.825</v>
      </c>
      <c r="BR74" s="48">
        <v>2.4350000000000001</v>
      </c>
      <c r="BS74" s="48">
        <v>2.8439999999999999</v>
      </c>
      <c r="BT74" s="41">
        <v>48</v>
      </c>
      <c r="BU74" s="75"/>
      <c r="BV74" s="60">
        <v>42215</v>
      </c>
      <c r="BW74" s="44">
        <v>0.71406682080924855</v>
      </c>
      <c r="BX74" s="43">
        <v>32412</v>
      </c>
      <c r="BY74" s="43">
        <v>17376</v>
      </c>
      <c r="BZ74" s="44">
        <v>0.53609774157719359</v>
      </c>
      <c r="CA74" s="43">
        <v>74</v>
      </c>
      <c r="CB74" s="43">
        <v>126</v>
      </c>
      <c r="CC74" s="44">
        <v>2.2831050228310501E-3</v>
      </c>
      <c r="CD74" s="44">
        <v>3.8874490929285449E-3</v>
      </c>
    </row>
    <row r="75" spans="1:82" x14ac:dyDescent="0.25">
      <c r="A75" s="39" t="s">
        <v>85</v>
      </c>
      <c r="B75" s="40" t="s">
        <v>86</v>
      </c>
      <c r="C75" s="41">
        <v>430</v>
      </c>
      <c r="D75" s="63">
        <v>1330.05</v>
      </c>
      <c r="E75" s="63">
        <v>8771.9699999999993</v>
      </c>
      <c r="F75" s="43">
        <v>24500</v>
      </c>
      <c r="G75" s="43">
        <v>23540</v>
      </c>
      <c r="H75" s="44">
        <f>IF(F75=0,0,+((F75-G75)/F75))</f>
        <v>3.9183673469387753E-2</v>
      </c>
      <c r="I75" s="39">
        <v>286</v>
      </c>
      <c r="J75" s="44">
        <f>+(I75/F75)</f>
        <v>1.1673469387755103E-2</v>
      </c>
      <c r="K75" s="43">
        <v>66410</v>
      </c>
      <c r="L75" s="43">
        <v>130920</v>
      </c>
      <c r="M75" s="24">
        <f>IF(G75=0,0,+K75/G75)</f>
        <v>2.8211554800339846</v>
      </c>
      <c r="N75" s="24">
        <f>IF(K75=0,0,+L75/K75)</f>
        <v>1.9713898509260654</v>
      </c>
      <c r="O75" s="24">
        <f>+L75/((G75-CA75-CB75)*M75)</f>
        <v>1.9899025380901154</v>
      </c>
      <c r="P75" s="45">
        <f>IF(G75=0,0,+E75/G75)</f>
        <v>0.37264103653355984</v>
      </c>
      <c r="Q75" s="45">
        <f>IF(G75=0,0,+D75/G75)</f>
        <v>5.6501699235344094E-2</v>
      </c>
      <c r="R75" s="43">
        <v>2040</v>
      </c>
      <c r="S75" s="45">
        <f>IF(R75=0,0,+E75/R75)</f>
        <v>4.2999852941176471</v>
      </c>
      <c r="T75" s="24">
        <f>IF(R75=0,0,+F75/R75)</f>
        <v>12.009803921568627</v>
      </c>
      <c r="U75" s="24">
        <f>IF(L75=0,0,+L75/G75)</f>
        <v>5.5615972812234498</v>
      </c>
      <c r="V75" s="47">
        <v>46.75</v>
      </c>
      <c r="W75" s="43"/>
      <c r="X75" s="24"/>
      <c r="Y75" s="43"/>
      <c r="Z75" s="48">
        <f>IF(V75=0,0,+M75/V75)</f>
        <v>6.0345571765432829E-2</v>
      </c>
      <c r="AA75" s="64" t="str">
        <f>IF(W75=0,"",+X75/W75)</f>
        <v/>
      </c>
      <c r="AB75" s="65">
        <v>0.32326530612244897</v>
      </c>
      <c r="AC75" s="65">
        <v>1.4318367346938776</v>
      </c>
      <c r="AD75" s="65">
        <v>2.1608163265306124</v>
      </c>
      <c r="AE75" s="65">
        <v>1.4277551020408163</v>
      </c>
      <c r="AF75" s="50" t="s">
        <v>81</v>
      </c>
      <c r="AG75" s="51"/>
      <c r="AH75" s="51">
        <v>9100</v>
      </c>
      <c r="AI75" s="51"/>
      <c r="AJ75" s="51"/>
      <c r="AK75" s="51"/>
      <c r="AL75" s="51"/>
      <c r="AM75" s="51"/>
      <c r="AN75" s="53"/>
      <c r="AO75" s="54">
        <f t="shared" si="33"/>
        <v>0.37142857142857144</v>
      </c>
      <c r="AP75" s="55" t="s">
        <v>82</v>
      </c>
      <c r="AQ75" s="51"/>
      <c r="AR75" s="43"/>
      <c r="AS75" s="43"/>
      <c r="AT75" s="43"/>
      <c r="AU75" s="43">
        <v>10700</v>
      </c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51">
        <v>4700</v>
      </c>
      <c r="BG75" s="43"/>
      <c r="BH75" s="56"/>
      <c r="BI75" s="57">
        <f t="shared" si="34"/>
        <v>0.62857142857142856</v>
      </c>
      <c r="BJ75" s="58">
        <v>2.8330000000000002</v>
      </c>
      <c r="BK75" s="59">
        <v>46</v>
      </c>
      <c r="BL75" s="48">
        <v>3.7999999999999999E-2</v>
      </c>
      <c r="BM75" s="48">
        <v>0.16800000000000001</v>
      </c>
      <c r="BN75" s="48">
        <v>0.44800000000000001</v>
      </c>
      <c r="BO75" s="48">
        <v>0.84</v>
      </c>
      <c r="BP75" s="48">
        <v>1.2</v>
      </c>
      <c r="BQ75" s="48">
        <v>1.8</v>
      </c>
      <c r="BR75" s="48">
        <v>2.35</v>
      </c>
      <c r="BS75" s="48">
        <v>2.8170000000000002</v>
      </c>
      <c r="BT75" s="41">
        <v>47</v>
      </c>
      <c r="BU75" s="43"/>
      <c r="BV75" s="67">
        <v>42291</v>
      </c>
      <c r="BW75" s="44">
        <v>0.69589594940521005</v>
      </c>
      <c r="BX75" s="43">
        <v>23216</v>
      </c>
      <c r="BY75" s="43">
        <v>10064</v>
      </c>
      <c r="BZ75" s="44">
        <v>0.43349414197105446</v>
      </c>
      <c r="CA75" s="43">
        <v>46</v>
      </c>
      <c r="CB75" s="43">
        <v>173</v>
      </c>
      <c r="CC75" s="44">
        <v>1.9813921433494142E-3</v>
      </c>
      <c r="CD75" s="44">
        <v>7.4517574086836666E-3</v>
      </c>
    </row>
    <row r="76" spans="1:82" x14ac:dyDescent="0.25">
      <c r="A76" s="39" t="s">
        <v>97</v>
      </c>
      <c r="B76" s="40" t="s">
        <v>80</v>
      </c>
      <c r="C76" s="41">
        <v>870</v>
      </c>
      <c r="D76" s="68">
        <v>254.09</v>
      </c>
      <c r="E76" s="68">
        <v>6107.9131449999995</v>
      </c>
      <c r="F76" s="43">
        <v>15500</v>
      </c>
      <c r="G76" s="43">
        <v>14649</v>
      </c>
      <c r="H76" s="44">
        <v>5.4903225806451614E-2</v>
      </c>
      <c r="I76" s="39">
        <v>110</v>
      </c>
      <c r="J76" s="44">
        <v>7.0967741935483875E-3</v>
      </c>
      <c r="K76" s="43">
        <v>37200</v>
      </c>
      <c r="L76" s="43">
        <v>67900</v>
      </c>
      <c r="M76" s="24">
        <v>2.5394224861765307</v>
      </c>
      <c r="N76" s="24">
        <v>1.825268817204301</v>
      </c>
      <c r="O76" s="24">
        <v>1.8475927932024465</v>
      </c>
      <c r="P76" s="45">
        <v>0.41695085978565088</v>
      </c>
      <c r="Q76" s="45">
        <v>1.7345211277220288E-2</v>
      </c>
      <c r="R76" s="43">
        <v>1400</v>
      </c>
      <c r="S76" s="45">
        <v>4.3627951035714281</v>
      </c>
      <c r="T76" s="24">
        <v>11.071428571428571</v>
      </c>
      <c r="U76" s="24">
        <v>4.6351286777254419</v>
      </c>
      <c r="V76" s="47">
        <v>42</v>
      </c>
      <c r="W76" s="43"/>
      <c r="X76" s="24"/>
      <c r="Y76" s="43"/>
      <c r="Z76" s="48">
        <v>6.0462440147060252E-2</v>
      </c>
      <c r="AA76" s="69" t="s">
        <v>84</v>
      </c>
      <c r="AB76" s="48">
        <v>0.30193548387096775</v>
      </c>
      <c r="AC76" s="48">
        <v>1.5509677419354839</v>
      </c>
      <c r="AD76" s="48">
        <v>2.0038709677419355</v>
      </c>
      <c r="AE76" s="48">
        <v>0.52387096774193553</v>
      </c>
      <c r="AF76" s="50" t="s">
        <v>81</v>
      </c>
      <c r="AG76" s="51"/>
      <c r="AH76" s="51"/>
      <c r="AI76" s="51"/>
      <c r="AJ76" s="51"/>
      <c r="AK76" s="39"/>
      <c r="AL76" s="39"/>
      <c r="AM76" s="39"/>
      <c r="AN76" s="72"/>
      <c r="AO76" s="54">
        <f t="shared" si="33"/>
        <v>0</v>
      </c>
      <c r="AP76" s="55" t="s">
        <v>82</v>
      </c>
      <c r="AQ76" s="39"/>
      <c r="AR76" s="39"/>
      <c r="AS76" s="39"/>
      <c r="AT76" s="39"/>
      <c r="AU76" s="39"/>
      <c r="AV76" s="39"/>
      <c r="AW76" s="39"/>
      <c r="AX76" s="39"/>
      <c r="AY76" s="39"/>
      <c r="AZ76" s="43"/>
      <c r="BA76" s="43">
        <v>15500</v>
      </c>
      <c r="BB76" s="43"/>
      <c r="BC76" s="43"/>
      <c r="BD76" s="43"/>
      <c r="BE76" s="43"/>
      <c r="BF76" s="51"/>
      <c r="BG76" s="43"/>
      <c r="BH76" s="56"/>
      <c r="BI76" s="57">
        <f t="shared" si="34"/>
        <v>1</v>
      </c>
      <c r="BJ76" s="58">
        <v>2.5390000000000001</v>
      </c>
      <c r="BK76" s="59">
        <v>42</v>
      </c>
      <c r="BL76" s="48">
        <v>0.04</v>
      </c>
      <c r="BM76" s="48">
        <v>0.216</v>
      </c>
      <c r="BN76" s="48"/>
      <c r="BO76" s="48">
        <v>1</v>
      </c>
      <c r="BP76" s="48">
        <v>1.63</v>
      </c>
      <c r="BQ76" s="48">
        <v>2.1</v>
      </c>
      <c r="BR76" s="48">
        <v>2.5390000000000001</v>
      </c>
      <c r="BS76" s="48">
        <v>2.5390000000000001</v>
      </c>
      <c r="BT76" s="41">
        <v>42</v>
      </c>
      <c r="BU76" s="43"/>
      <c r="BV76" s="60">
        <v>42227</v>
      </c>
      <c r="BW76" s="44">
        <v>0.70150107526881722</v>
      </c>
      <c r="BX76" s="43">
        <v>14514</v>
      </c>
      <c r="BY76" s="43">
        <v>7608</v>
      </c>
      <c r="BZ76" s="44">
        <v>0.52418354692021496</v>
      </c>
      <c r="CA76" s="43">
        <v>27</v>
      </c>
      <c r="CB76" s="43">
        <v>98</v>
      </c>
      <c r="CC76" s="44">
        <v>1.8602728400165358E-3</v>
      </c>
      <c r="CD76" s="44">
        <v>6.752101419319278E-3</v>
      </c>
    </row>
    <row r="77" spans="1:82" x14ac:dyDescent="0.25">
      <c r="A77" s="39" t="s">
        <v>79</v>
      </c>
      <c r="B77" s="40" t="s">
        <v>80</v>
      </c>
      <c r="C77" s="41">
        <v>860</v>
      </c>
      <c r="D77" s="61">
        <v>2035.34</v>
      </c>
      <c r="E77" s="61">
        <v>15743.858979999999</v>
      </c>
      <c r="F77" s="43">
        <v>38100</v>
      </c>
      <c r="G77" s="43">
        <v>36276</v>
      </c>
      <c r="H77" s="44">
        <f t="shared" ref="H77:H82" si="35">IF(F77=0,0,+((F77-G77)/F77))</f>
        <v>4.7874015748031497E-2</v>
      </c>
      <c r="I77" s="39">
        <f>197+148</f>
        <v>345</v>
      </c>
      <c r="J77" s="44">
        <f t="shared" ref="J77:J82" si="36">+(I77/F77)</f>
        <v>9.0551181102362203E-3</v>
      </c>
      <c r="K77" s="43">
        <v>108100</v>
      </c>
      <c r="L77" s="43">
        <v>209990</v>
      </c>
      <c r="M77" s="24">
        <f t="shared" ref="M77:M82" si="37">IF(G77=0,0,+K77/G77)</f>
        <v>2.9799316352409306</v>
      </c>
      <c r="N77" s="24">
        <f t="shared" ref="N77:N82" si="38">IF(K77=0,0,+L77/K77)</f>
        <v>1.9425531914893617</v>
      </c>
      <c r="O77" s="24">
        <f>+L77/((G77-CA77-CB77)*M77)</f>
        <v>1.9801073275954839</v>
      </c>
      <c r="P77" s="45">
        <f>+E77/G77</f>
        <v>0.43400206693130444</v>
      </c>
      <c r="Q77" s="45">
        <f>+D77/G77</f>
        <v>5.6107068033961843E-2</v>
      </c>
      <c r="R77" s="43">
        <v>3600</v>
      </c>
      <c r="S77" s="45">
        <f>+E77/R77</f>
        <v>4.3732941611111107</v>
      </c>
      <c r="T77" s="24">
        <f t="shared" ref="T77:T82" si="39">IF(R77=0,0,+F77/R77)</f>
        <v>10.583333333333334</v>
      </c>
      <c r="U77" s="24">
        <f t="shared" ref="U77:U82" si="40">IF(L77=0,0,+L77/G77)</f>
        <v>5.7886757084573821</v>
      </c>
      <c r="V77" s="47">
        <v>45.3</v>
      </c>
      <c r="W77" s="43"/>
      <c r="X77" s="24"/>
      <c r="Y77" s="43"/>
      <c r="Z77" s="48">
        <f t="shared" ref="Z77:Z82" si="41">IF(V77=0,0,+M77/V77)</f>
        <v>6.5782155303331813E-2</v>
      </c>
      <c r="AA77" s="62" t="str">
        <f t="shared" ref="AA77:AA82" si="42">IF(W77=0,"",+X77/W77)</f>
        <v/>
      </c>
      <c r="AB77" s="48">
        <v>0.318</v>
      </c>
      <c r="AC77" s="48">
        <v>1.4490000000000001</v>
      </c>
      <c r="AD77" s="48">
        <v>2.431</v>
      </c>
      <c r="AE77" s="48">
        <v>1.3140000000000001</v>
      </c>
      <c r="AF77" s="50" t="s">
        <v>81</v>
      </c>
      <c r="AG77" s="51"/>
      <c r="AH77" s="51"/>
      <c r="AI77" s="51"/>
      <c r="AJ77" s="51"/>
      <c r="AK77" s="51">
        <f>17600+17600</f>
        <v>35200</v>
      </c>
      <c r="AL77" s="52"/>
      <c r="AM77" s="43"/>
      <c r="AN77" s="53"/>
      <c r="AO77" s="54">
        <f t="shared" si="33"/>
        <v>0.92388451443569553</v>
      </c>
      <c r="AP77" s="55" t="s">
        <v>82</v>
      </c>
      <c r="AQ77" s="51"/>
      <c r="AR77" s="43"/>
      <c r="AS77" s="43"/>
      <c r="AT77" s="43"/>
      <c r="AU77" s="51"/>
      <c r="AV77" s="43"/>
      <c r="AW77" s="52"/>
      <c r="AX77" s="43"/>
      <c r="AY77" s="51"/>
      <c r="AZ77" s="43">
        <v>2900</v>
      </c>
      <c r="BA77" s="43"/>
      <c r="BB77" s="43"/>
      <c r="BC77" s="43"/>
      <c r="BD77" s="43"/>
      <c r="BE77" s="43"/>
      <c r="BF77" s="43"/>
      <c r="BG77" s="43"/>
      <c r="BH77" s="56"/>
      <c r="BI77" s="57">
        <f t="shared" si="34"/>
        <v>7.6115485564304461E-2</v>
      </c>
      <c r="BJ77" s="58">
        <v>2.891</v>
      </c>
      <c r="BK77" s="59">
        <v>43</v>
      </c>
      <c r="BL77" s="48">
        <v>4.3999999999999997E-2</v>
      </c>
      <c r="BM77" s="48">
        <v>0.17150000000000001</v>
      </c>
      <c r="BN77" s="48">
        <v>0.435</v>
      </c>
      <c r="BO77" s="48">
        <v>0.92149999999999999</v>
      </c>
      <c r="BP77" s="48">
        <v>1.323</v>
      </c>
      <c r="BQ77" s="48">
        <v>1.88</v>
      </c>
      <c r="BR77" s="48"/>
      <c r="BS77" s="48">
        <v>3.0819999999999999</v>
      </c>
      <c r="BT77" s="41">
        <v>47</v>
      </c>
      <c r="BU77" s="43">
        <v>2760</v>
      </c>
      <c r="BV77" s="60">
        <v>42066</v>
      </c>
      <c r="BW77" s="44">
        <v>0.69146475485661418</v>
      </c>
      <c r="BX77" s="43">
        <v>35622</v>
      </c>
      <c r="BY77" s="43">
        <v>10256</v>
      </c>
      <c r="BZ77" s="44">
        <v>0.28791196451631013</v>
      </c>
      <c r="CA77" s="43">
        <v>231</v>
      </c>
      <c r="CB77" s="43">
        <v>457</v>
      </c>
      <c r="CC77" s="44">
        <v>6.4847566110830387E-3</v>
      </c>
      <c r="CD77" s="44">
        <v>1.2829150524956487E-2</v>
      </c>
    </row>
    <row r="78" spans="1:82" x14ac:dyDescent="0.25">
      <c r="A78" s="39" t="s">
        <v>100</v>
      </c>
      <c r="B78" s="40" t="s">
        <v>80</v>
      </c>
      <c r="C78" s="41">
        <v>764</v>
      </c>
      <c r="D78" s="61">
        <v>1313.69</v>
      </c>
      <c r="E78" s="61">
        <v>16882.274549999998</v>
      </c>
      <c r="F78" s="43">
        <v>42200</v>
      </c>
      <c r="G78" s="43">
        <v>40710</v>
      </c>
      <c r="H78" s="44">
        <f t="shared" si="35"/>
        <v>3.5308056872037911E-2</v>
      </c>
      <c r="I78" s="39">
        <v>591</v>
      </c>
      <c r="J78" s="44">
        <f t="shared" si="36"/>
        <v>1.4004739336492891E-2</v>
      </c>
      <c r="K78" s="43">
        <v>102410</v>
      </c>
      <c r="L78" s="43">
        <v>185600</v>
      </c>
      <c r="M78" s="24">
        <f t="shared" si="37"/>
        <v>2.5155981331368213</v>
      </c>
      <c r="N78" s="24">
        <f t="shared" si="38"/>
        <v>1.8123230153305341</v>
      </c>
      <c r="O78" s="24">
        <f>+L78/((G78-CA78-CB78)*M78)</f>
        <v>1.8310336515140231</v>
      </c>
      <c r="P78" s="45">
        <f>IF(G78=0,0,+E78/G78)</f>
        <v>0.41469600957995573</v>
      </c>
      <c r="Q78" s="45">
        <f>IF(G78=0,0,+D78/G78)</f>
        <v>3.226946696143454E-2</v>
      </c>
      <c r="R78" s="43">
        <v>3850</v>
      </c>
      <c r="S78" s="45">
        <f>IF(R78=0,0,+E78/R78)</f>
        <v>4.3850063766233758</v>
      </c>
      <c r="T78" s="24">
        <f t="shared" si="39"/>
        <v>10.961038961038961</v>
      </c>
      <c r="U78" s="24">
        <f t="shared" si="40"/>
        <v>4.5590763940063868</v>
      </c>
      <c r="V78" s="47">
        <v>42.83</v>
      </c>
      <c r="W78" s="43">
        <v>33</v>
      </c>
      <c r="X78" s="24">
        <v>1.7649999999999999</v>
      </c>
      <c r="Y78" s="43">
        <v>8000</v>
      </c>
      <c r="Z78" s="48">
        <f t="shared" si="41"/>
        <v>5.8734488282438047E-2</v>
      </c>
      <c r="AA78" s="62">
        <f t="shared" si="42"/>
        <v>5.3484848484848482E-2</v>
      </c>
      <c r="AB78" s="48">
        <v>0.30805687203791471</v>
      </c>
      <c r="AC78" s="48">
        <v>1.4393364928909953</v>
      </c>
      <c r="AD78" s="48">
        <v>2.4601895734597155</v>
      </c>
      <c r="AE78" s="48">
        <v>0.19052132701421801</v>
      </c>
      <c r="AF78" s="50" t="s">
        <v>81</v>
      </c>
      <c r="AG78" s="51"/>
      <c r="AH78" s="43"/>
      <c r="AI78" s="51"/>
      <c r="AJ78" s="51"/>
      <c r="AK78" s="51"/>
      <c r="AL78" s="52"/>
      <c r="AM78" s="51"/>
      <c r="AN78" s="53"/>
      <c r="AO78" s="54">
        <f t="shared" si="33"/>
        <v>0</v>
      </c>
      <c r="AP78" s="55" t="s">
        <v>82</v>
      </c>
      <c r="AQ78" s="51"/>
      <c r="AR78" s="43"/>
      <c r="AS78" s="43"/>
      <c r="AT78" s="43"/>
      <c r="AU78" s="43"/>
      <c r="AV78" s="43"/>
      <c r="AW78" s="52"/>
      <c r="AX78" s="43"/>
      <c r="AY78" s="43"/>
      <c r="AZ78" s="43"/>
      <c r="BA78" s="43"/>
      <c r="BB78" s="43"/>
      <c r="BC78" s="43"/>
      <c r="BD78" s="43"/>
      <c r="BE78" s="43"/>
      <c r="BF78" s="51"/>
      <c r="BG78" s="43">
        <v>42200</v>
      </c>
      <c r="BH78" s="56"/>
      <c r="BI78" s="57">
        <f t="shared" si="34"/>
        <v>1</v>
      </c>
      <c r="BJ78" s="58">
        <v>2.8109999999999999</v>
      </c>
      <c r="BK78" s="59">
        <v>42</v>
      </c>
      <c r="BL78" s="48"/>
      <c r="BM78" s="48">
        <v>0.16500000000000001</v>
      </c>
      <c r="BN78" s="48">
        <v>0.55000000000000004</v>
      </c>
      <c r="BO78" s="48">
        <v>1.0225</v>
      </c>
      <c r="BP78" s="48">
        <v>1.64</v>
      </c>
      <c r="BQ78" s="48">
        <v>2.11</v>
      </c>
      <c r="BR78" s="48">
        <v>2.8109999999999999</v>
      </c>
      <c r="BS78" s="48">
        <v>2.6749999999999998</v>
      </c>
      <c r="BT78" s="41">
        <v>43</v>
      </c>
      <c r="BU78" s="43">
        <v>3000</v>
      </c>
      <c r="BV78" s="60">
        <v>42181</v>
      </c>
      <c r="BW78" s="44">
        <v>0.69736685921395403</v>
      </c>
      <c r="BX78" s="43">
        <v>32318</v>
      </c>
      <c r="BY78" s="43">
        <v>14064</v>
      </c>
      <c r="BZ78" s="44">
        <v>0.43517544402500152</v>
      </c>
      <c r="CA78" s="43">
        <v>75</v>
      </c>
      <c r="CB78" s="43">
        <v>341</v>
      </c>
      <c r="CC78" s="44">
        <v>2.3206881613961261E-3</v>
      </c>
      <c r="CD78" s="44">
        <v>1.055139550714772E-2</v>
      </c>
    </row>
    <row r="79" spans="1:82" x14ac:dyDescent="0.25">
      <c r="A79" s="39" t="s">
        <v>92</v>
      </c>
      <c r="B79" s="40" t="s">
        <v>86</v>
      </c>
      <c r="C79" s="41">
        <v>456</v>
      </c>
      <c r="D79" s="42">
        <v>400.2</v>
      </c>
      <c r="E79" s="42">
        <v>4210.7928150000007</v>
      </c>
      <c r="F79" s="43">
        <v>11000</v>
      </c>
      <c r="G79" s="43">
        <v>10503</v>
      </c>
      <c r="H79" s="44">
        <f t="shared" si="35"/>
        <v>4.5181818181818184E-2</v>
      </c>
      <c r="I79" s="39">
        <v>130</v>
      </c>
      <c r="J79" s="44">
        <f t="shared" si="36"/>
        <v>1.1818181818181818E-2</v>
      </c>
      <c r="K79" s="43">
        <v>29000</v>
      </c>
      <c r="L79" s="43">
        <v>55680</v>
      </c>
      <c r="M79" s="24">
        <f t="shared" si="37"/>
        <v>2.7611158716557176</v>
      </c>
      <c r="N79" s="24">
        <f t="shared" si="38"/>
        <v>1.92</v>
      </c>
      <c r="O79" s="24">
        <f>+L79/((G79-CA79-CB79)*M79)</f>
        <v>1.9431258431296972</v>
      </c>
      <c r="P79" s="45">
        <f>IF(G79=0,0,+E79/G79)</f>
        <v>0.40091334047415034</v>
      </c>
      <c r="Q79" s="45">
        <f>IF(G79=0,0,+D79/G79)</f>
        <v>3.8103399028848899E-2</v>
      </c>
      <c r="R79" s="43">
        <v>960</v>
      </c>
      <c r="S79" s="45">
        <f>IF(R79=0,0,+E79/R79)</f>
        <v>4.3862425156250007</v>
      </c>
      <c r="T79" s="24">
        <f t="shared" si="39"/>
        <v>11.458333333333334</v>
      </c>
      <c r="U79" s="24">
        <f t="shared" si="40"/>
        <v>5.3013424735789778</v>
      </c>
      <c r="V79" s="47">
        <v>44.49</v>
      </c>
      <c r="W79" s="43"/>
      <c r="X79" s="24"/>
      <c r="Y79" s="43"/>
      <c r="Z79" s="48">
        <f t="shared" si="41"/>
        <v>6.2061494080820803E-2</v>
      </c>
      <c r="AA79" s="49" t="str">
        <f t="shared" si="42"/>
        <v/>
      </c>
      <c r="AB79" s="48">
        <v>0.32363636363636361</v>
      </c>
      <c r="AC79" s="48">
        <v>1.4236363636363636</v>
      </c>
      <c r="AD79" s="48">
        <v>2.0254545454545454</v>
      </c>
      <c r="AE79" s="48">
        <v>1.2890909090909091</v>
      </c>
      <c r="AF79" s="50" t="s">
        <v>81</v>
      </c>
      <c r="AG79" s="73"/>
      <c r="AH79" s="73"/>
      <c r="AI79" s="73"/>
      <c r="AJ79" s="73"/>
      <c r="AK79" s="73"/>
      <c r="AL79" s="39"/>
      <c r="AM79" s="73"/>
      <c r="AN79" s="74"/>
      <c r="AO79" s="54">
        <f t="shared" si="33"/>
        <v>0</v>
      </c>
      <c r="AP79" s="55" t="s">
        <v>82</v>
      </c>
      <c r="AQ79" s="73"/>
      <c r="AR79" s="39"/>
      <c r="AS79" s="39"/>
      <c r="AT79" s="39">
        <v>4600</v>
      </c>
      <c r="AU79" s="39"/>
      <c r="AV79" s="39"/>
      <c r="AW79" s="39">
        <v>6400</v>
      </c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72"/>
      <c r="BI79" s="57">
        <f t="shared" si="34"/>
        <v>1</v>
      </c>
      <c r="BJ79" s="58">
        <v>2.7730000000000001</v>
      </c>
      <c r="BK79" s="59">
        <v>44</v>
      </c>
      <c r="BL79" s="48">
        <v>0.04</v>
      </c>
      <c r="BM79" s="48">
        <v>0.17199999999999999</v>
      </c>
      <c r="BN79" s="48">
        <v>0.372</v>
      </c>
      <c r="BO79" s="48">
        <v>0.73</v>
      </c>
      <c r="BP79" s="48">
        <v>1.33</v>
      </c>
      <c r="BQ79" s="48">
        <v>2</v>
      </c>
      <c r="BR79" s="48">
        <v>2.6</v>
      </c>
      <c r="BS79" s="48">
        <v>2.7490000000000001</v>
      </c>
      <c r="BT79" s="41">
        <v>45</v>
      </c>
      <c r="BU79" s="43"/>
      <c r="BV79" s="60">
        <v>42026</v>
      </c>
      <c r="BW79" s="44">
        <v>0.69281241379310332</v>
      </c>
      <c r="BX79" s="39">
        <v>10320</v>
      </c>
      <c r="BY79" s="43">
        <v>4560</v>
      </c>
      <c r="BZ79" s="44">
        <v>0.44186046511627908</v>
      </c>
      <c r="CA79" s="43">
        <v>48</v>
      </c>
      <c r="CB79" s="43">
        <v>77</v>
      </c>
      <c r="CC79" s="44">
        <v>4.6511627906976744E-3</v>
      </c>
      <c r="CD79" s="44">
        <v>7.4612403100775193E-3</v>
      </c>
    </row>
    <row r="80" spans="1:82" x14ac:dyDescent="0.25">
      <c r="A80" s="39" t="s">
        <v>95</v>
      </c>
      <c r="B80" s="40" t="s">
        <v>86</v>
      </c>
      <c r="C80" s="41">
        <v>430</v>
      </c>
      <c r="D80" s="63">
        <v>871.65</v>
      </c>
      <c r="E80" s="63">
        <v>15053.76</v>
      </c>
      <c r="F80" s="43">
        <v>40000</v>
      </c>
      <c r="G80" s="43">
        <v>39325</v>
      </c>
      <c r="H80" s="44">
        <f t="shared" si="35"/>
        <v>1.6875000000000001E-2</v>
      </c>
      <c r="I80" s="39">
        <v>357</v>
      </c>
      <c r="J80" s="44">
        <f t="shared" si="36"/>
        <v>8.9250000000000006E-3</v>
      </c>
      <c r="K80" s="43">
        <v>97310</v>
      </c>
      <c r="L80" s="43">
        <v>181540</v>
      </c>
      <c r="M80" s="24">
        <f t="shared" si="37"/>
        <v>2.4745073108709472</v>
      </c>
      <c r="N80" s="24">
        <f t="shared" si="38"/>
        <v>1.8655842153941014</v>
      </c>
      <c r="O80" s="24">
        <f>+L80/((G80-CA80-CB80)*M80)</f>
        <v>1.8770877922007223</v>
      </c>
      <c r="P80" s="45">
        <f>IF(G80=0,0,+E80/G80)</f>
        <v>0.38280381436745076</v>
      </c>
      <c r="Q80" s="45">
        <f>IF(G80=0,0,+D80/G80)</f>
        <v>2.2165289256198345E-2</v>
      </c>
      <c r="R80" s="43">
        <v>3430</v>
      </c>
      <c r="S80" s="45">
        <f>IF(R80=0,0,+E80/R80)</f>
        <v>4.3888513119533528</v>
      </c>
      <c r="T80" s="24">
        <f t="shared" si="39"/>
        <v>11.661807580174926</v>
      </c>
      <c r="U80" s="24">
        <f t="shared" si="40"/>
        <v>4.6164017800381441</v>
      </c>
      <c r="V80" s="47">
        <v>43.3</v>
      </c>
      <c r="W80" s="43">
        <v>38</v>
      </c>
      <c r="X80" s="24">
        <v>2.0649999999999999</v>
      </c>
      <c r="Y80" s="43">
        <v>8000</v>
      </c>
      <c r="Z80" s="48">
        <f t="shared" si="41"/>
        <v>5.71479748469041E-2</v>
      </c>
      <c r="AA80" s="64">
        <f t="shared" si="42"/>
        <v>5.4342105263157893E-2</v>
      </c>
      <c r="AB80" s="65">
        <v>0.28399999999999997</v>
      </c>
      <c r="AC80" s="65">
        <v>1.5325</v>
      </c>
      <c r="AD80" s="65">
        <v>2.2799999999999998</v>
      </c>
      <c r="AE80" s="65">
        <v>0.442</v>
      </c>
      <c r="AF80" s="50" t="s">
        <v>81</v>
      </c>
      <c r="AG80" s="51"/>
      <c r="AH80" s="51"/>
      <c r="AI80" s="51"/>
      <c r="AJ80" s="51"/>
      <c r="AK80" s="51"/>
      <c r="AL80" s="51"/>
      <c r="AM80" s="51"/>
      <c r="AN80" s="53"/>
      <c r="AO80" s="54">
        <f t="shared" si="33"/>
        <v>0</v>
      </c>
      <c r="AP80" s="55" t="s">
        <v>82</v>
      </c>
      <c r="AQ80" s="51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>
        <v>28500</v>
      </c>
      <c r="BC80" s="43"/>
      <c r="BD80" s="43">
        <v>11500</v>
      </c>
      <c r="BE80" s="43"/>
      <c r="BF80" s="51"/>
      <c r="BG80" s="43"/>
      <c r="BH80" s="56"/>
      <c r="BI80" s="57">
        <f t="shared" si="34"/>
        <v>1</v>
      </c>
      <c r="BJ80" s="58">
        <v>2.6190000000000002</v>
      </c>
      <c r="BK80" s="59">
        <v>44</v>
      </c>
      <c r="BL80" s="77">
        <v>3.6999999999999998E-2</v>
      </c>
      <c r="BM80" s="77">
        <v>0.16</v>
      </c>
      <c r="BN80" s="77">
        <v>0.43</v>
      </c>
      <c r="BO80" s="77">
        <v>0.84</v>
      </c>
      <c r="BP80" s="77"/>
      <c r="BQ80" s="77">
        <v>1.825</v>
      </c>
      <c r="BR80" s="77">
        <v>2.4700000000000002</v>
      </c>
      <c r="BS80" s="77">
        <v>2.5569999999999999</v>
      </c>
      <c r="BT80" s="41">
        <v>45</v>
      </c>
      <c r="BU80" s="43">
        <v>10000</v>
      </c>
      <c r="BV80" s="67">
        <v>42352</v>
      </c>
      <c r="BW80" s="44">
        <v>0.68144572348062882</v>
      </c>
      <c r="BX80" s="43">
        <v>31025</v>
      </c>
      <c r="BY80" s="43">
        <v>14651</v>
      </c>
      <c r="BZ80" s="44">
        <v>0.47223207091055602</v>
      </c>
      <c r="CA80" s="43">
        <v>73</v>
      </c>
      <c r="CB80" s="43">
        <v>168</v>
      </c>
      <c r="CC80" s="44">
        <v>2.352941176470588E-3</v>
      </c>
      <c r="CD80" s="44">
        <v>5.4149879129734083E-3</v>
      </c>
    </row>
    <row r="81" spans="1:82" x14ac:dyDescent="0.25">
      <c r="A81" s="39" t="s">
        <v>89</v>
      </c>
      <c r="B81" s="40" t="s">
        <v>80</v>
      </c>
      <c r="C81" s="41">
        <v>775</v>
      </c>
      <c r="D81" s="61">
        <v>965.32</v>
      </c>
      <c r="E81" s="61">
        <v>9217.0807999999997</v>
      </c>
      <c r="F81" s="43">
        <v>22500</v>
      </c>
      <c r="G81" s="43">
        <v>20960</v>
      </c>
      <c r="H81" s="44">
        <f t="shared" si="35"/>
        <v>6.8444444444444447E-2</v>
      </c>
      <c r="I81" s="39">
        <v>779</v>
      </c>
      <c r="J81" s="44">
        <f t="shared" si="36"/>
        <v>3.4622222222222221E-2</v>
      </c>
      <c r="K81" s="43">
        <v>56990</v>
      </c>
      <c r="L81" s="43">
        <v>104520</v>
      </c>
      <c r="M81" s="24">
        <f t="shared" si="37"/>
        <v>2.7189885496183206</v>
      </c>
      <c r="N81" s="24">
        <f t="shared" si="38"/>
        <v>1.8340059659589401</v>
      </c>
      <c r="O81" s="24">
        <f>+L81/((G81-CA81-CB81)*M81)</f>
        <v>1.8456292033080175</v>
      </c>
      <c r="P81" s="45">
        <f>IF(G81=0,0,+E81/G81)</f>
        <v>0.43974622137404579</v>
      </c>
      <c r="Q81" s="45">
        <f>IF(G81=0,0,+D81/G81)</f>
        <v>4.6055343511450381E-2</v>
      </c>
      <c r="R81" s="43">
        <v>2100</v>
      </c>
      <c r="S81" s="45">
        <f>IF(R81=0,0,+E81/R81)</f>
        <v>4.3890860952380955</v>
      </c>
      <c r="T81" s="24">
        <f t="shared" si="39"/>
        <v>10.714285714285714</v>
      </c>
      <c r="U81" s="24">
        <f t="shared" si="40"/>
        <v>4.9866412213740459</v>
      </c>
      <c r="V81" s="47">
        <v>43.49</v>
      </c>
      <c r="W81" s="43"/>
      <c r="X81" s="24"/>
      <c r="Y81" s="43"/>
      <c r="Z81" s="48">
        <f t="shared" si="41"/>
        <v>6.2519856280025765E-2</v>
      </c>
      <c r="AA81" s="62" t="str">
        <f t="shared" si="42"/>
        <v/>
      </c>
      <c r="AB81" s="48">
        <v>0.30577777777777776</v>
      </c>
      <c r="AC81" s="48">
        <v>0.95199999999999996</v>
      </c>
      <c r="AD81" s="48">
        <v>2.0942222222222222</v>
      </c>
      <c r="AE81" s="48">
        <v>1.2933333333333332</v>
      </c>
      <c r="AF81" s="50" t="s">
        <v>81</v>
      </c>
      <c r="AG81" s="51"/>
      <c r="AH81" s="43"/>
      <c r="AI81" s="51"/>
      <c r="AJ81" s="51"/>
      <c r="AK81" s="51"/>
      <c r="AL81" s="52"/>
      <c r="AM81" s="51"/>
      <c r="AN81" s="53"/>
      <c r="AO81" s="54">
        <f t="shared" si="33"/>
        <v>0</v>
      </c>
      <c r="AP81" s="55" t="s">
        <v>82</v>
      </c>
      <c r="AQ81" s="51"/>
      <c r="AR81" s="43"/>
      <c r="AS81" s="43"/>
      <c r="AT81" s="43"/>
      <c r="AU81" s="43"/>
      <c r="AV81" s="43"/>
      <c r="AW81" s="52"/>
      <c r="AX81" s="43"/>
      <c r="AY81" s="43"/>
      <c r="AZ81" s="43">
        <v>22500</v>
      </c>
      <c r="BA81" s="43"/>
      <c r="BB81" s="43"/>
      <c r="BC81" s="43"/>
      <c r="BD81" s="43"/>
      <c r="BE81" s="43"/>
      <c r="BF81" s="51"/>
      <c r="BG81" s="43"/>
      <c r="BH81" s="56"/>
      <c r="BI81" s="57">
        <f t="shared" si="34"/>
        <v>1</v>
      </c>
      <c r="BJ81" s="58">
        <v>2.7</v>
      </c>
      <c r="BK81" s="59">
        <v>43</v>
      </c>
      <c r="BL81" s="48">
        <v>3.5000000000000003E-2</v>
      </c>
      <c r="BM81" s="48">
        <v>0.14799999999999999</v>
      </c>
      <c r="BN81" s="48">
        <v>0.44400000000000001</v>
      </c>
      <c r="BO81" s="48">
        <v>0.8</v>
      </c>
      <c r="BP81" s="48">
        <v>1.28</v>
      </c>
      <c r="BQ81" s="48">
        <v>2</v>
      </c>
      <c r="BR81" s="48">
        <v>2.65</v>
      </c>
      <c r="BS81" s="48">
        <v>2.7389999999999999</v>
      </c>
      <c r="BT81" s="41">
        <v>44</v>
      </c>
      <c r="BU81" s="43">
        <v>1500</v>
      </c>
      <c r="BV81" s="60">
        <v>42179</v>
      </c>
      <c r="BW81" s="44">
        <v>0.71183347955781717</v>
      </c>
      <c r="BX81" s="43">
        <v>20906</v>
      </c>
      <c r="BY81" s="43">
        <v>10096</v>
      </c>
      <c r="BZ81" s="44">
        <v>0.48292356261360375</v>
      </c>
      <c r="CA81" s="43">
        <v>17</v>
      </c>
      <c r="CB81" s="43">
        <v>115</v>
      </c>
      <c r="CC81" s="44">
        <v>8.1316368506648812E-4</v>
      </c>
      <c r="CD81" s="44">
        <v>5.5008131636850666E-3</v>
      </c>
    </row>
    <row r="82" spans="1:82" x14ac:dyDescent="0.25">
      <c r="A82" s="39" t="s">
        <v>105</v>
      </c>
      <c r="B82" s="40" t="s">
        <v>86</v>
      </c>
      <c r="C82" s="41">
        <v>426</v>
      </c>
      <c r="D82" s="42">
        <v>1137.7</v>
      </c>
      <c r="E82" s="42">
        <v>11998.320000000002</v>
      </c>
      <c r="F82" s="43">
        <v>30900</v>
      </c>
      <c r="G82" s="43">
        <v>29775</v>
      </c>
      <c r="H82" s="44">
        <f t="shared" si="35"/>
        <v>3.640776699029126E-2</v>
      </c>
      <c r="I82" s="39">
        <v>176</v>
      </c>
      <c r="J82" s="44">
        <f t="shared" si="36"/>
        <v>5.6957928802588995E-3</v>
      </c>
      <c r="K82" s="43">
        <v>80180</v>
      </c>
      <c r="L82" s="43">
        <v>152480</v>
      </c>
      <c r="M82" s="24">
        <f t="shared" si="37"/>
        <v>2.6928631402183041</v>
      </c>
      <c r="N82" s="24">
        <f t="shared" si="38"/>
        <v>1.9017211274632078</v>
      </c>
      <c r="O82" s="24">
        <f>+L82/((G82-CA85-CB85)*M82)</f>
        <v>1.9300479436300022</v>
      </c>
      <c r="P82" s="45">
        <f>+E82/G82</f>
        <v>0.40296624685138543</v>
      </c>
      <c r="Q82" s="45">
        <f>+D82/G82</f>
        <v>3.820990764063812E-2</v>
      </c>
      <c r="R82" s="43">
        <v>2700</v>
      </c>
      <c r="S82" s="46">
        <f>+E82/R82</f>
        <v>4.4438222222222228</v>
      </c>
      <c r="T82" s="24">
        <f t="shared" si="39"/>
        <v>11.444444444444445</v>
      </c>
      <c r="U82" s="24">
        <f t="shared" si="40"/>
        <v>5.1210747271200674</v>
      </c>
      <c r="V82" s="47">
        <v>42.52</v>
      </c>
      <c r="W82" s="43"/>
      <c r="X82" s="24"/>
      <c r="Y82" s="43"/>
      <c r="Z82" s="48">
        <f t="shared" si="41"/>
        <v>6.3331682507485984E-2</v>
      </c>
      <c r="AA82" s="49" t="str">
        <f t="shared" si="42"/>
        <v/>
      </c>
      <c r="AB82" s="65">
        <v>0.31391585760517798</v>
      </c>
      <c r="AC82" s="65">
        <v>1.3760517799352752</v>
      </c>
      <c r="AD82" s="65">
        <v>2.5145631067961167</v>
      </c>
      <c r="AE82" s="65">
        <v>0.73009708737864076</v>
      </c>
      <c r="AF82" s="50" t="s">
        <v>81</v>
      </c>
      <c r="AG82" s="51"/>
      <c r="AH82" s="51"/>
      <c r="AI82" s="51"/>
      <c r="AJ82" s="51"/>
      <c r="AK82" s="51"/>
      <c r="AL82" s="51"/>
      <c r="AM82" s="51"/>
      <c r="AN82" s="53"/>
      <c r="AO82" s="54">
        <f t="shared" si="33"/>
        <v>0</v>
      </c>
      <c r="AP82" s="55" t="s">
        <v>82</v>
      </c>
      <c r="AQ82" s="43"/>
      <c r="AR82" s="43"/>
      <c r="AS82" s="43"/>
      <c r="AT82" s="43"/>
      <c r="AU82" s="43">
        <v>30900</v>
      </c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56"/>
      <c r="BI82" s="57">
        <f t="shared" si="34"/>
        <v>1</v>
      </c>
      <c r="BJ82" s="58">
        <v>2.694</v>
      </c>
      <c r="BK82" s="59">
        <v>44</v>
      </c>
      <c r="BL82" s="48">
        <v>3.7999999999999999E-2</v>
      </c>
      <c r="BM82" s="48">
        <v>0.17249999999999999</v>
      </c>
      <c r="BN82" s="48">
        <v>0.42</v>
      </c>
      <c r="BO82" s="48">
        <v>0.82750000000000001</v>
      </c>
      <c r="BP82" s="48">
        <v>1.45</v>
      </c>
      <c r="BQ82" s="48">
        <v>2.0750000000000002</v>
      </c>
      <c r="BR82" s="48">
        <v>2.71</v>
      </c>
      <c r="BS82" s="48">
        <v>2.6850000000000001</v>
      </c>
      <c r="BT82" s="41">
        <v>45</v>
      </c>
      <c r="BU82" s="43"/>
      <c r="BV82" s="60">
        <v>42268</v>
      </c>
      <c r="BW82" s="44">
        <v>0.66191294587178851</v>
      </c>
      <c r="BX82" s="43">
        <v>27648</v>
      </c>
      <c r="BY82" s="43">
        <v>10368</v>
      </c>
      <c r="BZ82" s="44">
        <v>0.375</v>
      </c>
      <c r="CA82" s="43">
        <v>110</v>
      </c>
      <c r="CB82" s="43">
        <v>2013</v>
      </c>
      <c r="CC82" s="44">
        <v>3.9785879629629633E-3</v>
      </c>
      <c r="CD82" s="44">
        <v>7.2808159722222224E-2</v>
      </c>
    </row>
    <row r="83" spans="1:82" x14ac:dyDescent="0.25">
      <c r="A83" s="39" t="s">
        <v>89</v>
      </c>
      <c r="B83" s="40" t="s">
        <v>80</v>
      </c>
      <c r="C83" s="41">
        <v>775</v>
      </c>
      <c r="D83" s="42">
        <v>414.5</v>
      </c>
      <c r="E83" s="42">
        <v>9353.8968999999997</v>
      </c>
      <c r="F83" s="43">
        <v>22500</v>
      </c>
      <c r="G83" s="43">
        <v>21780</v>
      </c>
      <c r="H83" s="44">
        <v>3.2000000000000001E-2</v>
      </c>
      <c r="I83" s="39">
        <v>541</v>
      </c>
      <c r="J83" s="44">
        <v>2.4044444444444445E-2</v>
      </c>
      <c r="K83" s="43">
        <v>58300</v>
      </c>
      <c r="L83" s="43">
        <v>109300</v>
      </c>
      <c r="M83" s="24">
        <v>2.6767676767676769</v>
      </c>
      <c r="N83" s="24">
        <v>1.8747855917667238</v>
      </c>
      <c r="O83" s="24">
        <f>+L83/((G83-CA83-CB83)*M83)</f>
        <v>1.8864786411956223</v>
      </c>
      <c r="P83" s="45">
        <v>0.42947185032139579</v>
      </c>
      <c r="Q83" s="45">
        <v>1.9031221303948576E-2</v>
      </c>
      <c r="R83" s="43">
        <v>2100</v>
      </c>
      <c r="S83" s="46">
        <v>4.4542366190476193</v>
      </c>
      <c r="T83" s="24">
        <v>10.714285714285714</v>
      </c>
      <c r="U83" s="24">
        <v>5.0183654729109275</v>
      </c>
      <c r="V83" s="47">
        <v>41</v>
      </c>
      <c r="W83" s="43"/>
      <c r="X83" s="24"/>
      <c r="Y83" s="43"/>
      <c r="Z83" s="48">
        <v>6.5287016506528711E-2</v>
      </c>
      <c r="AA83" s="62" t="s">
        <v>84</v>
      </c>
      <c r="AB83" s="48">
        <v>0.30311111111111111</v>
      </c>
      <c r="AC83" s="48">
        <v>1.4568888888888889</v>
      </c>
      <c r="AD83" s="48">
        <v>2.0702222222222222</v>
      </c>
      <c r="AE83" s="48">
        <v>1.0275555555555556</v>
      </c>
      <c r="AF83" s="50" t="s">
        <v>81</v>
      </c>
      <c r="AG83" s="51"/>
      <c r="AH83" s="51"/>
      <c r="AI83" s="51"/>
      <c r="AJ83" s="51"/>
      <c r="AK83" s="51"/>
      <c r="AL83" s="52"/>
      <c r="AM83" s="51"/>
      <c r="AN83" s="53"/>
      <c r="AO83" s="54">
        <f t="shared" si="33"/>
        <v>0</v>
      </c>
      <c r="AP83" s="55" t="s">
        <v>82</v>
      </c>
      <c r="AQ83" s="51"/>
      <c r="AR83" s="43"/>
      <c r="AS83" s="43">
        <v>17500</v>
      </c>
      <c r="AT83" s="43">
        <v>5000</v>
      </c>
      <c r="AU83" s="43"/>
      <c r="AV83" s="43"/>
      <c r="AW83" s="52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56"/>
      <c r="BI83" s="57">
        <f t="shared" si="34"/>
        <v>1</v>
      </c>
      <c r="BJ83" s="58">
        <v>2.677</v>
      </c>
      <c r="BK83" s="59">
        <v>41</v>
      </c>
      <c r="BL83" s="48">
        <v>4.3999999999999997E-2</v>
      </c>
      <c r="BM83" s="48">
        <v>0.23300000000000001</v>
      </c>
      <c r="BN83" s="48">
        <v>0.55700000000000005</v>
      </c>
      <c r="BO83" s="48">
        <v>0.92</v>
      </c>
      <c r="BP83" s="48">
        <v>1.56</v>
      </c>
      <c r="BQ83" s="48"/>
      <c r="BR83" s="48"/>
      <c r="BS83" s="48">
        <v>2.677</v>
      </c>
      <c r="BT83" s="41">
        <v>41</v>
      </c>
      <c r="BU83" s="43">
        <v>2000</v>
      </c>
      <c r="BV83" s="60">
        <v>42109</v>
      </c>
      <c r="BW83" s="44">
        <v>0.71102178387650083</v>
      </c>
      <c r="BX83" s="43">
        <v>21620</v>
      </c>
      <c r="BY83" s="43">
        <v>12016</v>
      </c>
      <c r="BZ83" s="44">
        <v>0.55578168362627201</v>
      </c>
      <c r="CA83" s="43">
        <v>29</v>
      </c>
      <c r="CB83" s="43">
        <v>106</v>
      </c>
      <c r="CC83" s="44">
        <v>1.3413506012950971E-3</v>
      </c>
      <c r="CD83" s="44">
        <v>4.9028677150786308E-3</v>
      </c>
    </row>
    <row r="84" spans="1:82" x14ac:dyDescent="0.25">
      <c r="A84" s="39" t="s">
        <v>100</v>
      </c>
      <c r="B84" s="40" t="s">
        <v>80</v>
      </c>
      <c r="C84" s="41">
        <v>764</v>
      </c>
      <c r="D84" s="42">
        <v>2212.67</v>
      </c>
      <c r="E84" s="42">
        <v>17211.978360000001</v>
      </c>
      <c r="F84" s="43">
        <v>42400</v>
      </c>
      <c r="G84" s="43">
        <v>39032</v>
      </c>
      <c r="H84" s="44">
        <v>7.9433962264150948E-2</v>
      </c>
      <c r="I84" s="39">
        <v>1593</v>
      </c>
      <c r="J84" s="44">
        <v>3.7570754716981132E-2</v>
      </c>
      <c r="K84" s="43">
        <v>105830</v>
      </c>
      <c r="L84" s="43">
        <v>191960</v>
      </c>
      <c r="M84" s="24">
        <v>2.7113650338184052</v>
      </c>
      <c r="N84" s="24">
        <v>1.8138524048001512</v>
      </c>
      <c r="O84" s="24">
        <f>+L84/((G84-CA84-CB84)*M84)</f>
        <v>1.8365790828337833</v>
      </c>
      <c r="P84" s="45">
        <v>0.44097095613855303</v>
      </c>
      <c r="Q84" s="45">
        <v>5.6688614470178318E-2</v>
      </c>
      <c r="R84" s="43">
        <v>3850</v>
      </c>
      <c r="S84" s="46">
        <v>4.4706437298701305</v>
      </c>
      <c r="T84" s="24">
        <v>11.012987012987013</v>
      </c>
      <c r="U84" s="24">
        <v>4.9180159868825575</v>
      </c>
      <c r="V84" s="47">
        <v>42</v>
      </c>
      <c r="W84" s="43">
        <v>34</v>
      </c>
      <c r="X84" s="24">
        <v>2.1320000000000001</v>
      </c>
      <c r="Y84" s="43">
        <v>7600</v>
      </c>
      <c r="Z84" s="48">
        <v>6.4556310329009645E-2</v>
      </c>
      <c r="AA84" s="62">
        <v>6.2705882352941181E-2</v>
      </c>
      <c r="AB84" s="48">
        <v>0.30471698113207546</v>
      </c>
      <c r="AC84" s="48">
        <v>1.3943396226415095</v>
      </c>
      <c r="AD84" s="48">
        <v>2.5183962264150943</v>
      </c>
      <c r="AE84" s="48">
        <v>0.30990566037735851</v>
      </c>
      <c r="AF84" s="50" t="s">
        <v>81</v>
      </c>
      <c r="AG84" s="51"/>
      <c r="AH84" s="51"/>
      <c r="AI84" s="51"/>
      <c r="AJ84" s="51"/>
      <c r="AK84" s="51"/>
      <c r="AL84" s="52"/>
      <c r="AM84" s="51"/>
      <c r="AN84" s="53"/>
      <c r="AO84" s="54">
        <f t="shared" si="33"/>
        <v>0</v>
      </c>
      <c r="AP84" s="55" t="s">
        <v>82</v>
      </c>
      <c r="AQ84" s="51"/>
      <c r="AR84" s="43"/>
      <c r="AS84" s="43"/>
      <c r="AT84" s="43"/>
      <c r="AU84" s="43"/>
      <c r="AV84" s="43">
        <f>16200+26200</f>
        <v>42400</v>
      </c>
      <c r="AW84" s="52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56"/>
      <c r="BI84" s="57">
        <f t="shared" si="34"/>
        <v>1</v>
      </c>
      <c r="BJ84" s="58">
        <v>2.8519999999999999</v>
      </c>
      <c r="BK84" s="59">
        <v>42</v>
      </c>
      <c r="BL84" s="48">
        <v>4.3999999999999997E-2</v>
      </c>
      <c r="BM84" s="48">
        <v>0.215</v>
      </c>
      <c r="BN84" s="48">
        <v>0.55000000000000004</v>
      </c>
      <c r="BO84" s="48">
        <v>1.02</v>
      </c>
      <c r="BP84" s="48">
        <v>1.65</v>
      </c>
      <c r="BQ84" s="48">
        <v>2.2999999999999998</v>
      </c>
      <c r="BR84" s="48">
        <v>2.851</v>
      </c>
      <c r="BS84" s="48">
        <v>2.8519999999999999</v>
      </c>
      <c r="BT84" s="41">
        <v>42</v>
      </c>
      <c r="BU84" s="43">
        <v>3000</v>
      </c>
      <c r="BV84" s="60">
        <v>42115</v>
      </c>
      <c r="BW84" s="44">
        <v>0.68420863550150623</v>
      </c>
      <c r="BX84" s="43">
        <v>30924</v>
      </c>
      <c r="BY84" s="43">
        <v>12712</v>
      </c>
      <c r="BZ84" s="44">
        <v>0.41107230629931446</v>
      </c>
      <c r="CA84" s="43">
        <v>272</v>
      </c>
      <c r="CB84" s="43">
        <v>211</v>
      </c>
      <c r="CC84" s="44">
        <v>8.7957573405768978E-3</v>
      </c>
      <c r="CD84" s="44">
        <v>6.823179407579873E-3</v>
      </c>
    </row>
    <row r="85" spans="1:82" x14ac:dyDescent="0.25">
      <c r="A85" s="39" t="s">
        <v>88</v>
      </c>
      <c r="B85" s="40" t="s">
        <v>80</v>
      </c>
      <c r="C85" s="41">
        <v>874</v>
      </c>
      <c r="D85" s="61">
        <v>1904.72</v>
      </c>
      <c r="E85" s="61">
        <v>15683.321875</v>
      </c>
      <c r="F85" s="43">
        <v>39300</v>
      </c>
      <c r="G85" s="43">
        <v>37875</v>
      </c>
      <c r="H85" s="44">
        <f>IF(F85=0,0,+((F85-G85)/F85))</f>
        <v>3.6259541984732822E-2</v>
      </c>
      <c r="I85" s="39">
        <v>258</v>
      </c>
      <c r="J85" s="44">
        <f>+(I85/F85)</f>
        <v>6.564885496183206E-3</v>
      </c>
      <c r="K85" s="43">
        <v>105140</v>
      </c>
      <c r="L85" s="43">
        <v>200620</v>
      </c>
      <c r="M85" s="24">
        <f>IF(G85=0,0,+K85/G85)</f>
        <v>2.7759735973597359</v>
      </c>
      <c r="N85" s="24">
        <f>IF(K85=0,0,+L85/K85)</f>
        <v>1.9081225033288949</v>
      </c>
      <c r="O85" s="24">
        <f>+L85/((G85-CA85-CB85)*M85)</f>
        <v>1.9303953152834523</v>
      </c>
      <c r="P85" s="45">
        <f>IF(G85=0,0,+E85/G85)</f>
        <v>0.41408110561056105</v>
      </c>
      <c r="Q85" s="45">
        <f>IF(G85=0,0,+D85/G85)</f>
        <v>5.0289636963696371E-2</v>
      </c>
      <c r="R85" s="43">
        <v>3500</v>
      </c>
      <c r="S85" s="45">
        <f>IF(R85=0,0,+E85/R85)</f>
        <v>4.4809491071428571</v>
      </c>
      <c r="T85" s="24">
        <f>IF(R85=0,0,+F85/R85)</f>
        <v>11.228571428571428</v>
      </c>
      <c r="U85" s="24">
        <f>IF(L85=0,0,+L85/G85)</f>
        <v>5.2968976897689766</v>
      </c>
      <c r="V85" s="47">
        <v>42.3</v>
      </c>
      <c r="W85" s="43"/>
      <c r="X85" s="24"/>
      <c r="Y85" s="43"/>
      <c r="Z85" s="48">
        <f>IF(V85=0,0,+M85/V85)</f>
        <v>6.5625853365478395E-2</v>
      </c>
      <c r="AA85" s="71" t="str">
        <f>IF(W85=0,"",+X85/W85)</f>
        <v/>
      </c>
      <c r="AB85" s="48">
        <v>0.28346055979643764</v>
      </c>
      <c r="AC85" s="48">
        <v>1.4106870229007633</v>
      </c>
      <c r="AD85" s="48">
        <v>2.4045801526717558</v>
      </c>
      <c r="AE85" s="48">
        <v>1.0061068702290077</v>
      </c>
      <c r="AF85" s="50" t="s">
        <v>81</v>
      </c>
      <c r="AG85" s="51"/>
      <c r="AH85" s="51"/>
      <c r="AI85" s="51"/>
      <c r="AJ85" s="51"/>
      <c r="AK85" s="51"/>
      <c r="AL85" s="52"/>
      <c r="AM85" s="51"/>
      <c r="AN85" s="53"/>
      <c r="AO85" s="54">
        <f t="shared" si="33"/>
        <v>0</v>
      </c>
      <c r="AP85" s="55" t="s">
        <v>82</v>
      </c>
      <c r="AQ85" s="51"/>
      <c r="AR85" s="43"/>
      <c r="AS85" s="43"/>
      <c r="AT85" s="43"/>
      <c r="AU85" s="51"/>
      <c r="AV85" s="43"/>
      <c r="AW85" s="52"/>
      <c r="AX85" s="43"/>
      <c r="AY85" s="51"/>
      <c r="AZ85" s="43">
        <v>29900</v>
      </c>
      <c r="BA85" s="43"/>
      <c r="BB85" s="43"/>
      <c r="BC85" s="43"/>
      <c r="BD85" s="43"/>
      <c r="BE85" s="43"/>
      <c r="BF85" s="51"/>
      <c r="BG85" s="43">
        <v>9400</v>
      </c>
      <c r="BH85" s="53"/>
      <c r="BI85" s="57">
        <f t="shared" si="34"/>
        <v>1</v>
      </c>
      <c r="BJ85" s="58">
        <v>2.76</v>
      </c>
      <c r="BK85" s="59">
        <v>42</v>
      </c>
      <c r="BL85" s="48">
        <v>0.04</v>
      </c>
      <c r="BM85" s="48">
        <v>0.17</v>
      </c>
      <c r="BN85" s="48">
        <v>0.49</v>
      </c>
      <c r="BO85" s="48">
        <v>0.92</v>
      </c>
      <c r="BP85" s="48">
        <v>1.4830000000000001</v>
      </c>
      <c r="BQ85" s="48">
        <v>2.0699999999999998</v>
      </c>
      <c r="BR85" s="48">
        <v>2.7759999999999998</v>
      </c>
      <c r="BS85" s="48">
        <v>2.8010000000000002</v>
      </c>
      <c r="BT85" s="41">
        <v>43</v>
      </c>
      <c r="BU85" s="43"/>
      <c r="BV85" s="60">
        <v>42151</v>
      </c>
      <c r="BW85" s="44">
        <v>0.68099667110519302</v>
      </c>
      <c r="BX85" s="43">
        <v>37484</v>
      </c>
      <c r="BY85" s="43">
        <v>14208</v>
      </c>
      <c r="BZ85" s="44">
        <v>0.37904172446910683</v>
      </c>
      <c r="CA85" s="43">
        <v>100</v>
      </c>
      <c r="CB85" s="43">
        <v>337</v>
      </c>
      <c r="CC85" s="44">
        <v>2.6678049301035109E-3</v>
      </c>
      <c r="CD85" s="44">
        <v>8.9905026144488313E-3</v>
      </c>
    </row>
    <row r="86" spans="1:82" x14ac:dyDescent="0.25">
      <c r="A86" s="39" t="s">
        <v>90</v>
      </c>
      <c r="B86" s="40" t="s">
        <v>91</v>
      </c>
      <c r="C86" s="41">
        <v>870</v>
      </c>
      <c r="D86" s="63">
        <v>402.8</v>
      </c>
      <c r="E86" s="63">
        <v>10702.3117</v>
      </c>
      <c r="F86" s="43">
        <v>26300</v>
      </c>
      <c r="G86" s="43">
        <v>25540</v>
      </c>
      <c r="H86" s="44">
        <f>IF(F86=0,0,+((F86-G86)/F86))</f>
        <v>2.8897338403041824E-2</v>
      </c>
      <c r="I86" s="39">
        <v>149</v>
      </c>
      <c r="J86" s="44">
        <f>+(I86/F86)</f>
        <v>5.6653992395437267E-3</v>
      </c>
      <c r="K86" s="43">
        <v>75920</v>
      </c>
      <c r="L86" s="43">
        <v>152030</v>
      </c>
      <c r="M86" s="24">
        <f>IF(G86=0,0,+K86/G86)</f>
        <v>2.9725920125293657</v>
      </c>
      <c r="N86" s="24">
        <f>IF(K86=0,0,+L86/K86)</f>
        <v>2.0025026343519494</v>
      </c>
      <c r="O86" s="24">
        <f>+L86/((G86-CA86-CB86)*M86)</f>
        <v>2.0264647468638084</v>
      </c>
      <c r="P86" s="45">
        <f>IF(G86=0,0,+E86/G86)</f>
        <v>0.41904117854346123</v>
      </c>
      <c r="Q86" s="45">
        <f>IF(G86=0,0,+D86/G86)</f>
        <v>1.5771339075959279E-2</v>
      </c>
      <c r="R86" s="43">
        <v>2383</v>
      </c>
      <c r="S86" s="45">
        <f>IF(R86=0,0,+E86/R86)</f>
        <v>4.4911085606378514</v>
      </c>
      <c r="T86" s="24">
        <f>IF(R86=0,0,+F86/R86)</f>
        <v>11.036508602601762</v>
      </c>
      <c r="U86" s="24">
        <f>IF(L86=0,0,+L86/G86)</f>
        <v>5.9526233359436178</v>
      </c>
      <c r="V86" s="47">
        <v>44</v>
      </c>
      <c r="W86" s="43"/>
      <c r="X86" s="24"/>
      <c r="Y86" s="43"/>
      <c r="Z86" s="48">
        <f>IF(V86=0,0,+M86/V86)</f>
        <v>6.75589093756674E-2</v>
      </c>
      <c r="AA86" s="64" t="str">
        <f>IF(W86=0,"",+X86/W86)</f>
        <v/>
      </c>
      <c r="AB86" s="65">
        <v>0.30570342205323192</v>
      </c>
      <c r="AC86" s="65">
        <v>1.4083650190114068</v>
      </c>
      <c r="AD86" s="65">
        <v>2.6087452471482888</v>
      </c>
      <c r="AE86" s="65">
        <v>1.4577946768060837</v>
      </c>
      <c r="AF86" s="50" t="s">
        <v>81</v>
      </c>
      <c r="AG86" s="51"/>
      <c r="AH86" s="51"/>
      <c r="AI86" s="51"/>
      <c r="AJ86" s="51"/>
      <c r="AK86" s="51"/>
      <c r="AL86" s="51"/>
      <c r="AM86" s="51"/>
      <c r="AN86" s="66"/>
      <c r="AO86" s="54">
        <f t="shared" si="33"/>
        <v>0</v>
      </c>
      <c r="AP86" s="55" t="s">
        <v>82</v>
      </c>
      <c r="AQ86" s="51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51"/>
      <c r="BG86" s="43">
        <v>26300</v>
      </c>
      <c r="BH86" s="56"/>
      <c r="BI86" s="57">
        <f t="shared" si="34"/>
        <v>1</v>
      </c>
      <c r="BJ86" s="58">
        <v>2.9729999999999999</v>
      </c>
      <c r="BK86" s="59">
        <v>44</v>
      </c>
      <c r="BL86" s="48">
        <v>4.3999999999999997E-2</v>
      </c>
      <c r="BM86" s="48">
        <v>0.17649999999999999</v>
      </c>
      <c r="BN86" s="48">
        <v>0.47699999999999998</v>
      </c>
      <c r="BO86" s="48">
        <v>0.91</v>
      </c>
      <c r="BP86" s="48">
        <v>1.4550000000000001</v>
      </c>
      <c r="BQ86" s="48"/>
      <c r="BR86" s="48"/>
      <c r="BS86" s="48">
        <v>2.9729999999999999</v>
      </c>
      <c r="BT86" s="41">
        <v>44</v>
      </c>
      <c r="BU86" s="43"/>
      <c r="BV86" s="67">
        <v>42334</v>
      </c>
      <c r="BW86" s="44">
        <v>0.68686999473129606</v>
      </c>
      <c r="BX86" s="43">
        <v>25280</v>
      </c>
      <c r="BY86" s="43">
        <v>9976</v>
      </c>
      <c r="BZ86" s="44">
        <v>0.39462025316455696</v>
      </c>
      <c r="CA86" s="43">
        <v>70</v>
      </c>
      <c r="CB86" s="43">
        <v>232</v>
      </c>
      <c r="CC86" s="44">
        <v>2.7689873417721519E-3</v>
      </c>
      <c r="CD86" s="44">
        <v>9.1772151898734181E-3</v>
      </c>
    </row>
    <row r="87" spans="1:82" x14ac:dyDescent="0.25">
      <c r="A87" s="39" t="s">
        <v>112</v>
      </c>
      <c r="B87" s="40" t="s">
        <v>80</v>
      </c>
      <c r="C87" s="41">
        <v>820</v>
      </c>
      <c r="D87" s="68">
        <v>1161.8</v>
      </c>
      <c r="E87" s="68">
        <v>9888.137200000001</v>
      </c>
      <c r="F87" s="43">
        <v>23000</v>
      </c>
      <c r="G87" s="43">
        <v>22640</v>
      </c>
      <c r="H87" s="44">
        <v>1.5652173913043479E-2</v>
      </c>
      <c r="I87" s="39">
        <v>179</v>
      </c>
      <c r="J87" s="44">
        <v>7.7826086956521738E-3</v>
      </c>
      <c r="K87" s="43">
        <v>57550</v>
      </c>
      <c r="L87" s="43">
        <v>102370</v>
      </c>
      <c r="M87" s="24">
        <v>2.5419611307420493</v>
      </c>
      <c r="N87" s="24">
        <v>1.7788010425716767</v>
      </c>
      <c r="O87" s="24">
        <v>1.8023655390182045</v>
      </c>
      <c r="P87" s="45">
        <v>0.43675517667844527</v>
      </c>
      <c r="Q87" s="45">
        <v>5.1316254416961131E-2</v>
      </c>
      <c r="R87" s="43">
        <v>2200</v>
      </c>
      <c r="S87" s="45">
        <v>4.4946078181818185</v>
      </c>
      <c r="T87" s="24">
        <v>10.454545454545455</v>
      </c>
      <c r="U87" s="24">
        <v>4.5216431095406362</v>
      </c>
      <c r="V87" s="47">
        <v>41</v>
      </c>
      <c r="W87" s="43"/>
      <c r="X87" s="24"/>
      <c r="Y87" s="43"/>
      <c r="Z87" s="48">
        <v>6.1999051969318278E-2</v>
      </c>
      <c r="AA87" s="69" t="s">
        <v>84</v>
      </c>
      <c r="AB87" s="48">
        <v>0.31391304347826088</v>
      </c>
      <c r="AC87" s="48">
        <v>1.4856521739130435</v>
      </c>
      <c r="AD87" s="48">
        <v>2.2069565217391305</v>
      </c>
      <c r="AE87" s="48">
        <v>0.4443478260869565</v>
      </c>
      <c r="AF87" s="50" t="s">
        <v>81</v>
      </c>
      <c r="AG87" s="51"/>
      <c r="AH87" s="51"/>
      <c r="AI87" s="51"/>
      <c r="AJ87" s="51"/>
      <c r="AK87" s="51"/>
      <c r="AL87" s="39"/>
      <c r="AM87" s="51"/>
      <c r="AN87" s="53"/>
      <c r="AO87" s="54">
        <f t="shared" si="33"/>
        <v>0</v>
      </c>
      <c r="AP87" s="55" t="s">
        <v>82</v>
      </c>
      <c r="AQ87" s="51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51">
        <v>23000</v>
      </c>
      <c r="BG87" s="43"/>
      <c r="BH87" s="56"/>
      <c r="BI87" s="57">
        <f t="shared" si="34"/>
        <v>1</v>
      </c>
      <c r="BJ87" s="58">
        <v>2.54</v>
      </c>
      <c r="BK87" s="59">
        <v>41</v>
      </c>
      <c r="BL87" s="48"/>
      <c r="BM87" s="48"/>
      <c r="BN87" s="48">
        <v>0.47499999999999998</v>
      </c>
      <c r="BO87" s="48">
        <v>0.92249999999999999</v>
      </c>
      <c r="BP87" s="48">
        <v>1.365</v>
      </c>
      <c r="BQ87" s="48">
        <v>1.9990000000000001</v>
      </c>
      <c r="BR87" s="48"/>
      <c r="BS87" s="48">
        <v>2.5470000000000002</v>
      </c>
      <c r="BT87" s="41">
        <v>42</v>
      </c>
      <c r="BU87" s="43"/>
      <c r="BV87" s="60">
        <v>42237</v>
      </c>
      <c r="BW87" s="44">
        <v>0.70279982623805393</v>
      </c>
      <c r="BX87" s="43">
        <v>22482</v>
      </c>
      <c r="BY87" s="43">
        <v>11912</v>
      </c>
      <c r="BZ87" s="44">
        <v>0.52984609910150338</v>
      </c>
      <c r="CA87" s="43">
        <v>105</v>
      </c>
      <c r="CB87" s="43">
        <v>84</v>
      </c>
      <c r="CC87" s="44">
        <v>4.6704029890579134E-3</v>
      </c>
      <c r="CD87" s="44">
        <v>3.7363223912463303E-3</v>
      </c>
    </row>
    <row r="88" spans="1:82" x14ac:dyDescent="0.25">
      <c r="A88" s="39" t="s">
        <v>114</v>
      </c>
      <c r="B88" s="40" t="s">
        <v>115</v>
      </c>
      <c r="C88" s="41">
        <v>657</v>
      </c>
      <c r="D88" s="61">
        <v>2280.9560000000001</v>
      </c>
      <c r="E88" s="61">
        <v>11562.152899999999</v>
      </c>
      <c r="F88" s="43">
        <v>31200</v>
      </c>
      <c r="G88" s="43">
        <v>28980</v>
      </c>
      <c r="H88" s="44">
        <f>IF(F88=0,0,+((F88-G88)/F88))</f>
        <v>7.1153846153846151E-2</v>
      </c>
      <c r="I88" s="39">
        <v>51</v>
      </c>
      <c r="J88" s="44">
        <f>+(I88/F88)</f>
        <v>1.6346153846153845E-3</v>
      </c>
      <c r="K88" s="43">
        <v>79100</v>
      </c>
      <c r="L88" s="43">
        <v>147980</v>
      </c>
      <c r="M88" s="24">
        <f>IF(G88=0,0,+K88/G88)</f>
        <v>2.7294685990338166</v>
      </c>
      <c r="N88" s="24">
        <f>IF(K88=0,0,+L88/K88)</f>
        <v>1.8707964601769911</v>
      </c>
      <c r="O88" s="24">
        <f>+L88/((G88-CA88-CB88)*M88)</f>
        <v>1.8823582187323518</v>
      </c>
      <c r="P88" s="45">
        <f>IF(G88=0,0,+E88/G88)</f>
        <v>0.39897007936507933</v>
      </c>
      <c r="Q88" s="45">
        <f>IF(G88=0,0,+D88/G88)</f>
        <v>7.8707936507936518E-2</v>
      </c>
      <c r="R88" s="43">
        <v>2566</v>
      </c>
      <c r="S88" s="45">
        <f>IF(R88=0,0,+E88/R88)</f>
        <v>4.5059052611067809</v>
      </c>
      <c r="T88" s="24">
        <f>IF(R88=0,0,+F88/R88)</f>
        <v>12.15900233826968</v>
      </c>
      <c r="U88" s="24">
        <f>IF(L88=0,0,+L88/G88)</f>
        <v>5.1062801932367146</v>
      </c>
      <c r="V88" s="47">
        <v>42</v>
      </c>
      <c r="W88" s="43"/>
      <c r="X88" s="24"/>
      <c r="Y88" s="43"/>
      <c r="Z88" s="48">
        <f>IF(V88=0,0,+M88/V88)</f>
        <v>6.4987347596043257E-2</v>
      </c>
      <c r="AA88" s="71" t="str">
        <f>IF(W88=0,"",+X88/W88)</f>
        <v/>
      </c>
      <c r="AB88" s="48">
        <v>0.3125</v>
      </c>
      <c r="AC88" s="48">
        <v>1.4840909090909091</v>
      </c>
      <c r="AD88" s="48">
        <v>2.625</v>
      </c>
      <c r="AE88" s="48">
        <v>1.0125</v>
      </c>
      <c r="AF88" s="50" t="s">
        <v>81</v>
      </c>
      <c r="AG88" s="51"/>
      <c r="AH88" s="51"/>
      <c r="AI88" s="51"/>
      <c r="AJ88" s="51"/>
      <c r="AK88" s="51"/>
      <c r="AL88" s="52"/>
      <c r="AM88" s="51"/>
      <c r="AN88" s="53"/>
      <c r="AO88" s="54">
        <f t="shared" si="33"/>
        <v>0</v>
      </c>
      <c r="AP88" s="55" t="s">
        <v>82</v>
      </c>
      <c r="AQ88" s="51"/>
      <c r="AR88" s="43"/>
      <c r="AS88" s="43"/>
      <c r="AT88" s="43"/>
      <c r="AU88" s="51"/>
      <c r="AV88" s="43"/>
      <c r="AW88" s="52"/>
      <c r="AX88" s="43"/>
      <c r="AY88" s="51"/>
      <c r="AZ88" s="43">
        <v>15000</v>
      </c>
      <c r="BA88" s="43"/>
      <c r="BB88" s="43"/>
      <c r="BC88" s="43"/>
      <c r="BD88" s="43"/>
      <c r="BE88" s="43"/>
      <c r="BF88" s="51"/>
      <c r="BG88" s="43">
        <v>2600</v>
      </c>
      <c r="BH88" s="53"/>
      <c r="BI88" s="57">
        <f t="shared" si="34"/>
        <v>0.5641025641025641</v>
      </c>
      <c r="BJ88" s="58">
        <v>2.7290000000000001</v>
      </c>
      <c r="BK88" s="59">
        <v>42</v>
      </c>
      <c r="BL88" s="48"/>
      <c r="BM88" s="48">
        <v>0.191</v>
      </c>
      <c r="BN88" s="48">
        <v>0.5</v>
      </c>
      <c r="BO88" s="48">
        <v>0.98</v>
      </c>
      <c r="BP88" s="48">
        <v>1.48</v>
      </c>
      <c r="BQ88" s="48">
        <v>2.16</v>
      </c>
      <c r="BR88" s="48">
        <v>2.5499999999999998</v>
      </c>
      <c r="BS88" s="48">
        <v>2.79</v>
      </c>
      <c r="BT88" s="41">
        <v>42</v>
      </c>
      <c r="BU88" s="43"/>
      <c r="BV88" s="60">
        <v>42149</v>
      </c>
      <c r="BW88" s="44">
        <v>0.70622080808080812</v>
      </c>
      <c r="BX88" s="43">
        <v>16878</v>
      </c>
      <c r="BY88" s="43">
        <v>2048</v>
      </c>
      <c r="BZ88" s="44">
        <v>0.12134139116009006</v>
      </c>
      <c r="CA88" s="43">
        <v>23</v>
      </c>
      <c r="CB88" s="43">
        <v>155</v>
      </c>
      <c r="CC88" s="44">
        <v>1.3627207015049177E-3</v>
      </c>
      <c r="CD88" s="44">
        <v>9.183552553620097E-3</v>
      </c>
    </row>
    <row r="89" spans="1:82" x14ac:dyDescent="0.25">
      <c r="A89" s="39" t="s">
        <v>85</v>
      </c>
      <c r="B89" s="40" t="s">
        <v>86</v>
      </c>
      <c r="C89" s="41">
        <v>430</v>
      </c>
      <c r="D89" s="63">
        <v>809.95</v>
      </c>
      <c r="E89" s="63">
        <v>9201.82</v>
      </c>
      <c r="F89" s="43">
        <v>25500</v>
      </c>
      <c r="G89" s="43">
        <v>24800</v>
      </c>
      <c r="H89" s="44">
        <f>IF(F89=0,0,+((F89-G89)/F89))</f>
        <v>2.7450980392156862E-2</v>
      </c>
      <c r="I89" s="39">
        <v>238</v>
      </c>
      <c r="J89" s="44">
        <f>+(I89/F89)</f>
        <v>9.3333333333333341E-3</v>
      </c>
      <c r="K89" s="43">
        <v>63780</v>
      </c>
      <c r="L89" s="43">
        <v>121480</v>
      </c>
      <c r="M89" s="24">
        <f>IF(G89=0,0,+K89/G89)</f>
        <v>2.5717741935483871</v>
      </c>
      <c r="N89" s="24">
        <f>IF(K89=0,0,+L89/K89)</f>
        <v>1.9046723110693007</v>
      </c>
      <c r="O89" s="24">
        <f>+L89/((G89-CA89-CB89)*M89)</f>
        <v>1.9278374546779307</v>
      </c>
      <c r="P89" s="45">
        <f>IF(G89=0,0,+E89/G89)</f>
        <v>0.37104112903225805</v>
      </c>
      <c r="Q89" s="45">
        <f>IF(G89=0,0,+D89/G89)</f>
        <v>3.2659274193548388E-2</v>
      </c>
      <c r="R89" s="43">
        <v>2040</v>
      </c>
      <c r="S89" s="45">
        <f>IF(R89=0,0,+E89/R89)</f>
        <v>4.5106960784313728</v>
      </c>
      <c r="T89" s="24">
        <f>IF(R89=0,0,+F89/R89)</f>
        <v>12.5</v>
      </c>
      <c r="U89" s="24">
        <f>IF(L89=0,0,+L89/G89)</f>
        <v>4.8983870967741936</v>
      </c>
      <c r="V89" s="47">
        <v>43</v>
      </c>
      <c r="W89" s="43"/>
      <c r="X89" s="24"/>
      <c r="Y89" s="43"/>
      <c r="Z89" s="48">
        <f>IF(V89=0,0,+M89/V89)</f>
        <v>5.9808702175543883E-2</v>
      </c>
      <c r="AA89" s="64" t="str">
        <f>IF(W89=0,"",+X89/W89)</f>
        <v/>
      </c>
      <c r="AB89" s="65">
        <v>0.31137254901960787</v>
      </c>
      <c r="AC89" s="65">
        <v>1.8423529411764705</v>
      </c>
      <c r="AD89" s="65">
        <v>2.0360784313725491</v>
      </c>
      <c r="AE89" s="65">
        <v>0.57411764705882351</v>
      </c>
      <c r="AF89" s="50" t="s">
        <v>81</v>
      </c>
      <c r="AG89" s="51"/>
      <c r="AH89" s="51"/>
      <c r="AI89" s="51"/>
      <c r="AJ89" s="51"/>
      <c r="AK89" s="51"/>
      <c r="AL89" s="51">
        <v>25500</v>
      </c>
      <c r="AM89" s="51"/>
      <c r="AN89" s="53"/>
      <c r="AO89" s="54">
        <f t="shared" si="33"/>
        <v>1</v>
      </c>
      <c r="AP89" s="55" t="s">
        <v>82</v>
      </c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56"/>
      <c r="BI89" s="57">
        <f t="shared" si="34"/>
        <v>0</v>
      </c>
      <c r="BJ89" s="58">
        <v>2.5720000000000001</v>
      </c>
      <c r="BK89" s="59">
        <v>43</v>
      </c>
      <c r="BL89" s="77">
        <v>0.04</v>
      </c>
      <c r="BM89" s="77">
        <v>0.16300000000000001</v>
      </c>
      <c r="BN89" s="77">
        <v>0.442</v>
      </c>
      <c r="BO89" s="77">
        <v>0.87</v>
      </c>
      <c r="BP89" s="77">
        <v>1.5</v>
      </c>
      <c r="BQ89" s="77">
        <v>2</v>
      </c>
      <c r="BR89" s="77"/>
      <c r="BS89" s="77">
        <v>2.5720000000000001</v>
      </c>
      <c r="BT89" s="41">
        <v>43</v>
      </c>
      <c r="BU89" s="43"/>
      <c r="BV89" s="67">
        <v>42354</v>
      </c>
      <c r="BW89" s="44">
        <v>0.68966760740043898</v>
      </c>
      <c r="BX89" s="43">
        <v>24366</v>
      </c>
      <c r="BY89" s="43">
        <v>8027</v>
      </c>
      <c r="BZ89" s="44">
        <v>0.32943445785110398</v>
      </c>
      <c r="CA89" s="43">
        <v>98</v>
      </c>
      <c r="CB89" s="43">
        <v>200</v>
      </c>
      <c r="CC89" s="44">
        <v>4.0219978658786832E-3</v>
      </c>
      <c r="CD89" s="44">
        <v>8.2081589099564974E-3</v>
      </c>
    </row>
    <row r="90" spans="1:82" x14ac:dyDescent="0.25">
      <c r="A90" s="39" t="s">
        <v>107</v>
      </c>
      <c r="B90" s="40" t="s">
        <v>80</v>
      </c>
      <c r="C90" s="41">
        <v>862</v>
      </c>
      <c r="D90" s="68">
        <v>710.93799999999999</v>
      </c>
      <c r="E90" s="68">
        <v>11299.309450000001</v>
      </c>
      <c r="F90" s="43">
        <v>31200</v>
      </c>
      <c r="G90" s="43">
        <v>30090</v>
      </c>
      <c r="H90" s="44">
        <v>3.5576923076923075E-2</v>
      </c>
      <c r="I90" s="39">
        <v>270</v>
      </c>
      <c r="J90" s="44">
        <v>8.6538461538461543E-3</v>
      </c>
      <c r="K90" s="43">
        <v>76100</v>
      </c>
      <c r="L90" s="43">
        <v>143420</v>
      </c>
      <c r="M90" s="24">
        <v>2.5290794283815221</v>
      </c>
      <c r="N90" s="24">
        <v>1.8846254927726676</v>
      </c>
      <c r="O90" s="24">
        <v>1.9115614197239117</v>
      </c>
      <c r="P90" s="45">
        <v>0.37551709704220676</v>
      </c>
      <c r="Q90" s="45">
        <v>2.3627052176802926E-2</v>
      </c>
      <c r="R90" s="43">
        <v>2500</v>
      </c>
      <c r="S90" s="45">
        <v>4.5197237800000005</v>
      </c>
      <c r="T90" s="24">
        <v>12.48</v>
      </c>
      <c r="U90" s="24">
        <v>4.7663675639747423</v>
      </c>
      <c r="V90" s="47">
        <v>41.39</v>
      </c>
      <c r="W90" s="43"/>
      <c r="X90" s="24"/>
      <c r="Y90" s="43"/>
      <c r="Z90" s="48">
        <v>6.1103634413663253E-2</v>
      </c>
      <c r="AA90" s="69" t="s">
        <v>84</v>
      </c>
      <c r="AB90" s="48">
        <v>0.28589743589743588</v>
      </c>
      <c r="AC90" s="48">
        <v>1.4506410256410256</v>
      </c>
      <c r="AD90" s="48">
        <v>2.3769230769230769</v>
      </c>
      <c r="AE90" s="48">
        <v>0.48333333333333334</v>
      </c>
      <c r="AF90" s="50" t="s">
        <v>81</v>
      </c>
      <c r="AG90" s="51"/>
      <c r="AH90" s="51"/>
      <c r="AI90" s="51"/>
      <c r="AJ90" s="51"/>
      <c r="AK90" s="51"/>
      <c r="AL90" s="39"/>
      <c r="AM90" s="51"/>
      <c r="AN90" s="53"/>
      <c r="AO90" s="54">
        <f t="shared" si="33"/>
        <v>0</v>
      </c>
      <c r="AP90" s="55" t="s">
        <v>82</v>
      </c>
      <c r="AQ90" s="51"/>
      <c r="AR90" s="43"/>
      <c r="AS90" s="43"/>
      <c r="AT90" s="43"/>
      <c r="AU90" s="43"/>
      <c r="AV90" s="43"/>
      <c r="AW90" s="43"/>
      <c r="AX90" s="43"/>
      <c r="AY90" s="43"/>
      <c r="AZ90" s="43">
        <v>31200</v>
      </c>
      <c r="BA90" s="43"/>
      <c r="BB90" s="43"/>
      <c r="BC90" s="43"/>
      <c r="BD90" s="43"/>
      <c r="BE90" s="43"/>
      <c r="BF90" s="51"/>
      <c r="BG90" s="43"/>
      <c r="BH90" s="56"/>
      <c r="BI90" s="57">
        <f t="shared" si="34"/>
        <v>1</v>
      </c>
      <c r="BJ90" s="58">
        <v>2.5579999999999998</v>
      </c>
      <c r="BK90" s="59">
        <v>41</v>
      </c>
      <c r="BL90" s="48">
        <v>4.4499999999999998E-2</v>
      </c>
      <c r="BM90" s="48">
        <v>0.17499999999999999</v>
      </c>
      <c r="BN90" s="48"/>
      <c r="BO90" s="48">
        <v>0.92500000000000004</v>
      </c>
      <c r="BP90" s="48">
        <v>1.575</v>
      </c>
      <c r="BQ90" s="48">
        <v>2.0750000000000002</v>
      </c>
      <c r="BR90" s="48">
        <v>2.484</v>
      </c>
      <c r="BS90" s="48">
        <v>2.484</v>
      </c>
      <c r="BT90" s="41">
        <v>42</v>
      </c>
      <c r="BU90" s="43">
        <v>3000</v>
      </c>
      <c r="BV90" s="60">
        <v>42227</v>
      </c>
      <c r="BW90" s="44">
        <v>0.70325571616294347</v>
      </c>
      <c r="BX90" s="43">
        <v>29814</v>
      </c>
      <c r="BY90" s="43">
        <v>12776</v>
      </c>
      <c r="BZ90" s="44">
        <v>0.42852351244381837</v>
      </c>
      <c r="CA90" s="43">
        <v>40</v>
      </c>
      <c r="CB90" s="43">
        <v>258</v>
      </c>
      <c r="CC90" s="44">
        <v>1.3416515730864695E-3</v>
      </c>
      <c r="CD90" s="44">
        <v>8.6536526464077272E-3</v>
      </c>
    </row>
    <row r="91" spans="1:82" x14ac:dyDescent="0.25">
      <c r="A91" s="39" t="s">
        <v>100</v>
      </c>
      <c r="B91" s="40" t="s">
        <v>80</v>
      </c>
      <c r="C91" s="41">
        <v>764</v>
      </c>
      <c r="D91" s="61">
        <v>1557.152</v>
      </c>
      <c r="E91" s="61">
        <f>17370.01+U91+V91</f>
        <v>17416.70092979127</v>
      </c>
      <c r="F91" s="43">
        <v>41000</v>
      </c>
      <c r="G91" s="43">
        <v>39525</v>
      </c>
      <c r="H91" s="44">
        <f>IF(F91=0,0,+((F91-G91)/F91))</f>
        <v>3.5975609756097558E-2</v>
      </c>
      <c r="I91" s="39">
        <v>375</v>
      </c>
      <c r="J91" s="44">
        <f>+(I91/F91)</f>
        <v>9.1463414634146336E-3</v>
      </c>
      <c r="K91" s="43">
        <v>105250</v>
      </c>
      <c r="L91" s="43">
        <v>186990</v>
      </c>
      <c r="M91" s="24">
        <f>IF(G91=0,0,+K91/G91)</f>
        <v>2.6628716002530046</v>
      </c>
      <c r="N91" s="24">
        <f>IF(K91=0,0,+L91/K91)</f>
        <v>1.7766270783847982</v>
      </c>
      <c r="O91" s="24">
        <f>+L91/((G91-CA91-CB91)*M91)</f>
        <v>1.8081001435012782</v>
      </c>
      <c r="P91" s="45">
        <f>+E91/G91</f>
        <v>0.44065024490300492</v>
      </c>
      <c r="Q91" s="45">
        <f>+D91/G91</f>
        <v>3.9396635041113223E-2</v>
      </c>
      <c r="R91" s="43">
        <v>3850</v>
      </c>
      <c r="S91" s="46">
        <f>+E91/R91</f>
        <v>4.5238184233224077</v>
      </c>
      <c r="T91" s="24">
        <f>IF(R91=0,0,+F91/R91)</f>
        <v>10.64935064935065</v>
      </c>
      <c r="U91" s="24">
        <f>IF(L91=0,0,+L91/G91)</f>
        <v>4.7309297912713468</v>
      </c>
      <c r="V91" s="47">
        <v>41.96</v>
      </c>
      <c r="W91" s="43">
        <v>34</v>
      </c>
      <c r="X91" s="24">
        <v>1.956</v>
      </c>
      <c r="Y91" s="43">
        <v>7200</v>
      </c>
      <c r="Z91" s="48">
        <f>IF(V91=0,0,+M91/V91)</f>
        <v>6.3462144905934326E-2</v>
      </c>
      <c r="AA91" s="62">
        <f>IF(W91=0,"",+X91/W91)</f>
        <v>5.7529411764705884E-2</v>
      </c>
      <c r="AB91" s="48">
        <v>0.30243902439024389</v>
      </c>
      <c r="AC91" s="48">
        <v>1.4765853658536585</v>
      </c>
      <c r="AD91" s="48">
        <v>2.4780487804878049</v>
      </c>
      <c r="AE91" s="48">
        <v>0.30365853658536585</v>
      </c>
      <c r="AF91" s="50" t="s">
        <v>81</v>
      </c>
      <c r="AG91" s="51"/>
      <c r="AH91" s="51"/>
      <c r="AI91" s="51"/>
      <c r="AJ91" s="51"/>
      <c r="AK91" s="51">
        <v>16000</v>
      </c>
      <c r="AL91" s="52"/>
      <c r="AM91" s="51"/>
      <c r="AN91" s="53"/>
      <c r="AO91" s="54">
        <f t="shared" si="33"/>
        <v>0.3902439024390244</v>
      </c>
      <c r="AP91" s="55" t="s">
        <v>82</v>
      </c>
      <c r="AQ91" s="51"/>
      <c r="AR91" s="43"/>
      <c r="AS91" s="43">
        <v>2800</v>
      </c>
      <c r="AT91" s="43">
        <v>22200</v>
      </c>
      <c r="AU91" s="43"/>
      <c r="AV91" s="43"/>
      <c r="AW91" s="52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56"/>
      <c r="BI91" s="57">
        <f t="shared" si="34"/>
        <v>0.6097560975609756</v>
      </c>
      <c r="BJ91" s="58">
        <v>2.7759999999999998</v>
      </c>
      <c r="BK91" s="59">
        <v>41</v>
      </c>
      <c r="BL91" s="48">
        <v>4.2999999999999997E-2</v>
      </c>
      <c r="BM91" s="48">
        <v>0.18</v>
      </c>
      <c r="BN91" s="48">
        <v>0.44500000000000001</v>
      </c>
      <c r="BO91" s="48">
        <v>1.0249999999999999</v>
      </c>
      <c r="BP91" s="48">
        <v>1.4750000000000001</v>
      </c>
      <c r="BQ91" s="48">
        <v>2.0299999999999998</v>
      </c>
      <c r="BR91" s="48">
        <v>2.75</v>
      </c>
      <c r="BS91" s="48">
        <v>2.859</v>
      </c>
      <c r="BT91" s="41">
        <v>43</v>
      </c>
      <c r="BU91" s="43">
        <v>5000</v>
      </c>
      <c r="BV91" s="60">
        <v>42039</v>
      </c>
      <c r="BW91" s="44">
        <v>0.68586015136558076</v>
      </c>
      <c r="BX91" s="43">
        <v>31704</v>
      </c>
      <c r="BY91" s="43">
        <v>10760</v>
      </c>
      <c r="BZ91" s="44">
        <v>0.33938935150138783</v>
      </c>
      <c r="CA91" s="43">
        <v>352</v>
      </c>
      <c r="CB91" s="43">
        <v>336</v>
      </c>
      <c r="CC91" s="44">
        <v>1.1102699974766591E-2</v>
      </c>
      <c r="CD91" s="44">
        <v>1.0598031794095382E-2</v>
      </c>
    </row>
    <row r="92" spans="1:82" x14ac:dyDescent="0.25">
      <c r="A92" s="39" t="s">
        <v>85</v>
      </c>
      <c r="B92" s="40" t="s">
        <v>86</v>
      </c>
      <c r="C92" s="41">
        <v>430</v>
      </c>
      <c r="D92" s="42">
        <v>1165</v>
      </c>
      <c r="E92" s="42">
        <v>10547.15</v>
      </c>
      <c r="F92" s="43">
        <v>31300</v>
      </c>
      <c r="G92" s="43">
        <v>30600</v>
      </c>
      <c r="H92" s="44">
        <v>2.2364217252396165E-2</v>
      </c>
      <c r="I92" s="39">
        <v>538</v>
      </c>
      <c r="J92" s="44">
        <v>1.7188498402555912E-2</v>
      </c>
      <c r="K92" s="43">
        <v>84980</v>
      </c>
      <c r="L92" s="43">
        <v>166130</v>
      </c>
      <c r="M92" s="24">
        <v>2.7771241830065359</v>
      </c>
      <c r="N92" s="24">
        <v>1.9549305718992704</v>
      </c>
      <c r="O92" s="24">
        <f>+L92/((G92-CA92-CB92)*M92)</f>
        <v>1.9670801848054216</v>
      </c>
      <c r="P92" s="45">
        <v>0.3446781045751634</v>
      </c>
      <c r="Q92" s="45">
        <v>3.8071895424836598E-2</v>
      </c>
      <c r="R92" s="43">
        <v>2310</v>
      </c>
      <c r="S92" s="46">
        <v>4.5658658008658008</v>
      </c>
      <c r="T92" s="24">
        <v>13.54978354978355</v>
      </c>
      <c r="U92" s="24">
        <v>5.4290849673202617</v>
      </c>
      <c r="V92" s="47">
        <v>47.18</v>
      </c>
      <c r="W92" s="43"/>
      <c r="X92" s="24"/>
      <c r="Y92" s="43"/>
      <c r="Z92" s="48">
        <v>5.8862318418960065E-2</v>
      </c>
      <c r="AA92" s="62" t="s">
        <v>84</v>
      </c>
      <c r="AB92" s="48">
        <v>0.28799999999999998</v>
      </c>
      <c r="AC92" s="48">
        <v>1.2450000000000001</v>
      </c>
      <c r="AD92" s="48">
        <v>2.923</v>
      </c>
      <c r="AE92" s="48">
        <v>0.85</v>
      </c>
      <c r="AF92" s="50" t="s">
        <v>81</v>
      </c>
      <c r="AG92" s="51"/>
      <c r="AH92" s="51"/>
      <c r="AI92" s="51"/>
      <c r="AJ92" s="51"/>
      <c r="AK92" s="51"/>
      <c r="AL92" s="52"/>
      <c r="AM92" s="51"/>
      <c r="AN92" s="53"/>
      <c r="AO92" s="54">
        <f t="shared" si="33"/>
        <v>0</v>
      </c>
      <c r="AP92" s="55" t="s">
        <v>82</v>
      </c>
      <c r="AQ92" s="51"/>
      <c r="AR92" s="43"/>
      <c r="AS92" s="43">
        <v>12300</v>
      </c>
      <c r="AT92" s="43">
        <f>17700+1300</f>
        <v>19000</v>
      </c>
      <c r="AU92" s="43"/>
      <c r="AV92" s="43"/>
      <c r="AW92" s="52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56"/>
      <c r="BI92" s="57">
        <f t="shared" si="34"/>
        <v>1</v>
      </c>
      <c r="BJ92" s="58">
        <v>2.758</v>
      </c>
      <c r="BK92" s="59">
        <v>46</v>
      </c>
      <c r="BL92" s="48"/>
      <c r="BM92" s="48">
        <v>0.218</v>
      </c>
      <c r="BN92" s="48">
        <v>0.47499999999999998</v>
      </c>
      <c r="BO92" s="48">
        <v>0.91100000000000003</v>
      </c>
      <c r="BP92" s="48">
        <v>1.21</v>
      </c>
      <c r="BQ92" s="48">
        <v>1.71</v>
      </c>
      <c r="BR92" s="48">
        <v>2.375</v>
      </c>
      <c r="BS92" s="48">
        <v>2.7909999999999999</v>
      </c>
      <c r="BT92" s="41">
        <v>48</v>
      </c>
      <c r="BU92" s="43"/>
      <c r="BV92" s="60">
        <v>42113</v>
      </c>
      <c r="BW92" s="44">
        <v>0.70203412567662982</v>
      </c>
      <c r="BX92" s="43">
        <v>30386</v>
      </c>
      <c r="BY92" s="43">
        <v>12031</v>
      </c>
      <c r="BZ92" s="44">
        <v>0.39593891923912328</v>
      </c>
      <c r="CA92" s="43">
        <v>56</v>
      </c>
      <c r="CB92" s="43">
        <v>133</v>
      </c>
      <c r="CC92" s="44">
        <v>1.8429539919699862E-3</v>
      </c>
      <c r="CD92" s="44">
        <v>4.3770157309287175E-3</v>
      </c>
    </row>
    <row r="93" spans="1:82" x14ac:dyDescent="0.25">
      <c r="A93" s="39" t="s">
        <v>116</v>
      </c>
      <c r="B93" s="40" t="s">
        <v>80</v>
      </c>
      <c r="C93" s="41">
        <v>810</v>
      </c>
      <c r="D93" s="61">
        <v>1864.78</v>
      </c>
      <c r="E93" s="61">
        <f>9589.2+U93+V93</f>
        <v>9636.0720069483741</v>
      </c>
      <c r="F93" s="43">
        <v>28200</v>
      </c>
      <c r="G93" s="43">
        <v>24754</v>
      </c>
      <c r="H93" s="44">
        <f t="shared" ref="H93:H98" si="43">IF(F93=0,0,+((F93-G93)/F93))</f>
        <v>0.12219858156028368</v>
      </c>
      <c r="I93" s="39">
        <v>564</v>
      </c>
      <c r="J93" s="44">
        <f t="shared" ref="J93:J98" si="44">+(I93/F93)</f>
        <v>0.02</v>
      </c>
      <c r="K93" s="43">
        <v>68700</v>
      </c>
      <c r="L93" s="43">
        <v>125800</v>
      </c>
      <c r="M93" s="24">
        <f t="shared" ref="M93:M98" si="45">IF(G93=0,0,+K93/G93)</f>
        <v>2.7753090409630765</v>
      </c>
      <c r="N93" s="24">
        <f t="shared" ref="N93:N98" si="46">IF(K93=0,0,+L93/K93)</f>
        <v>1.8311499272197962</v>
      </c>
      <c r="O93" s="24">
        <f>+L93/((G93-CA93-CB93)*M93)</f>
        <v>1.8626786644092392</v>
      </c>
      <c r="P93" s="45">
        <f>+E93/G93</f>
        <v>0.38927332984359597</v>
      </c>
      <c r="Q93" s="45">
        <f>+D93/G93</f>
        <v>7.5332471519754376E-2</v>
      </c>
      <c r="R93" s="43">
        <v>2100</v>
      </c>
      <c r="S93" s="46">
        <f>+E93/R93</f>
        <v>4.5886057175944641</v>
      </c>
      <c r="T93" s="24">
        <f t="shared" ref="T93:T98" si="47">IF(R93=0,0,+F93/R93)</f>
        <v>13.428571428571429</v>
      </c>
      <c r="U93" s="24">
        <f t="shared" ref="U93:U98" si="48">IF(L93=0,0,+L93/G93)</f>
        <v>5.0820069483719799</v>
      </c>
      <c r="V93" s="47">
        <v>41.79</v>
      </c>
      <c r="W93" s="43"/>
      <c r="X93" s="24"/>
      <c r="Y93" s="43"/>
      <c r="Z93" s="48">
        <f t="shared" ref="Z93:Z98" si="49">IF(V93=0,0,+M93/V93)</f>
        <v>6.6410840894067402E-2</v>
      </c>
      <c r="AA93" s="62" t="str">
        <f t="shared" ref="AA93:AA98" si="50">IF(W93=0,"",+X93/W93)</f>
        <v/>
      </c>
      <c r="AB93" s="48">
        <v>0.30851063829787234</v>
      </c>
      <c r="AC93" s="48">
        <v>1.3950354609929079</v>
      </c>
      <c r="AD93" s="48">
        <v>2.2900709219858157</v>
      </c>
      <c r="AE93" s="48">
        <v>0.4673758865248227</v>
      </c>
      <c r="AF93" s="50" t="s">
        <v>81</v>
      </c>
      <c r="AG93" s="51"/>
      <c r="AH93" s="51"/>
      <c r="AI93" s="51"/>
      <c r="AJ93" s="51"/>
      <c r="AK93" s="51"/>
      <c r="AL93" s="52"/>
      <c r="AM93" s="51">
        <v>1500</v>
      </c>
      <c r="AN93" s="53"/>
      <c r="AO93" s="54">
        <f t="shared" si="33"/>
        <v>5.3191489361702128E-2</v>
      </c>
      <c r="AP93" s="55" t="s">
        <v>82</v>
      </c>
      <c r="AQ93" s="51"/>
      <c r="AR93" s="43"/>
      <c r="AS93" s="43"/>
      <c r="AT93" s="43"/>
      <c r="AU93" s="43"/>
      <c r="AV93" s="43"/>
      <c r="AW93" s="52"/>
      <c r="AX93" s="43"/>
      <c r="AY93" s="43"/>
      <c r="AZ93" s="43">
        <v>26700</v>
      </c>
      <c r="BA93" s="43"/>
      <c r="BB93" s="43"/>
      <c r="BC93" s="43"/>
      <c r="BD93" s="43"/>
      <c r="BE93" s="43"/>
      <c r="BF93" s="43"/>
      <c r="BG93" s="43"/>
      <c r="BH93" s="56"/>
      <c r="BI93" s="57">
        <f t="shared" si="34"/>
        <v>0.94680851063829785</v>
      </c>
      <c r="BJ93" s="58">
        <v>2.7189999999999999</v>
      </c>
      <c r="BK93" s="59">
        <v>41</v>
      </c>
      <c r="BL93" s="48">
        <v>3.7499999999999999E-2</v>
      </c>
      <c r="BM93" s="48">
        <v>0.17</v>
      </c>
      <c r="BN93" s="48">
        <v>0.45250000000000001</v>
      </c>
      <c r="BO93" s="48">
        <v>0.86899999999999999</v>
      </c>
      <c r="BP93" s="48">
        <v>1.4750000000000001</v>
      </c>
      <c r="BQ93" s="48">
        <v>1.9850000000000001</v>
      </c>
      <c r="BR93" s="48">
        <v>2.7890000000000001</v>
      </c>
      <c r="BS93" s="48">
        <v>2.7890000000000001</v>
      </c>
      <c r="BT93" s="41">
        <v>42</v>
      </c>
      <c r="BU93" s="43"/>
      <c r="BV93" s="60">
        <v>42062</v>
      </c>
      <c r="BW93" s="44">
        <v>0.67617307132459969</v>
      </c>
      <c r="BX93" s="43">
        <v>24314</v>
      </c>
      <c r="BY93" s="43">
        <v>8744</v>
      </c>
      <c r="BZ93" s="44">
        <v>0.35962819774615445</v>
      </c>
      <c r="CA93" s="43">
        <v>174</v>
      </c>
      <c r="CB93" s="43">
        <v>245</v>
      </c>
      <c r="CC93" s="44">
        <v>7.1563708151682155E-3</v>
      </c>
      <c r="CD93" s="44">
        <v>1.0076499136300075E-2</v>
      </c>
    </row>
    <row r="94" spans="1:82" x14ac:dyDescent="0.25">
      <c r="A94" s="39" t="s">
        <v>87</v>
      </c>
      <c r="B94" s="40" t="s">
        <v>80</v>
      </c>
      <c r="C94" s="41">
        <v>790</v>
      </c>
      <c r="D94" s="63">
        <v>479.31</v>
      </c>
      <c r="E94" s="63">
        <v>10585.004124999999</v>
      </c>
      <c r="F94" s="43">
        <v>22000</v>
      </c>
      <c r="G94" s="43">
        <v>21325</v>
      </c>
      <c r="H94" s="44">
        <f t="shared" si="43"/>
        <v>3.0681818181818182E-2</v>
      </c>
      <c r="I94" s="39">
        <v>306</v>
      </c>
      <c r="J94" s="44">
        <f t="shared" si="44"/>
        <v>1.3909090909090909E-2</v>
      </c>
      <c r="K94" s="43">
        <v>61630</v>
      </c>
      <c r="L94" s="43">
        <v>114420</v>
      </c>
      <c r="M94" s="24">
        <f t="shared" si="45"/>
        <v>2.8900351699882765</v>
      </c>
      <c r="N94" s="24">
        <f t="shared" si="46"/>
        <v>1.8565633619990265</v>
      </c>
      <c r="O94" s="24">
        <f>+L94/((G94-CA94-CB94)*M94)</f>
        <v>1.8778738175131262</v>
      </c>
      <c r="P94" s="45">
        <f>IF(G94=0,0,+E94/G94)</f>
        <v>0.49636596131301286</v>
      </c>
      <c r="Q94" s="45">
        <f>IF(G94=0,0,+D94/G94)</f>
        <v>2.247643610785463E-2</v>
      </c>
      <c r="R94" s="43">
        <v>2296</v>
      </c>
      <c r="S94" s="45">
        <f>IF(R94=0,0,+E94/R94)</f>
        <v>4.610193434233449</v>
      </c>
      <c r="T94" s="24">
        <f t="shared" si="47"/>
        <v>9.5818815331010452</v>
      </c>
      <c r="U94" s="24">
        <f t="shared" si="48"/>
        <v>5.3655334114888626</v>
      </c>
      <c r="V94" s="47">
        <v>44</v>
      </c>
      <c r="W94" s="43"/>
      <c r="X94" s="24"/>
      <c r="Y94" s="43"/>
      <c r="Z94" s="48">
        <f t="shared" si="49"/>
        <v>6.5682617499733559E-2</v>
      </c>
      <c r="AA94" s="64" t="str">
        <f t="shared" si="50"/>
        <v/>
      </c>
      <c r="AB94" s="65">
        <v>0.31545454545454543</v>
      </c>
      <c r="AC94" s="65">
        <v>1.5572727272727274</v>
      </c>
      <c r="AD94" s="65">
        <v>2.3454545454545452</v>
      </c>
      <c r="AE94" s="65">
        <v>0.98272727272727278</v>
      </c>
      <c r="AF94" s="50" t="s">
        <v>81</v>
      </c>
      <c r="AG94" s="51"/>
      <c r="AH94" s="51"/>
      <c r="AI94" s="51">
        <v>700</v>
      </c>
      <c r="AJ94" s="51"/>
      <c r="AK94" s="51"/>
      <c r="AL94" s="51"/>
      <c r="AM94" s="51"/>
      <c r="AN94" s="66"/>
      <c r="AO94" s="54">
        <f t="shared" si="33"/>
        <v>3.1818181818181815E-2</v>
      </c>
      <c r="AP94" s="55" t="s">
        <v>82</v>
      </c>
      <c r="AQ94" s="51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51"/>
      <c r="BG94" s="43">
        <v>21300</v>
      </c>
      <c r="BH94" s="56"/>
      <c r="BI94" s="57">
        <f t="shared" si="34"/>
        <v>0.96818181818181814</v>
      </c>
      <c r="BJ94" s="58">
        <v>2.89</v>
      </c>
      <c r="BK94" s="59">
        <v>44</v>
      </c>
      <c r="BL94" s="48">
        <v>4.4999999999999998E-2</v>
      </c>
      <c r="BM94" s="48">
        <v>0.18</v>
      </c>
      <c r="BN94" s="48">
        <v>0.46</v>
      </c>
      <c r="BO94" s="48">
        <v>0.94</v>
      </c>
      <c r="BP94" s="48">
        <v>1.53</v>
      </c>
      <c r="BQ94" s="48">
        <v>2.0499999999999998</v>
      </c>
      <c r="BR94" s="48">
        <v>2.76</v>
      </c>
      <c r="BS94" s="48">
        <v>2.89</v>
      </c>
      <c r="BT94" s="41">
        <v>44</v>
      </c>
      <c r="BU94" s="43"/>
      <c r="BV94" s="67">
        <v>42326</v>
      </c>
      <c r="BW94" s="44">
        <v>0.70081340256368652</v>
      </c>
      <c r="BX94" s="43">
        <v>21136</v>
      </c>
      <c r="BY94" s="43">
        <v>7544</v>
      </c>
      <c r="BZ94" s="44">
        <v>0.35692657077971235</v>
      </c>
      <c r="CA94" s="43">
        <v>127</v>
      </c>
      <c r="CB94" s="43">
        <v>115</v>
      </c>
      <c r="CC94" s="44">
        <v>6.0087055261165787E-3</v>
      </c>
      <c r="CD94" s="44">
        <v>5.4409538228614683E-3</v>
      </c>
    </row>
    <row r="95" spans="1:82" x14ac:dyDescent="0.25">
      <c r="A95" s="39" t="s">
        <v>79</v>
      </c>
      <c r="B95" s="40" t="s">
        <v>80</v>
      </c>
      <c r="C95" s="41">
        <v>860</v>
      </c>
      <c r="D95" s="42">
        <v>1075.8499999999999</v>
      </c>
      <c r="E95" s="42">
        <v>16603.142625</v>
      </c>
      <c r="F95" s="43">
        <v>40600</v>
      </c>
      <c r="G95" s="43">
        <v>39025</v>
      </c>
      <c r="H95" s="44">
        <f t="shared" si="43"/>
        <v>3.8793103448275863E-2</v>
      </c>
      <c r="I95" s="39">
        <v>270</v>
      </c>
      <c r="J95" s="44">
        <f t="shared" si="44"/>
        <v>6.6502463054187192E-3</v>
      </c>
      <c r="K95" s="43">
        <v>113630</v>
      </c>
      <c r="L95" s="43">
        <v>222520</v>
      </c>
      <c r="M95" s="24">
        <f t="shared" si="45"/>
        <v>2.9117232543241514</v>
      </c>
      <c r="N95" s="24">
        <f t="shared" si="46"/>
        <v>1.9582856639971837</v>
      </c>
      <c r="O95" s="24">
        <f>+L95/((G95-CA98-CB98)*M95)</f>
        <v>1.9841134573692158</v>
      </c>
      <c r="P95" s="45">
        <f>+E95/G95</f>
        <v>0.42544888212684179</v>
      </c>
      <c r="Q95" s="45">
        <f>+D95/G95</f>
        <v>2.7568225496476615E-2</v>
      </c>
      <c r="R95" s="43">
        <v>3600</v>
      </c>
      <c r="S95" s="46">
        <f>+E95/R95</f>
        <v>4.6119840625000004</v>
      </c>
      <c r="T95" s="24">
        <f t="shared" si="47"/>
        <v>11.277777777777779</v>
      </c>
      <c r="U95" s="24">
        <f t="shared" si="48"/>
        <v>5.7019859064702114</v>
      </c>
      <c r="V95" s="47">
        <v>44.7</v>
      </c>
      <c r="W95" s="43"/>
      <c r="X95" s="24"/>
      <c r="Y95" s="43"/>
      <c r="Z95" s="48">
        <f t="shared" si="49"/>
        <v>6.5139222691815463E-2</v>
      </c>
      <c r="AA95" s="49" t="str">
        <f t="shared" si="50"/>
        <v/>
      </c>
      <c r="AB95" s="65">
        <v>0.28970000000000001</v>
      </c>
      <c r="AC95" s="65">
        <v>1.5882000000000001</v>
      </c>
      <c r="AD95" s="65">
        <v>2.0857000000000001</v>
      </c>
      <c r="AE95" s="65">
        <v>1.5172000000000001</v>
      </c>
      <c r="AF95" s="50" t="s">
        <v>81</v>
      </c>
      <c r="AG95" s="51"/>
      <c r="AH95" s="51"/>
      <c r="AI95" s="51"/>
      <c r="AJ95" s="51"/>
      <c r="AK95" s="51"/>
      <c r="AL95" s="51"/>
      <c r="AM95" s="51"/>
      <c r="AN95" s="53"/>
      <c r="AO95" s="54">
        <f t="shared" si="33"/>
        <v>0</v>
      </c>
      <c r="AP95" s="55" t="s">
        <v>82</v>
      </c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>
        <v>40600</v>
      </c>
      <c r="BH95" s="56"/>
      <c r="BI95" s="57">
        <f t="shared" si="34"/>
        <v>1</v>
      </c>
      <c r="BJ95" s="58">
        <v>2.8610000000000002</v>
      </c>
      <c r="BK95" s="59">
        <v>43</v>
      </c>
      <c r="BL95" s="48">
        <v>4.3999999999999997E-2</v>
      </c>
      <c r="BM95" s="48">
        <v>0.17100000000000001</v>
      </c>
      <c r="BN95" s="48">
        <v>0.47499999999999998</v>
      </c>
      <c r="BO95" s="48">
        <v>0.93600000000000005</v>
      </c>
      <c r="BP95" s="48">
        <v>1.5</v>
      </c>
      <c r="BQ95" s="78" t="s">
        <v>104</v>
      </c>
      <c r="BR95" s="78" t="s">
        <v>104</v>
      </c>
      <c r="BS95" s="48">
        <v>2.9209999999999998</v>
      </c>
      <c r="BT95" s="41">
        <v>45</v>
      </c>
      <c r="BU95" s="43"/>
      <c r="BV95" s="60">
        <v>42274</v>
      </c>
      <c r="BW95" s="44">
        <v>0.71622573264102796</v>
      </c>
      <c r="BX95" s="43">
        <v>38708</v>
      </c>
      <c r="BY95" s="43">
        <v>15040</v>
      </c>
      <c r="BZ95" s="44">
        <v>0.38855017050738866</v>
      </c>
      <c r="CA95" s="43">
        <v>99</v>
      </c>
      <c r="CB95" s="43">
        <v>267</v>
      </c>
      <c r="CC95" s="44">
        <v>2.5576108298026247E-3</v>
      </c>
      <c r="CD95" s="44">
        <v>6.8977989046192E-3</v>
      </c>
    </row>
    <row r="96" spans="1:82" x14ac:dyDescent="0.25">
      <c r="A96" s="39" t="s">
        <v>105</v>
      </c>
      <c r="B96" s="40" t="s">
        <v>86</v>
      </c>
      <c r="C96" s="41">
        <v>426</v>
      </c>
      <c r="D96" s="61">
        <v>1315.93</v>
      </c>
      <c r="E96" s="61">
        <v>12461.389300000001</v>
      </c>
      <c r="F96" s="43">
        <v>29800</v>
      </c>
      <c r="G96" s="43">
        <v>28660</v>
      </c>
      <c r="H96" s="44">
        <f t="shared" si="43"/>
        <v>3.8255033557046979E-2</v>
      </c>
      <c r="I96" s="39">
        <v>201</v>
      </c>
      <c r="J96" s="44">
        <f t="shared" si="44"/>
        <v>6.7449664429530204E-3</v>
      </c>
      <c r="K96" s="43">
        <v>72500</v>
      </c>
      <c r="L96" s="43">
        <v>128020</v>
      </c>
      <c r="M96" s="24">
        <f t="shared" si="45"/>
        <v>2.5296580600139569</v>
      </c>
      <c r="N96" s="24">
        <f t="shared" si="46"/>
        <v>1.7657931034482759</v>
      </c>
      <c r="O96" s="24">
        <f>+L96/((G96-CA96-CB96)*M96)</f>
        <v>1.7794525437703088</v>
      </c>
      <c r="P96" s="45">
        <f>IF(G96=0,0,+E96/G96)</f>
        <v>0.43480074319609213</v>
      </c>
      <c r="Q96" s="45">
        <f>IF(G96=0,0,+D96/G96)</f>
        <v>4.5915212840195396E-2</v>
      </c>
      <c r="R96" s="43">
        <v>2700</v>
      </c>
      <c r="S96" s="45">
        <f>IF(R96=0,0,+E96/R96)</f>
        <v>4.6153293703703708</v>
      </c>
      <c r="T96" s="24">
        <f t="shared" si="47"/>
        <v>11.037037037037036</v>
      </c>
      <c r="U96" s="24">
        <f t="shared" si="48"/>
        <v>4.4668527564549896</v>
      </c>
      <c r="V96" s="47">
        <v>42.52</v>
      </c>
      <c r="W96" s="43">
        <v>34</v>
      </c>
      <c r="X96" s="24">
        <v>2.133</v>
      </c>
      <c r="Y96" s="43">
        <v>8000</v>
      </c>
      <c r="Z96" s="48">
        <f t="shared" si="49"/>
        <v>5.9493369238333885E-2</v>
      </c>
      <c r="AA96" s="62">
        <f t="shared" si="50"/>
        <v>6.2735294117647056E-2</v>
      </c>
      <c r="AB96" s="48">
        <v>0.32147651006711409</v>
      </c>
      <c r="AC96" s="48">
        <v>1.7073825503355704</v>
      </c>
      <c r="AD96" s="48">
        <v>2.0476510067114093</v>
      </c>
      <c r="AE96" s="48">
        <v>0.21946308724832214</v>
      </c>
      <c r="AF96" s="50" t="s">
        <v>81</v>
      </c>
      <c r="AG96" s="51"/>
      <c r="AH96" s="51"/>
      <c r="AI96" s="51"/>
      <c r="AJ96" s="51"/>
      <c r="AK96" s="51"/>
      <c r="AL96" s="52"/>
      <c r="AM96" s="51">
        <v>1800</v>
      </c>
      <c r="AN96" s="53"/>
      <c r="AO96" s="54">
        <f t="shared" si="33"/>
        <v>6.0402684563758392E-2</v>
      </c>
      <c r="AP96" s="55" t="s">
        <v>82</v>
      </c>
      <c r="AQ96" s="51"/>
      <c r="AR96" s="43"/>
      <c r="AS96" s="43"/>
      <c r="AT96" s="43"/>
      <c r="AU96" s="43"/>
      <c r="AV96" s="43"/>
      <c r="AW96" s="52"/>
      <c r="AX96" s="43"/>
      <c r="AY96" s="43"/>
      <c r="AZ96" s="43"/>
      <c r="BA96" s="43">
        <v>28000</v>
      </c>
      <c r="BB96" s="43"/>
      <c r="BC96" s="43"/>
      <c r="BD96" s="43"/>
      <c r="BE96" s="43"/>
      <c r="BF96" s="51"/>
      <c r="BG96" s="43"/>
      <c r="BH96" s="56"/>
      <c r="BI96" s="57">
        <f t="shared" si="34"/>
        <v>0.93959731543624159</v>
      </c>
      <c r="BJ96" s="58">
        <v>2.6920000000000002</v>
      </c>
      <c r="BK96" s="59">
        <v>41</v>
      </c>
      <c r="BL96" s="48">
        <v>4.1000000000000002E-2</v>
      </c>
      <c r="BM96" s="48">
        <v>0.1825</v>
      </c>
      <c r="BN96" s="48">
        <v>0.48249999999999998</v>
      </c>
      <c r="BO96" s="48">
        <v>0.97750000000000004</v>
      </c>
      <c r="BP96" s="48">
        <v>1.595</v>
      </c>
      <c r="BQ96" s="48">
        <v>2.1749999999999998</v>
      </c>
      <c r="BR96" s="48"/>
      <c r="BS96" s="48">
        <v>2.68</v>
      </c>
      <c r="BT96" s="41">
        <v>43</v>
      </c>
      <c r="BU96" s="43"/>
      <c r="BV96" s="60">
        <v>42202</v>
      </c>
      <c r="BW96" s="44">
        <v>0.69770797258297257</v>
      </c>
      <c r="BX96" s="43">
        <v>20342</v>
      </c>
      <c r="BY96" s="43">
        <v>8416</v>
      </c>
      <c r="BZ96" s="44">
        <v>0.41372529741421687</v>
      </c>
      <c r="CA96" s="43">
        <v>39</v>
      </c>
      <c r="CB96" s="43">
        <v>181</v>
      </c>
      <c r="CC96" s="44">
        <v>1.9172156130174024E-3</v>
      </c>
      <c r="CD96" s="44">
        <v>8.8978468193884573E-3</v>
      </c>
    </row>
    <row r="97" spans="1:82" x14ac:dyDescent="0.25">
      <c r="A97" s="39" t="s">
        <v>96</v>
      </c>
      <c r="B97" s="40" t="s">
        <v>80</v>
      </c>
      <c r="C97" s="41">
        <v>796</v>
      </c>
      <c r="D97" s="61">
        <v>1883.01</v>
      </c>
      <c r="E97" s="61">
        <v>10171.040000000001</v>
      </c>
      <c r="F97" s="43">
        <v>28000</v>
      </c>
      <c r="G97" s="43">
        <v>26816</v>
      </c>
      <c r="H97" s="44">
        <f t="shared" si="43"/>
        <v>4.2285714285714288E-2</v>
      </c>
      <c r="I97" s="39">
        <v>276</v>
      </c>
      <c r="J97" s="44">
        <f t="shared" si="44"/>
        <v>9.8571428571428577E-3</v>
      </c>
      <c r="K97" s="43">
        <v>77360</v>
      </c>
      <c r="L97" s="43">
        <v>150300</v>
      </c>
      <c r="M97" s="24">
        <f t="shared" si="45"/>
        <v>2.8848448687350836</v>
      </c>
      <c r="N97" s="24">
        <f t="shared" si="46"/>
        <v>1.9428645294725957</v>
      </c>
      <c r="O97" s="24">
        <f>+L97/((G97-CA97-CB97)*M97)</f>
        <v>1.9668487003034136</v>
      </c>
      <c r="P97" s="45">
        <f>IF(G97=0,0,+E97/G97)</f>
        <v>0.37928997613365156</v>
      </c>
      <c r="Q97" s="45">
        <f>IF(G97=0,0,+D97/G97)</f>
        <v>7.0219644988066821E-2</v>
      </c>
      <c r="R97" s="43">
        <v>2200</v>
      </c>
      <c r="S97" s="45">
        <f>IF(R97=0,0,+E97/R97)</f>
        <v>4.6232000000000006</v>
      </c>
      <c r="T97" s="24">
        <f t="shared" si="47"/>
        <v>12.727272727272727</v>
      </c>
      <c r="U97" s="24">
        <f t="shared" si="48"/>
        <v>5.6048627684964201</v>
      </c>
      <c r="V97" s="47">
        <v>45</v>
      </c>
      <c r="W97" s="43"/>
      <c r="X97" s="24"/>
      <c r="Y97" s="43"/>
      <c r="Z97" s="48">
        <f t="shared" si="49"/>
        <v>6.4107663749668531E-2</v>
      </c>
      <c r="AA97" s="62" t="str">
        <f t="shared" si="50"/>
        <v/>
      </c>
      <c r="AB97" s="48">
        <v>0.30357142857142855</v>
      </c>
      <c r="AC97" s="48">
        <v>1.5228571428571429</v>
      </c>
      <c r="AD97" s="48">
        <v>2.2885714285714287</v>
      </c>
      <c r="AE97" s="48">
        <v>1.2528571428571429</v>
      </c>
      <c r="AF97" s="50" t="s">
        <v>81</v>
      </c>
      <c r="AG97" s="51"/>
      <c r="AH97" s="43"/>
      <c r="AI97" s="51">
        <v>14900</v>
      </c>
      <c r="AJ97" s="51"/>
      <c r="AK97" s="51"/>
      <c r="AL97" s="52"/>
      <c r="AM97" s="51"/>
      <c r="AN97" s="53"/>
      <c r="AO97" s="54">
        <f t="shared" si="33"/>
        <v>0.53214285714285714</v>
      </c>
      <c r="AP97" s="55" t="s">
        <v>82</v>
      </c>
      <c r="AQ97" s="51"/>
      <c r="AR97" s="43"/>
      <c r="AS97" s="43"/>
      <c r="AT97" s="43"/>
      <c r="AU97" s="43"/>
      <c r="AV97" s="43"/>
      <c r="AW97" s="52"/>
      <c r="AX97" s="43"/>
      <c r="AY97" s="43"/>
      <c r="AZ97" s="43"/>
      <c r="BA97" s="43"/>
      <c r="BB97" s="43"/>
      <c r="BC97" s="43"/>
      <c r="BD97" s="43"/>
      <c r="BE97" s="43"/>
      <c r="BF97" s="51">
        <v>1200</v>
      </c>
      <c r="BG97" s="43">
        <v>11900</v>
      </c>
      <c r="BH97" s="56"/>
      <c r="BI97" s="57">
        <f t="shared" si="34"/>
        <v>0.46785714285714286</v>
      </c>
      <c r="BJ97" s="58">
        <v>2.8849999999999998</v>
      </c>
      <c r="BK97" s="59">
        <v>45</v>
      </c>
      <c r="BL97" s="48">
        <v>4.0500000000000001E-2</v>
      </c>
      <c r="BM97" s="48">
        <v>0.2</v>
      </c>
      <c r="BN97" s="48">
        <v>0.5</v>
      </c>
      <c r="BO97" s="48">
        <v>0.995</v>
      </c>
      <c r="BP97" s="48">
        <v>1.585</v>
      </c>
      <c r="BQ97" s="48">
        <v>2.0099999999999998</v>
      </c>
      <c r="BR97" s="48">
        <v>2.7290000000000001</v>
      </c>
      <c r="BS97" s="48">
        <v>2.8849999999999998</v>
      </c>
      <c r="BT97" s="41">
        <v>45</v>
      </c>
      <c r="BU97" s="43">
        <v>3000</v>
      </c>
      <c r="BV97" s="60">
        <v>42163</v>
      </c>
      <c r="BW97" s="44">
        <v>0.69882962771458113</v>
      </c>
      <c r="BX97" s="43">
        <v>26490</v>
      </c>
      <c r="BY97" s="43">
        <v>9896</v>
      </c>
      <c r="BZ97" s="44">
        <v>0.37357493393733482</v>
      </c>
      <c r="CA97" s="43">
        <v>150</v>
      </c>
      <c r="CB97" s="43">
        <v>177</v>
      </c>
      <c r="CC97" s="44">
        <v>5.5936754176610978E-3</v>
      </c>
      <c r="CD97" s="44">
        <v>6.6005369928400955E-3</v>
      </c>
    </row>
    <row r="98" spans="1:82" x14ac:dyDescent="0.25">
      <c r="A98" s="39" t="s">
        <v>109</v>
      </c>
      <c r="B98" s="40" t="s">
        <v>80</v>
      </c>
      <c r="C98" s="41">
        <v>872</v>
      </c>
      <c r="D98" s="42">
        <v>432.6</v>
      </c>
      <c r="E98" s="42">
        <v>6484.2840249999999</v>
      </c>
      <c r="F98" s="43">
        <v>18000</v>
      </c>
      <c r="G98" s="43">
        <v>16705</v>
      </c>
      <c r="H98" s="44">
        <f t="shared" si="43"/>
        <v>7.194444444444445E-2</v>
      </c>
      <c r="I98" s="39">
        <v>362</v>
      </c>
      <c r="J98" s="44">
        <f t="shared" si="44"/>
        <v>2.0111111111111111E-2</v>
      </c>
      <c r="K98" s="43">
        <v>44940</v>
      </c>
      <c r="L98" s="43">
        <v>85880</v>
      </c>
      <c r="M98" s="24">
        <f t="shared" si="45"/>
        <v>2.6902125112241846</v>
      </c>
      <c r="N98" s="24">
        <f t="shared" si="46"/>
        <v>1.9109924343569202</v>
      </c>
      <c r="O98" s="24">
        <f>+L98/((G98-CA98-CB98)*M98)</f>
        <v>1.9709284815664845</v>
      </c>
      <c r="P98" s="45">
        <f>IF(G98=0,0,+E98/G98)</f>
        <v>0.38816426369350493</v>
      </c>
      <c r="Q98" s="45">
        <f>IF(G98=0,0,+D98/G98)</f>
        <v>2.5896438192158037E-2</v>
      </c>
      <c r="R98" s="43">
        <v>1400</v>
      </c>
      <c r="S98" s="45">
        <f>IF(R98=0,0,+E98/R98)</f>
        <v>4.6316314464285711</v>
      </c>
      <c r="T98" s="24">
        <f t="shared" si="47"/>
        <v>12.857142857142858</v>
      </c>
      <c r="U98" s="24">
        <f t="shared" si="48"/>
        <v>5.1409757557617484</v>
      </c>
      <c r="V98" s="47">
        <v>41.32</v>
      </c>
      <c r="W98" s="43"/>
      <c r="X98" s="24"/>
      <c r="Y98" s="43"/>
      <c r="Z98" s="48">
        <f t="shared" si="49"/>
        <v>6.5106788751795361E-2</v>
      </c>
      <c r="AA98" s="49" t="str">
        <f t="shared" si="50"/>
        <v/>
      </c>
      <c r="AB98" s="48">
        <v>0.28111111111111109</v>
      </c>
      <c r="AC98" s="48">
        <v>1.4122222222222223</v>
      </c>
      <c r="AD98" s="48">
        <v>2.5711111111111111</v>
      </c>
      <c r="AE98" s="48">
        <v>0.50666666666666671</v>
      </c>
      <c r="AF98" s="50" t="s">
        <v>81</v>
      </c>
      <c r="AG98" s="73"/>
      <c r="AH98" s="73"/>
      <c r="AI98" s="73"/>
      <c r="AJ98" s="73"/>
      <c r="AK98" s="73"/>
      <c r="AL98" s="39"/>
      <c r="AM98" s="73"/>
      <c r="AN98" s="74"/>
      <c r="AO98" s="54">
        <f t="shared" si="33"/>
        <v>0</v>
      </c>
      <c r="AP98" s="55" t="s">
        <v>82</v>
      </c>
      <c r="AQ98" s="73"/>
      <c r="AR98" s="39"/>
      <c r="AS98" s="39"/>
      <c r="AT98" s="39"/>
      <c r="AU98" s="39"/>
      <c r="AV98" s="39">
        <v>7200</v>
      </c>
      <c r="AW98" s="39"/>
      <c r="AX98" s="39"/>
      <c r="AY98" s="39"/>
      <c r="AZ98" s="39">
        <v>10800</v>
      </c>
      <c r="BA98" s="39"/>
      <c r="BB98" s="39"/>
      <c r="BC98" s="39"/>
      <c r="BD98" s="39"/>
      <c r="BE98" s="39"/>
      <c r="BF98" s="39"/>
      <c r="BG98" s="39"/>
      <c r="BH98" s="72"/>
      <c r="BI98" s="57">
        <f t="shared" si="34"/>
        <v>1</v>
      </c>
      <c r="BJ98" s="58">
        <v>2.6909999999999998</v>
      </c>
      <c r="BK98" s="59">
        <v>41</v>
      </c>
      <c r="BL98" s="48">
        <v>3.7999999999999999E-2</v>
      </c>
      <c r="BM98" s="48">
        <v>0.16500000000000001</v>
      </c>
      <c r="BN98" s="48">
        <v>0.43</v>
      </c>
      <c r="BO98" s="48">
        <v>0.88</v>
      </c>
      <c r="BP98" s="48">
        <v>1.415</v>
      </c>
      <c r="BQ98" s="48">
        <v>2.19</v>
      </c>
      <c r="BR98" s="48">
        <v>2.58</v>
      </c>
      <c r="BS98" s="48">
        <v>2.6880000000000002</v>
      </c>
      <c r="BT98" s="41">
        <v>42</v>
      </c>
      <c r="BU98" s="43">
        <v>9000</v>
      </c>
      <c r="BV98" s="60">
        <v>42031</v>
      </c>
      <c r="BW98" s="44">
        <v>0.68390409434801958</v>
      </c>
      <c r="BX98" s="39">
        <v>16160</v>
      </c>
      <c r="BY98" s="43">
        <v>5688</v>
      </c>
      <c r="BZ98" s="44">
        <v>0.35198019801980196</v>
      </c>
      <c r="CA98" s="43">
        <v>274</v>
      </c>
      <c r="CB98" s="43">
        <v>234</v>
      </c>
      <c r="CC98" s="44">
        <v>1.6955445544554457E-2</v>
      </c>
      <c r="CD98" s="44">
        <v>1.4480198019801981E-2</v>
      </c>
    </row>
    <row r="99" spans="1:82" x14ac:dyDescent="0.25">
      <c r="A99" s="39" t="s">
        <v>96</v>
      </c>
      <c r="B99" s="40" t="s">
        <v>80</v>
      </c>
      <c r="C99" s="41">
        <v>796</v>
      </c>
      <c r="D99" s="68">
        <v>1280.1500000000001</v>
      </c>
      <c r="E99" s="68">
        <v>10204.49</v>
      </c>
      <c r="F99" s="43">
        <v>24500</v>
      </c>
      <c r="G99" s="43">
        <v>23430</v>
      </c>
      <c r="H99" s="44">
        <v>4.3673469387755105E-2</v>
      </c>
      <c r="I99" s="39">
        <v>207</v>
      </c>
      <c r="J99" s="44">
        <v>8.4489795918367347E-3</v>
      </c>
      <c r="K99" s="43">
        <v>62050</v>
      </c>
      <c r="L99" s="43">
        <v>112520</v>
      </c>
      <c r="M99" s="24">
        <v>2.6483141271873665</v>
      </c>
      <c r="N99" s="24">
        <v>1.8133763094278808</v>
      </c>
      <c r="O99" s="24">
        <v>1.8395205840540003</v>
      </c>
      <c r="P99" s="45">
        <v>0.43553094323516856</v>
      </c>
      <c r="Q99" s="45">
        <v>5.4637217242851047E-2</v>
      </c>
      <c r="R99" s="43">
        <v>2200</v>
      </c>
      <c r="S99" s="45">
        <v>4.6384045454545451</v>
      </c>
      <c r="T99" s="24">
        <v>11.136363636363637</v>
      </c>
      <c r="U99" s="24">
        <v>4.8023900981647465</v>
      </c>
      <c r="V99" s="47">
        <v>41</v>
      </c>
      <c r="W99" s="43"/>
      <c r="X99" s="24"/>
      <c r="Y99" s="43"/>
      <c r="Z99" s="48">
        <v>6.4593027492374791E-2</v>
      </c>
      <c r="AA99" s="69" t="s">
        <v>84</v>
      </c>
      <c r="AB99" s="48">
        <v>0.35265306122448981</v>
      </c>
      <c r="AC99" s="48">
        <v>1.6391836734693876</v>
      </c>
      <c r="AD99" s="48">
        <v>2.3151020408163263</v>
      </c>
      <c r="AE99" s="48">
        <v>0.2857142857142857</v>
      </c>
      <c r="AF99" s="50" t="s">
        <v>81</v>
      </c>
      <c r="AG99" s="51"/>
      <c r="AH99" s="51"/>
      <c r="AI99" s="51"/>
      <c r="AJ99" s="51"/>
      <c r="AK99" s="51"/>
      <c r="AL99" s="39"/>
      <c r="AM99" s="51">
        <v>24500</v>
      </c>
      <c r="AN99" s="53"/>
      <c r="AO99" s="54">
        <f t="shared" si="33"/>
        <v>1</v>
      </c>
      <c r="AP99" s="55" t="s">
        <v>82</v>
      </c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56"/>
      <c r="BI99" s="57">
        <f t="shared" si="34"/>
        <v>0</v>
      </c>
      <c r="BJ99" s="58">
        <v>2.6480000000000001</v>
      </c>
      <c r="BK99" s="59">
        <v>41</v>
      </c>
      <c r="BL99" s="48">
        <v>4.4499999999999998E-2</v>
      </c>
      <c r="BM99" s="48">
        <v>0.2</v>
      </c>
      <c r="BN99" s="48">
        <v>0.52100000000000002</v>
      </c>
      <c r="BO99" s="48">
        <v>0.95</v>
      </c>
      <c r="BP99" s="48"/>
      <c r="BQ99" s="48">
        <v>2.2000000000000002</v>
      </c>
      <c r="BR99" s="48">
        <v>2.649</v>
      </c>
      <c r="BS99" s="48">
        <v>2.6480000000000001</v>
      </c>
      <c r="BT99" s="41">
        <v>41</v>
      </c>
      <c r="BU99" s="43">
        <v>3000</v>
      </c>
      <c r="BV99" s="60">
        <v>42221</v>
      </c>
      <c r="BW99" s="44">
        <v>0.70296180499597094</v>
      </c>
      <c r="BX99" s="43">
        <v>22910</v>
      </c>
      <c r="BY99" s="43">
        <v>8760</v>
      </c>
      <c r="BZ99" s="44">
        <v>0.3823657791357486</v>
      </c>
      <c r="CA99" s="43">
        <v>136</v>
      </c>
      <c r="CB99" s="43">
        <v>293</v>
      </c>
      <c r="CC99" s="44">
        <v>5.8045241143832695E-3</v>
      </c>
      <c r="CD99" s="44">
        <v>1.2505335040546309E-2</v>
      </c>
    </row>
    <row r="100" spans="1:82" x14ac:dyDescent="0.25">
      <c r="A100" s="39" t="s">
        <v>102</v>
      </c>
      <c r="B100" s="40" t="s">
        <v>86</v>
      </c>
      <c r="C100" s="41">
        <v>452</v>
      </c>
      <c r="D100" s="63">
        <v>1129.08</v>
      </c>
      <c r="E100" s="63">
        <v>15794.497249999999</v>
      </c>
      <c r="F100" s="43">
        <v>35600</v>
      </c>
      <c r="G100" s="43">
        <v>34450</v>
      </c>
      <c r="H100" s="44">
        <f>IF(F100=0,0,+((F100-G100)/F100))</f>
        <v>3.2303370786516857E-2</v>
      </c>
      <c r="I100" s="39">
        <v>143</v>
      </c>
      <c r="J100" s="44">
        <f>+(I100/F100)</f>
        <v>4.0168539325842693E-3</v>
      </c>
      <c r="K100" s="43">
        <v>97460</v>
      </c>
      <c r="L100" s="43">
        <v>183040</v>
      </c>
      <c r="M100" s="24">
        <f>IF(G100=0,0,+K100/G100)</f>
        <v>2.8290275761973875</v>
      </c>
      <c r="N100" s="24">
        <f>IF(K100=0,0,+L100/K100)</f>
        <v>1.8781038374717833</v>
      </c>
      <c r="O100" s="24">
        <f>+L100/((G100-CA100-CB100)*M100)</f>
        <v>1.8970467718554782</v>
      </c>
      <c r="P100" s="45">
        <f>IF(G100=0,0,+E100/G100)</f>
        <v>0.45847597242380256</v>
      </c>
      <c r="Q100" s="45">
        <f>IF(G100=0,0,+D100/G100)</f>
        <v>3.2774455732946295E-2</v>
      </c>
      <c r="R100" s="43">
        <v>3400</v>
      </c>
      <c r="S100" s="45">
        <f>IF(R100=0,0,+E100/R100)</f>
        <v>4.6454403676470584</v>
      </c>
      <c r="T100" s="24">
        <f>IF(R100=0,0,+F100/R100)</f>
        <v>10.470588235294118</v>
      </c>
      <c r="U100" s="24">
        <f>IF(L100=0,0,+L100/G100)</f>
        <v>5.313207547169811</v>
      </c>
      <c r="V100" s="47">
        <v>43.16</v>
      </c>
      <c r="W100" s="43"/>
      <c r="X100" s="24"/>
      <c r="Y100" s="43"/>
      <c r="Z100" s="48">
        <f>IF(V100=0,0,+M100/V100)</f>
        <v>6.5547441524499248E-2</v>
      </c>
      <c r="AA100" s="64" t="str">
        <f>IF(W100=0,"",+X100/W100)</f>
        <v/>
      </c>
      <c r="AB100" s="65">
        <v>0.2893258426966292</v>
      </c>
      <c r="AC100" s="65">
        <v>1.4865168539325844</v>
      </c>
      <c r="AD100" s="65">
        <v>2.4488764044943818</v>
      </c>
      <c r="AE100" s="65">
        <v>0.91685393258426962</v>
      </c>
      <c r="AF100" s="50" t="s">
        <v>81</v>
      </c>
      <c r="AG100" s="51"/>
      <c r="AH100" s="51">
        <v>24300</v>
      </c>
      <c r="AI100" s="51">
        <v>11300</v>
      </c>
      <c r="AJ100" s="51"/>
      <c r="AK100" s="51"/>
      <c r="AL100" s="51"/>
      <c r="AM100" s="51"/>
      <c r="AN100" s="53"/>
      <c r="AO100" s="54">
        <f t="shared" si="33"/>
        <v>1</v>
      </c>
      <c r="AP100" s="55" t="s">
        <v>82</v>
      </c>
      <c r="AQ100" s="51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51"/>
      <c r="BG100" s="43"/>
      <c r="BH100" s="56"/>
      <c r="BI100" s="57">
        <f t="shared" si="34"/>
        <v>0</v>
      </c>
      <c r="BJ100" s="58">
        <v>2.819</v>
      </c>
      <c r="BK100" s="59">
        <v>43</v>
      </c>
      <c r="BL100" s="77">
        <v>3.6999999999999998E-2</v>
      </c>
      <c r="BM100" s="77">
        <v>0.18</v>
      </c>
      <c r="BN100" s="77">
        <v>0.45</v>
      </c>
      <c r="BO100" s="77">
        <v>0.96</v>
      </c>
      <c r="BP100" s="77">
        <v>1.52</v>
      </c>
      <c r="BQ100" s="77">
        <v>2.1</v>
      </c>
      <c r="BR100" s="77">
        <v>2.819</v>
      </c>
      <c r="BS100" s="77">
        <v>2.8809999999999998</v>
      </c>
      <c r="BT100" s="41">
        <v>44</v>
      </c>
      <c r="BU100" s="43"/>
      <c r="BV100" s="67">
        <v>42361</v>
      </c>
      <c r="BW100" s="44">
        <v>0.70304740406320543</v>
      </c>
      <c r="BX100" s="43">
        <v>34062</v>
      </c>
      <c r="BY100" s="43">
        <v>11990</v>
      </c>
      <c r="BZ100" s="44">
        <v>0.35200516704832363</v>
      </c>
      <c r="CA100" s="43">
        <v>59</v>
      </c>
      <c r="CB100" s="43">
        <v>285</v>
      </c>
      <c r="CC100" s="44">
        <v>1.7321355175855793E-3</v>
      </c>
      <c r="CD100" s="44">
        <v>8.3670952968116965E-3</v>
      </c>
    </row>
    <row r="101" spans="1:82" x14ac:dyDescent="0.25">
      <c r="A101" s="39" t="s">
        <v>87</v>
      </c>
      <c r="B101" s="40" t="s">
        <v>80</v>
      </c>
      <c r="C101" s="41">
        <v>790</v>
      </c>
      <c r="D101" s="61">
        <v>528.76</v>
      </c>
      <c r="E101" s="61">
        <v>10732.402700000001</v>
      </c>
      <c r="F101" s="43">
        <v>21000</v>
      </c>
      <c r="G101" s="43">
        <v>19740</v>
      </c>
      <c r="H101" s="44">
        <f>IF(F101=0,0,+((F101-G101)/F101))</f>
        <v>0.06</v>
      </c>
      <c r="I101" s="39">
        <v>462</v>
      </c>
      <c r="J101" s="44">
        <f>+(I101/F101)</f>
        <v>2.1999999999999999E-2</v>
      </c>
      <c r="K101" s="43">
        <v>57980</v>
      </c>
      <c r="L101" s="43">
        <v>103890</v>
      </c>
      <c r="M101" s="24">
        <f>IF(G101=0,0,+K101/G101)</f>
        <v>2.9371833839918948</v>
      </c>
      <c r="N101" s="24">
        <f>IF(K101=0,0,+L101/K101)</f>
        <v>1.7918247671610901</v>
      </c>
      <c r="O101" s="24">
        <f>+L101/((G101-CA101-CB101)*M101)</f>
        <v>1.8167661874651968</v>
      </c>
      <c r="P101" s="45">
        <f>+E101/G101</f>
        <v>0.54368808004052682</v>
      </c>
      <c r="Q101" s="45">
        <f>+D101/G101</f>
        <v>2.6786220871327253E-2</v>
      </c>
      <c r="R101" s="43">
        <v>2296</v>
      </c>
      <c r="S101" s="45">
        <f>+E101/R101</f>
        <v>4.6743914198606271</v>
      </c>
      <c r="T101" s="24">
        <f>IF(R101=0,0,+F101/R101)</f>
        <v>9.1463414634146343</v>
      </c>
      <c r="U101" s="24">
        <f>IF(L101=0,0,+L101/G101)</f>
        <v>5.2629179331306988</v>
      </c>
      <c r="V101" s="47">
        <v>43</v>
      </c>
      <c r="W101" s="43"/>
      <c r="X101" s="24"/>
      <c r="Y101" s="43"/>
      <c r="Z101" s="48">
        <f>IF(V101=0,0,+M101/V101)</f>
        <v>6.8306590325392907E-2</v>
      </c>
      <c r="AA101" s="62" t="str">
        <f>IF(W101=0,"",+X101/W101)</f>
        <v/>
      </c>
      <c r="AB101" s="48">
        <v>0.32</v>
      </c>
      <c r="AC101" s="48">
        <v>1.578095238095238</v>
      </c>
      <c r="AD101" s="48">
        <v>2.3914285714285715</v>
      </c>
      <c r="AE101" s="48">
        <v>0.65761904761904766</v>
      </c>
      <c r="AF101" s="50" t="s">
        <v>81</v>
      </c>
      <c r="AG101" s="51"/>
      <c r="AH101" s="51"/>
      <c r="AI101" s="51"/>
      <c r="AJ101" s="51"/>
      <c r="AK101" s="51"/>
      <c r="AL101" s="52"/>
      <c r="AM101" s="43"/>
      <c r="AN101" s="53"/>
      <c r="AO101" s="54">
        <f t="shared" si="33"/>
        <v>0</v>
      </c>
      <c r="AP101" s="55" t="s">
        <v>82</v>
      </c>
      <c r="AQ101" s="51"/>
      <c r="AR101" s="43"/>
      <c r="AS101" s="43"/>
      <c r="AT101" s="43">
        <v>21000</v>
      </c>
      <c r="AU101" s="51"/>
      <c r="AV101" s="43"/>
      <c r="AW101" s="52"/>
      <c r="AX101" s="43"/>
      <c r="AY101" s="51"/>
      <c r="AZ101" s="43"/>
      <c r="BA101" s="43"/>
      <c r="BB101" s="43"/>
      <c r="BC101" s="43"/>
      <c r="BD101" s="43"/>
      <c r="BE101" s="43"/>
      <c r="BF101" s="43"/>
      <c r="BG101" s="43"/>
      <c r="BH101" s="56"/>
      <c r="BI101" s="57">
        <f t="shared" si="34"/>
        <v>1</v>
      </c>
      <c r="BJ101" s="58">
        <v>2.9369999999999998</v>
      </c>
      <c r="BK101" s="59">
        <v>43</v>
      </c>
      <c r="BL101" s="48">
        <v>4.4999999999999998E-2</v>
      </c>
      <c r="BM101" s="48">
        <v>0.17499999999999999</v>
      </c>
      <c r="BN101" s="48">
        <v>0.46</v>
      </c>
      <c r="BO101" s="48">
        <v>0.91</v>
      </c>
      <c r="BP101" s="48">
        <v>1.6</v>
      </c>
      <c r="BQ101" s="48">
        <v>2.15</v>
      </c>
      <c r="BR101" s="48"/>
      <c r="BS101" s="48">
        <v>2.9369999999999998</v>
      </c>
      <c r="BT101" s="41">
        <v>43</v>
      </c>
      <c r="BU101" s="43"/>
      <c r="BV101" s="60">
        <v>42069</v>
      </c>
      <c r="BW101" s="44">
        <v>0.67748309761986891</v>
      </c>
      <c r="BX101" s="43">
        <v>19418</v>
      </c>
      <c r="BY101" s="43">
        <v>7712</v>
      </c>
      <c r="BZ101" s="44">
        <v>0.39715727675352763</v>
      </c>
      <c r="CA101" s="43">
        <v>106</v>
      </c>
      <c r="CB101" s="43">
        <v>165</v>
      </c>
      <c r="CC101" s="44">
        <v>5.4588526109795033E-3</v>
      </c>
      <c r="CD101" s="44">
        <v>8.4972705736945098E-3</v>
      </c>
    </row>
    <row r="102" spans="1:82" x14ac:dyDescent="0.25">
      <c r="A102" s="39" t="s">
        <v>85</v>
      </c>
      <c r="B102" s="40" t="s">
        <v>86</v>
      </c>
      <c r="C102" s="41">
        <v>430</v>
      </c>
      <c r="D102" s="61">
        <v>323.58999999999997</v>
      </c>
      <c r="E102" s="61">
        <v>5638.2173199999997</v>
      </c>
      <c r="F102" s="43">
        <v>15500</v>
      </c>
      <c r="G102" s="43">
        <v>13784</v>
      </c>
      <c r="H102" s="44">
        <f>IF(F102=0,0,+((F102-G102)/F102))</f>
        <v>0.11070967741935483</v>
      </c>
      <c r="I102" s="39">
        <v>218</v>
      </c>
      <c r="J102" s="44">
        <f>+(I102/F102)</f>
        <v>1.4064516129032258E-2</v>
      </c>
      <c r="K102" s="43">
        <v>39280</v>
      </c>
      <c r="L102" s="43">
        <v>77760</v>
      </c>
      <c r="M102" s="24">
        <f>IF(G102=0,0,+K102/G102)</f>
        <v>2.8496807893209519</v>
      </c>
      <c r="N102" s="24">
        <f>IF(K102=0,0,+L102/K102)</f>
        <v>1.9796334012219958</v>
      </c>
      <c r="O102" s="24">
        <f>+L102/((G102-CA102-CB102)*M102)</f>
        <v>1.9924984886779109</v>
      </c>
      <c r="P102" s="45">
        <f>IF(G102=0,0,+E102/G102)</f>
        <v>0.40904072257690072</v>
      </c>
      <c r="Q102" s="45">
        <f>IF(G102=0,0,+D102/G102)</f>
        <v>2.3475769007544979E-2</v>
      </c>
      <c r="R102" s="43">
        <v>1200</v>
      </c>
      <c r="S102" s="45">
        <f>IF(R102=0,0,+E102/R102)</f>
        <v>4.6985144333333331</v>
      </c>
      <c r="T102" s="24">
        <f>IF(R102=0,0,+F102/R102)</f>
        <v>12.916666666666666</v>
      </c>
      <c r="U102" s="24">
        <f>IF(L102=0,0,+L102/G102)</f>
        <v>5.6413232733604177</v>
      </c>
      <c r="V102" s="47">
        <v>46</v>
      </c>
      <c r="W102" s="43"/>
      <c r="X102" s="24"/>
      <c r="Y102" s="43"/>
      <c r="Z102" s="48">
        <f>IF(V102=0,0,+M102/V102)</f>
        <v>6.1949582376542432E-2</v>
      </c>
      <c r="AA102" s="62" t="str">
        <f>IF(W102=0,"",+X102/W102)</f>
        <v/>
      </c>
      <c r="AB102" s="48">
        <v>0.30193548387096775</v>
      </c>
      <c r="AC102" s="48">
        <v>1.4296774193548387</v>
      </c>
      <c r="AD102" s="48">
        <v>2.4438709677419355</v>
      </c>
      <c r="AE102" s="48">
        <v>0.84129032258064518</v>
      </c>
      <c r="AF102" s="50" t="s">
        <v>81</v>
      </c>
      <c r="AG102" s="51"/>
      <c r="AH102" s="51"/>
      <c r="AI102" s="51"/>
      <c r="AJ102" s="51"/>
      <c r="AK102" s="51"/>
      <c r="AL102" s="52"/>
      <c r="AM102" s="51"/>
      <c r="AN102" s="53"/>
      <c r="AO102" s="54">
        <f t="shared" si="33"/>
        <v>0</v>
      </c>
      <c r="AP102" s="55" t="s">
        <v>82</v>
      </c>
      <c r="AQ102" s="43"/>
      <c r="AR102" s="43"/>
      <c r="AS102" s="43"/>
      <c r="AT102" s="43"/>
      <c r="AU102" s="43"/>
      <c r="AV102" s="43"/>
      <c r="AW102" s="52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56">
        <v>15500</v>
      </c>
      <c r="BI102" s="57">
        <f t="shared" si="34"/>
        <v>1</v>
      </c>
      <c r="BJ102" s="58">
        <v>2.85</v>
      </c>
      <c r="BK102" s="59">
        <v>46</v>
      </c>
      <c r="BL102" s="48"/>
      <c r="BM102" s="48">
        <v>0.16</v>
      </c>
      <c r="BN102" s="48">
        <v>0.42799999999999999</v>
      </c>
      <c r="BO102" s="48">
        <v>0.84</v>
      </c>
      <c r="BP102" s="48">
        <v>1.246</v>
      </c>
      <c r="BQ102" s="48">
        <v>2.1</v>
      </c>
      <c r="BR102" s="48">
        <v>2.58</v>
      </c>
      <c r="BS102" s="48">
        <v>2.85</v>
      </c>
      <c r="BT102" s="41">
        <v>46</v>
      </c>
      <c r="BU102" s="43"/>
      <c r="BV102" s="60">
        <v>42188</v>
      </c>
      <c r="BW102" s="44">
        <v>0.71352520366598782</v>
      </c>
      <c r="BX102" s="43">
        <v>13584</v>
      </c>
      <c r="BY102" s="43">
        <v>5232</v>
      </c>
      <c r="BZ102" s="44">
        <v>0.38515901060070673</v>
      </c>
      <c r="CA102" s="43">
        <v>23</v>
      </c>
      <c r="CB102" s="43">
        <v>66</v>
      </c>
      <c r="CC102" s="44">
        <v>1.6931684334511191E-3</v>
      </c>
      <c r="CD102" s="44">
        <v>4.8586572438162542E-3</v>
      </c>
    </row>
    <row r="103" spans="1:82" x14ac:dyDescent="0.25">
      <c r="A103" s="39" t="s">
        <v>87</v>
      </c>
      <c r="B103" s="40" t="s">
        <v>80</v>
      </c>
      <c r="C103" s="41">
        <v>790</v>
      </c>
      <c r="D103" s="42">
        <v>563.16</v>
      </c>
      <c r="E103" s="42">
        <v>10817.716399999999</v>
      </c>
      <c r="F103" s="43">
        <v>22000</v>
      </c>
      <c r="G103" s="43">
        <v>21680</v>
      </c>
      <c r="H103" s="44">
        <f>IF(F103=0,0,+((F103-G103)/F103))</f>
        <v>1.4545454545454545E-2</v>
      </c>
      <c r="I103" s="39">
        <v>293</v>
      </c>
      <c r="J103" s="44">
        <f>+(I103/F103)</f>
        <v>1.3318181818181818E-2</v>
      </c>
      <c r="K103" s="43">
        <v>57760</v>
      </c>
      <c r="L103" s="43">
        <v>101710</v>
      </c>
      <c r="M103" s="24">
        <f>IF(G103=0,0,+K103/G103)</f>
        <v>2.6642066420664205</v>
      </c>
      <c r="N103" s="24">
        <f>IF(K103=0,0,+L103/K103)</f>
        <v>1.7609072022160666</v>
      </c>
      <c r="O103" s="24">
        <f>+L103/((G103-CA106-CB106)*M103)</f>
        <v>1.8111997411540148</v>
      </c>
      <c r="P103" s="45">
        <f>+E103/G103</f>
        <v>0.49897215867158667</v>
      </c>
      <c r="Q103" s="45">
        <f>+D103/G103</f>
        <v>2.59760147601476E-2</v>
      </c>
      <c r="R103" s="43">
        <v>2296</v>
      </c>
      <c r="S103" s="46">
        <f>+E103/R103</f>
        <v>4.7115489547038321</v>
      </c>
      <c r="T103" s="24">
        <f>IF(R103=0,0,+F103/R103)</f>
        <v>9.5818815331010452</v>
      </c>
      <c r="U103" s="24">
        <f>IF(L103=0,0,+L103/G103)</f>
        <v>4.6914206642066425</v>
      </c>
      <c r="V103" s="47">
        <v>42</v>
      </c>
      <c r="W103" s="43"/>
      <c r="X103" s="24"/>
      <c r="Y103" s="43"/>
      <c r="Z103" s="48">
        <f>IF(V103=0,0,+M103/V103)</f>
        <v>6.3433491477771914E-2</v>
      </c>
      <c r="AA103" s="49" t="str">
        <f>IF(W103=0,"",+X103/W103)</f>
        <v/>
      </c>
      <c r="AB103" s="65">
        <v>0.30909090909090908</v>
      </c>
      <c r="AC103" s="65">
        <v>1.3763636363636365</v>
      </c>
      <c r="AD103" s="65">
        <v>2.3136363636363635</v>
      </c>
      <c r="AE103" s="65">
        <v>0.62409090909090914</v>
      </c>
      <c r="AF103" s="50" t="s">
        <v>81</v>
      </c>
      <c r="AG103" s="51"/>
      <c r="AH103" s="51"/>
      <c r="AI103" s="51"/>
      <c r="AJ103" s="51"/>
      <c r="AK103" s="51"/>
      <c r="AL103" s="51"/>
      <c r="AM103" s="51"/>
      <c r="AN103" s="53"/>
      <c r="AO103" s="54">
        <f t="shared" si="33"/>
        <v>0</v>
      </c>
      <c r="AP103" s="55" t="s">
        <v>82</v>
      </c>
      <c r="AQ103" s="51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51"/>
      <c r="BG103" s="43">
        <v>22000</v>
      </c>
      <c r="BH103" s="56"/>
      <c r="BI103" s="57">
        <f t="shared" si="34"/>
        <v>1</v>
      </c>
      <c r="BJ103" s="58">
        <v>2.6640000000000001</v>
      </c>
      <c r="BK103" s="59">
        <v>42</v>
      </c>
      <c r="BL103" s="48">
        <v>4.2999999999999997E-2</v>
      </c>
      <c r="BM103" s="48">
        <v>0.19800000000000001</v>
      </c>
      <c r="BN103" s="48">
        <v>0.45200000000000001</v>
      </c>
      <c r="BO103" s="48">
        <v>0.9</v>
      </c>
      <c r="BP103" s="48">
        <v>1.55</v>
      </c>
      <c r="BQ103" s="48">
        <v>2.1</v>
      </c>
      <c r="BR103" s="78" t="s">
        <v>104</v>
      </c>
      <c r="BS103" s="48">
        <v>2.6640000000000001</v>
      </c>
      <c r="BT103" s="41">
        <v>42</v>
      </c>
      <c r="BU103" s="43"/>
      <c r="BV103" s="60">
        <v>42262</v>
      </c>
      <c r="BW103" s="44">
        <v>0.71083933518005549</v>
      </c>
      <c r="BX103" s="43">
        <v>21650</v>
      </c>
      <c r="BY103" s="43">
        <v>12672</v>
      </c>
      <c r="BZ103" s="44">
        <v>0.58531177829099312</v>
      </c>
      <c r="CA103" s="43">
        <v>23</v>
      </c>
      <c r="CB103" s="43">
        <v>75</v>
      </c>
      <c r="CC103" s="44">
        <v>1.0623556581986144E-3</v>
      </c>
      <c r="CD103" s="44">
        <v>3.4642032332563512E-3</v>
      </c>
    </row>
    <row r="104" spans="1:82" x14ac:dyDescent="0.25">
      <c r="A104" s="39" t="s">
        <v>117</v>
      </c>
      <c r="B104" s="40" t="s">
        <v>80</v>
      </c>
      <c r="C104" s="41">
        <v>808</v>
      </c>
      <c r="D104" s="61">
        <v>989.62</v>
      </c>
      <c r="E104" s="61">
        <v>7118.3058000000001</v>
      </c>
      <c r="F104" s="43">
        <v>18500</v>
      </c>
      <c r="G104" s="43">
        <v>17960</v>
      </c>
      <c r="H104" s="44">
        <f>IF(F104=0,0,+((F104-G104)/F104))</f>
        <v>2.9189189189189189E-2</v>
      </c>
      <c r="I104" s="39">
        <v>104</v>
      </c>
      <c r="J104" s="44">
        <f>+(I104/F104)</f>
        <v>5.6216216216216216E-3</v>
      </c>
      <c r="K104" s="43">
        <v>48490</v>
      </c>
      <c r="L104" s="43">
        <v>92150</v>
      </c>
      <c r="M104" s="24">
        <f>IF(G104=0,0,+K104/G104)</f>
        <v>2.6998886414253898</v>
      </c>
      <c r="N104" s="24">
        <f>IF(K104=0,0,+L104/K104)</f>
        <v>1.9003918333677048</v>
      </c>
      <c r="O104" s="24">
        <f t="shared" ref="O104:O109" si="51">+L104/((G104-CA104-CB104)*M104)</f>
        <v>1.9185518452661032</v>
      </c>
      <c r="P104" s="45">
        <f>IF(G104=0,0,+E104/G104)</f>
        <v>0.39634219376391983</v>
      </c>
      <c r="Q104" s="45">
        <f>IF(G104=0,0,+D104/G104)</f>
        <v>5.5101336302895321E-2</v>
      </c>
      <c r="R104" s="43">
        <v>1500</v>
      </c>
      <c r="S104" s="45">
        <f>IF(R104=0,0,+E104/R104)</f>
        <v>4.7455372000000002</v>
      </c>
      <c r="T104" s="24">
        <f>IF(R104=0,0,+F104/R104)</f>
        <v>12.333333333333334</v>
      </c>
      <c r="U104" s="24">
        <f>IF(L104=0,0,+L104/G104)</f>
        <v>5.1308463251670382</v>
      </c>
      <c r="V104" s="47">
        <v>42</v>
      </c>
      <c r="W104" s="43"/>
      <c r="X104" s="24"/>
      <c r="Y104" s="43"/>
      <c r="Z104" s="48">
        <f>IF(V104=0,0,+M104/V104)</f>
        <v>6.4283062891080711E-2</v>
      </c>
      <c r="AA104" s="71" t="str">
        <f>IF(W104=0,"",+X104/W104)</f>
        <v/>
      </c>
      <c r="AB104" s="48">
        <v>0.3145945945945946</v>
      </c>
      <c r="AC104" s="48">
        <v>1.4767567567567568</v>
      </c>
      <c r="AD104" s="48">
        <v>2.6508108108108108</v>
      </c>
      <c r="AE104" s="48">
        <v>0.53891891891891897</v>
      </c>
      <c r="AF104" s="50" t="s">
        <v>81</v>
      </c>
      <c r="AG104" s="51"/>
      <c r="AH104" s="51"/>
      <c r="AI104" s="51">
        <v>18500</v>
      </c>
      <c r="AJ104" s="51"/>
      <c r="AK104" s="51"/>
      <c r="AL104" s="52"/>
      <c r="AM104" s="51"/>
      <c r="AN104" s="53"/>
      <c r="AO104" s="54">
        <f t="shared" si="33"/>
        <v>1</v>
      </c>
      <c r="AP104" s="55" t="s">
        <v>82</v>
      </c>
      <c r="AQ104" s="51"/>
      <c r="AR104" s="43"/>
      <c r="AS104" s="43"/>
      <c r="AT104" s="43"/>
      <c r="AU104" s="51"/>
      <c r="AV104" s="43"/>
      <c r="AW104" s="52"/>
      <c r="AX104" s="43"/>
      <c r="AY104" s="51"/>
      <c r="AZ104" s="43"/>
      <c r="BA104" s="43"/>
      <c r="BB104" s="43"/>
      <c r="BC104" s="43"/>
      <c r="BD104" s="43"/>
      <c r="BE104" s="43"/>
      <c r="BF104" s="51"/>
      <c r="BG104" s="43"/>
      <c r="BH104" s="53"/>
      <c r="BI104" s="57">
        <f t="shared" si="34"/>
        <v>0</v>
      </c>
      <c r="BJ104" s="58">
        <v>2.7</v>
      </c>
      <c r="BK104" s="59">
        <v>42</v>
      </c>
      <c r="BL104" s="48">
        <v>4.5999999999999999E-2</v>
      </c>
      <c r="BM104" s="48">
        <v>0.17</v>
      </c>
      <c r="BN104" s="48">
        <v>0.46</v>
      </c>
      <c r="BO104" s="48">
        <v>0.87</v>
      </c>
      <c r="BP104" s="48">
        <v>1.5</v>
      </c>
      <c r="BQ104" s="48">
        <v>2.0499999999999998</v>
      </c>
      <c r="BR104" s="48"/>
      <c r="BS104" s="48">
        <v>2.7</v>
      </c>
      <c r="BT104" s="41">
        <v>42</v>
      </c>
      <c r="BU104" s="43">
        <v>4000</v>
      </c>
      <c r="BV104" s="60">
        <v>42136</v>
      </c>
      <c r="BW104" s="44">
        <v>0.70150216539492671</v>
      </c>
      <c r="BX104" s="43">
        <v>17818</v>
      </c>
      <c r="BY104" s="43">
        <v>8816</v>
      </c>
      <c r="BZ104" s="44">
        <v>0.49478055898529577</v>
      </c>
      <c r="CA104" s="43">
        <v>44</v>
      </c>
      <c r="CB104" s="43">
        <v>126</v>
      </c>
      <c r="CC104" s="44">
        <v>2.4694129531933999E-3</v>
      </c>
      <c r="CD104" s="44">
        <v>7.0715007295992817E-3</v>
      </c>
    </row>
    <row r="105" spans="1:82" x14ac:dyDescent="0.25">
      <c r="A105" s="39" t="s">
        <v>110</v>
      </c>
      <c r="B105" s="40" t="s">
        <v>80</v>
      </c>
      <c r="C105" s="41">
        <v>810</v>
      </c>
      <c r="D105" s="42">
        <v>1124.19</v>
      </c>
      <c r="E105" s="42">
        <v>13560.12</v>
      </c>
      <c r="F105" s="43">
        <v>35000</v>
      </c>
      <c r="G105" s="43">
        <v>30596</v>
      </c>
      <c r="H105" s="44">
        <v>0.12582857142857143</v>
      </c>
      <c r="I105" s="39">
        <v>2969</v>
      </c>
      <c r="J105" s="44">
        <v>8.4828571428571434E-2</v>
      </c>
      <c r="K105" s="43">
        <v>91800</v>
      </c>
      <c r="L105" s="43">
        <v>171170</v>
      </c>
      <c r="M105" s="24">
        <v>3.0003922081317818</v>
      </c>
      <c r="N105" s="24">
        <v>1.8645969498910675</v>
      </c>
      <c r="O105" s="24">
        <f t="shared" si="51"/>
        <v>1.8942526904694061</v>
      </c>
      <c r="P105" s="45">
        <v>0.44319911099490134</v>
      </c>
      <c r="Q105" s="45">
        <v>3.674303830566087E-2</v>
      </c>
      <c r="R105" s="43">
        <v>2856</v>
      </c>
      <c r="S105" s="46">
        <v>4.7479411764705883</v>
      </c>
      <c r="T105" s="24">
        <v>12.254901960784315</v>
      </c>
      <c r="U105" s="24">
        <v>5.5945221597594461</v>
      </c>
      <c r="V105" s="47">
        <v>42</v>
      </c>
      <c r="W105" s="43"/>
      <c r="X105" s="24"/>
      <c r="Y105" s="43"/>
      <c r="Z105" s="48">
        <v>7.1437909717423378E-2</v>
      </c>
      <c r="AA105" s="62" t="s">
        <v>84</v>
      </c>
      <c r="AB105" s="48">
        <v>0.316</v>
      </c>
      <c r="AC105" s="48">
        <v>1.4228571428571428</v>
      </c>
      <c r="AD105" s="48">
        <v>2.7742857142857145</v>
      </c>
      <c r="AE105" s="48">
        <v>0.37742857142857145</v>
      </c>
      <c r="AF105" s="50" t="s">
        <v>81</v>
      </c>
      <c r="AG105" s="51"/>
      <c r="AH105" s="51"/>
      <c r="AI105" s="51"/>
      <c r="AJ105" s="51"/>
      <c r="AK105" s="51"/>
      <c r="AL105" s="52"/>
      <c r="AM105" s="51"/>
      <c r="AN105" s="53"/>
      <c r="AO105" s="54">
        <f t="shared" si="33"/>
        <v>0</v>
      </c>
      <c r="AP105" s="55" t="s">
        <v>82</v>
      </c>
      <c r="AQ105" s="51"/>
      <c r="AR105" s="43"/>
      <c r="AS105" s="43"/>
      <c r="AT105" s="43"/>
      <c r="AU105" s="43"/>
      <c r="AV105" s="43">
        <v>35000</v>
      </c>
      <c r="AW105" s="52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56"/>
      <c r="BI105" s="57">
        <f t="shared" si="34"/>
        <v>1</v>
      </c>
      <c r="BJ105" s="58">
        <v>2.8940000000000001</v>
      </c>
      <c r="BK105" s="59">
        <v>41</v>
      </c>
      <c r="BL105" s="48"/>
      <c r="BM105" s="48">
        <v>0.191</v>
      </c>
      <c r="BN105" s="48">
        <v>0.53</v>
      </c>
      <c r="BO105" s="48">
        <v>1.0175000000000001</v>
      </c>
      <c r="BP105" s="48">
        <v>1.5609999999999999</v>
      </c>
      <c r="BQ105" s="48">
        <v>2.2280000000000002</v>
      </c>
      <c r="BR105" s="48">
        <v>3.0009999999999999</v>
      </c>
      <c r="BS105" s="48">
        <v>3.2109999999999999</v>
      </c>
      <c r="BT105" s="41">
        <v>44</v>
      </c>
      <c r="BU105" s="43">
        <v>3000</v>
      </c>
      <c r="BV105" s="60">
        <v>42099</v>
      </c>
      <c r="BW105" s="44">
        <v>0.69035686274509811</v>
      </c>
      <c r="BX105" s="43">
        <v>30238</v>
      </c>
      <c r="BY105" s="43">
        <v>11696</v>
      </c>
      <c r="BZ105" s="44">
        <v>0.38679806865533434</v>
      </c>
      <c r="CA105" s="43">
        <v>189</v>
      </c>
      <c r="CB105" s="43">
        <v>290</v>
      </c>
      <c r="CC105" s="44">
        <v>6.2504133871287785E-3</v>
      </c>
      <c r="CD105" s="44">
        <v>9.5905813876579135E-3</v>
      </c>
    </row>
    <row r="106" spans="1:82" x14ac:dyDescent="0.25">
      <c r="A106" s="39" t="s">
        <v>118</v>
      </c>
      <c r="B106" s="40" t="s">
        <v>80</v>
      </c>
      <c r="C106" s="41">
        <v>908</v>
      </c>
      <c r="D106" s="61">
        <v>4400.97</v>
      </c>
      <c r="E106" s="61">
        <v>38642.58</v>
      </c>
      <c r="F106" s="43">
        <v>99400</v>
      </c>
      <c r="G106" s="43">
        <v>96010</v>
      </c>
      <c r="H106" s="44">
        <f>IF(F106=0,0,+((F106-G106)/F106))</f>
        <v>3.4104627766599595E-2</v>
      </c>
      <c r="I106" s="39">
        <v>1691</v>
      </c>
      <c r="J106" s="44">
        <f>+(I106/F106)</f>
        <v>1.7012072434607645E-2</v>
      </c>
      <c r="K106" s="43">
        <v>283840</v>
      </c>
      <c r="L106" s="43">
        <v>541280</v>
      </c>
      <c r="M106" s="24">
        <f>IF(G106=0,0,+K106/G106)</f>
        <v>2.9563587126341004</v>
      </c>
      <c r="N106" s="24">
        <f>IF(K106=0,0,+L106/K106)</f>
        <v>1.906989853438557</v>
      </c>
      <c r="O106" s="24">
        <f t="shared" si="51"/>
        <v>1.9190224701139933</v>
      </c>
      <c r="P106" s="45">
        <f>IF(G106=0,0,+E106/G106)</f>
        <v>0.4024849494844287</v>
      </c>
      <c r="Q106" s="45">
        <f>IF(G106=0,0,+D106/G106)</f>
        <v>4.5838662639308407E-2</v>
      </c>
      <c r="R106" s="43">
        <v>8137</v>
      </c>
      <c r="S106" s="45">
        <f>IF(R106=0,0,+E106/R106)</f>
        <v>4.7489959444512726</v>
      </c>
      <c r="T106" s="24">
        <f>IF(R106=0,0,+F106/R106)</f>
        <v>12.215804350497727</v>
      </c>
      <c r="U106" s="24">
        <f>IF(L106=0,0,+L106/G106)</f>
        <v>5.6377460681179041</v>
      </c>
      <c r="V106" s="47">
        <v>44.17</v>
      </c>
      <c r="W106" s="43"/>
      <c r="X106" s="24"/>
      <c r="Y106" s="43"/>
      <c r="Z106" s="48">
        <f>IF(V106=0,0,+M106/V106)</f>
        <v>6.6931372257960156E-2</v>
      </c>
      <c r="AA106" s="71" t="str">
        <f>IF(W106=0,"",+X106/W106)</f>
        <v/>
      </c>
      <c r="AB106" s="48">
        <v>0.25754527162977869</v>
      </c>
      <c r="AC106" s="48">
        <v>1.5223340040241449</v>
      </c>
      <c r="AD106" s="48">
        <v>2.5877263581488932</v>
      </c>
      <c r="AE106" s="48">
        <v>1.077867203219316</v>
      </c>
      <c r="AF106" s="50" t="s">
        <v>81</v>
      </c>
      <c r="AG106" s="51"/>
      <c r="AH106" s="51"/>
      <c r="AI106" s="51"/>
      <c r="AJ106" s="51"/>
      <c r="AK106" s="51"/>
      <c r="AL106" s="52"/>
      <c r="AM106" s="51"/>
      <c r="AN106" s="53"/>
      <c r="AO106" s="54">
        <f t="shared" si="33"/>
        <v>0</v>
      </c>
      <c r="AP106" s="55" t="s">
        <v>82</v>
      </c>
      <c r="AQ106" s="51"/>
      <c r="AR106" s="43"/>
      <c r="AS106" s="43"/>
      <c r="AT106" s="43">
        <v>16400</v>
      </c>
      <c r="AU106" s="51"/>
      <c r="AV106" s="43">
        <v>32000</v>
      </c>
      <c r="AW106" s="52"/>
      <c r="AX106" s="43"/>
      <c r="AY106" s="51"/>
      <c r="AZ106" s="43">
        <v>16300</v>
      </c>
      <c r="BA106" s="43">
        <v>34700</v>
      </c>
      <c r="BB106" s="43"/>
      <c r="BC106" s="43"/>
      <c r="BD106" s="43"/>
      <c r="BE106" s="43"/>
      <c r="BF106" s="51"/>
      <c r="BG106" s="43"/>
      <c r="BH106" s="53"/>
      <c r="BI106" s="57">
        <f t="shared" si="34"/>
        <v>1</v>
      </c>
      <c r="BJ106" s="58">
        <v>3.0169999999999999</v>
      </c>
      <c r="BK106" s="59">
        <v>44</v>
      </c>
      <c r="BL106" s="48">
        <v>4.1000000000000002E-2</v>
      </c>
      <c r="BM106" s="48">
        <v>0.188</v>
      </c>
      <c r="BN106" s="48">
        <v>0.53400000000000003</v>
      </c>
      <c r="BO106" s="48">
        <v>0.998</v>
      </c>
      <c r="BP106" s="48">
        <v>1.458</v>
      </c>
      <c r="BQ106" s="48">
        <v>2.1669999999999998</v>
      </c>
      <c r="BR106" s="48">
        <v>2.7690000000000001</v>
      </c>
      <c r="BS106" s="48">
        <v>2.992</v>
      </c>
      <c r="BT106" s="41">
        <v>46</v>
      </c>
      <c r="BU106" s="43"/>
      <c r="BV106" s="60">
        <v>42130</v>
      </c>
      <c r="BW106" s="44">
        <v>0.69734047350620065</v>
      </c>
      <c r="BX106" s="43">
        <v>95322</v>
      </c>
      <c r="BY106" s="43">
        <v>42808</v>
      </c>
      <c r="BZ106" s="44">
        <v>0.44908835316086526</v>
      </c>
      <c r="CA106" s="43">
        <v>233</v>
      </c>
      <c r="CB106" s="43">
        <v>369</v>
      </c>
      <c r="CC106" s="44">
        <v>2.4443465307064476E-3</v>
      </c>
      <c r="CD106" s="44">
        <v>3.8710895700887517E-3</v>
      </c>
    </row>
    <row r="107" spans="1:82" x14ac:dyDescent="0.25">
      <c r="A107" s="39" t="s">
        <v>106</v>
      </c>
      <c r="B107" s="40" t="s">
        <v>86</v>
      </c>
      <c r="C107" s="41">
        <v>734</v>
      </c>
      <c r="D107" s="61">
        <v>470.66</v>
      </c>
      <c r="E107" s="61">
        <v>5714.85</v>
      </c>
      <c r="F107" s="43">
        <v>15900</v>
      </c>
      <c r="G107" s="43">
        <v>15580</v>
      </c>
      <c r="H107" s="44">
        <f>IF(F107=0,0,+((F107-G107)/F107))</f>
        <v>2.0125786163522012E-2</v>
      </c>
      <c r="I107" s="39">
        <v>94</v>
      </c>
      <c r="J107" s="44">
        <f>+(I107/F107)</f>
        <v>5.9119496855345914E-3</v>
      </c>
      <c r="K107" s="43">
        <v>41900</v>
      </c>
      <c r="L107" s="43">
        <v>80360</v>
      </c>
      <c r="M107" s="24">
        <f>IF(G107=0,0,+K107/G107)</f>
        <v>2.6893453145057769</v>
      </c>
      <c r="N107" s="24">
        <f>IF(K107=0,0,+L107/K107)</f>
        <v>1.9178997613365154</v>
      </c>
      <c r="O107" s="24">
        <f t="shared" si="51"/>
        <v>1.9357915445467033</v>
      </c>
      <c r="P107" s="45">
        <f>IF(G107=0,0,+E107/G107)</f>
        <v>0.36680680359435175</v>
      </c>
      <c r="Q107" s="45">
        <f>IF(G107=0,0,+D107/G107)</f>
        <v>3.0209242618741979E-2</v>
      </c>
      <c r="R107" s="43">
        <v>1200</v>
      </c>
      <c r="S107" s="45">
        <f>IF(R107=0,0,+E107/R107)</f>
        <v>4.7623750000000005</v>
      </c>
      <c r="T107" s="24">
        <f>IF(R107=0,0,+F107/R107)</f>
        <v>13.25</v>
      </c>
      <c r="U107" s="24">
        <f>IF(L107=0,0,+L107/G107)</f>
        <v>5.1578947368421053</v>
      </c>
      <c r="V107" s="47">
        <v>43</v>
      </c>
      <c r="W107" s="43"/>
      <c r="X107" s="24"/>
      <c r="Y107" s="43"/>
      <c r="Z107" s="48">
        <f>IF(V107=0,0,+M107/V107)</f>
        <v>6.2542914290832016E-2</v>
      </c>
      <c r="AA107" s="62" t="str">
        <f>IF(W107=0,"",+X107/W107)</f>
        <v/>
      </c>
      <c r="AB107" s="48">
        <v>0.29937106918238993</v>
      </c>
      <c r="AC107" s="48">
        <v>1.4062893081761005</v>
      </c>
      <c r="AD107" s="48">
        <v>2.5257861635220125</v>
      </c>
      <c r="AE107" s="48">
        <v>0.8226415094339623</v>
      </c>
      <c r="AF107" s="50" t="s">
        <v>81</v>
      </c>
      <c r="AG107" s="51"/>
      <c r="AH107" s="39"/>
      <c r="AI107" s="51"/>
      <c r="AJ107" s="51"/>
      <c r="AK107" s="39"/>
      <c r="AL107" s="52"/>
      <c r="AM107" s="39"/>
      <c r="AN107" s="72"/>
      <c r="AO107" s="54">
        <f t="shared" si="33"/>
        <v>0</v>
      </c>
      <c r="AP107" s="55" t="s">
        <v>82</v>
      </c>
      <c r="AQ107" s="39"/>
      <c r="AR107" s="39"/>
      <c r="AS107" s="39"/>
      <c r="AT107" s="39"/>
      <c r="AU107" s="39"/>
      <c r="AV107" s="39"/>
      <c r="AW107" s="52"/>
      <c r="AX107" s="39"/>
      <c r="AY107" s="39"/>
      <c r="AZ107" s="43"/>
      <c r="BA107" s="43">
        <v>15900</v>
      </c>
      <c r="BB107" s="43"/>
      <c r="BC107" s="43"/>
      <c r="BD107" s="43"/>
      <c r="BE107" s="43"/>
      <c r="BF107" s="51"/>
      <c r="BG107" s="43"/>
      <c r="BH107" s="56"/>
      <c r="BI107" s="57">
        <f t="shared" si="34"/>
        <v>1</v>
      </c>
      <c r="BJ107" s="58">
        <v>2.6890000000000001</v>
      </c>
      <c r="BK107" s="59">
        <v>43</v>
      </c>
      <c r="BL107" s="48"/>
      <c r="BM107" s="48">
        <v>0.18</v>
      </c>
      <c r="BN107" s="48">
        <v>0.45</v>
      </c>
      <c r="BO107" s="48"/>
      <c r="BP107" s="48">
        <v>1.5</v>
      </c>
      <c r="BQ107" s="48">
        <v>2.02</v>
      </c>
      <c r="BR107" s="48">
        <v>2.69</v>
      </c>
      <c r="BS107" s="48">
        <v>2.6890000000000001</v>
      </c>
      <c r="BT107" s="41">
        <v>43</v>
      </c>
      <c r="BU107" s="43"/>
      <c r="BV107" s="60">
        <v>42174</v>
      </c>
      <c r="BW107" s="44">
        <v>0.71573675417661098</v>
      </c>
      <c r="BX107" s="43">
        <v>15438</v>
      </c>
      <c r="BY107" s="43">
        <v>6896</v>
      </c>
      <c r="BZ107" s="44">
        <v>0.4466899857494494</v>
      </c>
      <c r="CA107" s="43">
        <v>15</v>
      </c>
      <c r="CB107" s="43">
        <v>129</v>
      </c>
      <c r="CC107" s="44">
        <v>9.7162844928099499E-4</v>
      </c>
      <c r="CD107" s="44">
        <v>8.3560046638165558E-3</v>
      </c>
    </row>
    <row r="108" spans="1:82" x14ac:dyDescent="0.25">
      <c r="A108" s="39" t="s">
        <v>98</v>
      </c>
      <c r="B108" s="40" t="s">
        <v>80</v>
      </c>
      <c r="C108" s="41">
        <v>823</v>
      </c>
      <c r="D108" s="61">
        <v>342.46</v>
      </c>
      <c r="E108" s="61">
        <v>7645.2702499999996</v>
      </c>
      <c r="F108" s="43">
        <v>17600</v>
      </c>
      <c r="G108" s="43">
        <v>17050</v>
      </c>
      <c r="H108" s="44">
        <f>IF(F108=0,0,+((F108-G108)/F108))</f>
        <v>3.125E-2</v>
      </c>
      <c r="I108" s="39">
        <v>300</v>
      </c>
      <c r="J108" s="44">
        <f>+(I108/F108)</f>
        <v>1.7045454545454544E-2</v>
      </c>
      <c r="K108" s="43">
        <v>49500</v>
      </c>
      <c r="L108" s="43">
        <v>95640</v>
      </c>
      <c r="M108" s="24">
        <f>IF(G108=0,0,+K108/G108)</f>
        <v>2.903225806451613</v>
      </c>
      <c r="N108" s="24">
        <f>IF(K108=0,0,+L108/K108)</f>
        <v>1.9321212121212121</v>
      </c>
      <c r="O108" s="24">
        <f t="shared" si="51"/>
        <v>2.0185457516339866</v>
      </c>
      <c r="P108" s="45">
        <f>IF(G108=0,0,+E108/G108)</f>
        <v>0.4484029472140762</v>
      </c>
      <c r="Q108" s="45">
        <f>IF(G108=0,0,+D108/G108)</f>
        <v>2.0085630498533725E-2</v>
      </c>
      <c r="R108" s="43">
        <v>1600</v>
      </c>
      <c r="S108" s="45">
        <f>IF(R108=0,0,+E108/R108)</f>
        <v>4.7782939062500001</v>
      </c>
      <c r="T108" s="24">
        <f>IF(R108=0,0,+F108/R108)</f>
        <v>11</v>
      </c>
      <c r="U108" s="24">
        <f>IF(L108=0,0,+L108/G108)</f>
        <v>5.6093841642228739</v>
      </c>
      <c r="V108" s="47">
        <v>45</v>
      </c>
      <c r="W108" s="43"/>
      <c r="X108" s="24"/>
      <c r="Y108" s="43"/>
      <c r="Z108" s="48">
        <f>IF(V108=0,0,+M108/V108)</f>
        <v>6.4516129032258063E-2</v>
      </c>
      <c r="AA108" s="71" t="str">
        <f>IF(W108=0,"",+X108/W108)</f>
        <v/>
      </c>
      <c r="AB108" s="48">
        <v>0.2935897435897436</v>
      </c>
      <c r="AC108" s="48">
        <v>1.4307692307692308</v>
      </c>
      <c r="AD108" s="48">
        <v>2.3891025641025641</v>
      </c>
      <c r="AE108" s="48">
        <v>0.62948717948717947</v>
      </c>
      <c r="AF108" s="50" t="s">
        <v>81</v>
      </c>
      <c r="AG108" s="51"/>
      <c r="AH108" s="51"/>
      <c r="AI108" s="51"/>
      <c r="AJ108" s="51"/>
      <c r="AK108" s="51"/>
      <c r="AL108" s="52"/>
      <c r="AM108" s="51"/>
      <c r="AN108" s="53"/>
      <c r="AO108" s="54">
        <f t="shared" si="33"/>
        <v>0</v>
      </c>
      <c r="AP108" s="55" t="s">
        <v>82</v>
      </c>
      <c r="AQ108" s="51"/>
      <c r="AR108" s="43"/>
      <c r="AS108" s="43"/>
      <c r="AT108" s="43"/>
      <c r="AU108" s="51"/>
      <c r="AV108" s="43"/>
      <c r="AW108" s="52"/>
      <c r="AX108" s="43"/>
      <c r="AY108" s="51"/>
      <c r="AZ108" s="43"/>
      <c r="BA108" s="43"/>
      <c r="BB108" s="43"/>
      <c r="BC108" s="43"/>
      <c r="BD108" s="43"/>
      <c r="BE108" s="43">
        <v>29800</v>
      </c>
      <c r="BF108" s="51"/>
      <c r="BG108" s="43">
        <v>1400</v>
      </c>
      <c r="BH108" s="53"/>
      <c r="BI108" s="57">
        <f t="shared" si="34"/>
        <v>1.7727272727272727</v>
      </c>
      <c r="BJ108" s="58">
        <v>2.903</v>
      </c>
      <c r="BK108" s="59">
        <v>45</v>
      </c>
      <c r="BL108" s="48">
        <v>0.04</v>
      </c>
      <c r="BM108" s="48">
        <v>0.2165</v>
      </c>
      <c r="BN108" s="48">
        <v>0.51700000000000002</v>
      </c>
      <c r="BO108" s="48">
        <v>0.94499999999999995</v>
      </c>
      <c r="BP108" s="48">
        <v>1.5329999999999999</v>
      </c>
      <c r="BQ108" s="48">
        <v>2.1349999999999998</v>
      </c>
      <c r="BR108" s="48"/>
      <c r="BS108" s="48">
        <v>2.903</v>
      </c>
      <c r="BT108" s="41">
        <v>45</v>
      </c>
      <c r="BU108" s="43">
        <v>1500</v>
      </c>
      <c r="BV108" s="60">
        <v>42143</v>
      </c>
      <c r="BW108" s="44">
        <v>0.6837405815423514</v>
      </c>
      <c r="BX108" s="43">
        <v>28254</v>
      </c>
      <c r="BY108" s="43">
        <v>9640</v>
      </c>
      <c r="BZ108" s="44">
        <v>0.34119062787569904</v>
      </c>
      <c r="CA108" s="43">
        <v>285</v>
      </c>
      <c r="CB108" s="43">
        <v>445</v>
      </c>
      <c r="CC108" s="44">
        <v>1.008706731790189E-2</v>
      </c>
      <c r="CD108" s="44">
        <v>1.5749982303390669E-2</v>
      </c>
    </row>
    <row r="109" spans="1:82" x14ac:dyDescent="0.25">
      <c r="A109" s="39" t="s">
        <v>95</v>
      </c>
      <c r="B109" s="40" t="s">
        <v>86</v>
      </c>
      <c r="C109" s="41">
        <v>430</v>
      </c>
      <c r="D109" s="42">
        <v>830.28</v>
      </c>
      <c r="E109" s="42">
        <v>16448.82285</v>
      </c>
      <c r="F109" s="43">
        <v>44100</v>
      </c>
      <c r="G109" s="43">
        <v>43170</v>
      </c>
      <c r="H109" s="44">
        <f>IF(F109=0,0,+((F109-G109)/F109))</f>
        <v>2.1088435374149658E-2</v>
      </c>
      <c r="I109" s="39">
        <v>333</v>
      </c>
      <c r="J109" s="44">
        <f>+(I109/F109)</f>
        <v>7.5510204081632656E-3</v>
      </c>
      <c r="K109" s="43">
        <v>107640</v>
      </c>
      <c r="L109" s="43">
        <v>211920</v>
      </c>
      <c r="M109" s="24">
        <f>IF(G109=0,0,+K109/G109)</f>
        <v>2.4933981931897149</v>
      </c>
      <c r="N109" s="24">
        <f>IF(K109=0,0,+L109/K109)</f>
        <v>1.9687848383500557</v>
      </c>
      <c r="O109" s="24">
        <f t="shared" si="51"/>
        <v>2.0091825793478302</v>
      </c>
      <c r="P109" s="45">
        <f>IF(G109=0,0,+E109/G109)</f>
        <v>0.38102438846421127</v>
      </c>
      <c r="Q109" s="45">
        <f>IF(G109=0,0,+D109/G109)</f>
        <v>1.9232800555941624E-2</v>
      </c>
      <c r="R109" s="43">
        <v>3430</v>
      </c>
      <c r="S109" s="45">
        <f>IF(R109=0,0,+E109/R109)</f>
        <v>4.795575174927114</v>
      </c>
      <c r="T109" s="24">
        <f>IF(R109=0,0,+F109/R109)</f>
        <v>12.857142857142858</v>
      </c>
      <c r="U109" s="24">
        <f>IF(L109=0,0,+L109/G109)</f>
        <v>4.9089645587213342</v>
      </c>
      <c r="V109" s="47">
        <v>42.32</v>
      </c>
      <c r="W109" s="43"/>
      <c r="X109" s="24"/>
      <c r="Y109" s="43"/>
      <c r="Z109" s="48">
        <f>IF(V109=0,0,+M109/V109)</f>
        <v>5.8917726682176624E-2</v>
      </c>
      <c r="AA109" s="49"/>
      <c r="AB109" s="48">
        <v>0.29070294784580497</v>
      </c>
      <c r="AC109" s="48">
        <v>1.4666666666666666</v>
      </c>
      <c r="AD109" s="48">
        <v>2.4648526077097506</v>
      </c>
      <c r="AE109" s="48">
        <v>0.58321995464852605</v>
      </c>
      <c r="AF109" s="50" t="s">
        <v>81</v>
      </c>
      <c r="AG109" s="73"/>
      <c r="AH109" s="73"/>
      <c r="AI109" s="73"/>
      <c r="AJ109" s="73"/>
      <c r="AK109" s="73">
        <v>28200</v>
      </c>
      <c r="AL109" s="39"/>
      <c r="AM109" s="73"/>
      <c r="AN109" s="74"/>
      <c r="AO109" s="54">
        <f t="shared" si="33"/>
        <v>0.63945578231292521</v>
      </c>
      <c r="AP109" s="55" t="s">
        <v>82</v>
      </c>
      <c r="AQ109" s="73"/>
      <c r="AR109" s="39"/>
      <c r="AS109" s="39"/>
      <c r="AT109" s="39"/>
      <c r="AU109" s="39"/>
      <c r="AV109" s="39"/>
      <c r="AW109" s="39">
        <v>1100</v>
      </c>
      <c r="AX109" s="39"/>
      <c r="AY109" s="39"/>
      <c r="AZ109" s="39"/>
      <c r="BA109" s="39">
        <v>14800</v>
      </c>
      <c r="BB109" s="39"/>
      <c r="BC109" s="39"/>
      <c r="BD109" s="39"/>
      <c r="BE109" s="39"/>
      <c r="BF109" s="39"/>
      <c r="BG109" s="39"/>
      <c r="BH109" s="72"/>
      <c r="BI109" s="57">
        <f t="shared" si="34"/>
        <v>0.36054421768707484</v>
      </c>
      <c r="BJ109" s="58">
        <v>2.613</v>
      </c>
      <c r="BK109" s="59">
        <v>42</v>
      </c>
      <c r="BL109" s="48">
        <v>0.04</v>
      </c>
      <c r="BM109" s="48">
        <v>0.185</v>
      </c>
      <c r="BN109" s="48">
        <v>0.45</v>
      </c>
      <c r="BO109" s="48"/>
      <c r="BP109" s="48">
        <v>1.4</v>
      </c>
      <c r="BQ109" s="48">
        <v>2.02</v>
      </c>
      <c r="BR109" s="48">
        <v>2.6150000000000002</v>
      </c>
      <c r="BS109" s="48">
        <v>2.5569999999999999</v>
      </c>
      <c r="BT109" s="41">
        <v>44</v>
      </c>
      <c r="BU109" s="43"/>
      <c r="BV109" s="60">
        <v>42005</v>
      </c>
      <c r="BW109" s="44">
        <v>0.68872548591395499</v>
      </c>
      <c r="BX109" s="39">
        <v>34177</v>
      </c>
      <c r="BY109" s="43">
        <v>10904</v>
      </c>
      <c r="BZ109" s="44">
        <v>0.31904497176463703</v>
      </c>
      <c r="CA109" s="43">
        <v>251</v>
      </c>
      <c r="CB109" s="43">
        <v>617</v>
      </c>
      <c r="CC109" s="44">
        <v>7.3441203148316122E-3</v>
      </c>
      <c r="CD109" s="44">
        <v>1.8053076630482487E-2</v>
      </c>
    </row>
    <row r="110" spans="1:82" x14ac:dyDescent="0.25">
      <c r="A110" s="79" t="s">
        <v>106</v>
      </c>
      <c r="B110" s="80" t="s">
        <v>86</v>
      </c>
      <c r="C110" s="81">
        <v>734</v>
      </c>
      <c r="D110" s="82">
        <v>485.93</v>
      </c>
      <c r="E110" s="82">
        <v>5755.66</v>
      </c>
      <c r="F110" s="83">
        <v>16400</v>
      </c>
      <c r="G110" s="83">
        <v>14800</v>
      </c>
      <c r="H110" s="84">
        <v>9.7560975609756101E-2</v>
      </c>
      <c r="I110" s="79">
        <v>210</v>
      </c>
      <c r="J110" s="84">
        <v>1.2804878048780487E-2</v>
      </c>
      <c r="K110" s="83">
        <v>38040</v>
      </c>
      <c r="L110" s="83">
        <v>70300</v>
      </c>
      <c r="M110" s="85">
        <v>2.5702702702702704</v>
      </c>
      <c r="N110" s="85">
        <v>1.8480546792849633</v>
      </c>
      <c r="O110" s="85">
        <v>1.8801958653617552</v>
      </c>
      <c r="P110" s="86">
        <v>0.38889594594594595</v>
      </c>
      <c r="Q110" s="86">
        <v>3.2833108108108106E-2</v>
      </c>
      <c r="R110" s="83">
        <v>1200</v>
      </c>
      <c r="S110" s="86">
        <v>4.796383333333333</v>
      </c>
      <c r="T110" s="85">
        <v>13.666666666666666</v>
      </c>
      <c r="U110" s="85">
        <v>4.75</v>
      </c>
      <c r="V110" s="87">
        <v>40.32</v>
      </c>
      <c r="W110" s="83"/>
      <c r="X110" s="85"/>
      <c r="Y110" s="83"/>
      <c r="Z110" s="88">
        <v>6.3746782496782506E-2</v>
      </c>
      <c r="AA110" s="89" t="s">
        <v>84</v>
      </c>
      <c r="AB110" s="88">
        <v>0.28170000000000001</v>
      </c>
      <c r="AC110" s="88">
        <v>1.4829000000000001</v>
      </c>
      <c r="AD110" s="88">
        <v>2.2414999999999998</v>
      </c>
      <c r="AE110" s="88">
        <v>0.28050000000000003</v>
      </c>
      <c r="AF110" s="90" t="s">
        <v>81</v>
      </c>
      <c r="AG110" s="91"/>
      <c r="AH110" s="91"/>
      <c r="AI110" s="91"/>
      <c r="AJ110" s="91"/>
      <c r="AK110" s="91"/>
      <c r="AL110" s="79"/>
      <c r="AM110" s="91"/>
      <c r="AN110" s="92"/>
      <c r="AO110" s="93">
        <f t="shared" si="33"/>
        <v>0</v>
      </c>
      <c r="AP110" s="94" t="s">
        <v>82</v>
      </c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 s="83"/>
      <c r="BF110" s="83"/>
      <c r="BG110" s="83">
        <v>16400</v>
      </c>
      <c r="BH110" s="95"/>
      <c r="BI110" s="96">
        <f t="shared" si="34"/>
        <v>1</v>
      </c>
      <c r="BJ110" s="97">
        <v>2.5459999999999998</v>
      </c>
      <c r="BK110" s="98">
        <v>40</v>
      </c>
      <c r="BL110" s="88"/>
      <c r="BM110" s="88"/>
      <c r="BN110" s="88"/>
      <c r="BO110" s="88">
        <v>0.84</v>
      </c>
      <c r="BP110" s="88">
        <v>1.45</v>
      </c>
      <c r="BQ110" s="88">
        <v>2.0099999999999998</v>
      </c>
      <c r="BR110" s="88">
        <v>2.62</v>
      </c>
      <c r="BS110" s="88">
        <v>2.621</v>
      </c>
      <c r="BT110" s="81">
        <v>41</v>
      </c>
      <c r="BU110" s="83"/>
      <c r="BV110" s="99">
        <v>42236</v>
      </c>
      <c r="BW110" s="84">
        <v>0.71360331230283913</v>
      </c>
      <c r="BX110" s="83">
        <v>14796</v>
      </c>
      <c r="BY110" s="83">
        <v>8024</v>
      </c>
      <c r="BZ110" s="84">
        <v>0.54230873208975394</v>
      </c>
      <c r="CA110" s="83">
        <v>15</v>
      </c>
      <c r="CB110" s="83">
        <v>73</v>
      </c>
      <c r="CC110" s="84">
        <v>1.013787510137875E-3</v>
      </c>
      <c r="CD110" s="84">
        <v>4.9337658826709924E-3</v>
      </c>
    </row>
    <row r="111" spans="1:82" x14ac:dyDescent="0.25">
      <c r="A111" s="79" t="s">
        <v>99</v>
      </c>
      <c r="B111" s="80" t="s">
        <v>80</v>
      </c>
      <c r="C111" s="81">
        <v>800</v>
      </c>
      <c r="D111" s="100">
        <v>1047.8000000000002</v>
      </c>
      <c r="E111" s="100">
        <v>14736.06</v>
      </c>
      <c r="F111" s="83">
        <v>38100</v>
      </c>
      <c r="G111" s="83">
        <v>36415</v>
      </c>
      <c r="H111" s="84">
        <f t="shared" ref="H111:H118" si="52">IF(F111=0,0,+((F111-G111)/F111))</f>
        <v>4.4225721784776906E-2</v>
      </c>
      <c r="I111" s="79">
        <v>317</v>
      </c>
      <c r="J111" s="84">
        <f t="shared" ref="J111:J118" si="53">+(I111/F111)</f>
        <v>8.3202099737532814E-3</v>
      </c>
      <c r="K111" s="83">
        <v>94180</v>
      </c>
      <c r="L111" s="83">
        <v>175680</v>
      </c>
      <c r="M111" s="85">
        <f t="shared" ref="M111:M118" si="54">IF(G111=0,0,+K111/G111)</f>
        <v>2.5862968556913359</v>
      </c>
      <c r="N111" s="85">
        <f t="shared" ref="N111:N118" si="55">IF(K111=0,0,+L111/K111)</f>
        <v>1.8653641962200043</v>
      </c>
      <c r="O111" s="85">
        <f>+L111/((G111-CA111-CB111)*M111)</f>
        <v>1.8939172811395599</v>
      </c>
      <c r="P111" s="86">
        <f>IF(G111=0,0,+E111/G111)</f>
        <v>0.40467005354936153</v>
      </c>
      <c r="Q111" s="86">
        <f>IF(G111=0,0,+D111/G111)</f>
        <v>2.8773856927090488E-2</v>
      </c>
      <c r="R111" s="83">
        <v>3072</v>
      </c>
      <c r="S111" s="86">
        <f>IF(R111=0,0,+E111/R111)</f>
        <v>4.7968945312499995</v>
      </c>
      <c r="T111" s="85">
        <f t="shared" ref="T111:T118" si="56">IF(R111=0,0,+F111/R111)</f>
        <v>12.40234375</v>
      </c>
      <c r="U111" s="85">
        <f t="shared" ref="U111:U118" si="57">IF(L111=0,0,+L111/G111)</f>
        <v>4.8243855554029933</v>
      </c>
      <c r="V111" s="87">
        <v>42.665385143484826</v>
      </c>
      <c r="W111" s="83"/>
      <c r="X111" s="85"/>
      <c r="Y111" s="83"/>
      <c r="Z111" s="88">
        <f t="shared" ref="Z111:Z118" si="58">IF(V111=0,0,+M111/V111)</f>
        <v>6.0618153263905877E-2</v>
      </c>
      <c r="AA111" s="101" t="str">
        <f t="shared" ref="AA111:AA118" si="59">IF(W111=0,"",+X111/W111)</f>
        <v/>
      </c>
      <c r="AB111" s="102">
        <v>0.30866141732283464</v>
      </c>
      <c r="AC111" s="102">
        <v>1.4115485564304462</v>
      </c>
      <c r="AD111" s="102">
        <v>2.368503937007874</v>
      </c>
      <c r="AE111" s="102">
        <v>0.52230971128608927</v>
      </c>
      <c r="AF111" s="90" t="s">
        <v>81</v>
      </c>
      <c r="AG111" s="91"/>
      <c r="AH111" s="91"/>
      <c r="AI111" s="91"/>
      <c r="AJ111" s="91"/>
      <c r="AK111" s="91"/>
      <c r="AL111" s="91"/>
      <c r="AM111" s="91"/>
      <c r="AN111" s="92"/>
      <c r="AO111" s="93">
        <f t="shared" si="33"/>
        <v>0</v>
      </c>
      <c r="AP111" s="94" t="s">
        <v>82</v>
      </c>
      <c r="AQ111" s="91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 s="83">
        <v>38100</v>
      </c>
      <c r="BF111" s="91"/>
      <c r="BG111" s="83"/>
      <c r="BH111" s="95"/>
      <c r="BI111" s="96">
        <f t="shared" si="34"/>
        <v>1</v>
      </c>
      <c r="BJ111" s="97">
        <v>2.5230000000000001</v>
      </c>
      <c r="BK111" s="98">
        <v>42</v>
      </c>
      <c r="BL111" s="103"/>
      <c r="BM111" s="88">
        <v>0.1933</v>
      </c>
      <c r="BN111" s="88">
        <v>0.48699999999999999</v>
      </c>
      <c r="BO111" s="88">
        <v>0.997</v>
      </c>
      <c r="BP111" s="88">
        <v>1.71</v>
      </c>
      <c r="BQ111" s="88">
        <v>2.06</v>
      </c>
      <c r="BR111" s="88">
        <v>2.5219999999999998</v>
      </c>
      <c r="BS111" s="88">
        <v>2.7109999999999999</v>
      </c>
      <c r="BT111" s="81">
        <v>44</v>
      </c>
      <c r="BU111" s="83">
        <v>6060</v>
      </c>
      <c r="BV111" s="104">
        <v>42281</v>
      </c>
      <c r="BW111" s="84">
        <v>0.69847876406880449</v>
      </c>
      <c r="BX111" s="83">
        <v>35940</v>
      </c>
      <c r="BY111" s="83">
        <v>17272</v>
      </c>
      <c r="BZ111" s="84">
        <v>0.4805787423483584</v>
      </c>
      <c r="CA111" s="83">
        <v>130</v>
      </c>
      <c r="CB111" s="83">
        <v>419</v>
      </c>
      <c r="CC111" s="84">
        <v>3.6171396772398442E-3</v>
      </c>
      <c r="CD111" s="84">
        <v>1.1658319421257652E-2</v>
      </c>
    </row>
    <row r="112" spans="1:82" x14ac:dyDescent="0.25">
      <c r="A112" s="79" t="s">
        <v>90</v>
      </c>
      <c r="B112" s="80" t="s">
        <v>91</v>
      </c>
      <c r="C112" s="81">
        <v>870</v>
      </c>
      <c r="D112" s="105">
        <v>660.12</v>
      </c>
      <c r="E112" s="105">
        <v>11445.965049999999</v>
      </c>
      <c r="F112" s="83">
        <v>27400</v>
      </c>
      <c r="G112" s="83">
        <v>26810</v>
      </c>
      <c r="H112" s="84">
        <f t="shared" si="52"/>
        <v>2.1532846715328468E-2</v>
      </c>
      <c r="I112" s="79">
        <v>396</v>
      </c>
      <c r="J112" s="84">
        <f t="shared" si="53"/>
        <v>1.4452554744525548E-2</v>
      </c>
      <c r="K112" s="83">
        <v>75120</v>
      </c>
      <c r="L112" s="83">
        <v>144000</v>
      </c>
      <c r="M112" s="85">
        <f t="shared" si="54"/>
        <v>2.8019395747855276</v>
      </c>
      <c r="N112" s="85">
        <f t="shared" si="55"/>
        <v>1.9169329073482428</v>
      </c>
      <c r="O112" s="85">
        <f>+L112/((G112-CA128-CB128)*M112)</f>
        <v>1.954625613129213</v>
      </c>
      <c r="P112" s="86">
        <f>+E112/G112</f>
        <v>0.42692894628869821</v>
      </c>
      <c r="Q112" s="86">
        <f>+D112/G112</f>
        <v>2.4622155911973146E-2</v>
      </c>
      <c r="R112" s="83">
        <v>2383</v>
      </c>
      <c r="S112" s="106">
        <f>+E112/R112</f>
        <v>4.8031745908518673</v>
      </c>
      <c r="T112" s="85">
        <f t="shared" si="56"/>
        <v>11.498111624003357</v>
      </c>
      <c r="U112" s="85">
        <f t="shared" si="57"/>
        <v>5.3711301753077212</v>
      </c>
      <c r="V112" s="87">
        <v>43</v>
      </c>
      <c r="W112" s="83"/>
      <c r="X112" s="85"/>
      <c r="Y112" s="83"/>
      <c r="Z112" s="88">
        <f t="shared" si="58"/>
        <v>6.5161385460128549E-2</v>
      </c>
      <c r="AA112" s="107" t="str">
        <f t="shared" si="59"/>
        <v/>
      </c>
      <c r="AB112" s="102">
        <v>0.29339999999999999</v>
      </c>
      <c r="AC112" s="102">
        <v>1.4496</v>
      </c>
      <c r="AD112" s="102">
        <v>2.1496</v>
      </c>
      <c r="AE112" s="102">
        <v>1.3628</v>
      </c>
      <c r="AF112" s="90" t="s">
        <v>81</v>
      </c>
      <c r="AG112" s="91"/>
      <c r="AH112" s="91"/>
      <c r="AI112" s="91"/>
      <c r="AJ112" s="91"/>
      <c r="AK112" s="91"/>
      <c r="AL112" s="91"/>
      <c r="AM112" s="91"/>
      <c r="AN112" s="92"/>
      <c r="AO112" s="93">
        <f t="shared" si="33"/>
        <v>0</v>
      </c>
      <c r="AP112" s="94" t="s">
        <v>82</v>
      </c>
      <c r="AQ112" s="91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91"/>
      <c r="BG112" s="83">
        <v>27400</v>
      </c>
      <c r="BH112" s="95"/>
      <c r="BI112" s="96">
        <f t="shared" si="34"/>
        <v>1</v>
      </c>
      <c r="BJ112" s="97">
        <v>2.802</v>
      </c>
      <c r="BK112" s="98">
        <v>43</v>
      </c>
      <c r="BL112" s="88">
        <v>4.1000000000000002E-2</v>
      </c>
      <c r="BM112" s="88">
        <v>0.16700000000000001</v>
      </c>
      <c r="BN112" s="88">
        <v>0.44750000000000001</v>
      </c>
      <c r="BO112" s="88">
        <v>0.78500000000000003</v>
      </c>
      <c r="BP112" s="88">
        <v>1.4850000000000001</v>
      </c>
      <c r="BQ112" s="88">
        <v>2.1749999999999998</v>
      </c>
      <c r="BR112" s="103" t="s">
        <v>104</v>
      </c>
      <c r="BS112" s="88">
        <v>2.802</v>
      </c>
      <c r="BT112" s="81">
        <v>43</v>
      </c>
      <c r="BU112" s="83"/>
      <c r="BV112" s="99">
        <v>42265</v>
      </c>
      <c r="BW112" s="84">
        <v>0.6912599840255591</v>
      </c>
      <c r="BX112" s="83">
        <v>26678</v>
      </c>
      <c r="BY112" s="83">
        <v>12472</v>
      </c>
      <c r="BZ112" s="84">
        <v>0.46750131194242445</v>
      </c>
      <c r="CA112" s="83">
        <v>37</v>
      </c>
      <c r="CB112" s="83">
        <v>111</v>
      </c>
      <c r="CC112" s="84">
        <v>1.3869105630107204E-3</v>
      </c>
      <c r="CD112" s="84">
        <v>4.1607316890321612E-3</v>
      </c>
    </row>
    <row r="113" spans="1:82" x14ac:dyDescent="0.25">
      <c r="A113" s="79" t="s">
        <v>107</v>
      </c>
      <c r="B113" s="80" t="s">
        <v>80</v>
      </c>
      <c r="C113" s="81">
        <v>862</v>
      </c>
      <c r="D113" s="108">
        <v>1450.354</v>
      </c>
      <c r="E113" s="108">
        <v>12081.243</v>
      </c>
      <c r="F113" s="83">
        <v>29200</v>
      </c>
      <c r="G113" s="83">
        <v>28600</v>
      </c>
      <c r="H113" s="84">
        <f t="shared" si="52"/>
        <v>2.0547945205479451E-2</v>
      </c>
      <c r="I113" s="79">
        <v>160</v>
      </c>
      <c r="J113" s="84">
        <f t="shared" si="53"/>
        <v>5.4794520547945206E-3</v>
      </c>
      <c r="K113" s="83">
        <v>79610</v>
      </c>
      <c r="L113" s="83">
        <v>151500</v>
      </c>
      <c r="M113" s="85">
        <f t="shared" si="54"/>
        <v>2.7835664335664334</v>
      </c>
      <c r="N113" s="85">
        <f t="shared" si="55"/>
        <v>1.9030272578821756</v>
      </c>
      <c r="O113" s="85">
        <f t="shared" ref="O113:O118" si="60">+L113/((G113-CA113-CB113)*M113)</f>
        <v>1.9158217316846853</v>
      </c>
      <c r="P113" s="86">
        <f>IF(G113=0,0,+E113/G113)</f>
        <v>0.42242108391608391</v>
      </c>
      <c r="Q113" s="86">
        <f>IF(G113=0,0,+D113/G113)</f>
        <v>5.0711678321678326E-2</v>
      </c>
      <c r="R113" s="83">
        <v>2500</v>
      </c>
      <c r="S113" s="86">
        <f>IF(R113=0,0,+E113/R113)</f>
        <v>4.8324971999999997</v>
      </c>
      <c r="T113" s="85">
        <f t="shared" si="56"/>
        <v>11.68</v>
      </c>
      <c r="U113" s="85">
        <f t="shared" si="57"/>
        <v>5.2972027972027975</v>
      </c>
      <c r="V113" s="87">
        <v>42.4</v>
      </c>
      <c r="W113" s="83"/>
      <c r="X113" s="85"/>
      <c r="Y113" s="83"/>
      <c r="Z113" s="88">
        <f t="shared" si="58"/>
        <v>6.5650151735057394E-2</v>
      </c>
      <c r="AA113" s="109" t="str">
        <f t="shared" si="59"/>
        <v/>
      </c>
      <c r="AB113" s="88">
        <v>0.30890410958904108</v>
      </c>
      <c r="AC113" s="88">
        <v>1.4123287671232876</v>
      </c>
      <c r="AD113" s="88">
        <v>2.6808219178082191</v>
      </c>
      <c r="AE113" s="88">
        <v>0.78630136986301369</v>
      </c>
      <c r="AF113" s="90" t="s">
        <v>81</v>
      </c>
      <c r="AG113" s="91"/>
      <c r="AH113" s="79"/>
      <c r="AI113" s="91"/>
      <c r="AJ113" s="91"/>
      <c r="AK113" s="79"/>
      <c r="AL113" s="110"/>
      <c r="AM113" s="79"/>
      <c r="AN113" s="111"/>
      <c r="AO113" s="93">
        <f t="shared" si="33"/>
        <v>0</v>
      </c>
      <c r="AP113" s="94" t="s">
        <v>82</v>
      </c>
      <c r="AQ113" s="79"/>
      <c r="AR113" s="79"/>
      <c r="AS113" s="79"/>
      <c r="AT113" s="79"/>
      <c r="AU113" s="79"/>
      <c r="AV113" s="79"/>
      <c r="AW113" s="110"/>
      <c r="AX113" s="79"/>
      <c r="AY113" s="79"/>
      <c r="AZ113" s="83">
        <v>29200</v>
      </c>
      <c r="BA113" s="83"/>
      <c r="BB113" s="83"/>
      <c r="BC113" s="83"/>
      <c r="BD113" s="83"/>
      <c r="BE113" s="83"/>
      <c r="BF113" s="91"/>
      <c r="BG113" s="83"/>
      <c r="BH113" s="95"/>
      <c r="BI113" s="96">
        <f t="shared" si="34"/>
        <v>1</v>
      </c>
      <c r="BJ113" s="97">
        <v>2.7770000000000001</v>
      </c>
      <c r="BK113" s="98">
        <v>42</v>
      </c>
      <c r="BL113" s="88"/>
      <c r="BM113" s="88">
        <v>0.27500000000000002</v>
      </c>
      <c r="BN113" s="88">
        <v>0.502</v>
      </c>
      <c r="BO113" s="88">
        <v>0.95499999999999996</v>
      </c>
      <c r="BP113" s="88">
        <v>1.49</v>
      </c>
      <c r="BQ113" s="88">
        <v>2.1349999999999998</v>
      </c>
      <c r="BR113" s="88">
        <v>2.0739999999999998</v>
      </c>
      <c r="BS113" s="88">
        <v>2.7930000000000001</v>
      </c>
      <c r="BT113" s="81">
        <v>43</v>
      </c>
      <c r="BU113" s="83">
        <v>2000</v>
      </c>
      <c r="BV113" s="99">
        <v>42157</v>
      </c>
      <c r="BW113" s="84">
        <v>0.69602449441025005</v>
      </c>
      <c r="BX113" s="83">
        <v>28390</v>
      </c>
      <c r="BY113" s="83">
        <v>13496</v>
      </c>
      <c r="BZ113" s="84">
        <v>0.4753786544557943</v>
      </c>
      <c r="CA113" s="83">
        <v>36</v>
      </c>
      <c r="CB113" s="83">
        <v>155</v>
      </c>
      <c r="CC113" s="84">
        <v>1.2680521310320535E-3</v>
      </c>
      <c r="CD113" s="84">
        <v>5.4596688974991193E-3</v>
      </c>
    </row>
    <row r="114" spans="1:82" x14ac:dyDescent="0.25">
      <c r="A114" s="79" t="s">
        <v>117</v>
      </c>
      <c r="B114" s="80" t="s">
        <v>80</v>
      </c>
      <c r="C114" s="81">
        <v>808</v>
      </c>
      <c r="D114" s="108">
        <v>413.16</v>
      </c>
      <c r="E114" s="108">
        <v>7280.5655499999993</v>
      </c>
      <c r="F114" s="83">
        <v>17600</v>
      </c>
      <c r="G114" s="83">
        <v>16910</v>
      </c>
      <c r="H114" s="84">
        <f t="shared" si="52"/>
        <v>3.9204545454545457E-2</v>
      </c>
      <c r="I114" s="79">
        <v>174</v>
      </c>
      <c r="J114" s="84">
        <f t="shared" si="53"/>
        <v>9.8863636363636358E-3</v>
      </c>
      <c r="K114" s="83">
        <v>45920</v>
      </c>
      <c r="L114" s="83">
        <v>86320</v>
      </c>
      <c r="M114" s="85">
        <f t="shared" si="54"/>
        <v>2.7155529272619749</v>
      </c>
      <c r="N114" s="85">
        <f t="shared" si="55"/>
        <v>1.8797909407665505</v>
      </c>
      <c r="O114" s="85">
        <f t="shared" si="60"/>
        <v>1.896728015296997</v>
      </c>
      <c r="P114" s="86">
        <f>IF(G114=0,0,+E114/G114)</f>
        <v>0.43054793317563567</v>
      </c>
      <c r="Q114" s="86">
        <f>IF(G114=0,0,+D114/G114)</f>
        <v>2.4432879952690716E-2</v>
      </c>
      <c r="R114" s="83">
        <v>1500</v>
      </c>
      <c r="S114" s="86">
        <f>IF(R114=0,0,+E114/R114)</f>
        <v>4.8537103666666663</v>
      </c>
      <c r="T114" s="85">
        <f t="shared" si="56"/>
        <v>11.733333333333333</v>
      </c>
      <c r="U114" s="85">
        <f t="shared" si="57"/>
        <v>5.1046717918391487</v>
      </c>
      <c r="V114" s="87">
        <v>43</v>
      </c>
      <c r="W114" s="83"/>
      <c r="X114" s="85"/>
      <c r="Y114" s="83"/>
      <c r="Z114" s="88">
        <f t="shared" si="58"/>
        <v>6.3152393657255237E-2</v>
      </c>
      <c r="AA114" s="109" t="str">
        <f t="shared" si="59"/>
        <v/>
      </c>
      <c r="AB114" s="88">
        <v>0.31931818181818183</v>
      </c>
      <c r="AC114" s="88">
        <v>1.3613636363636363</v>
      </c>
      <c r="AD114" s="88">
        <v>2.5465909090909089</v>
      </c>
      <c r="AE114" s="88">
        <v>0.67727272727272725</v>
      </c>
      <c r="AF114" s="90" t="s">
        <v>81</v>
      </c>
      <c r="AG114" s="91"/>
      <c r="AH114" s="91"/>
      <c r="AI114" s="91"/>
      <c r="AJ114" s="91"/>
      <c r="AK114" s="91"/>
      <c r="AL114" s="110"/>
      <c r="AM114" s="91"/>
      <c r="AN114" s="92"/>
      <c r="AO114" s="93">
        <f t="shared" si="33"/>
        <v>0</v>
      </c>
      <c r="AP114" s="94" t="s">
        <v>82</v>
      </c>
      <c r="AQ114" s="83"/>
      <c r="AR114" s="83"/>
      <c r="AS114" s="83"/>
      <c r="AT114" s="83"/>
      <c r="AU114" s="83"/>
      <c r="AV114" s="83"/>
      <c r="AW114" s="110"/>
      <c r="AX114" s="83"/>
      <c r="AY114" s="83"/>
      <c r="AZ114" s="83"/>
      <c r="BA114" s="83">
        <v>14400</v>
      </c>
      <c r="BB114" s="83"/>
      <c r="BC114" s="83"/>
      <c r="BD114" s="83"/>
      <c r="BE114" s="83"/>
      <c r="BF114" s="83"/>
      <c r="BG114" s="83">
        <v>3200</v>
      </c>
      <c r="BH114" s="95"/>
      <c r="BI114" s="96">
        <f t="shared" si="34"/>
        <v>1</v>
      </c>
      <c r="BJ114" s="97">
        <v>2.7160000000000002</v>
      </c>
      <c r="BK114" s="98">
        <v>43</v>
      </c>
      <c r="BL114" s="88">
        <v>4.7E-2</v>
      </c>
      <c r="BM114" s="88">
        <v>0.17199999999999999</v>
      </c>
      <c r="BN114" s="88">
        <v>0.48</v>
      </c>
      <c r="BO114" s="88">
        <v>1</v>
      </c>
      <c r="BP114" s="88">
        <v>1.6</v>
      </c>
      <c r="BQ114" s="88">
        <v>2.1</v>
      </c>
      <c r="BR114" s="88"/>
      <c r="BS114" s="88">
        <v>2.7160000000000002</v>
      </c>
      <c r="BT114" s="81">
        <v>43</v>
      </c>
      <c r="BU114" s="83"/>
      <c r="BV114" s="99">
        <v>42199</v>
      </c>
      <c r="BW114" s="84">
        <v>0.71129159407665499</v>
      </c>
      <c r="BX114" s="83">
        <v>16762</v>
      </c>
      <c r="BY114" s="83">
        <v>6064</v>
      </c>
      <c r="BZ114" s="84">
        <v>0.36177067175754685</v>
      </c>
      <c r="CA114" s="83">
        <v>30</v>
      </c>
      <c r="CB114" s="83">
        <v>121</v>
      </c>
      <c r="CC114" s="84">
        <v>1.7897625581672831E-3</v>
      </c>
      <c r="CD114" s="84">
        <v>7.2187089846080417E-3</v>
      </c>
    </row>
    <row r="115" spans="1:82" x14ac:dyDescent="0.25">
      <c r="A115" s="79" t="s">
        <v>108</v>
      </c>
      <c r="B115" s="80" t="s">
        <v>80</v>
      </c>
      <c r="C115" s="81">
        <v>932</v>
      </c>
      <c r="D115" s="108">
        <v>1547.04</v>
      </c>
      <c r="E115" s="108">
        <v>13178.15184</v>
      </c>
      <c r="F115" s="83">
        <v>36000</v>
      </c>
      <c r="G115" s="83">
        <v>34208</v>
      </c>
      <c r="H115" s="84">
        <f t="shared" si="52"/>
        <v>4.9777777777777775E-2</v>
      </c>
      <c r="I115" s="79">
        <v>229</v>
      </c>
      <c r="J115" s="84">
        <f t="shared" si="53"/>
        <v>6.3611111111111108E-3</v>
      </c>
      <c r="K115" s="83">
        <v>94760</v>
      </c>
      <c r="L115" s="83">
        <v>184400</v>
      </c>
      <c r="M115" s="85">
        <f t="shared" si="54"/>
        <v>2.7701122544434051</v>
      </c>
      <c r="N115" s="85">
        <f t="shared" si="55"/>
        <v>1.9459687631912199</v>
      </c>
      <c r="O115" s="85">
        <f t="shared" si="60"/>
        <v>1.9745409619804006</v>
      </c>
      <c r="P115" s="86">
        <f>IF(G115=0,0,+E115/G115)</f>
        <v>0.38523596351730588</v>
      </c>
      <c r="Q115" s="86">
        <f>IF(G115=0,0,+D115/G115)</f>
        <v>4.5224508886810101E-2</v>
      </c>
      <c r="R115" s="83">
        <v>2700</v>
      </c>
      <c r="S115" s="86">
        <f>IF(R115=0,0,+E115/R115)</f>
        <v>4.880796977777778</v>
      </c>
      <c r="T115" s="85">
        <f t="shared" si="56"/>
        <v>13.333333333333334</v>
      </c>
      <c r="U115" s="85">
        <f t="shared" si="57"/>
        <v>5.3905519176800745</v>
      </c>
      <c r="V115" s="87">
        <v>44.31</v>
      </c>
      <c r="W115" s="83"/>
      <c r="X115" s="85"/>
      <c r="Y115" s="83"/>
      <c r="Z115" s="88">
        <f t="shared" si="58"/>
        <v>6.2516638556610354E-2</v>
      </c>
      <c r="AA115" s="109" t="str">
        <f t="shared" si="59"/>
        <v/>
      </c>
      <c r="AB115" s="88">
        <v>0.31111111111111112</v>
      </c>
      <c r="AC115" s="88">
        <v>1.4472222222222222</v>
      </c>
      <c r="AD115" s="88">
        <v>2.5122222222222224</v>
      </c>
      <c r="AE115" s="88">
        <v>0.85166666666666668</v>
      </c>
      <c r="AF115" s="90" t="s">
        <v>81</v>
      </c>
      <c r="AG115" s="91"/>
      <c r="AH115" s="83"/>
      <c r="AI115" s="91"/>
      <c r="AJ115" s="91"/>
      <c r="AK115" s="91">
        <v>2300</v>
      </c>
      <c r="AL115" s="110"/>
      <c r="AM115" s="91"/>
      <c r="AN115" s="92"/>
      <c r="AO115" s="93">
        <f t="shared" si="33"/>
        <v>6.3888888888888884E-2</v>
      </c>
      <c r="AP115" s="94" t="s">
        <v>82</v>
      </c>
      <c r="AQ115" s="91"/>
      <c r="AR115" s="83"/>
      <c r="AS115" s="83"/>
      <c r="AT115" s="83"/>
      <c r="AU115" s="83"/>
      <c r="AV115" s="83"/>
      <c r="AW115" s="110"/>
      <c r="AX115" s="83"/>
      <c r="AY115" s="83"/>
      <c r="AZ115" s="83"/>
      <c r="BA115" s="83"/>
      <c r="BB115" s="83"/>
      <c r="BC115" s="83"/>
      <c r="BD115" s="83"/>
      <c r="BE115" s="83">
        <v>33700</v>
      </c>
      <c r="BF115" s="91"/>
      <c r="BG115" s="83"/>
      <c r="BH115" s="95"/>
      <c r="BI115" s="96">
        <f t="shared" si="34"/>
        <v>0.93611111111111112</v>
      </c>
      <c r="BJ115" s="97">
        <v>2.7530000000000001</v>
      </c>
      <c r="BK115" s="98">
        <v>44</v>
      </c>
      <c r="BL115" s="88">
        <v>4.3999999999999997E-2</v>
      </c>
      <c r="BM115" s="88">
        <v>0.1845</v>
      </c>
      <c r="BN115" s="88">
        <v>0.434</v>
      </c>
      <c r="BO115" s="88">
        <v>0.97399999999999998</v>
      </c>
      <c r="BP115" s="88">
        <v>1.5429999999999999</v>
      </c>
      <c r="BQ115" s="88">
        <v>2.0790000000000002</v>
      </c>
      <c r="BR115" s="88"/>
      <c r="BS115" s="88">
        <v>2.806</v>
      </c>
      <c r="BT115" s="81">
        <v>45</v>
      </c>
      <c r="BU115" s="83">
        <v>3000</v>
      </c>
      <c r="BV115" s="99">
        <v>42167</v>
      </c>
      <c r="BW115" s="84">
        <v>0.69371939636977631</v>
      </c>
      <c r="BX115" s="83">
        <v>33664</v>
      </c>
      <c r="BY115" s="83">
        <v>14752</v>
      </c>
      <c r="BZ115" s="84">
        <v>0.43821292775665399</v>
      </c>
      <c r="CA115" s="83">
        <v>79</v>
      </c>
      <c r="CB115" s="83">
        <v>416</v>
      </c>
      <c r="CC115" s="84">
        <v>2.3467205323193917E-3</v>
      </c>
      <c r="CD115" s="84">
        <v>1.2357414448669201E-2</v>
      </c>
    </row>
    <row r="116" spans="1:82" x14ac:dyDescent="0.25">
      <c r="A116" s="79" t="s">
        <v>85</v>
      </c>
      <c r="B116" s="80" t="s">
        <v>86</v>
      </c>
      <c r="C116" s="81">
        <v>430</v>
      </c>
      <c r="D116" s="108">
        <v>2123.66</v>
      </c>
      <c r="E116" s="108">
        <f>11241.56+U116+V116</f>
        <v>11291.83401328644</v>
      </c>
      <c r="F116" s="83">
        <v>29500</v>
      </c>
      <c r="G116" s="83">
        <v>25590</v>
      </c>
      <c r="H116" s="84">
        <f t="shared" si="52"/>
        <v>0.13254237288135592</v>
      </c>
      <c r="I116" s="79">
        <v>1553</v>
      </c>
      <c r="J116" s="84">
        <f t="shared" si="53"/>
        <v>5.2644067796610169E-2</v>
      </c>
      <c r="K116" s="83">
        <v>73250</v>
      </c>
      <c r="L116" s="83">
        <v>140080</v>
      </c>
      <c r="M116" s="85">
        <f t="shared" si="54"/>
        <v>2.8624462680734664</v>
      </c>
      <c r="N116" s="85">
        <f t="shared" si="55"/>
        <v>1.9123549488054608</v>
      </c>
      <c r="O116" s="85">
        <f t="shared" si="60"/>
        <v>1.9296227727586346</v>
      </c>
      <c r="P116" s="86">
        <f>+E116/G116</f>
        <v>0.44125963318821571</v>
      </c>
      <c r="Q116" s="86">
        <f>+D116/G116</f>
        <v>8.2987885892926924E-2</v>
      </c>
      <c r="R116" s="83">
        <v>2310</v>
      </c>
      <c r="S116" s="106">
        <f>+E116/R116</f>
        <v>4.8882398325915322</v>
      </c>
      <c r="T116" s="85">
        <f t="shared" si="56"/>
        <v>12.770562770562771</v>
      </c>
      <c r="U116" s="85">
        <f t="shared" si="57"/>
        <v>5.4740132864400159</v>
      </c>
      <c r="V116" s="87">
        <v>44.8</v>
      </c>
      <c r="W116" s="83"/>
      <c r="X116" s="85"/>
      <c r="Y116" s="83"/>
      <c r="Z116" s="88">
        <f t="shared" si="58"/>
        <v>6.389388991235416E-2</v>
      </c>
      <c r="AA116" s="109" t="str">
        <f t="shared" si="59"/>
        <v/>
      </c>
      <c r="AB116" s="88">
        <v>0.31118644067796608</v>
      </c>
      <c r="AC116" s="88">
        <v>1.4264406779661016</v>
      </c>
      <c r="AD116" s="88">
        <v>2.4081355932203388</v>
      </c>
      <c r="AE116" s="88">
        <v>0.60271186440677971</v>
      </c>
      <c r="AF116" s="90" t="s">
        <v>81</v>
      </c>
      <c r="AG116" s="91"/>
      <c r="AH116" s="91"/>
      <c r="AI116" s="91"/>
      <c r="AJ116" s="91"/>
      <c r="AK116" s="91"/>
      <c r="AL116" s="110"/>
      <c r="AM116" s="91"/>
      <c r="AN116" s="92"/>
      <c r="AO116" s="93">
        <f t="shared" si="33"/>
        <v>0</v>
      </c>
      <c r="AP116" s="94" t="s">
        <v>82</v>
      </c>
      <c r="AQ116" s="91"/>
      <c r="AR116" s="83"/>
      <c r="AS116" s="83"/>
      <c r="AT116" s="83"/>
      <c r="AU116" s="83"/>
      <c r="AV116" s="83"/>
      <c r="AW116" s="110"/>
      <c r="AX116" s="83"/>
      <c r="AY116" s="83"/>
      <c r="AZ116" s="83">
        <v>29500</v>
      </c>
      <c r="BA116" s="83"/>
      <c r="BB116" s="83"/>
      <c r="BC116" s="83"/>
      <c r="BD116" s="83"/>
      <c r="BE116" s="83"/>
      <c r="BF116" s="83"/>
      <c r="BG116" s="83"/>
      <c r="BH116" s="95"/>
      <c r="BI116" s="96">
        <f t="shared" si="34"/>
        <v>1</v>
      </c>
      <c r="BJ116" s="97">
        <v>2.8559999999999999</v>
      </c>
      <c r="BK116" s="98">
        <v>44</v>
      </c>
      <c r="BL116" s="88">
        <v>0</v>
      </c>
      <c r="BM116" s="88">
        <v>0.155</v>
      </c>
      <c r="BN116" s="88">
        <v>0.35449999999999998</v>
      </c>
      <c r="BO116" s="88">
        <v>0.86650000000000005</v>
      </c>
      <c r="BP116" s="88">
        <v>1.425</v>
      </c>
      <c r="BQ116" s="88">
        <v>1.9650000000000001</v>
      </c>
      <c r="BR116" s="88">
        <v>2.5499999999999998</v>
      </c>
      <c r="BS116" s="88">
        <v>2.8639999999999999</v>
      </c>
      <c r="BT116" s="81">
        <v>45</v>
      </c>
      <c r="BU116" s="83"/>
      <c r="BV116" s="99">
        <v>42037</v>
      </c>
      <c r="BW116" s="84">
        <v>0.70687822525597277</v>
      </c>
      <c r="BX116" s="83">
        <v>25316</v>
      </c>
      <c r="BY116" s="83">
        <v>10576</v>
      </c>
      <c r="BZ116" s="84">
        <v>0.41775951967135411</v>
      </c>
      <c r="CA116" s="83">
        <v>50</v>
      </c>
      <c r="CB116" s="83">
        <v>179</v>
      </c>
      <c r="CC116" s="84">
        <v>1.9750355506399117E-3</v>
      </c>
      <c r="CD116" s="84">
        <v>7.0706272712908833E-3</v>
      </c>
    </row>
    <row r="117" spans="1:82" x14ac:dyDescent="0.25">
      <c r="A117" s="79" t="s">
        <v>101</v>
      </c>
      <c r="B117" s="80" t="s">
        <v>91</v>
      </c>
      <c r="C117" s="81">
        <v>840</v>
      </c>
      <c r="D117" s="108">
        <v>1937.18</v>
      </c>
      <c r="E117" s="108">
        <v>9818.7718000000004</v>
      </c>
      <c r="F117" s="83">
        <v>24400</v>
      </c>
      <c r="G117" s="83">
        <v>23160</v>
      </c>
      <c r="H117" s="84">
        <f t="shared" si="52"/>
        <v>5.0819672131147541E-2</v>
      </c>
      <c r="I117" s="79">
        <v>305</v>
      </c>
      <c r="J117" s="84">
        <f t="shared" si="53"/>
        <v>1.2500000000000001E-2</v>
      </c>
      <c r="K117" s="83">
        <v>61630</v>
      </c>
      <c r="L117" s="83">
        <v>111480</v>
      </c>
      <c r="M117" s="85">
        <f t="shared" si="54"/>
        <v>2.6610535405872193</v>
      </c>
      <c r="N117" s="85">
        <f t="shared" si="55"/>
        <v>1.8088593217588838</v>
      </c>
      <c r="O117" s="85">
        <f t="shared" si="60"/>
        <v>1.8322770246647895</v>
      </c>
      <c r="P117" s="86">
        <f>IF(G117=0,0,+E117/G117)</f>
        <v>0.42395387737478413</v>
      </c>
      <c r="Q117" s="86">
        <f>IF(G117=0,0,+D117/G117)</f>
        <v>8.3643350604490505E-2</v>
      </c>
      <c r="R117" s="83">
        <v>2000</v>
      </c>
      <c r="S117" s="86">
        <f>IF(R117=0,0,+E117/R117)</f>
        <v>4.9093859000000002</v>
      </c>
      <c r="T117" s="85">
        <f t="shared" si="56"/>
        <v>12.2</v>
      </c>
      <c r="U117" s="85">
        <f t="shared" si="57"/>
        <v>4.8134715025906738</v>
      </c>
      <c r="V117" s="87">
        <v>41</v>
      </c>
      <c r="W117" s="83"/>
      <c r="X117" s="85"/>
      <c r="Y117" s="83"/>
      <c r="Z117" s="88">
        <f t="shared" si="58"/>
        <v>6.4903744892371204E-2</v>
      </c>
      <c r="AA117" s="112" t="str">
        <f t="shared" si="59"/>
        <v/>
      </c>
      <c r="AB117" s="88">
        <v>0.32131147540983607</v>
      </c>
      <c r="AC117" s="88">
        <v>1.4688524590163934</v>
      </c>
      <c r="AD117" s="88">
        <v>2.127049180327869</v>
      </c>
      <c r="AE117" s="88">
        <v>0.65163934426229508</v>
      </c>
      <c r="AF117" s="90" t="s">
        <v>81</v>
      </c>
      <c r="AG117" s="91"/>
      <c r="AH117" s="91"/>
      <c r="AI117" s="91"/>
      <c r="AJ117" s="91"/>
      <c r="AK117" s="91"/>
      <c r="AL117" s="110"/>
      <c r="AM117" s="91"/>
      <c r="AN117" s="92"/>
      <c r="AO117" s="93">
        <f t="shared" si="33"/>
        <v>0</v>
      </c>
      <c r="AP117" s="94" t="s">
        <v>82</v>
      </c>
      <c r="AQ117" s="91"/>
      <c r="AR117" s="83"/>
      <c r="AS117" s="83"/>
      <c r="AT117" s="83"/>
      <c r="AU117" s="91"/>
      <c r="AV117" s="83"/>
      <c r="AW117" s="110"/>
      <c r="AX117" s="83"/>
      <c r="AY117" s="91"/>
      <c r="AZ117" s="83"/>
      <c r="BA117" s="83"/>
      <c r="BB117" s="83"/>
      <c r="BC117" s="83"/>
      <c r="BD117" s="83"/>
      <c r="BE117" s="83"/>
      <c r="BF117" s="91"/>
      <c r="BG117" s="83">
        <v>24400</v>
      </c>
      <c r="BH117" s="92"/>
      <c r="BI117" s="96">
        <f t="shared" si="34"/>
        <v>1</v>
      </c>
      <c r="BJ117" s="97">
        <v>2.661</v>
      </c>
      <c r="BK117" s="98">
        <v>41</v>
      </c>
      <c r="BL117" s="88">
        <v>4.2500000000000003E-2</v>
      </c>
      <c r="BM117" s="88">
        <v>0.20799999999999999</v>
      </c>
      <c r="BN117" s="88">
        <v>0.46400000000000002</v>
      </c>
      <c r="BO117" s="88">
        <v>0.93</v>
      </c>
      <c r="BP117" s="88">
        <v>1.56</v>
      </c>
      <c r="BQ117" s="88">
        <v>2.133</v>
      </c>
      <c r="BR117" s="88"/>
      <c r="BS117" s="88">
        <v>2.661</v>
      </c>
      <c r="BT117" s="81">
        <v>41</v>
      </c>
      <c r="BU117" s="83">
        <v>20</v>
      </c>
      <c r="BV117" s="99">
        <v>42145</v>
      </c>
      <c r="BW117" s="84">
        <v>0.68284536751582026</v>
      </c>
      <c r="BX117" s="83">
        <v>22882</v>
      </c>
      <c r="BY117" s="83">
        <v>9376</v>
      </c>
      <c r="BZ117" s="84">
        <v>0.40975439209859277</v>
      </c>
      <c r="CA117" s="83">
        <v>109</v>
      </c>
      <c r="CB117" s="83">
        <v>187</v>
      </c>
      <c r="CC117" s="84">
        <v>4.7635696180403815E-3</v>
      </c>
      <c r="CD117" s="84">
        <v>8.1723625557206542E-3</v>
      </c>
    </row>
    <row r="118" spans="1:82" x14ac:dyDescent="0.25">
      <c r="A118" s="79" t="s">
        <v>87</v>
      </c>
      <c r="B118" s="80" t="s">
        <v>80</v>
      </c>
      <c r="C118" s="81">
        <v>790</v>
      </c>
      <c r="D118" s="108">
        <v>524.73</v>
      </c>
      <c r="E118" s="108">
        <v>14132.608525</v>
      </c>
      <c r="F118" s="83">
        <v>34400</v>
      </c>
      <c r="G118" s="83">
        <v>32605</v>
      </c>
      <c r="H118" s="84">
        <f t="shared" si="52"/>
        <v>5.2180232558139535E-2</v>
      </c>
      <c r="I118" s="79">
        <f>343+70</f>
        <v>413</v>
      </c>
      <c r="J118" s="84">
        <f t="shared" si="53"/>
        <v>1.2005813953488372E-2</v>
      </c>
      <c r="K118" s="83">
        <v>86140</v>
      </c>
      <c r="L118" s="83">
        <v>159040</v>
      </c>
      <c r="M118" s="85">
        <f t="shared" si="54"/>
        <v>2.6419260849562951</v>
      </c>
      <c r="N118" s="85">
        <f t="shared" si="55"/>
        <v>1.8462967262595775</v>
      </c>
      <c r="O118" s="85">
        <f t="shared" si="60"/>
        <v>1.8863908485740011</v>
      </c>
      <c r="P118" s="86">
        <f>+E118/G118</f>
        <v>0.43344911900015332</v>
      </c>
      <c r="Q118" s="86">
        <f>+D118/G118</f>
        <v>1.6093543934979297E-2</v>
      </c>
      <c r="R118" s="83">
        <v>2870</v>
      </c>
      <c r="S118" s="86">
        <f>+E118/R118</f>
        <v>4.9242538414634147</v>
      </c>
      <c r="T118" s="85">
        <f t="shared" si="56"/>
        <v>11.986062717770034</v>
      </c>
      <c r="U118" s="85">
        <f t="shared" si="57"/>
        <v>4.8777794816745894</v>
      </c>
      <c r="V118" s="87">
        <v>42.55</v>
      </c>
      <c r="W118" s="83"/>
      <c r="X118" s="85"/>
      <c r="Y118" s="83"/>
      <c r="Z118" s="88">
        <f t="shared" si="58"/>
        <v>6.208991974045347E-2</v>
      </c>
      <c r="AA118" s="109" t="str">
        <f t="shared" si="59"/>
        <v/>
      </c>
      <c r="AB118" s="88">
        <v>0.3319767441860465</v>
      </c>
      <c r="AC118" s="88">
        <v>1.4104651162790698</v>
      </c>
      <c r="AD118" s="88">
        <v>2.0883720930232559</v>
      </c>
      <c r="AE118" s="88">
        <v>0.79244186046511633</v>
      </c>
      <c r="AF118" s="90" t="s">
        <v>81</v>
      </c>
      <c r="AG118" s="91"/>
      <c r="AH118" s="91"/>
      <c r="AI118" s="91"/>
      <c r="AJ118" s="91"/>
      <c r="AK118" s="91"/>
      <c r="AL118" s="110"/>
      <c r="AM118" s="83"/>
      <c r="AN118" s="92"/>
      <c r="AO118" s="93">
        <f t="shared" si="33"/>
        <v>0</v>
      </c>
      <c r="AP118" s="94" t="s">
        <v>82</v>
      </c>
      <c r="AQ118" s="91"/>
      <c r="AR118" s="83"/>
      <c r="AS118" s="83"/>
      <c r="AT118" s="83"/>
      <c r="AU118" s="91"/>
      <c r="AV118" s="83"/>
      <c r="AW118" s="110"/>
      <c r="AX118" s="83"/>
      <c r="AY118" s="91"/>
      <c r="AZ118" s="83">
        <f>19800+14600</f>
        <v>34400</v>
      </c>
      <c r="BA118" s="83"/>
      <c r="BB118" s="83"/>
      <c r="BC118" s="83"/>
      <c r="BD118" s="83"/>
      <c r="BE118" s="83"/>
      <c r="BF118" s="83"/>
      <c r="BG118" s="83"/>
      <c r="BH118" s="95"/>
      <c r="BI118" s="96">
        <f t="shared" si="34"/>
        <v>1</v>
      </c>
      <c r="BJ118" s="97">
        <v>2.5939999999999999</v>
      </c>
      <c r="BK118" s="98">
        <v>42</v>
      </c>
      <c r="BL118" s="88">
        <v>3.9E-2</v>
      </c>
      <c r="BM118" s="88">
        <v>0.14299999999999999</v>
      </c>
      <c r="BN118" s="88">
        <v>0.373</v>
      </c>
      <c r="BO118" s="88">
        <v>0.75</v>
      </c>
      <c r="BP118" s="88">
        <v>1.395</v>
      </c>
      <c r="BQ118" s="88">
        <v>2.0179999999999998</v>
      </c>
      <c r="BR118" s="88"/>
      <c r="BS118" s="88">
        <v>2.7669999999999999</v>
      </c>
      <c r="BT118" s="81">
        <v>44</v>
      </c>
      <c r="BU118" s="83">
        <v>4000</v>
      </c>
      <c r="BV118" s="99">
        <v>42078</v>
      </c>
      <c r="BW118" s="84">
        <v>0.70430092702638458</v>
      </c>
      <c r="BX118" s="83">
        <v>31982</v>
      </c>
      <c r="BY118" s="83">
        <v>11832</v>
      </c>
      <c r="BZ118" s="84">
        <v>0.36995810143205554</v>
      </c>
      <c r="CA118" s="83">
        <v>209</v>
      </c>
      <c r="CB118" s="83">
        <v>484</v>
      </c>
      <c r="CC118" s="84">
        <v>6.5349258958163963E-3</v>
      </c>
      <c r="CD118" s="84">
        <v>1.5133512600837971E-2</v>
      </c>
    </row>
    <row r="119" spans="1:82" x14ac:dyDescent="0.25">
      <c r="A119" s="79" t="s">
        <v>112</v>
      </c>
      <c r="B119" s="80" t="s">
        <v>80</v>
      </c>
      <c r="C119" s="81">
        <v>820</v>
      </c>
      <c r="D119" s="82">
        <v>1940.95</v>
      </c>
      <c r="E119" s="82">
        <v>21710.0913</v>
      </c>
      <c r="F119" s="83">
        <v>48000</v>
      </c>
      <c r="G119" s="83">
        <v>45060</v>
      </c>
      <c r="H119" s="84">
        <v>6.1249999999999999E-2</v>
      </c>
      <c r="I119" s="79">
        <v>311</v>
      </c>
      <c r="J119" s="84">
        <v>6.4791666666666669E-3</v>
      </c>
      <c r="K119" s="83">
        <v>121970</v>
      </c>
      <c r="L119" s="83">
        <v>213400</v>
      </c>
      <c r="M119" s="85">
        <v>2.7068353306702173</v>
      </c>
      <c r="N119" s="85">
        <v>1.7496105599737641</v>
      </c>
      <c r="O119" s="85">
        <v>1.7697192204457621</v>
      </c>
      <c r="P119" s="86">
        <v>0.48180406790945407</v>
      </c>
      <c r="Q119" s="86">
        <v>4.3074789169995562E-2</v>
      </c>
      <c r="R119" s="83">
        <v>4400</v>
      </c>
      <c r="S119" s="86">
        <v>4.9341116590909095</v>
      </c>
      <c r="T119" s="85">
        <v>10.909090909090908</v>
      </c>
      <c r="U119" s="85">
        <v>4.7359076786506877</v>
      </c>
      <c r="V119" s="87">
        <v>44.23</v>
      </c>
      <c r="W119" s="83"/>
      <c r="X119" s="85"/>
      <c r="Y119" s="83"/>
      <c r="Z119" s="88">
        <v>6.1199080503509327E-2</v>
      </c>
      <c r="AA119" s="89" t="s">
        <v>84</v>
      </c>
      <c r="AB119" s="88">
        <v>0.31040000000000001</v>
      </c>
      <c r="AC119" s="88">
        <v>1.4467000000000001</v>
      </c>
      <c r="AD119" s="88">
        <v>2.0350000000000001</v>
      </c>
      <c r="AE119" s="88">
        <v>0.65380000000000005</v>
      </c>
      <c r="AF119" s="90" t="s">
        <v>81</v>
      </c>
      <c r="AG119" s="91"/>
      <c r="AH119" s="91">
        <v>40000</v>
      </c>
      <c r="AI119" s="91"/>
      <c r="AJ119" s="91"/>
      <c r="AK119" s="91"/>
      <c r="AL119" s="79"/>
      <c r="AM119" s="91"/>
      <c r="AN119" s="92"/>
      <c r="AO119" s="93">
        <f t="shared" si="33"/>
        <v>0.83333333333333337</v>
      </c>
      <c r="AP119" s="94" t="s">
        <v>82</v>
      </c>
      <c r="AQ119" s="91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  <c r="BD119" s="83"/>
      <c r="BE119" s="83"/>
      <c r="BF119" s="91">
        <v>8000</v>
      </c>
      <c r="BG119" s="83"/>
      <c r="BH119" s="95"/>
      <c r="BI119" s="96">
        <f t="shared" si="34"/>
        <v>0.16666666666666666</v>
      </c>
      <c r="BJ119" s="97">
        <v>2.7090000000000001</v>
      </c>
      <c r="BK119" s="98">
        <v>44</v>
      </c>
      <c r="BL119" s="88">
        <v>0.05</v>
      </c>
      <c r="BM119" s="88">
        <v>0.19450000000000001</v>
      </c>
      <c r="BN119" s="88">
        <v>0.432</v>
      </c>
      <c r="BO119" s="88">
        <v>0.79</v>
      </c>
      <c r="BP119" s="88">
        <v>1.3165</v>
      </c>
      <c r="BQ119" s="88">
        <v>1.94</v>
      </c>
      <c r="BR119" s="88"/>
      <c r="BS119" s="88">
        <v>2.698</v>
      </c>
      <c r="BT119" s="81">
        <v>45</v>
      </c>
      <c r="BU119" s="83"/>
      <c r="BV119" s="99">
        <v>42240</v>
      </c>
      <c r="BW119" s="84">
        <v>0.70973796835287373</v>
      </c>
      <c r="BX119" s="83">
        <v>44692</v>
      </c>
      <c r="BY119" s="83">
        <v>22488</v>
      </c>
      <c r="BZ119" s="84">
        <v>0.50317730242548997</v>
      </c>
      <c r="CA119" s="83">
        <v>49</v>
      </c>
      <c r="CB119" s="83">
        <v>247</v>
      </c>
      <c r="CC119" s="84">
        <v>1.096393090485993E-3</v>
      </c>
      <c r="CD119" s="84">
        <v>5.5267161908171486E-3</v>
      </c>
    </row>
    <row r="120" spans="1:82" x14ac:dyDescent="0.25">
      <c r="A120" s="79" t="s">
        <v>109</v>
      </c>
      <c r="B120" s="80" t="s">
        <v>80</v>
      </c>
      <c r="C120" s="81">
        <v>850</v>
      </c>
      <c r="D120" s="100">
        <v>970.49</v>
      </c>
      <c r="E120" s="100">
        <v>9675.9512500000001</v>
      </c>
      <c r="F120" s="83">
        <v>23600</v>
      </c>
      <c r="G120" s="83">
        <v>23250</v>
      </c>
      <c r="H120" s="84">
        <f>IF(F120=0,0,+((F120-G120)/F120))</f>
        <v>1.4830508474576272E-2</v>
      </c>
      <c r="I120" s="79">
        <v>104</v>
      </c>
      <c r="J120" s="84">
        <f>+(I120/F120)</f>
        <v>4.4067796610169491E-3</v>
      </c>
      <c r="K120" s="83">
        <v>68460</v>
      </c>
      <c r="L120" s="83">
        <v>135580</v>
      </c>
      <c r="M120" s="85">
        <f>IF(G120=0,0,+K120/G120)</f>
        <v>2.9445161290322579</v>
      </c>
      <c r="N120" s="85">
        <f>IF(K120=0,0,+L120/K120)</f>
        <v>1.9804265264387964</v>
      </c>
      <c r="O120" s="85">
        <f>+L120/((G120-CA120-CB120)*M120)</f>
        <v>1.990787182312336</v>
      </c>
      <c r="P120" s="86">
        <f>IF(G120=0,0,+E120/G120)</f>
        <v>0.41616994623655912</v>
      </c>
      <c r="Q120" s="86">
        <f>IF(G120=0,0,+D120/G120)</f>
        <v>4.1741505376344086E-2</v>
      </c>
      <c r="R120" s="83">
        <v>1960</v>
      </c>
      <c r="S120" s="86">
        <f>IF(R120=0,0,+E120/R120)</f>
        <v>4.9367098214285718</v>
      </c>
      <c r="T120" s="85">
        <f>IF(R120=0,0,+F120/R120)</f>
        <v>12.040816326530612</v>
      </c>
      <c r="U120" s="85">
        <f>IF(L120=0,0,+L120/G120)</f>
        <v>5.8313978494623653</v>
      </c>
      <c r="V120" s="87">
        <v>47.17</v>
      </c>
      <c r="W120" s="83"/>
      <c r="X120" s="85"/>
      <c r="Y120" s="83"/>
      <c r="Z120" s="88">
        <f>IF(V120=0,0,+M120/V120)</f>
        <v>6.2423492241514902E-2</v>
      </c>
      <c r="AA120" s="101" t="str">
        <f>IF(W120=0,"",+X120/W120)</f>
        <v/>
      </c>
      <c r="AB120" s="102">
        <v>0.30677966101694915</v>
      </c>
      <c r="AC120" s="102">
        <v>1.4296610169491526</v>
      </c>
      <c r="AD120" s="102">
        <v>2.272033898305085</v>
      </c>
      <c r="AE120" s="102">
        <v>1.7364406779661017</v>
      </c>
      <c r="AF120" s="90" t="s">
        <v>81</v>
      </c>
      <c r="AG120" s="91"/>
      <c r="AH120" s="91"/>
      <c r="AI120" s="91"/>
      <c r="AJ120" s="91"/>
      <c r="AK120" s="83"/>
      <c r="AL120" s="83"/>
      <c r="AM120" s="83"/>
      <c r="AN120" s="95"/>
      <c r="AO120" s="93">
        <f t="shared" si="33"/>
        <v>0</v>
      </c>
      <c r="AP120" s="94" t="s">
        <v>82</v>
      </c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  <c r="BD120" s="83">
        <v>23600</v>
      </c>
      <c r="BE120" s="83"/>
      <c r="BF120" s="83"/>
      <c r="BG120" s="83"/>
      <c r="BH120" s="95"/>
      <c r="BI120" s="96">
        <f t="shared" si="34"/>
        <v>1</v>
      </c>
      <c r="BJ120" s="97">
        <v>2.9780000000000002</v>
      </c>
      <c r="BK120" s="98">
        <v>47</v>
      </c>
      <c r="BL120" s="113">
        <v>4.2000000000000003E-2</v>
      </c>
      <c r="BM120" s="113"/>
      <c r="BN120" s="113">
        <v>0.41499999999999998</v>
      </c>
      <c r="BO120" s="113">
        <v>0.77600000000000002</v>
      </c>
      <c r="BP120" s="113">
        <v>1.377</v>
      </c>
      <c r="BQ120" s="113">
        <v>2.056</v>
      </c>
      <c r="BR120" s="113">
        <v>2.5870000000000002</v>
      </c>
      <c r="BS120" s="113">
        <v>2.7879999999999998</v>
      </c>
      <c r="BT120" s="81">
        <v>48</v>
      </c>
      <c r="BU120" s="83"/>
      <c r="BV120" s="104">
        <v>42366</v>
      </c>
      <c r="BW120" s="84">
        <v>0.71305872042068363</v>
      </c>
      <c r="BX120" s="83">
        <v>23046</v>
      </c>
      <c r="BY120" s="83">
        <v>7887</v>
      </c>
      <c r="BZ120" s="84">
        <v>0.34222858630564956</v>
      </c>
      <c r="CA120" s="83">
        <v>58</v>
      </c>
      <c r="CB120" s="83">
        <v>63</v>
      </c>
      <c r="CC120" s="84">
        <v>2.5167057189967889E-3</v>
      </c>
      <c r="CD120" s="84">
        <v>2.7336631085654777E-3</v>
      </c>
    </row>
    <row r="121" spans="1:82" x14ac:dyDescent="0.25">
      <c r="A121" s="79" t="s">
        <v>114</v>
      </c>
      <c r="B121" s="80" t="s">
        <v>115</v>
      </c>
      <c r="C121" s="81">
        <v>657</v>
      </c>
      <c r="D121" s="105">
        <v>918.31</v>
      </c>
      <c r="E121" s="105">
        <v>7287.6417999999994</v>
      </c>
      <c r="F121" s="83">
        <v>20000</v>
      </c>
      <c r="G121" s="83">
        <v>17160</v>
      </c>
      <c r="H121" s="84">
        <v>0.14199999999999999</v>
      </c>
      <c r="I121" s="79">
        <v>1528</v>
      </c>
      <c r="J121" s="84">
        <v>7.6399999999999996E-2</v>
      </c>
      <c r="K121" s="79">
        <v>47640</v>
      </c>
      <c r="L121" s="79">
        <v>87680</v>
      </c>
      <c r="M121" s="85">
        <v>2.7762237762237763</v>
      </c>
      <c r="N121" s="85">
        <v>1.8404701931150294</v>
      </c>
      <c r="O121" s="85">
        <f>+L121/((G121-CA121-CB121)*M121)</f>
        <v>1.943775757868901</v>
      </c>
      <c r="P121" s="86">
        <v>0.42468775058275055</v>
      </c>
      <c r="Q121" s="86">
        <v>5.3514568764568761E-2</v>
      </c>
      <c r="R121" s="83">
        <v>1476</v>
      </c>
      <c r="S121" s="106">
        <v>4.9374266937669375</v>
      </c>
      <c r="T121" s="85">
        <v>13.550135501355014</v>
      </c>
      <c r="U121" s="85">
        <v>5.1095571095571097</v>
      </c>
      <c r="V121" s="87">
        <v>45</v>
      </c>
      <c r="W121" s="83"/>
      <c r="X121" s="85"/>
      <c r="Y121" s="83"/>
      <c r="Z121" s="88">
        <v>6.1693861693861693E-2</v>
      </c>
      <c r="AA121" s="109" t="s">
        <v>84</v>
      </c>
      <c r="AB121" s="88">
        <v>0.36399999999999999</v>
      </c>
      <c r="AC121" s="88">
        <v>1.4159999999999999</v>
      </c>
      <c r="AD121" s="88">
        <v>1.748</v>
      </c>
      <c r="AE121" s="88">
        <v>0.85599999999999998</v>
      </c>
      <c r="AF121" s="90" t="s">
        <v>81</v>
      </c>
      <c r="AG121" s="91"/>
      <c r="AH121" s="91"/>
      <c r="AI121" s="91"/>
      <c r="AJ121" s="91"/>
      <c r="AK121" s="91"/>
      <c r="AL121" s="110"/>
      <c r="AM121" s="91"/>
      <c r="AN121" s="92"/>
      <c r="AO121" s="93">
        <f t="shared" si="33"/>
        <v>0</v>
      </c>
      <c r="AP121" s="94" t="s">
        <v>82</v>
      </c>
      <c r="AQ121" s="91"/>
      <c r="AR121" s="83"/>
      <c r="AS121" s="83"/>
      <c r="AT121" s="83"/>
      <c r="AU121" s="83"/>
      <c r="AV121" s="83"/>
      <c r="AW121" s="110"/>
      <c r="AX121" s="83"/>
      <c r="AY121" s="83"/>
      <c r="AZ121" s="83"/>
      <c r="BA121" s="83"/>
      <c r="BB121" s="83"/>
      <c r="BC121" s="83"/>
      <c r="BD121" s="83"/>
      <c r="BE121" s="83">
        <v>7400</v>
      </c>
      <c r="BF121" s="83"/>
      <c r="BG121" s="83">
        <v>12600</v>
      </c>
      <c r="BH121" s="95"/>
      <c r="BI121" s="96">
        <f t="shared" si="34"/>
        <v>1</v>
      </c>
      <c r="BJ121" s="97">
        <v>2.7759999999999998</v>
      </c>
      <c r="BK121" s="98">
        <v>45</v>
      </c>
      <c r="BL121" s="88">
        <v>3.5999999999999997E-2</v>
      </c>
      <c r="BM121" s="88">
        <v>0.155</v>
      </c>
      <c r="BN121" s="88">
        <v>0.42499999999999999</v>
      </c>
      <c r="BO121" s="88">
        <v>0.83799999999999997</v>
      </c>
      <c r="BP121" s="88">
        <v>1.3149999999999999</v>
      </c>
      <c r="BQ121" s="88">
        <v>1.9470000000000001</v>
      </c>
      <c r="BR121" s="88"/>
      <c r="BS121" s="88">
        <v>2.7759999999999998</v>
      </c>
      <c r="BT121" s="81">
        <v>45</v>
      </c>
      <c r="BU121" s="83">
        <v>0</v>
      </c>
      <c r="BV121" s="99">
        <v>42114</v>
      </c>
      <c r="BW121" s="84">
        <v>0.67071389588581032</v>
      </c>
      <c r="BX121" s="83">
        <v>16240</v>
      </c>
      <c r="BY121" s="83">
        <v>7384</v>
      </c>
      <c r="BZ121" s="84">
        <v>0.45467980295566501</v>
      </c>
      <c r="CA121" s="83">
        <v>306</v>
      </c>
      <c r="CB121" s="83">
        <v>606</v>
      </c>
      <c r="CC121" s="84">
        <v>1.8842364532019703E-2</v>
      </c>
      <c r="CD121" s="84">
        <v>3.7315270935960591E-2</v>
      </c>
    </row>
    <row r="122" spans="1:82" x14ac:dyDescent="0.25">
      <c r="A122" s="79" t="s">
        <v>85</v>
      </c>
      <c r="B122" s="80" t="s">
        <v>86</v>
      </c>
      <c r="C122" s="81">
        <v>430</v>
      </c>
      <c r="D122" s="82">
        <v>436.02</v>
      </c>
      <c r="E122" s="82">
        <v>5935.52</v>
      </c>
      <c r="F122" s="83">
        <v>15000</v>
      </c>
      <c r="G122" s="83">
        <v>13800</v>
      </c>
      <c r="H122" s="84">
        <v>0.08</v>
      </c>
      <c r="I122" s="79">
        <v>62</v>
      </c>
      <c r="J122" s="84">
        <v>4.1333333333333335E-3</v>
      </c>
      <c r="K122" s="83">
        <v>36540</v>
      </c>
      <c r="L122" s="83">
        <v>78680</v>
      </c>
      <c r="M122" s="85">
        <v>2.6478260869565218</v>
      </c>
      <c r="N122" s="85">
        <v>2.1532567049808429</v>
      </c>
      <c r="O122" s="85">
        <v>2.1721449216912014</v>
      </c>
      <c r="P122" s="86">
        <v>0.43011014492753624</v>
      </c>
      <c r="Q122" s="86">
        <v>3.1595652173913046E-2</v>
      </c>
      <c r="R122" s="83">
        <v>1200</v>
      </c>
      <c r="S122" s="86">
        <v>4.9462666666666673</v>
      </c>
      <c r="T122" s="85">
        <v>12.5</v>
      </c>
      <c r="U122" s="85">
        <v>5.7014492753623189</v>
      </c>
      <c r="V122" s="87">
        <v>46</v>
      </c>
      <c r="W122" s="83"/>
      <c r="X122" s="85"/>
      <c r="Y122" s="83"/>
      <c r="Z122" s="88">
        <v>5.7561436672967863E-2</v>
      </c>
      <c r="AA122" s="89" t="s">
        <v>84</v>
      </c>
      <c r="AB122" s="88">
        <v>0.33600000000000002</v>
      </c>
      <c r="AC122" s="88">
        <v>1.4239999999999999</v>
      </c>
      <c r="AD122" s="88">
        <v>2.3866666666666667</v>
      </c>
      <c r="AE122" s="88">
        <v>1.0986666666666667</v>
      </c>
      <c r="AF122" s="90" t="s">
        <v>81</v>
      </c>
      <c r="AG122" s="91"/>
      <c r="AH122" s="91"/>
      <c r="AI122" s="91"/>
      <c r="AJ122" s="91"/>
      <c r="AK122" s="91"/>
      <c r="AL122" s="79"/>
      <c r="AM122" s="91">
        <v>1900</v>
      </c>
      <c r="AN122" s="92"/>
      <c r="AO122" s="93">
        <f t="shared" si="33"/>
        <v>0.12666666666666668</v>
      </c>
      <c r="AP122" s="94" t="s">
        <v>82</v>
      </c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  <c r="BD122" s="83"/>
      <c r="BE122" s="83"/>
      <c r="BF122" s="83">
        <v>13100</v>
      </c>
      <c r="BG122" s="83"/>
      <c r="BH122" s="95"/>
      <c r="BI122" s="96">
        <f t="shared" si="34"/>
        <v>0.87333333333333329</v>
      </c>
      <c r="BJ122" s="97">
        <v>2.6480000000000001</v>
      </c>
      <c r="BK122" s="98">
        <v>46</v>
      </c>
      <c r="BL122" s="88">
        <v>0.04</v>
      </c>
      <c r="BM122" s="88">
        <v>0.189</v>
      </c>
      <c r="BN122" s="88">
        <v>0.45</v>
      </c>
      <c r="BO122" s="88">
        <v>0.77</v>
      </c>
      <c r="BP122" s="88">
        <v>1.33</v>
      </c>
      <c r="BQ122" s="88">
        <v>1.89</v>
      </c>
      <c r="BR122" s="88">
        <v>2.4340000000000002</v>
      </c>
      <c r="BS122" s="88">
        <v>2.6480000000000001</v>
      </c>
      <c r="BT122" s="81">
        <v>46</v>
      </c>
      <c r="BU122" s="83"/>
      <c r="BV122" s="99">
        <v>42247</v>
      </c>
      <c r="BW122" s="84">
        <v>0.71559195402298847</v>
      </c>
      <c r="BX122" s="83">
        <v>13578</v>
      </c>
      <c r="BY122" s="83">
        <v>5920</v>
      </c>
      <c r="BZ122" s="84">
        <v>0.43599941081160704</v>
      </c>
      <c r="CA122" s="83">
        <v>27</v>
      </c>
      <c r="CB122" s="83">
        <v>172</v>
      </c>
      <c r="CC122" s="84">
        <v>1.988510826336721E-3</v>
      </c>
      <c r="CD122" s="84">
        <v>1.2667550449256149E-2</v>
      </c>
    </row>
    <row r="123" spans="1:82" x14ac:dyDescent="0.25">
      <c r="A123" s="79" t="s">
        <v>100</v>
      </c>
      <c r="B123" s="80" t="s">
        <v>80</v>
      </c>
      <c r="C123" s="81">
        <v>764</v>
      </c>
      <c r="D123" s="100">
        <v>1299.8</v>
      </c>
      <c r="E123" s="100">
        <v>19124.05</v>
      </c>
      <c r="F123" s="83">
        <v>43500</v>
      </c>
      <c r="G123" s="83">
        <v>42895</v>
      </c>
      <c r="H123" s="84">
        <f t="shared" ref="H123:H130" si="61">IF(F123=0,0,+((F123-G123)/F123))</f>
        <v>1.3908045977011495E-2</v>
      </c>
      <c r="I123" s="79">
        <v>705</v>
      </c>
      <c r="J123" s="84">
        <f t="shared" ref="J123:J130" si="62">+(I123/F123)</f>
        <v>1.6206896551724137E-2</v>
      </c>
      <c r="K123" s="83">
        <v>99900</v>
      </c>
      <c r="L123" s="83">
        <v>161160</v>
      </c>
      <c r="M123" s="85">
        <f t="shared" ref="M123:M130" si="63">IF(G123=0,0,+K123/G123)</f>
        <v>2.3289427672222871</v>
      </c>
      <c r="N123" s="85">
        <f t="shared" ref="N123:N130" si="64">IF(K123=0,0,+L123/K123)</f>
        <v>1.6132132132132133</v>
      </c>
      <c r="O123" s="85">
        <f t="shared" ref="O123:O142" si="65">+L123/((G123-CA123-CB123)*M123)</f>
        <v>1.6216437190846638</v>
      </c>
      <c r="P123" s="86">
        <f>IF(G123=0,0,+E123/G123)</f>
        <v>0.445834013288262</v>
      </c>
      <c r="Q123" s="86">
        <f>IF(G123=0,0,+D123/G123)</f>
        <v>3.0301899988343629E-2</v>
      </c>
      <c r="R123" s="83">
        <v>3850</v>
      </c>
      <c r="S123" s="86">
        <f>IF(R123=0,0,+E123/R123)</f>
        <v>4.9672857142857145</v>
      </c>
      <c r="T123" s="85">
        <f t="shared" ref="T123:T130" si="66">IF(R123=0,0,+F123/R123)</f>
        <v>11.2987012987013</v>
      </c>
      <c r="U123" s="85">
        <f t="shared" ref="U123:U130" si="67">IF(L123=0,0,+L123/G123)</f>
        <v>3.7570812449003381</v>
      </c>
      <c r="V123" s="87">
        <v>40.590000000000003</v>
      </c>
      <c r="W123" s="83">
        <v>34</v>
      </c>
      <c r="X123" s="85">
        <v>1.944</v>
      </c>
      <c r="Y123" s="83">
        <v>16000</v>
      </c>
      <c r="Z123" s="88">
        <f t="shared" ref="Z123:Z130" si="68">IF(V123=0,0,+M123/V123)</f>
        <v>5.7377254674113989E-2</v>
      </c>
      <c r="AA123" s="101">
        <f t="shared" ref="AA123:AA130" si="69">IF(W123=0,"",+X123/W123)</f>
        <v>5.7176470588235294E-2</v>
      </c>
      <c r="AB123" s="102">
        <v>0.30022988505747128</v>
      </c>
      <c r="AC123" s="102">
        <v>1.40183908045977</v>
      </c>
      <c r="AD123" s="102">
        <v>2.0027586206896553</v>
      </c>
      <c r="AE123" s="102">
        <v>0</v>
      </c>
      <c r="AF123" s="90" t="s">
        <v>81</v>
      </c>
      <c r="AG123" s="91"/>
      <c r="AH123" s="91"/>
      <c r="AI123" s="91"/>
      <c r="AJ123" s="91"/>
      <c r="AK123" s="91"/>
      <c r="AL123" s="91"/>
      <c r="AM123" s="91"/>
      <c r="AN123" s="92"/>
      <c r="AO123" s="93">
        <f t="shared" si="33"/>
        <v>0</v>
      </c>
      <c r="AP123" s="94" t="s">
        <v>82</v>
      </c>
      <c r="AQ123" s="91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>
        <v>26000</v>
      </c>
      <c r="BC123" s="83"/>
      <c r="BD123" s="83">
        <v>17500</v>
      </c>
      <c r="BE123" s="83"/>
      <c r="BF123" s="91"/>
      <c r="BG123" s="83"/>
      <c r="BH123" s="95"/>
      <c r="BI123" s="96">
        <f t="shared" si="34"/>
        <v>1</v>
      </c>
      <c r="BJ123" s="97">
        <v>2.6019999999999999</v>
      </c>
      <c r="BK123" s="98">
        <v>40</v>
      </c>
      <c r="BL123" s="88">
        <v>3.85E-2</v>
      </c>
      <c r="BM123" s="88">
        <v>0.16500000000000001</v>
      </c>
      <c r="BN123" s="88">
        <v>0.47499999999999998</v>
      </c>
      <c r="BO123" s="88">
        <v>0.87749999999999995</v>
      </c>
      <c r="BP123" s="88">
        <v>1.43</v>
      </c>
      <c r="BQ123" s="88">
        <v>2.35</v>
      </c>
      <c r="BR123" s="88">
        <v>2.569</v>
      </c>
      <c r="BS123" s="88">
        <v>2.528</v>
      </c>
      <c r="BT123" s="81">
        <v>41</v>
      </c>
      <c r="BU123" s="83"/>
      <c r="BV123" s="104">
        <v>42306</v>
      </c>
      <c r="BW123" s="84">
        <v>0.6755072674418604</v>
      </c>
      <c r="BX123" s="83">
        <v>26582</v>
      </c>
      <c r="BY123" s="83">
        <v>12096</v>
      </c>
      <c r="BZ123" s="84">
        <v>0.45504476713565573</v>
      </c>
      <c r="CA123" s="83">
        <v>43</v>
      </c>
      <c r="CB123" s="83">
        <v>180</v>
      </c>
      <c r="CC123" s="84">
        <v>1.6176359942818449E-3</v>
      </c>
      <c r="CD123" s="84">
        <v>6.7714995109472579E-3</v>
      </c>
    </row>
    <row r="124" spans="1:82" x14ac:dyDescent="0.25">
      <c r="A124" s="79" t="s">
        <v>90</v>
      </c>
      <c r="B124" s="80" t="s">
        <v>91</v>
      </c>
      <c r="C124" s="81">
        <v>870</v>
      </c>
      <c r="D124" s="100">
        <v>809.86999999999989</v>
      </c>
      <c r="E124" s="100">
        <v>8671.86</v>
      </c>
      <c r="F124" s="83">
        <v>22500</v>
      </c>
      <c r="G124" s="83">
        <v>21200</v>
      </c>
      <c r="H124" s="84">
        <f t="shared" si="61"/>
        <v>5.7777777777777775E-2</v>
      </c>
      <c r="I124" s="79">
        <v>142</v>
      </c>
      <c r="J124" s="84">
        <f t="shared" si="62"/>
        <v>6.3111111111111111E-3</v>
      </c>
      <c r="K124" s="83">
        <v>65160</v>
      </c>
      <c r="L124" s="83">
        <v>128440</v>
      </c>
      <c r="M124" s="85">
        <f t="shared" si="63"/>
        <v>3.0735849056603772</v>
      </c>
      <c r="N124" s="85">
        <f t="shared" si="64"/>
        <v>1.9711479435236341</v>
      </c>
      <c r="O124" s="85">
        <f t="shared" si="65"/>
        <v>2.0577278118328266</v>
      </c>
      <c r="P124" s="86">
        <f>IF(G124=0,0,+E124/G124)</f>
        <v>0.40905000000000002</v>
      </c>
      <c r="Q124" s="86">
        <f>IF(G124=0,0,+D124/G124)</f>
        <v>3.8201415094339615E-2</v>
      </c>
      <c r="R124" s="83">
        <v>1725</v>
      </c>
      <c r="S124" s="86">
        <f>IF(R124=0,0,+E124/R124)</f>
        <v>5.0271652173913051</v>
      </c>
      <c r="T124" s="85">
        <f t="shared" si="66"/>
        <v>13.043478260869565</v>
      </c>
      <c r="U124" s="85">
        <f t="shared" si="67"/>
        <v>6.0584905660377357</v>
      </c>
      <c r="V124" s="87">
        <v>45</v>
      </c>
      <c r="W124" s="83"/>
      <c r="X124" s="85"/>
      <c r="Y124" s="83"/>
      <c r="Z124" s="88">
        <f t="shared" si="68"/>
        <v>6.8301886792452832E-2</v>
      </c>
      <c r="AA124" s="101" t="str">
        <f t="shared" si="69"/>
        <v/>
      </c>
      <c r="AB124" s="102">
        <v>0.31911111111111112</v>
      </c>
      <c r="AC124" s="102">
        <v>1.6684444444444444</v>
      </c>
      <c r="AD124" s="102">
        <v>2.3128888888888888</v>
      </c>
      <c r="AE124" s="102">
        <v>1.4079999999999999</v>
      </c>
      <c r="AF124" s="90" t="s">
        <v>81</v>
      </c>
      <c r="AG124" s="91"/>
      <c r="AH124" s="91">
        <v>22000</v>
      </c>
      <c r="AI124" s="91"/>
      <c r="AJ124" s="91"/>
      <c r="AK124" s="83"/>
      <c r="AL124" s="83"/>
      <c r="AM124" s="83">
        <v>500</v>
      </c>
      <c r="AN124" s="95"/>
      <c r="AO124" s="93">
        <f t="shared" si="33"/>
        <v>1</v>
      </c>
      <c r="AP124" s="94" t="s">
        <v>82</v>
      </c>
      <c r="AQ124" s="79"/>
      <c r="AR124" s="79"/>
      <c r="AS124" s="79"/>
      <c r="AT124" s="79"/>
      <c r="AU124" s="79"/>
      <c r="AV124" s="79"/>
      <c r="AW124" s="79"/>
      <c r="AX124" s="79"/>
      <c r="AY124" s="79"/>
      <c r="AZ124" s="83"/>
      <c r="BA124" s="83"/>
      <c r="BB124" s="83"/>
      <c r="BC124" s="83"/>
      <c r="BD124" s="83"/>
      <c r="BE124" s="83"/>
      <c r="BF124" s="91"/>
      <c r="BG124" s="83"/>
      <c r="BH124" s="95"/>
      <c r="BI124" s="96">
        <f t="shared" si="34"/>
        <v>0</v>
      </c>
      <c r="BJ124" s="97">
        <v>3.0739999999999998</v>
      </c>
      <c r="BK124" s="98">
        <v>45</v>
      </c>
      <c r="BL124" s="114">
        <v>0.04</v>
      </c>
      <c r="BM124" s="114">
        <v>0.2</v>
      </c>
      <c r="BN124" s="114">
        <v>0.59399999999999997</v>
      </c>
      <c r="BO124" s="114">
        <v>0.90300000000000002</v>
      </c>
      <c r="BP124" s="114">
        <v>1.423</v>
      </c>
      <c r="BQ124" s="114">
        <v>2.1920000000000002</v>
      </c>
      <c r="BR124" s="103"/>
      <c r="BS124" s="88">
        <v>3.0739999999999998</v>
      </c>
      <c r="BT124" s="81">
        <v>45</v>
      </c>
      <c r="BU124" s="83"/>
      <c r="BV124" s="104">
        <v>42289</v>
      </c>
      <c r="BW124" s="84">
        <v>0.67983287292817685</v>
      </c>
      <c r="BX124" s="83">
        <v>20318</v>
      </c>
      <c r="BY124" s="83">
        <v>6760</v>
      </c>
      <c r="BZ124" s="84">
        <v>0.33270991239295206</v>
      </c>
      <c r="CA124" s="83">
        <v>72</v>
      </c>
      <c r="CB124" s="83">
        <v>820</v>
      </c>
      <c r="CC124" s="84">
        <v>3.5436558716409093E-3</v>
      </c>
      <c r="CD124" s="84">
        <v>4.0358302982577025E-2</v>
      </c>
    </row>
    <row r="125" spans="1:82" x14ac:dyDescent="0.25">
      <c r="A125" s="79" t="s">
        <v>119</v>
      </c>
      <c r="B125" s="80" t="s">
        <v>91</v>
      </c>
      <c r="C125" s="81">
        <v>896</v>
      </c>
      <c r="D125" s="100">
        <v>630.09999999999991</v>
      </c>
      <c r="E125" s="100">
        <v>9879.2189999999991</v>
      </c>
      <c r="F125" s="83">
        <v>24900</v>
      </c>
      <c r="G125" s="83">
        <v>23625</v>
      </c>
      <c r="H125" s="84">
        <f t="shared" si="61"/>
        <v>5.1204819277108432E-2</v>
      </c>
      <c r="I125" s="79">
        <v>231</v>
      </c>
      <c r="J125" s="84">
        <f t="shared" si="62"/>
        <v>9.2771084337349395E-3</v>
      </c>
      <c r="K125" s="83">
        <v>67840</v>
      </c>
      <c r="L125" s="83">
        <v>128860</v>
      </c>
      <c r="M125" s="85">
        <f t="shared" si="63"/>
        <v>2.8715343915343916</v>
      </c>
      <c r="N125" s="85">
        <f t="shared" si="64"/>
        <v>1.8994693396226414</v>
      </c>
      <c r="O125" s="85">
        <f t="shared" si="65"/>
        <v>1.9210994969213113</v>
      </c>
      <c r="P125" s="86">
        <f>IF(G125=0,0,+E125/G125)</f>
        <v>0.41816799999999998</v>
      </c>
      <c r="Q125" s="86">
        <f>IF(G125=0,0,+D125/G125)</f>
        <v>2.6670899470899467E-2</v>
      </c>
      <c r="R125" s="83">
        <v>1964</v>
      </c>
      <c r="S125" s="86">
        <f>IF(R125=0,0,+E125/R125)</f>
        <v>5.0301522403258652</v>
      </c>
      <c r="T125" s="85">
        <f t="shared" si="66"/>
        <v>12.678207739307537</v>
      </c>
      <c r="U125" s="85">
        <f t="shared" si="67"/>
        <v>5.4543915343915348</v>
      </c>
      <c r="V125" s="87">
        <v>44.26</v>
      </c>
      <c r="W125" s="83"/>
      <c r="X125" s="85"/>
      <c r="Y125" s="83"/>
      <c r="Z125" s="88">
        <f t="shared" si="68"/>
        <v>6.4878770707961858E-2</v>
      </c>
      <c r="AA125" s="101" t="str">
        <f t="shared" si="69"/>
        <v/>
      </c>
      <c r="AB125" s="102">
        <v>0.29879518072289157</v>
      </c>
      <c r="AC125" s="102">
        <v>1.5526104417670683</v>
      </c>
      <c r="AD125" s="102">
        <v>2.5004016064257026</v>
      </c>
      <c r="AE125" s="102">
        <v>0.82329317269076308</v>
      </c>
      <c r="AF125" s="90" t="s">
        <v>81</v>
      </c>
      <c r="AG125" s="91"/>
      <c r="AH125" s="91"/>
      <c r="AI125" s="91"/>
      <c r="AJ125" s="91"/>
      <c r="AK125" s="91"/>
      <c r="AL125" s="91"/>
      <c r="AM125" s="91"/>
      <c r="AN125" s="92"/>
      <c r="AO125" s="93">
        <f t="shared" si="33"/>
        <v>0</v>
      </c>
      <c r="AP125" s="94" t="s">
        <v>82</v>
      </c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  <c r="BD125" s="83"/>
      <c r="BE125" s="83">
        <v>24900</v>
      </c>
      <c r="BF125" s="83"/>
      <c r="BG125" s="83"/>
      <c r="BH125" s="95"/>
      <c r="BI125" s="96">
        <f t="shared" si="34"/>
        <v>1</v>
      </c>
      <c r="BJ125" s="97">
        <v>2.86</v>
      </c>
      <c r="BK125" s="98">
        <v>44</v>
      </c>
      <c r="BL125" s="88">
        <v>4.2999999999999997E-2</v>
      </c>
      <c r="BM125" s="88">
        <v>0.19500000000000001</v>
      </c>
      <c r="BN125" s="88">
        <v>0.498</v>
      </c>
      <c r="BO125" s="88">
        <v>0.95</v>
      </c>
      <c r="BP125" s="88">
        <v>1.49</v>
      </c>
      <c r="BQ125" s="88">
        <v>2.0499999999999998</v>
      </c>
      <c r="BR125" s="103"/>
      <c r="BS125" s="88">
        <v>2.927</v>
      </c>
      <c r="BT125" s="81">
        <v>45</v>
      </c>
      <c r="BU125" s="83">
        <v>6000</v>
      </c>
      <c r="BV125" s="104">
        <v>42289</v>
      </c>
      <c r="BW125" s="84">
        <v>0.69576872051886784</v>
      </c>
      <c r="BX125" s="83">
        <v>23410</v>
      </c>
      <c r="BY125" s="83">
        <v>12208</v>
      </c>
      <c r="BZ125" s="84">
        <v>0.52148654421187524</v>
      </c>
      <c r="CA125" s="83">
        <v>67</v>
      </c>
      <c r="CB125" s="83">
        <v>199</v>
      </c>
      <c r="CC125" s="84">
        <v>2.8620247757368644E-3</v>
      </c>
      <c r="CD125" s="84">
        <v>8.5006407518154643E-3</v>
      </c>
    </row>
    <row r="126" spans="1:82" x14ac:dyDescent="0.25">
      <c r="A126" s="79" t="s">
        <v>92</v>
      </c>
      <c r="B126" s="80" t="s">
        <v>86</v>
      </c>
      <c r="C126" s="81">
        <v>456</v>
      </c>
      <c r="D126" s="100">
        <v>408.46</v>
      </c>
      <c r="E126" s="100">
        <v>4854.7</v>
      </c>
      <c r="F126" s="83">
        <v>10800</v>
      </c>
      <c r="G126" s="83">
        <v>10320</v>
      </c>
      <c r="H126" s="84">
        <f t="shared" si="61"/>
        <v>4.4444444444444446E-2</v>
      </c>
      <c r="I126" s="79">
        <v>108</v>
      </c>
      <c r="J126" s="84">
        <f t="shared" si="62"/>
        <v>0.01</v>
      </c>
      <c r="K126" s="83">
        <v>30320</v>
      </c>
      <c r="L126" s="83">
        <v>57260</v>
      </c>
      <c r="M126" s="85">
        <f t="shared" si="63"/>
        <v>2.9379844961240309</v>
      </c>
      <c r="N126" s="85">
        <f t="shared" si="64"/>
        <v>1.8885224274406331</v>
      </c>
      <c r="O126" s="85">
        <f t="shared" si="65"/>
        <v>1.8885224274406331</v>
      </c>
      <c r="P126" s="86">
        <f>IF(G126=0,0,+E126/G126)</f>
        <v>0.47041666666666665</v>
      </c>
      <c r="Q126" s="86">
        <f>IF(G126=0,0,+D126/G126)</f>
        <v>3.9579457364341084E-2</v>
      </c>
      <c r="R126" s="83">
        <v>960</v>
      </c>
      <c r="S126" s="86">
        <f>IF(R126=0,0,+E126/R126)</f>
        <v>5.0569791666666664</v>
      </c>
      <c r="T126" s="85">
        <f t="shared" si="66"/>
        <v>11.25</v>
      </c>
      <c r="U126" s="85">
        <f t="shared" si="67"/>
        <v>5.5484496124031004</v>
      </c>
      <c r="V126" s="87">
        <v>44.84</v>
      </c>
      <c r="W126" s="83"/>
      <c r="X126" s="85"/>
      <c r="Y126" s="83"/>
      <c r="Z126" s="88">
        <f t="shared" si="68"/>
        <v>6.5521509726227264E-2</v>
      </c>
      <c r="AA126" s="101" t="str">
        <f t="shared" si="69"/>
        <v/>
      </c>
      <c r="AB126" s="102">
        <v>0.32592592592592595</v>
      </c>
      <c r="AC126" s="102">
        <v>1.4833333333333334</v>
      </c>
      <c r="AD126" s="102">
        <v>2.5814814814814815</v>
      </c>
      <c r="AE126" s="102">
        <v>0.91111111111111109</v>
      </c>
      <c r="AF126" s="90" t="s">
        <v>81</v>
      </c>
      <c r="AG126" s="91"/>
      <c r="AH126" s="91"/>
      <c r="AI126" s="91"/>
      <c r="AJ126" s="91"/>
      <c r="AK126" s="91"/>
      <c r="AL126" s="91">
        <v>10800</v>
      </c>
      <c r="AM126" s="91"/>
      <c r="AN126" s="92"/>
      <c r="AO126" s="93">
        <f t="shared" si="33"/>
        <v>1</v>
      </c>
      <c r="AP126" s="94" t="s">
        <v>82</v>
      </c>
      <c r="AQ126" s="91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  <c r="BD126" s="83"/>
      <c r="BE126" s="83"/>
      <c r="BF126" s="91"/>
      <c r="BG126" s="83"/>
      <c r="BH126" s="95"/>
      <c r="BI126" s="96">
        <f t="shared" si="34"/>
        <v>0</v>
      </c>
      <c r="BJ126" s="97">
        <v>2.9</v>
      </c>
      <c r="BK126" s="98">
        <v>44</v>
      </c>
      <c r="BL126" s="113">
        <v>3.9E-2</v>
      </c>
      <c r="BM126" s="113">
        <v>0.18</v>
      </c>
      <c r="BN126" s="113">
        <v>0.44</v>
      </c>
      <c r="BO126" s="113">
        <v>0.88</v>
      </c>
      <c r="BP126" s="113"/>
      <c r="BQ126" s="113">
        <v>2</v>
      </c>
      <c r="BR126" s="113">
        <v>2.65</v>
      </c>
      <c r="BS126" s="113">
        <v>2.9910000000000001</v>
      </c>
      <c r="BT126" s="81">
        <v>46</v>
      </c>
      <c r="BU126" s="83"/>
      <c r="BV126" s="104">
        <v>42353</v>
      </c>
      <c r="BW126" s="115" t="s">
        <v>120</v>
      </c>
      <c r="BX126" s="115"/>
      <c r="BY126" s="115"/>
      <c r="BZ126" s="115"/>
      <c r="CA126" s="115"/>
      <c r="CB126" s="115"/>
      <c r="CC126" s="115"/>
      <c r="CD126" s="115"/>
    </row>
    <row r="127" spans="1:82" x14ac:dyDescent="0.25">
      <c r="A127" s="79" t="s">
        <v>105</v>
      </c>
      <c r="B127" s="80" t="s">
        <v>86</v>
      </c>
      <c r="C127" s="81">
        <v>426</v>
      </c>
      <c r="D127" s="108">
        <v>1316.24</v>
      </c>
      <c r="E127" s="108">
        <v>13682.029350000001</v>
      </c>
      <c r="F127" s="83">
        <v>29600</v>
      </c>
      <c r="G127" s="83">
        <v>28470</v>
      </c>
      <c r="H127" s="84">
        <f t="shared" si="61"/>
        <v>3.8175675675675674E-2</v>
      </c>
      <c r="I127" s="79">
        <f>118+169</f>
        <v>287</v>
      </c>
      <c r="J127" s="84">
        <f t="shared" si="62"/>
        <v>9.6959459459459458E-3</v>
      </c>
      <c r="K127" s="83">
        <v>77300</v>
      </c>
      <c r="L127" s="83">
        <v>137860</v>
      </c>
      <c r="M127" s="85">
        <f t="shared" si="63"/>
        <v>2.715138742536003</v>
      </c>
      <c r="N127" s="85">
        <f t="shared" si="64"/>
        <v>1.7834411384217335</v>
      </c>
      <c r="O127" s="85">
        <f t="shared" si="65"/>
        <v>1.7992405815331944</v>
      </c>
      <c r="P127" s="86">
        <f>+E127/G127</f>
        <v>0.48057707586933618</v>
      </c>
      <c r="Q127" s="86">
        <f>+D127/G127</f>
        <v>4.6232525465402179E-2</v>
      </c>
      <c r="R127" s="83">
        <v>2700</v>
      </c>
      <c r="S127" s="86">
        <f>+E127/R127</f>
        <v>5.0674182777777776</v>
      </c>
      <c r="T127" s="85">
        <f t="shared" si="66"/>
        <v>10.962962962962964</v>
      </c>
      <c r="U127" s="85">
        <f t="shared" si="67"/>
        <v>4.8422901299613628</v>
      </c>
      <c r="V127" s="87">
        <v>39.6</v>
      </c>
      <c r="W127" s="83"/>
      <c r="X127" s="85"/>
      <c r="Y127" s="83"/>
      <c r="Z127" s="88">
        <f t="shared" si="68"/>
        <v>6.8564109660000067E-2</v>
      </c>
      <c r="AA127" s="109" t="str">
        <f t="shared" si="69"/>
        <v/>
      </c>
      <c r="AB127" s="88">
        <v>0.31891891891891894</v>
      </c>
      <c r="AC127" s="88">
        <v>1.5547297297297298</v>
      </c>
      <c r="AD127" s="88">
        <v>2.5040540540540541</v>
      </c>
      <c r="AE127" s="88">
        <v>0.2797297297297297</v>
      </c>
      <c r="AF127" s="90" t="s">
        <v>81</v>
      </c>
      <c r="AG127" s="91"/>
      <c r="AH127" s="91"/>
      <c r="AI127" s="91"/>
      <c r="AJ127" s="91"/>
      <c r="AK127" s="91"/>
      <c r="AL127" s="110"/>
      <c r="AM127" s="83"/>
      <c r="AN127" s="92"/>
      <c r="AO127" s="93">
        <f t="shared" si="33"/>
        <v>0</v>
      </c>
      <c r="AP127" s="94" t="s">
        <v>82</v>
      </c>
      <c r="AQ127" s="91"/>
      <c r="AR127" s="83"/>
      <c r="AS127" s="83">
        <v>1400</v>
      </c>
      <c r="AT127" s="83"/>
      <c r="AU127" s="91"/>
      <c r="AV127" s="83">
        <f>11900+16300</f>
        <v>28200</v>
      </c>
      <c r="AW127" s="110"/>
      <c r="AX127" s="83"/>
      <c r="AY127" s="91"/>
      <c r="AZ127" s="83"/>
      <c r="BA127" s="83"/>
      <c r="BB127" s="83"/>
      <c r="BC127" s="83"/>
      <c r="BD127" s="83"/>
      <c r="BE127" s="83"/>
      <c r="BF127" s="83"/>
      <c r="BG127" s="83"/>
      <c r="BH127" s="95"/>
      <c r="BI127" s="96">
        <f t="shared" si="34"/>
        <v>1</v>
      </c>
      <c r="BJ127" s="97">
        <v>2.7090000000000001</v>
      </c>
      <c r="BK127" s="98">
        <v>39</v>
      </c>
      <c r="BL127" s="88">
        <v>4.3999999999999997E-2</v>
      </c>
      <c r="BM127" s="88">
        <v>0.17799999999999999</v>
      </c>
      <c r="BN127" s="88">
        <v>0.48499999999999999</v>
      </c>
      <c r="BO127" s="88">
        <v>0.9</v>
      </c>
      <c r="BP127" s="88">
        <v>1.6279999999999999</v>
      </c>
      <c r="BQ127" s="88">
        <v>2.2250000000000001</v>
      </c>
      <c r="BR127" s="88">
        <v>2.7149999999999999</v>
      </c>
      <c r="BS127" s="88">
        <v>2.72</v>
      </c>
      <c r="BT127" s="81">
        <v>40</v>
      </c>
      <c r="BU127" s="83">
        <v>5000</v>
      </c>
      <c r="BV127" s="99">
        <v>42066</v>
      </c>
      <c r="BW127" s="84">
        <v>0.70784579560155236</v>
      </c>
      <c r="BX127" s="83">
        <v>28260</v>
      </c>
      <c r="BY127" s="83">
        <v>12208</v>
      </c>
      <c r="BZ127" s="84">
        <v>0.43198867657466383</v>
      </c>
      <c r="CA127" s="83">
        <v>84</v>
      </c>
      <c r="CB127" s="83">
        <v>166</v>
      </c>
      <c r="CC127" s="84">
        <v>2.9723991507431E-3</v>
      </c>
      <c r="CD127" s="84">
        <v>5.8740268931351735E-3</v>
      </c>
    </row>
    <row r="128" spans="1:82" x14ac:dyDescent="0.25">
      <c r="A128" s="79" t="s">
        <v>109</v>
      </c>
      <c r="B128" s="80" t="s">
        <v>80</v>
      </c>
      <c r="C128" s="81">
        <v>850</v>
      </c>
      <c r="D128" s="108">
        <v>905.02</v>
      </c>
      <c r="E128" s="108">
        <v>9934.2338999999993</v>
      </c>
      <c r="F128" s="83">
        <v>25000</v>
      </c>
      <c r="G128" s="83">
        <v>23180</v>
      </c>
      <c r="H128" s="84">
        <f t="shared" si="61"/>
        <v>7.2800000000000004E-2</v>
      </c>
      <c r="I128" s="79">
        <v>1023</v>
      </c>
      <c r="J128" s="84">
        <f t="shared" si="62"/>
        <v>4.0919999999999998E-2</v>
      </c>
      <c r="K128" s="83">
        <v>65420</v>
      </c>
      <c r="L128" s="83">
        <v>123600</v>
      </c>
      <c r="M128" s="85">
        <f t="shared" si="63"/>
        <v>2.8222605694564278</v>
      </c>
      <c r="N128" s="85">
        <f t="shared" si="64"/>
        <v>1.8893304799755426</v>
      </c>
      <c r="O128" s="85">
        <f t="shared" si="65"/>
        <v>1.9324308576019538</v>
      </c>
      <c r="P128" s="86">
        <f>+E128/G128</f>
        <v>0.42856919327006038</v>
      </c>
      <c r="Q128" s="86">
        <f>+D128/G128</f>
        <v>3.9043140638481445E-2</v>
      </c>
      <c r="R128" s="83">
        <v>1960</v>
      </c>
      <c r="S128" s="86">
        <f>+E128/R128</f>
        <v>5.068486683673469</v>
      </c>
      <c r="T128" s="85">
        <f t="shared" si="66"/>
        <v>12.755102040816327</v>
      </c>
      <c r="U128" s="85">
        <f t="shared" si="67"/>
        <v>5.3321829163071612</v>
      </c>
      <c r="V128" s="87">
        <v>43</v>
      </c>
      <c r="W128" s="83"/>
      <c r="X128" s="85"/>
      <c r="Y128" s="83"/>
      <c r="Z128" s="88">
        <f t="shared" si="68"/>
        <v>6.5633966731544827E-2</v>
      </c>
      <c r="AA128" s="109" t="str">
        <f t="shared" si="69"/>
        <v/>
      </c>
      <c r="AB128" s="88">
        <v>0.30399999999999999</v>
      </c>
      <c r="AC128" s="88">
        <v>1.427</v>
      </c>
      <c r="AD128" s="88">
        <v>2.532</v>
      </c>
      <c r="AE128" s="88">
        <v>0.68</v>
      </c>
      <c r="AF128" s="90" t="s">
        <v>81</v>
      </c>
      <c r="AG128" s="91"/>
      <c r="AH128" s="91"/>
      <c r="AI128" s="91"/>
      <c r="AJ128" s="91"/>
      <c r="AK128" s="91"/>
      <c r="AL128" s="110"/>
      <c r="AM128" s="91"/>
      <c r="AN128" s="92"/>
      <c r="AO128" s="93">
        <f t="shared" si="33"/>
        <v>0</v>
      </c>
      <c r="AP128" s="94" t="s">
        <v>82</v>
      </c>
      <c r="AQ128" s="91"/>
      <c r="AR128" s="83"/>
      <c r="AS128" s="83"/>
      <c r="AT128" s="83"/>
      <c r="AU128" s="91"/>
      <c r="AV128" s="83">
        <v>25000</v>
      </c>
      <c r="AW128" s="110"/>
      <c r="AX128" s="83"/>
      <c r="AY128" s="91"/>
      <c r="AZ128" s="83"/>
      <c r="BA128" s="83"/>
      <c r="BB128" s="83"/>
      <c r="BC128" s="83"/>
      <c r="BD128" s="83"/>
      <c r="BE128" s="83"/>
      <c r="BF128" s="83"/>
      <c r="BG128" s="83"/>
      <c r="BH128" s="95"/>
      <c r="BI128" s="96">
        <f t="shared" si="34"/>
        <v>1</v>
      </c>
      <c r="BJ128" s="97">
        <v>2.8220000000000001</v>
      </c>
      <c r="BK128" s="98">
        <v>43</v>
      </c>
      <c r="BL128" s="88">
        <v>4.4999999999999998E-2</v>
      </c>
      <c r="BM128" s="88">
        <v>0.14499999999999999</v>
      </c>
      <c r="BN128" s="88">
        <v>0.373</v>
      </c>
      <c r="BO128" s="88">
        <v>0.75</v>
      </c>
      <c r="BP128" s="88">
        <v>1.52</v>
      </c>
      <c r="BQ128" s="88"/>
      <c r="BR128" s="88"/>
      <c r="BS128" s="88">
        <v>2.8220000000000001</v>
      </c>
      <c r="BT128" s="81">
        <v>43</v>
      </c>
      <c r="BU128" s="83">
        <v>5000</v>
      </c>
      <c r="BV128" s="99">
        <v>42090</v>
      </c>
      <c r="BW128" s="84">
        <f>45119.12/65420</f>
        <v>0.68968388871904618</v>
      </c>
      <c r="BX128" s="83">
        <v>22838</v>
      </c>
      <c r="BY128" s="83">
        <v>8936</v>
      </c>
      <c r="BZ128" s="84">
        <f>+BY128/BX128</f>
        <v>0.39127769506962079</v>
      </c>
      <c r="CA128" s="83">
        <v>161</v>
      </c>
      <c r="CB128" s="83">
        <v>356</v>
      </c>
      <c r="CC128" s="84">
        <f>+(CA128/25690)</f>
        <v>6.2670299727520433E-3</v>
      </c>
      <c r="CD128" s="84">
        <f>+CB128/25690</f>
        <v>1.3857532113662904E-2</v>
      </c>
    </row>
    <row r="129" spans="1:82" x14ac:dyDescent="0.25">
      <c r="A129" s="79" t="s">
        <v>110</v>
      </c>
      <c r="B129" s="80" t="s">
        <v>80</v>
      </c>
      <c r="C129" s="81">
        <v>810</v>
      </c>
      <c r="D129" s="105">
        <v>1087.77</v>
      </c>
      <c r="E129" s="105">
        <v>11939.521500000001</v>
      </c>
      <c r="F129" s="83">
        <v>37000</v>
      </c>
      <c r="G129" s="83">
        <v>34300</v>
      </c>
      <c r="H129" s="84">
        <f t="shared" si="61"/>
        <v>7.2972972972972977E-2</v>
      </c>
      <c r="I129" s="79">
        <v>128</v>
      </c>
      <c r="J129" s="84">
        <f t="shared" si="62"/>
        <v>3.4594594594594594E-3</v>
      </c>
      <c r="K129" s="83">
        <v>90130</v>
      </c>
      <c r="L129" s="83">
        <v>175100</v>
      </c>
      <c r="M129" s="85">
        <f t="shared" si="63"/>
        <v>2.6276967930029156</v>
      </c>
      <c r="N129" s="85">
        <f t="shared" si="64"/>
        <v>1.9427493620326195</v>
      </c>
      <c r="O129" s="85">
        <f t="shared" si="65"/>
        <v>1.9921762419719229</v>
      </c>
      <c r="P129" s="86">
        <f>IF(G129=0,0,+E129/G129)</f>
        <v>0.3480910058309038</v>
      </c>
      <c r="Q129" s="86">
        <f>IF(G129=0,0,+D129/G129)</f>
        <v>3.1713411078717203E-2</v>
      </c>
      <c r="R129" s="83">
        <v>2352</v>
      </c>
      <c r="S129" s="86">
        <f>IF(R129=0,0,+E129/R129)</f>
        <v>5.0763271683673477</v>
      </c>
      <c r="T129" s="85">
        <f t="shared" si="66"/>
        <v>15.731292517006803</v>
      </c>
      <c r="U129" s="85">
        <f t="shared" si="67"/>
        <v>5.1049562682215743</v>
      </c>
      <c r="V129" s="87">
        <v>44.34</v>
      </c>
      <c r="W129" s="83"/>
      <c r="X129" s="85"/>
      <c r="Y129" s="83"/>
      <c r="Z129" s="88">
        <f t="shared" si="68"/>
        <v>5.9262444587345857E-2</v>
      </c>
      <c r="AA129" s="107" t="str">
        <f t="shared" si="69"/>
        <v/>
      </c>
      <c r="AB129" s="88">
        <v>0.31405405405405407</v>
      </c>
      <c r="AC129" s="88">
        <v>1.3556756756756756</v>
      </c>
      <c r="AD129" s="88">
        <v>2.4540540540540539</v>
      </c>
      <c r="AE129" s="88">
        <v>0.60864864864864865</v>
      </c>
      <c r="AF129" s="90" t="s">
        <v>81</v>
      </c>
      <c r="AG129" s="116"/>
      <c r="AH129" s="116"/>
      <c r="AI129" s="116"/>
      <c r="AJ129" s="116"/>
      <c r="AK129" s="116"/>
      <c r="AL129" s="79"/>
      <c r="AM129" s="116"/>
      <c r="AN129" s="117"/>
      <c r="AO129" s="93">
        <f t="shared" si="33"/>
        <v>0</v>
      </c>
      <c r="AP129" s="94" t="s">
        <v>82</v>
      </c>
      <c r="AQ129" s="116"/>
      <c r="AR129" s="79"/>
      <c r="AS129" s="79"/>
      <c r="AT129" s="79"/>
      <c r="AU129" s="79"/>
      <c r="AV129" s="79">
        <v>37000</v>
      </c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111"/>
      <c r="BI129" s="96">
        <f t="shared" si="34"/>
        <v>1</v>
      </c>
      <c r="BJ129" s="97">
        <v>2.8370000000000002</v>
      </c>
      <c r="BK129" s="98">
        <v>44</v>
      </c>
      <c r="BL129" s="88">
        <v>3.7999999999999999E-2</v>
      </c>
      <c r="BM129" s="88">
        <v>0.16</v>
      </c>
      <c r="BN129" s="88">
        <v>0.4</v>
      </c>
      <c r="BO129" s="88">
        <v>0.872</v>
      </c>
      <c r="BP129" s="88">
        <v>1.4239999999999999</v>
      </c>
      <c r="BQ129" s="88">
        <v>1.9239999999999999</v>
      </c>
      <c r="BR129" s="88">
        <v>2.5169999999999999</v>
      </c>
      <c r="BS129" s="88">
        <v>2.802</v>
      </c>
      <c r="BT129" s="81">
        <v>45</v>
      </c>
      <c r="BU129" s="83"/>
      <c r="BV129" s="99">
        <v>42034</v>
      </c>
      <c r="BW129" s="84">
        <v>0.68109982833751492</v>
      </c>
      <c r="BX129" s="79">
        <v>25898</v>
      </c>
      <c r="BY129" s="83">
        <v>11120</v>
      </c>
      <c r="BZ129" s="84">
        <v>0.42937678585218936</v>
      </c>
      <c r="CA129" s="83">
        <v>644</v>
      </c>
      <c r="CB129" s="83">
        <v>207</v>
      </c>
      <c r="CC129" s="84">
        <v>2.4866785079928951E-2</v>
      </c>
      <c r="CD129" s="84">
        <v>7.9928952042628773E-3</v>
      </c>
    </row>
    <row r="130" spans="1:82" x14ac:dyDescent="0.25">
      <c r="A130" s="79" t="s">
        <v>87</v>
      </c>
      <c r="B130" s="80" t="s">
        <v>80</v>
      </c>
      <c r="C130" s="81">
        <v>790</v>
      </c>
      <c r="D130" s="100">
        <v>685.93</v>
      </c>
      <c r="E130" s="100">
        <v>14571.383575</v>
      </c>
      <c r="F130" s="83">
        <v>34800</v>
      </c>
      <c r="G130" s="83">
        <v>33415</v>
      </c>
      <c r="H130" s="84">
        <f t="shared" si="61"/>
        <v>3.9798850574712642E-2</v>
      </c>
      <c r="I130" s="79">
        <v>384</v>
      </c>
      <c r="J130" s="84">
        <f t="shared" si="62"/>
        <v>1.1034482758620689E-2</v>
      </c>
      <c r="K130" s="83">
        <v>98700</v>
      </c>
      <c r="L130" s="83">
        <v>193820</v>
      </c>
      <c r="M130" s="85">
        <f t="shared" si="63"/>
        <v>2.9537632799640878</v>
      </c>
      <c r="N130" s="85">
        <f t="shared" si="64"/>
        <v>1.9637284701114488</v>
      </c>
      <c r="O130" s="85">
        <f t="shared" si="65"/>
        <v>1.9799042552885784</v>
      </c>
      <c r="P130" s="86">
        <f>IF(G130=0,0,+E130/G130)</f>
        <v>0.43607312808618881</v>
      </c>
      <c r="Q130" s="86">
        <f>IF(G130=0,0,+D130/G130)</f>
        <v>2.0527607361963188E-2</v>
      </c>
      <c r="R130" s="83">
        <v>2870</v>
      </c>
      <c r="S130" s="86">
        <f>IF(R130=0,0,+E130/R130)</f>
        <v>5.0771371341463416</v>
      </c>
      <c r="T130" s="85">
        <f t="shared" si="66"/>
        <v>12.125435540069686</v>
      </c>
      <c r="U130" s="85">
        <f t="shared" si="67"/>
        <v>5.8003890468352539</v>
      </c>
      <c r="V130" s="87">
        <v>45.67</v>
      </c>
      <c r="W130" s="83"/>
      <c r="X130" s="85"/>
      <c r="Y130" s="83"/>
      <c r="Z130" s="88">
        <f t="shared" si="68"/>
        <v>6.4676226843969509E-2</v>
      </c>
      <c r="AA130" s="101" t="str">
        <f t="shared" si="69"/>
        <v/>
      </c>
      <c r="AB130" s="102">
        <v>0.32816091954022991</v>
      </c>
      <c r="AC130" s="102">
        <v>1.4206896551724137</v>
      </c>
      <c r="AD130" s="102">
        <v>2.4097701149425288</v>
      </c>
      <c r="AE130" s="102">
        <v>1.4109195402298851</v>
      </c>
      <c r="AF130" s="90" t="s">
        <v>81</v>
      </c>
      <c r="AG130" s="91"/>
      <c r="AH130" s="91"/>
      <c r="AI130" s="91"/>
      <c r="AJ130" s="91"/>
      <c r="AK130" s="91"/>
      <c r="AL130" s="91"/>
      <c r="AM130" s="91"/>
      <c r="AN130" s="92"/>
      <c r="AO130" s="93">
        <f t="shared" ref="AO130:AO193" si="70">+(AN130+AM130+AL130+AK130+AJ130+AI130+AH130+AG130)/F130</f>
        <v>0</v>
      </c>
      <c r="AP130" s="94" t="s">
        <v>82</v>
      </c>
      <c r="AQ130" s="91"/>
      <c r="AR130" s="83"/>
      <c r="AS130" s="83"/>
      <c r="AT130" s="83"/>
      <c r="AU130" s="83">
        <v>8200</v>
      </c>
      <c r="AV130" s="83"/>
      <c r="AW130" s="83"/>
      <c r="AX130" s="83"/>
      <c r="AY130" s="83"/>
      <c r="AZ130" s="83"/>
      <c r="BA130" s="83"/>
      <c r="BB130" s="83"/>
      <c r="BC130" s="83"/>
      <c r="BD130" s="83"/>
      <c r="BE130" s="83"/>
      <c r="BF130" s="91">
        <v>26600</v>
      </c>
      <c r="BG130" s="83"/>
      <c r="BH130" s="95"/>
      <c r="BI130" s="96">
        <f t="shared" ref="BI130:BI193" si="71">+(BH130+BG130+BF130+BE130+BD130+BC130+BB130+BA130+AZ130+AY130+AX130+AW130+AV130+AU130+AT130+AS130+AR130+AQ130)/F130</f>
        <v>1</v>
      </c>
      <c r="BJ130" s="97">
        <v>2.875</v>
      </c>
      <c r="BK130" s="98">
        <v>45</v>
      </c>
      <c r="BL130" s="113">
        <v>4.2999999999999997E-2</v>
      </c>
      <c r="BM130" s="113">
        <v>0.16850000000000001</v>
      </c>
      <c r="BN130" s="113">
        <v>0.46250000000000002</v>
      </c>
      <c r="BO130" s="113">
        <v>0.93500000000000005</v>
      </c>
      <c r="BP130" s="113">
        <v>1.5</v>
      </c>
      <c r="BQ130" s="113"/>
      <c r="BR130" s="113"/>
      <c r="BS130" s="113">
        <v>2.9910000000000001</v>
      </c>
      <c r="BT130" s="81">
        <v>46</v>
      </c>
      <c r="BU130" s="83">
        <v>8000</v>
      </c>
      <c r="BV130" s="104">
        <v>42339</v>
      </c>
      <c r="BW130" s="84">
        <v>0.70112553191489357</v>
      </c>
      <c r="BX130" s="83">
        <v>33208</v>
      </c>
      <c r="BY130" s="83">
        <v>15360</v>
      </c>
      <c r="BZ130" s="84">
        <v>0.46253914719344735</v>
      </c>
      <c r="CA130" s="83">
        <v>128</v>
      </c>
      <c r="CB130" s="83">
        <v>145</v>
      </c>
      <c r="CC130" s="84">
        <v>3.8544928932787281E-3</v>
      </c>
      <c r="CD130" s="84">
        <v>4.3664177306673088E-3</v>
      </c>
    </row>
    <row r="131" spans="1:82" x14ac:dyDescent="0.25">
      <c r="A131" s="79" t="s">
        <v>97</v>
      </c>
      <c r="B131" s="80" t="s">
        <v>80</v>
      </c>
      <c r="C131" s="81">
        <v>880</v>
      </c>
      <c r="D131" s="105">
        <v>2405.63</v>
      </c>
      <c r="E131" s="105">
        <v>24961.98705</v>
      </c>
      <c r="F131" s="83">
        <v>63500</v>
      </c>
      <c r="G131" s="83">
        <v>61210</v>
      </c>
      <c r="H131" s="84">
        <v>3.6062992125984253E-2</v>
      </c>
      <c r="I131" s="79">
        <v>633</v>
      </c>
      <c r="J131" s="84">
        <v>9.9685039370078742E-3</v>
      </c>
      <c r="K131" s="83">
        <v>166000</v>
      </c>
      <c r="L131" s="83">
        <v>315560</v>
      </c>
      <c r="M131" s="85">
        <v>2.711975167456298</v>
      </c>
      <c r="N131" s="85">
        <v>1.9009638554216868</v>
      </c>
      <c r="O131" s="85">
        <f t="shared" si="65"/>
        <v>1.917377938739766</v>
      </c>
      <c r="P131" s="86">
        <v>0.40780896993955235</v>
      </c>
      <c r="Q131" s="86">
        <v>3.9301257964384904E-2</v>
      </c>
      <c r="R131" s="83">
        <v>4914</v>
      </c>
      <c r="S131" s="106">
        <v>5.0797694444444446</v>
      </c>
      <c r="T131" s="85">
        <v>12.922262922262922</v>
      </c>
      <c r="U131" s="85">
        <v>5.1553667701355987</v>
      </c>
      <c r="V131" s="87">
        <v>44.61</v>
      </c>
      <c r="W131" s="83"/>
      <c r="X131" s="85"/>
      <c r="Y131" s="83"/>
      <c r="Z131" s="88">
        <v>6.0792987389739921E-2</v>
      </c>
      <c r="AA131" s="107" t="s">
        <v>84</v>
      </c>
      <c r="AB131" s="88">
        <v>0.28661417322834648</v>
      </c>
      <c r="AC131" s="88">
        <v>1.4220472440944882</v>
      </c>
      <c r="AD131" s="88">
        <v>2.5911811023622047</v>
      </c>
      <c r="AE131" s="88">
        <v>0.6696062992125984</v>
      </c>
      <c r="AF131" s="90" t="s">
        <v>81</v>
      </c>
      <c r="AG131" s="91"/>
      <c r="AH131" s="91"/>
      <c r="AI131" s="91"/>
      <c r="AJ131" s="91"/>
      <c r="AK131" s="91"/>
      <c r="AL131" s="110"/>
      <c r="AM131" s="91"/>
      <c r="AN131" s="92"/>
      <c r="AO131" s="93">
        <f t="shared" si="70"/>
        <v>0</v>
      </c>
      <c r="AP131" s="94" t="s">
        <v>82</v>
      </c>
      <c r="AQ131" s="91"/>
      <c r="AR131" s="83"/>
      <c r="AS131" s="83"/>
      <c r="AT131" s="83"/>
      <c r="AU131" s="83"/>
      <c r="AV131" s="83"/>
      <c r="AW131" s="110"/>
      <c r="AX131" s="83"/>
      <c r="AY131" s="83"/>
      <c r="AZ131" s="83"/>
      <c r="BA131" s="83">
        <v>3200</v>
      </c>
      <c r="BB131" s="83"/>
      <c r="BC131" s="83"/>
      <c r="BD131" s="83"/>
      <c r="BE131" s="83">
        <f>19300+2900</f>
        <v>22200</v>
      </c>
      <c r="BF131" s="83"/>
      <c r="BG131" s="83">
        <f>18500+19600</f>
        <v>38100</v>
      </c>
      <c r="BH131" s="95"/>
      <c r="BI131" s="96">
        <f t="shared" si="71"/>
        <v>1</v>
      </c>
      <c r="BJ131" s="97">
        <v>2.7269999999999999</v>
      </c>
      <c r="BK131" s="98">
        <v>44</v>
      </c>
      <c r="BL131" s="88">
        <v>3.9E-2</v>
      </c>
      <c r="BM131" s="88">
        <v>0.17299999999999999</v>
      </c>
      <c r="BN131" s="88">
        <v>0.44400000000000001</v>
      </c>
      <c r="BO131" s="88">
        <v>0.98</v>
      </c>
      <c r="BP131" s="88">
        <v>1.51</v>
      </c>
      <c r="BQ131" s="88">
        <v>2.0390000000000001</v>
      </c>
      <c r="BR131" s="88">
        <v>2.6909999999999998</v>
      </c>
      <c r="BS131" s="88">
        <v>2.7029999999999998</v>
      </c>
      <c r="BT131" s="81">
        <v>45</v>
      </c>
      <c r="BU131" s="83"/>
      <c r="BV131" s="99">
        <v>42121</v>
      </c>
      <c r="BW131" s="84">
        <v>0.68917674698795184</v>
      </c>
      <c r="BX131" s="83">
        <v>60730</v>
      </c>
      <c r="BY131" s="83">
        <v>27400</v>
      </c>
      <c r="BZ131" s="84">
        <v>0.45117734233492507</v>
      </c>
      <c r="CA131" s="83">
        <v>148</v>
      </c>
      <c r="CB131" s="83">
        <v>376</v>
      </c>
      <c r="CC131" s="84">
        <v>2.4370163016630988E-3</v>
      </c>
      <c r="CD131" s="84">
        <v>6.1913387123332785E-3</v>
      </c>
    </row>
    <row r="132" spans="1:82" x14ac:dyDescent="0.25">
      <c r="A132" s="79" t="s">
        <v>102</v>
      </c>
      <c r="B132" s="80" t="s">
        <v>86</v>
      </c>
      <c r="C132" s="81">
        <v>452</v>
      </c>
      <c r="D132" s="100">
        <v>633.74</v>
      </c>
      <c r="E132" s="100">
        <v>17304</v>
      </c>
      <c r="F132" s="83">
        <v>33600</v>
      </c>
      <c r="G132" s="83">
        <v>32320</v>
      </c>
      <c r="H132" s="84">
        <f>IF(F132=0,0,+((F132-G132)/F132))</f>
        <v>3.8095238095238099E-2</v>
      </c>
      <c r="I132" s="79">
        <v>442</v>
      </c>
      <c r="J132" s="84">
        <f>+(I132/F132)</f>
        <v>1.3154761904761905E-2</v>
      </c>
      <c r="K132" s="83">
        <v>96580</v>
      </c>
      <c r="L132" s="83">
        <v>172760</v>
      </c>
      <c r="M132" s="85">
        <f>IF(G132=0,0,+K132/G132)</f>
        <v>2.9882425742574257</v>
      </c>
      <c r="N132" s="85">
        <f>IF(K132=0,0,+L132/K132)</f>
        <v>1.7887761441292194</v>
      </c>
      <c r="O132" s="85">
        <f t="shared" si="65"/>
        <v>1.798794181028512</v>
      </c>
      <c r="P132" s="86">
        <f>IF(G132=0,0,+E132/G132)</f>
        <v>0.53539603960396043</v>
      </c>
      <c r="Q132" s="86">
        <f>IF(G132=0,0,+D132/G132)</f>
        <v>1.9608292079207921E-2</v>
      </c>
      <c r="R132" s="83">
        <v>3400</v>
      </c>
      <c r="S132" s="86">
        <f>IF(R132=0,0,+E132/R132)</f>
        <v>5.0894117647058827</v>
      </c>
      <c r="T132" s="85">
        <f>IF(R132=0,0,+F132/R132)</f>
        <v>9.882352941176471</v>
      </c>
      <c r="U132" s="85">
        <f>IF(L132=0,0,+L132/G132)</f>
        <v>5.3452970297029703</v>
      </c>
      <c r="V132" s="87">
        <v>44.49</v>
      </c>
      <c r="W132" s="83"/>
      <c r="X132" s="85"/>
      <c r="Y132" s="83"/>
      <c r="Z132" s="88">
        <f>IF(V132=0,0,+M132/V132)</f>
        <v>6.7166612143345142E-2</v>
      </c>
      <c r="AA132" s="101" t="str">
        <f>IF(W132=0,"",+X132/W132)</f>
        <v/>
      </c>
      <c r="AB132" s="102">
        <v>0.31488095238095237</v>
      </c>
      <c r="AC132" s="102">
        <v>1.4386904761904762</v>
      </c>
      <c r="AD132" s="102">
        <v>2.4113095238095239</v>
      </c>
      <c r="AE132" s="102">
        <v>0.97678571428571426</v>
      </c>
      <c r="AF132" s="90" t="s">
        <v>81</v>
      </c>
      <c r="AG132" s="91"/>
      <c r="AH132" s="91"/>
      <c r="AI132" s="91"/>
      <c r="AJ132" s="91"/>
      <c r="AK132" s="91"/>
      <c r="AL132" s="91"/>
      <c r="AM132" s="91">
        <v>4800</v>
      </c>
      <c r="AN132" s="92"/>
      <c r="AO132" s="93">
        <f t="shared" si="70"/>
        <v>0.14285714285714285</v>
      </c>
      <c r="AP132" s="94" t="s">
        <v>82</v>
      </c>
      <c r="AQ132" s="83"/>
      <c r="AR132" s="83"/>
      <c r="AS132" s="83"/>
      <c r="AT132" s="83"/>
      <c r="AU132" s="83"/>
      <c r="AV132" s="83"/>
      <c r="AW132" s="83"/>
      <c r="AX132" s="83"/>
      <c r="AY132" s="83"/>
      <c r="AZ132" s="83"/>
      <c r="BA132" s="83"/>
      <c r="BB132" s="83"/>
      <c r="BC132" s="83"/>
      <c r="BD132" s="83"/>
      <c r="BE132" s="83"/>
      <c r="BF132" s="83">
        <v>28800</v>
      </c>
      <c r="BG132" s="83"/>
      <c r="BH132" s="95"/>
      <c r="BI132" s="96">
        <f t="shared" si="71"/>
        <v>0.8571428571428571</v>
      </c>
      <c r="BJ132" s="97">
        <v>2.9609999999999999</v>
      </c>
      <c r="BK132" s="98">
        <v>44</v>
      </c>
      <c r="BL132" s="103"/>
      <c r="BM132" s="88">
        <v>0.20830000000000001</v>
      </c>
      <c r="BN132" s="88">
        <v>0.44</v>
      </c>
      <c r="BO132" s="88">
        <v>0.9</v>
      </c>
      <c r="BP132" s="88">
        <v>1.5</v>
      </c>
      <c r="BQ132" s="88">
        <v>2.0699999999999998</v>
      </c>
      <c r="BR132" s="88">
        <v>2.7330000000000001</v>
      </c>
      <c r="BS132" s="88">
        <v>3.016</v>
      </c>
      <c r="BT132" s="81">
        <v>45</v>
      </c>
      <c r="BU132" s="83"/>
      <c r="BV132" s="104">
        <v>42292</v>
      </c>
      <c r="BW132" s="84">
        <v>0.71453975978463447</v>
      </c>
      <c r="BX132" s="83">
        <v>32060</v>
      </c>
      <c r="BY132" s="83">
        <v>11968</v>
      </c>
      <c r="BZ132" s="84">
        <v>0.37330006238303182</v>
      </c>
      <c r="CA132" s="83">
        <v>42</v>
      </c>
      <c r="CB132" s="83">
        <v>138</v>
      </c>
      <c r="CC132" s="84">
        <v>1.3100436681222707E-3</v>
      </c>
      <c r="CD132" s="84">
        <v>4.3044291952588892E-3</v>
      </c>
    </row>
    <row r="133" spans="1:82" x14ac:dyDescent="0.25">
      <c r="A133" s="79" t="s">
        <v>105</v>
      </c>
      <c r="B133" s="80" t="s">
        <v>86</v>
      </c>
      <c r="C133" s="81">
        <v>426</v>
      </c>
      <c r="D133" s="100">
        <v>1788.6980000000001</v>
      </c>
      <c r="E133" s="100">
        <v>13747.849999999999</v>
      </c>
      <c r="F133" s="83">
        <v>33100</v>
      </c>
      <c r="G133" s="83">
        <v>31910</v>
      </c>
      <c r="H133" s="84">
        <f>IF(F133=0,0,+((F133-G133)/F133))</f>
        <v>3.595166163141994E-2</v>
      </c>
      <c r="I133" s="79">
        <v>538</v>
      </c>
      <c r="J133" s="84">
        <f>+(I133/F133)</f>
        <v>1.6253776435045317E-2</v>
      </c>
      <c r="K133" s="83">
        <v>98160</v>
      </c>
      <c r="L133" s="83">
        <v>194740</v>
      </c>
      <c r="M133" s="85">
        <f>IF(G133=0,0,+K133/G133)</f>
        <v>3.0761516765904107</v>
      </c>
      <c r="N133" s="85">
        <f>IF(K133=0,0,+L133/K133)</f>
        <v>1.9839038304808476</v>
      </c>
      <c r="O133" s="85">
        <f t="shared" si="65"/>
        <v>2.0002013027059666</v>
      </c>
      <c r="P133" s="86">
        <f>IF(G133=0,0,+E133/G133)</f>
        <v>0.43083202757756184</v>
      </c>
      <c r="Q133" s="86">
        <f>IF(G133=0,0,+D133/G133)</f>
        <v>5.6054465684738326E-2</v>
      </c>
      <c r="R133" s="83">
        <v>2700</v>
      </c>
      <c r="S133" s="86">
        <f>IF(R133=0,0,+E133/R133)</f>
        <v>5.0917962962962955</v>
      </c>
      <c r="T133" s="85">
        <f>IF(R133=0,0,+F133/R133)</f>
        <v>12.25925925925926</v>
      </c>
      <c r="U133" s="85">
        <f>IF(L133=0,0,+L133/G133)</f>
        <v>6.1027890943277967</v>
      </c>
      <c r="V133" s="87">
        <v>42.52</v>
      </c>
      <c r="W133" s="83"/>
      <c r="X133" s="85"/>
      <c r="Y133" s="83"/>
      <c r="Z133" s="88">
        <f>IF(V133=0,0,+M133/V133)</f>
        <v>7.234599427540947E-2</v>
      </c>
      <c r="AA133" s="101" t="str">
        <f>IF(W133=0,"",+X133/W133)</f>
        <v/>
      </c>
      <c r="AB133" s="102">
        <v>0.30574018126888219</v>
      </c>
      <c r="AC133" s="102">
        <v>1.4912386706948642</v>
      </c>
      <c r="AD133" s="102">
        <v>2.5232628398791541</v>
      </c>
      <c r="AE133" s="102">
        <v>1.563141993957704</v>
      </c>
      <c r="AF133" s="90" t="s">
        <v>81</v>
      </c>
      <c r="AG133" s="91"/>
      <c r="AH133" s="91"/>
      <c r="AI133" s="91"/>
      <c r="AJ133" s="91"/>
      <c r="AK133" s="91"/>
      <c r="AL133" s="91"/>
      <c r="AM133" s="91"/>
      <c r="AN133" s="118"/>
      <c r="AO133" s="93">
        <f t="shared" si="70"/>
        <v>0</v>
      </c>
      <c r="AP133" s="94" t="s">
        <v>82</v>
      </c>
      <c r="AQ133" s="91"/>
      <c r="AR133" s="83"/>
      <c r="AS133" s="83"/>
      <c r="AT133" s="83"/>
      <c r="AU133" s="83">
        <v>18600</v>
      </c>
      <c r="AV133" s="83"/>
      <c r="AW133" s="83"/>
      <c r="AX133" s="83"/>
      <c r="AY133" s="83"/>
      <c r="AZ133" s="83"/>
      <c r="BA133" s="83"/>
      <c r="BB133" s="83"/>
      <c r="BC133" s="83"/>
      <c r="BD133" s="83"/>
      <c r="BE133" s="83"/>
      <c r="BF133" s="91">
        <v>14500</v>
      </c>
      <c r="BG133" s="83"/>
      <c r="BH133" s="95"/>
      <c r="BI133" s="96">
        <f t="shared" si="71"/>
        <v>1</v>
      </c>
      <c r="BJ133" s="97">
        <v>2.97</v>
      </c>
      <c r="BK133" s="98">
        <v>45</v>
      </c>
      <c r="BL133" s="88">
        <v>3.7999999999999999E-2</v>
      </c>
      <c r="BM133" s="88">
        <v>1.825</v>
      </c>
      <c r="BN133" s="88">
        <v>0.51500000000000001</v>
      </c>
      <c r="BO133" s="88">
        <v>0.99</v>
      </c>
      <c r="BP133" s="88">
        <v>1.5549999999999999</v>
      </c>
      <c r="BQ133" s="88">
        <v>2.1749999999999998</v>
      </c>
      <c r="BR133" s="88">
        <v>2.6880000000000002</v>
      </c>
      <c r="BS133" s="88">
        <v>3.0960000000000001</v>
      </c>
      <c r="BT133" s="81">
        <v>46</v>
      </c>
      <c r="BU133" s="83"/>
      <c r="BV133" s="104">
        <v>42332</v>
      </c>
      <c r="BW133" s="84">
        <v>0.69392063977180118</v>
      </c>
      <c r="BX133" s="83">
        <v>31408</v>
      </c>
      <c r="BY133" s="83">
        <v>10768</v>
      </c>
      <c r="BZ133" s="84">
        <v>0.34284258787570043</v>
      </c>
      <c r="CA133" s="83">
        <v>87</v>
      </c>
      <c r="CB133" s="83">
        <v>173</v>
      </c>
      <c r="CC133" s="84">
        <v>2.769994905756495E-3</v>
      </c>
      <c r="CD133" s="84">
        <v>5.5081507896077436E-3</v>
      </c>
    </row>
    <row r="134" spans="1:82" x14ac:dyDescent="0.25">
      <c r="A134" s="79" t="s">
        <v>121</v>
      </c>
      <c r="B134" s="80" t="s">
        <v>97</v>
      </c>
      <c r="C134" s="81">
        <v>870</v>
      </c>
      <c r="D134" s="108">
        <v>1165.01</v>
      </c>
      <c r="E134" s="108">
        <v>20391.988550000002</v>
      </c>
      <c r="F134" s="83">
        <v>49100</v>
      </c>
      <c r="G134" s="83">
        <v>45510</v>
      </c>
      <c r="H134" s="84">
        <f>IF(F134=0,0,+((F134-G134)/F134))</f>
        <v>7.3116089613034618E-2</v>
      </c>
      <c r="I134" s="79">
        <f>398+636</f>
        <v>1034</v>
      </c>
      <c r="J134" s="84">
        <f>+(I134/F134)</f>
        <v>2.105906313645621E-2</v>
      </c>
      <c r="K134" s="83">
        <v>127970</v>
      </c>
      <c r="L134" s="83">
        <v>240020</v>
      </c>
      <c r="M134" s="85">
        <f>IF(G134=0,0,+K134/G134)</f>
        <v>2.8119094704460559</v>
      </c>
      <c r="N134" s="85">
        <f>IF(K134=0,0,+L134/K134)</f>
        <v>1.8755958427756505</v>
      </c>
      <c r="O134" s="85">
        <f t="shared" si="65"/>
        <v>1.9204528270686403</v>
      </c>
      <c r="P134" s="86">
        <f>IF(G134=0,0,+E134/G134)</f>
        <v>0.4480770940452648</v>
      </c>
      <c r="Q134" s="86">
        <f>IF(G134=0,0,+D134/G134)</f>
        <v>2.5598989233135576E-2</v>
      </c>
      <c r="R134" s="83">
        <v>3990</v>
      </c>
      <c r="S134" s="86">
        <f>IF(R134=0,0,+E134/R134)</f>
        <v>5.1107740726817044</v>
      </c>
      <c r="T134" s="85">
        <f>IF(R134=0,0,+F123/R134)</f>
        <v>10.902255639097744</v>
      </c>
      <c r="U134" s="85">
        <f>IF(L123=0,0,+L123/G123)</f>
        <v>3.7570812449003381</v>
      </c>
      <c r="V134" s="87">
        <v>43.09</v>
      </c>
      <c r="W134" s="83"/>
      <c r="X134" s="85"/>
      <c r="Y134" s="83"/>
      <c r="Z134" s="88">
        <f>IF(V134=0,0,+M134/V134)</f>
        <v>6.5256659792203658E-2</v>
      </c>
      <c r="AA134" s="112" t="str">
        <f>IF(W134=0,"",+X134/W134)</f>
        <v/>
      </c>
      <c r="AB134" s="88">
        <v>0.30794297352342159</v>
      </c>
      <c r="AC134" s="88">
        <v>1.410183299389002</v>
      </c>
      <c r="AD134" s="88">
        <v>2.4228105906313644</v>
      </c>
      <c r="AE134" s="88">
        <v>0.74745417515274948</v>
      </c>
      <c r="AF134" s="90" t="s">
        <v>81</v>
      </c>
      <c r="AG134" s="91"/>
      <c r="AH134" s="91"/>
      <c r="AI134" s="91"/>
      <c r="AJ134" s="91"/>
      <c r="AK134" s="91"/>
      <c r="AL134" s="110"/>
      <c r="AM134" s="91"/>
      <c r="AN134" s="92">
        <v>26900</v>
      </c>
      <c r="AO134" s="93">
        <f t="shared" si="70"/>
        <v>0.54786150712830961</v>
      </c>
      <c r="AP134" s="94" t="s">
        <v>82</v>
      </c>
      <c r="AQ134" s="91"/>
      <c r="AR134" s="83"/>
      <c r="AS134" s="83"/>
      <c r="AT134" s="83"/>
      <c r="AU134" s="91"/>
      <c r="AV134" s="83"/>
      <c r="AW134" s="110"/>
      <c r="AX134" s="83"/>
      <c r="AY134" s="91"/>
      <c r="AZ134" s="83"/>
      <c r="BA134" s="83"/>
      <c r="BB134" s="83"/>
      <c r="BC134" s="83"/>
      <c r="BD134" s="83"/>
      <c r="BE134" s="83">
        <v>22200</v>
      </c>
      <c r="BF134" s="91"/>
      <c r="BG134" s="83"/>
      <c r="BH134" s="92"/>
      <c r="BI134" s="96">
        <f t="shared" si="71"/>
        <v>0.45213849287169044</v>
      </c>
      <c r="BJ134" s="97">
        <v>2.827</v>
      </c>
      <c r="BK134" s="98">
        <v>42</v>
      </c>
      <c r="BL134" s="88">
        <v>3.7999999999999999E-2</v>
      </c>
      <c r="BM134" s="88">
        <v>0.17499999999999999</v>
      </c>
      <c r="BN134" s="88">
        <v>0.47699999999999998</v>
      </c>
      <c r="BO134" s="88">
        <v>0.89500000000000002</v>
      </c>
      <c r="BP134" s="88"/>
      <c r="BQ134" s="88"/>
      <c r="BR134" s="88">
        <v>2.7389999999999999</v>
      </c>
      <c r="BS134" s="88">
        <v>2.7839999999999998</v>
      </c>
      <c r="BT134" s="81">
        <v>45</v>
      </c>
      <c r="BU134" s="83"/>
      <c r="BV134" s="99">
        <v>42125</v>
      </c>
      <c r="BW134" s="84">
        <v>0.67913026490583728</v>
      </c>
      <c r="BX134" s="83">
        <v>44498</v>
      </c>
      <c r="BY134" s="83">
        <v>18512</v>
      </c>
      <c r="BZ134" s="84">
        <v>0.41601869746954917</v>
      </c>
      <c r="CA134" s="83">
        <v>384</v>
      </c>
      <c r="CB134" s="83">
        <v>679</v>
      </c>
      <c r="CC134" s="84">
        <v>8.629601330396872E-3</v>
      </c>
      <c r="CD134" s="84">
        <v>1.5259112769113219E-2</v>
      </c>
    </row>
    <row r="135" spans="1:82" x14ac:dyDescent="0.25">
      <c r="A135" s="79" t="s">
        <v>119</v>
      </c>
      <c r="B135" s="80" t="s">
        <v>91</v>
      </c>
      <c r="C135" s="81">
        <v>896</v>
      </c>
      <c r="D135" s="108">
        <v>1278.68</v>
      </c>
      <c r="E135" s="108">
        <v>10044.20376</v>
      </c>
      <c r="F135" s="83">
        <v>23500</v>
      </c>
      <c r="G135" s="83">
        <v>22512</v>
      </c>
      <c r="H135" s="84">
        <f>IF(F135=0,0,+((F135-G135)/F135))</f>
        <v>4.2042553191489362E-2</v>
      </c>
      <c r="I135" s="79">
        <v>233</v>
      </c>
      <c r="J135" s="84">
        <f>+(I135/F135)</f>
        <v>9.9148936170212771E-3</v>
      </c>
      <c r="K135" s="83">
        <v>65060</v>
      </c>
      <c r="L135" s="83">
        <v>123260</v>
      </c>
      <c r="M135" s="85">
        <f>IF(G135=0,0,+K135/G135)</f>
        <v>2.8900142146410803</v>
      </c>
      <c r="N135" s="85">
        <f>IF(K135=0,0,+L135/K135)</f>
        <v>1.8945588687365509</v>
      </c>
      <c r="O135" s="85">
        <f t="shared" si="65"/>
        <v>1.9214447561831434</v>
      </c>
      <c r="P135" s="86">
        <f>IF(G135=0,0,+E135/G135)</f>
        <v>0.44617109808102345</v>
      </c>
      <c r="Q135" s="86">
        <f>IF(G135=0,0,+D135/G135)</f>
        <v>5.6799928926794599E-2</v>
      </c>
      <c r="R135" s="83">
        <v>1964</v>
      </c>
      <c r="S135" s="86">
        <f>IF(R135=0,0,+E135/R135)</f>
        <v>5.114156700610998</v>
      </c>
      <c r="T135" s="85">
        <f>IF(R135=0,0,+F135/R135)</f>
        <v>11.965376782077392</v>
      </c>
      <c r="U135" s="85">
        <f>IF(L135=0,0,+L135/G135)</f>
        <v>5.4753020611229566</v>
      </c>
      <c r="V135" s="87">
        <v>43.75</v>
      </c>
      <c r="W135" s="83"/>
      <c r="X135" s="85"/>
      <c r="Y135" s="83"/>
      <c r="Z135" s="88">
        <f>IF(V135=0,0,+M135/V135)</f>
        <v>6.6057467763224686E-2</v>
      </c>
      <c r="AA135" s="109" t="str">
        <f>IF(W135=0,"",+X135/W135)</f>
        <v/>
      </c>
      <c r="AB135" s="88">
        <v>0.31744680851063828</v>
      </c>
      <c r="AC135" s="88">
        <v>1.5548936170212766</v>
      </c>
      <c r="AD135" s="88">
        <v>2.4791489361702128</v>
      </c>
      <c r="AE135" s="88">
        <v>0.8936170212765957</v>
      </c>
      <c r="AF135" s="90" t="s">
        <v>81</v>
      </c>
      <c r="AG135" s="91"/>
      <c r="AH135" s="83"/>
      <c r="AI135" s="91"/>
      <c r="AJ135" s="91"/>
      <c r="AK135" s="91"/>
      <c r="AL135" s="110"/>
      <c r="AM135" s="91">
        <v>19100</v>
      </c>
      <c r="AN135" s="92"/>
      <c r="AO135" s="93">
        <f t="shared" si="70"/>
        <v>0.81276595744680846</v>
      </c>
      <c r="AP135" s="94" t="s">
        <v>82</v>
      </c>
      <c r="AQ135" s="91"/>
      <c r="AR135" s="83"/>
      <c r="AS135" s="83"/>
      <c r="AT135" s="83"/>
      <c r="AU135" s="83"/>
      <c r="AV135" s="83"/>
      <c r="AW135" s="110"/>
      <c r="AX135" s="83"/>
      <c r="AY135" s="83"/>
      <c r="AZ135" s="83"/>
      <c r="BA135" s="83"/>
      <c r="BB135" s="83"/>
      <c r="BC135" s="83"/>
      <c r="BD135" s="83"/>
      <c r="BE135" s="83">
        <v>4400</v>
      </c>
      <c r="BF135" s="91"/>
      <c r="BG135" s="83"/>
      <c r="BH135" s="95"/>
      <c r="BI135" s="96">
        <f t="shared" si="71"/>
        <v>0.18723404255319148</v>
      </c>
      <c r="BJ135" s="97">
        <v>2.863</v>
      </c>
      <c r="BK135" s="98">
        <v>44</v>
      </c>
      <c r="BL135" s="88">
        <v>4.2000000000000003E-2</v>
      </c>
      <c r="BM135" s="88">
        <v>0.17</v>
      </c>
      <c r="BN135" s="88">
        <v>0.45</v>
      </c>
      <c r="BO135" s="88">
        <v>0.93</v>
      </c>
      <c r="BP135" s="88">
        <v>1.46</v>
      </c>
      <c r="BQ135" s="88">
        <v>2</v>
      </c>
      <c r="BR135" s="88"/>
      <c r="BS135" s="88">
        <v>2.8980000000000001</v>
      </c>
      <c r="BT135" s="81">
        <v>45</v>
      </c>
      <c r="BU135" s="83">
        <v>6000</v>
      </c>
      <c r="BV135" s="99">
        <v>42159</v>
      </c>
      <c r="BW135" s="84">
        <v>0.69617875806947427</v>
      </c>
      <c r="BX135" s="83">
        <v>22438</v>
      </c>
      <c r="BY135" s="83">
        <v>7544</v>
      </c>
      <c r="BZ135" s="84">
        <v>0.336215348961583</v>
      </c>
      <c r="CA135" s="83">
        <v>108</v>
      </c>
      <c r="CB135" s="83">
        <v>207</v>
      </c>
      <c r="CC135" s="84">
        <v>4.8132632141902132E-3</v>
      </c>
      <c r="CD135" s="84">
        <v>9.2254211605312421E-3</v>
      </c>
    </row>
    <row r="136" spans="1:82" x14ac:dyDescent="0.25">
      <c r="A136" s="79" t="s">
        <v>109</v>
      </c>
      <c r="B136" s="80" t="s">
        <v>80</v>
      </c>
      <c r="C136" s="81">
        <v>850</v>
      </c>
      <c r="D136" s="100">
        <v>463.69</v>
      </c>
      <c r="E136" s="100">
        <v>10074.02</v>
      </c>
      <c r="F136" s="83">
        <v>21600</v>
      </c>
      <c r="G136" s="83">
        <v>21540</v>
      </c>
      <c r="H136" s="84">
        <f>IF(F136=0,0,+((F136-G136)/F136))</f>
        <v>2.7777777777777779E-3</v>
      </c>
      <c r="I136" s="79"/>
      <c r="J136" s="84">
        <f>+(I136/F136)</f>
        <v>0</v>
      </c>
      <c r="K136" s="83">
        <v>62590</v>
      </c>
      <c r="L136" s="83">
        <v>116740</v>
      </c>
      <c r="M136" s="85">
        <f>IF(G136=0,0,+K136/G136)</f>
        <v>2.9057567316620241</v>
      </c>
      <c r="N136" s="85">
        <f>IF(K136=0,0,+L136/K136)</f>
        <v>1.8651541779837035</v>
      </c>
      <c r="O136" s="85">
        <f t="shared" si="65"/>
        <v>1.8731546528239917</v>
      </c>
      <c r="P136" s="86">
        <f>IF(G136=0,0,+E136/G136)</f>
        <v>0.46768895078922934</v>
      </c>
      <c r="Q136" s="86">
        <f>IF(G136=0,0,+D136/G136)</f>
        <v>2.1526926648096564E-2</v>
      </c>
      <c r="R136" s="83">
        <v>1960</v>
      </c>
      <c r="S136" s="86">
        <f>IF(R136=0,0,+E136/R136)</f>
        <v>5.1398061224489799</v>
      </c>
      <c r="T136" s="85">
        <f>IF(R136=0,0,+F136/R136)</f>
        <v>11.020408163265307</v>
      </c>
      <c r="U136" s="85">
        <f>IF(L136=0,0,+L136/G136)</f>
        <v>5.4196843082636956</v>
      </c>
      <c r="V136" s="87">
        <v>45.5</v>
      </c>
      <c r="W136" s="83"/>
      <c r="X136" s="85"/>
      <c r="Y136" s="83"/>
      <c r="Z136" s="88">
        <f>IF(V136=0,0,+M136/V136)</f>
        <v>6.3862785311253278E-2</v>
      </c>
      <c r="AA136" s="101" t="str">
        <f>IF(W136=0,"",+X136/W136)</f>
        <v/>
      </c>
      <c r="AB136" s="102">
        <v>0.33148148148148149</v>
      </c>
      <c r="AC136" s="102">
        <v>1.2861111111111112</v>
      </c>
      <c r="AD136" s="102">
        <v>2.5620370370370371</v>
      </c>
      <c r="AE136" s="102">
        <v>1.2250000000000001</v>
      </c>
      <c r="AF136" s="90" t="s">
        <v>81</v>
      </c>
      <c r="AG136" s="91"/>
      <c r="AH136" s="91"/>
      <c r="AI136" s="91"/>
      <c r="AJ136" s="91"/>
      <c r="AK136" s="91"/>
      <c r="AL136" s="91"/>
      <c r="AM136" s="91"/>
      <c r="AN136" s="92"/>
      <c r="AO136" s="93">
        <f t="shared" si="70"/>
        <v>0</v>
      </c>
      <c r="AP136" s="94" t="s">
        <v>82</v>
      </c>
      <c r="AQ136" s="91"/>
      <c r="AR136" s="83"/>
      <c r="AS136" s="83"/>
      <c r="AT136" s="83"/>
      <c r="AU136" s="83">
        <v>21600</v>
      </c>
      <c r="AV136" s="83"/>
      <c r="AW136" s="83"/>
      <c r="AX136" s="83"/>
      <c r="AY136" s="83"/>
      <c r="AZ136" s="83"/>
      <c r="BA136" s="83"/>
      <c r="BB136" s="83"/>
      <c r="BC136" s="83"/>
      <c r="BD136" s="83"/>
      <c r="BE136" s="83"/>
      <c r="BF136" s="91"/>
      <c r="BG136" s="83"/>
      <c r="BH136" s="95"/>
      <c r="BI136" s="96">
        <f t="shared" si="71"/>
        <v>1</v>
      </c>
      <c r="BJ136" s="97">
        <v>2.8809999999999998</v>
      </c>
      <c r="BK136" s="98">
        <v>45</v>
      </c>
      <c r="BL136" s="88">
        <v>4.1000000000000002E-2</v>
      </c>
      <c r="BM136" s="88">
        <v>0.154</v>
      </c>
      <c r="BN136" s="88">
        <v>0.38500000000000001</v>
      </c>
      <c r="BO136" s="88">
        <v>0.91100000000000003</v>
      </c>
      <c r="BP136" s="88">
        <v>1.696</v>
      </c>
      <c r="BQ136" s="88"/>
      <c r="BR136" s="88">
        <v>2.6150000000000002</v>
      </c>
      <c r="BS136" s="88">
        <v>2.93</v>
      </c>
      <c r="BT136" s="81">
        <v>46</v>
      </c>
      <c r="BU136" s="83"/>
      <c r="BV136" s="104">
        <v>42024</v>
      </c>
      <c r="BW136" s="84">
        <v>0.70650487298290465</v>
      </c>
      <c r="BX136" s="83">
        <v>21464</v>
      </c>
      <c r="BY136" s="83">
        <v>8208</v>
      </c>
      <c r="BZ136" s="84">
        <v>0.38240775251584047</v>
      </c>
      <c r="CA136" s="83">
        <v>16</v>
      </c>
      <c r="CB136" s="83">
        <v>76</v>
      </c>
      <c r="CC136" s="84">
        <v>7.4543421543048823E-4</v>
      </c>
      <c r="CD136" s="84">
        <v>3.5408125232948193E-3</v>
      </c>
    </row>
    <row r="137" spans="1:82" x14ac:dyDescent="0.25">
      <c r="A137" s="79" t="s">
        <v>109</v>
      </c>
      <c r="B137" s="80" t="s">
        <v>80</v>
      </c>
      <c r="C137" s="81">
        <v>872</v>
      </c>
      <c r="D137" s="105">
        <v>861.36</v>
      </c>
      <c r="E137" s="105">
        <v>7222.7021500000001</v>
      </c>
      <c r="F137" s="83">
        <v>18500</v>
      </c>
      <c r="G137" s="83">
        <v>17830</v>
      </c>
      <c r="H137" s="84">
        <v>3.6216216216216214E-2</v>
      </c>
      <c r="I137" s="79">
        <v>99</v>
      </c>
      <c r="J137" s="84">
        <v>5.3513513513513515E-3</v>
      </c>
      <c r="K137" s="83">
        <v>46490</v>
      </c>
      <c r="L137" s="83">
        <v>86300</v>
      </c>
      <c r="M137" s="85">
        <v>2.6074032529444757</v>
      </c>
      <c r="N137" s="85">
        <v>1.8563131856313186</v>
      </c>
      <c r="O137" s="85">
        <f t="shared" si="65"/>
        <v>1.9003309467650231</v>
      </c>
      <c r="P137" s="86">
        <v>0.40508705272013462</v>
      </c>
      <c r="Q137" s="86">
        <v>4.8309590577678072E-2</v>
      </c>
      <c r="R137" s="83">
        <v>1400</v>
      </c>
      <c r="S137" s="106">
        <v>5.1590729642857145</v>
      </c>
      <c r="T137" s="85">
        <v>13.214285714285714</v>
      </c>
      <c r="U137" s="85">
        <v>4.8401570386988224</v>
      </c>
      <c r="V137" s="87">
        <v>40</v>
      </c>
      <c r="W137" s="83"/>
      <c r="X137" s="85"/>
      <c r="Y137" s="83"/>
      <c r="Z137" s="88">
        <v>6.5185081323611893E-2</v>
      </c>
      <c r="AA137" s="107" t="s">
        <v>84</v>
      </c>
      <c r="AB137" s="88">
        <v>0.29405405405405405</v>
      </c>
      <c r="AC137" s="88">
        <v>1.4032432432432433</v>
      </c>
      <c r="AD137" s="88">
        <v>2.4810810810810811</v>
      </c>
      <c r="AE137" s="88">
        <v>0.48648648648648651</v>
      </c>
      <c r="AF137" s="90" t="s">
        <v>81</v>
      </c>
      <c r="AG137" s="91"/>
      <c r="AH137" s="91"/>
      <c r="AI137" s="91"/>
      <c r="AJ137" s="91"/>
      <c r="AK137" s="91"/>
      <c r="AL137" s="110"/>
      <c r="AM137" s="91"/>
      <c r="AN137" s="92"/>
      <c r="AO137" s="93">
        <f t="shared" si="70"/>
        <v>0</v>
      </c>
      <c r="AP137" s="94" t="s">
        <v>82</v>
      </c>
      <c r="AQ137" s="91"/>
      <c r="AR137" s="83"/>
      <c r="AS137" s="83"/>
      <c r="AT137" s="83"/>
      <c r="AU137" s="83"/>
      <c r="AV137" s="83">
        <v>15200</v>
      </c>
      <c r="AW137" s="110"/>
      <c r="AX137" s="83"/>
      <c r="AY137" s="83"/>
      <c r="AZ137" s="83"/>
      <c r="BA137" s="83">
        <v>3300</v>
      </c>
      <c r="BB137" s="83"/>
      <c r="BC137" s="83"/>
      <c r="BD137" s="83"/>
      <c r="BE137" s="83"/>
      <c r="BF137" s="83"/>
      <c r="BG137" s="83"/>
      <c r="BH137" s="95"/>
      <c r="BI137" s="96">
        <f t="shared" si="71"/>
        <v>1</v>
      </c>
      <c r="BJ137" s="97">
        <v>2.6070000000000002</v>
      </c>
      <c r="BK137" s="98">
        <v>40</v>
      </c>
      <c r="BL137" s="88">
        <v>4.3999999999999997E-2</v>
      </c>
      <c r="BM137" s="88">
        <v>0.2</v>
      </c>
      <c r="BN137" s="88">
        <v>0.5</v>
      </c>
      <c r="BO137" s="88">
        <v>0.93</v>
      </c>
      <c r="BP137" s="88">
        <v>1.4</v>
      </c>
      <c r="BQ137" s="88"/>
      <c r="BR137" s="88"/>
      <c r="BS137" s="88">
        <v>2.6070000000000002</v>
      </c>
      <c r="BT137" s="81">
        <v>40</v>
      </c>
      <c r="BU137" s="83"/>
      <c r="BV137" s="99">
        <v>42101</v>
      </c>
      <c r="BW137" s="84">
        <v>0.687355560335556</v>
      </c>
      <c r="BX137" s="83">
        <v>17488</v>
      </c>
      <c r="BY137" s="83">
        <v>7744</v>
      </c>
      <c r="BZ137" s="84">
        <v>0.44281793229643185</v>
      </c>
      <c r="CA137" s="83">
        <v>102</v>
      </c>
      <c r="CB137" s="83">
        <v>311</v>
      </c>
      <c r="CC137" s="84">
        <v>5.8325709057639522E-3</v>
      </c>
      <c r="CD137" s="84">
        <v>1.7783623055809699E-2</v>
      </c>
    </row>
    <row r="138" spans="1:82" x14ac:dyDescent="0.25">
      <c r="A138" s="79" t="s">
        <v>88</v>
      </c>
      <c r="B138" s="80" t="s">
        <v>80</v>
      </c>
      <c r="C138" s="81">
        <v>874</v>
      </c>
      <c r="D138" s="108">
        <v>312.66000000000003</v>
      </c>
      <c r="E138" s="108">
        <v>18102.951249999998</v>
      </c>
      <c r="F138" s="83">
        <v>36300</v>
      </c>
      <c r="G138" s="83">
        <v>35250</v>
      </c>
      <c r="H138" s="84">
        <f>IF(F138=0,0,+((F138-G138)/F138))</f>
        <v>2.8925619834710745E-2</v>
      </c>
      <c r="I138" s="79">
        <v>309</v>
      </c>
      <c r="J138" s="84">
        <f>+(I138/F138)</f>
        <v>8.5123966942148768E-3</v>
      </c>
      <c r="K138" s="83">
        <v>99160</v>
      </c>
      <c r="L138" s="83">
        <v>179820</v>
      </c>
      <c r="M138" s="85">
        <f>IF(G138=0,0,+K138/G138)</f>
        <v>2.8130496453900711</v>
      </c>
      <c r="N138" s="85">
        <f>IF(K138=0,0,+L138/K138)</f>
        <v>1.8134328358208955</v>
      </c>
      <c r="O138" s="85">
        <f t="shared" si="65"/>
        <v>1.8277436799532956</v>
      </c>
      <c r="P138" s="86">
        <f>IF(G138=0,0,+E138/G138)</f>
        <v>0.51355890070921983</v>
      </c>
      <c r="Q138" s="86">
        <f>IF(G138=0,0,+D138/G138)</f>
        <v>8.8697872340425532E-3</v>
      </c>
      <c r="R138" s="83">
        <v>3500</v>
      </c>
      <c r="S138" s="86">
        <f>IF(R138=0,0,+E138/R138)</f>
        <v>5.172271785714285</v>
      </c>
      <c r="T138" s="85">
        <f>IF(R138=0,0,+F138/R138)</f>
        <v>10.371428571428572</v>
      </c>
      <c r="U138" s="85">
        <f>IF(L138=0,0,+L138/G138)</f>
        <v>5.1012765957446806</v>
      </c>
      <c r="V138" s="87">
        <v>41.84</v>
      </c>
      <c r="W138" s="83"/>
      <c r="X138" s="85"/>
      <c r="Y138" s="83"/>
      <c r="Z138" s="88">
        <f>IF(V138=0,0,+M138/V138)</f>
        <v>6.7233500128825785E-2</v>
      </c>
      <c r="AA138" s="109" t="str">
        <f>IF(W138=0,"",+X138/W138)</f>
        <v/>
      </c>
      <c r="AB138" s="88">
        <v>0.31735537190082647</v>
      </c>
      <c r="AC138" s="88">
        <v>1.4776859504132231</v>
      </c>
      <c r="AD138" s="88">
        <v>2.2732782369146007</v>
      </c>
      <c r="AE138" s="88">
        <v>0.88539944903581269</v>
      </c>
      <c r="AF138" s="90" t="s">
        <v>81</v>
      </c>
      <c r="AG138" s="91"/>
      <c r="AH138" s="91"/>
      <c r="AI138" s="91">
        <v>9600</v>
      </c>
      <c r="AJ138" s="91"/>
      <c r="AK138" s="91"/>
      <c r="AL138" s="110"/>
      <c r="AM138" s="91"/>
      <c r="AN138" s="92"/>
      <c r="AO138" s="93">
        <f t="shared" si="70"/>
        <v>0.26446280991735538</v>
      </c>
      <c r="AP138" s="94" t="s">
        <v>82</v>
      </c>
      <c r="AQ138" s="91"/>
      <c r="AR138" s="83"/>
      <c r="AS138" s="83"/>
      <c r="AT138" s="83"/>
      <c r="AU138" s="83"/>
      <c r="AV138" s="83"/>
      <c r="AW138" s="110"/>
      <c r="AX138" s="83"/>
      <c r="AY138" s="83"/>
      <c r="AZ138" s="83"/>
      <c r="BA138" s="83">
        <v>26700</v>
      </c>
      <c r="BB138" s="83"/>
      <c r="BC138" s="83"/>
      <c r="BD138" s="83"/>
      <c r="BE138" s="83"/>
      <c r="BF138" s="91"/>
      <c r="BG138" s="83"/>
      <c r="BH138" s="95"/>
      <c r="BI138" s="96">
        <f t="shared" si="71"/>
        <v>0.73553719008264462</v>
      </c>
      <c r="BJ138" s="97">
        <v>2.7909999999999999</v>
      </c>
      <c r="BK138" s="98">
        <v>41</v>
      </c>
      <c r="BL138" s="88">
        <v>3.7999999999999999E-2</v>
      </c>
      <c r="BM138" s="88">
        <v>0.18099999999999999</v>
      </c>
      <c r="BN138" s="88">
        <v>0.501</v>
      </c>
      <c r="BO138" s="88">
        <v>0.97</v>
      </c>
      <c r="BP138" s="88"/>
      <c r="BQ138" s="88">
        <v>2.2799999999999998</v>
      </c>
      <c r="BR138" s="88">
        <v>2.8170000000000002</v>
      </c>
      <c r="BS138" s="88">
        <v>2.8170000000000002</v>
      </c>
      <c r="BT138" s="81">
        <v>42</v>
      </c>
      <c r="BU138" s="83"/>
      <c r="BV138" s="99">
        <v>42216</v>
      </c>
      <c r="BW138" s="84">
        <v>0.70843898749495759</v>
      </c>
      <c r="BX138" s="83">
        <v>35014</v>
      </c>
      <c r="BY138" s="83">
        <v>13664</v>
      </c>
      <c r="BZ138" s="84">
        <v>0.3902439024390244</v>
      </c>
      <c r="CA138" s="83">
        <v>79</v>
      </c>
      <c r="CB138" s="83">
        <v>197</v>
      </c>
      <c r="CC138" s="84">
        <v>2.2562403609984578E-3</v>
      </c>
      <c r="CD138" s="84">
        <v>5.6263209002113445E-3</v>
      </c>
    </row>
    <row r="139" spans="1:82" x14ac:dyDescent="0.25">
      <c r="A139" s="79" t="s">
        <v>122</v>
      </c>
      <c r="B139" s="80" t="s">
        <v>86</v>
      </c>
      <c r="C139" s="81">
        <v>630</v>
      </c>
      <c r="D139" s="105">
        <v>734.62199999999996</v>
      </c>
      <c r="E139" s="105">
        <v>10986.73755</v>
      </c>
      <c r="F139" s="83">
        <v>33800</v>
      </c>
      <c r="G139" s="83">
        <v>31310</v>
      </c>
      <c r="H139" s="84">
        <v>7.3668639053254437E-2</v>
      </c>
      <c r="I139" s="79">
        <v>42.98</v>
      </c>
      <c r="J139" s="84">
        <v>1.2715976331360945E-3</v>
      </c>
      <c r="K139" s="83">
        <v>78180</v>
      </c>
      <c r="L139" s="83">
        <v>148540</v>
      </c>
      <c r="M139" s="85">
        <v>2.4969658256148195</v>
      </c>
      <c r="N139" s="85">
        <v>1.8999744180097211</v>
      </c>
      <c r="O139" s="85">
        <f t="shared" si="65"/>
        <v>1.9361496835763832</v>
      </c>
      <c r="P139" s="86">
        <v>0.35090187000958162</v>
      </c>
      <c r="Q139" s="86">
        <v>2.3462855317789841E-2</v>
      </c>
      <c r="R139" s="83">
        <v>2100</v>
      </c>
      <c r="S139" s="106">
        <v>5.231779785714286</v>
      </c>
      <c r="T139" s="85">
        <v>16.095238095238095</v>
      </c>
      <c r="U139" s="85">
        <v>4.7441711913126801</v>
      </c>
      <c r="V139" s="87">
        <v>42.98</v>
      </c>
      <c r="W139" s="83">
        <v>35</v>
      </c>
      <c r="X139" s="85">
        <v>1.966</v>
      </c>
      <c r="Y139" s="83">
        <v>7000</v>
      </c>
      <c r="Z139" s="88">
        <v>5.8095994081312698E-2</v>
      </c>
      <c r="AA139" s="109">
        <v>5.6171428571428574E-2</v>
      </c>
      <c r="AB139" s="88">
        <v>0.31301775147928995</v>
      </c>
      <c r="AC139" s="88">
        <v>1.3704142011834319</v>
      </c>
      <c r="AD139" s="88">
        <v>2.205325443786982</v>
      </c>
      <c r="AE139" s="88">
        <v>0.50591715976331364</v>
      </c>
      <c r="AF139" s="90" t="s">
        <v>81</v>
      </c>
      <c r="AG139" s="91"/>
      <c r="AH139" s="91"/>
      <c r="AI139" s="91"/>
      <c r="AJ139" s="91"/>
      <c r="AK139" s="91"/>
      <c r="AL139" s="110"/>
      <c r="AM139" s="91">
        <v>27500</v>
      </c>
      <c r="AN139" s="92"/>
      <c r="AO139" s="93">
        <f t="shared" si="70"/>
        <v>0.81360946745562135</v>
      </c>
      <c r="AP139" s="94" t="s">
        <v>82</v>
      </c>
      <c r="AQ139" s="91"/>
      <c r="AR139" s="83"/>
      <c r="AS139" s="83"/>
      <c r="AT139" s="83"/>
      <c r="AU139" s="83"/>
      <c r="AV139" s="83"/>
      <c r="AW139" s="110"/>
      <c r="AX139" s="83"/>
      <c r="AY139" s="83"/>
      <c r="AZ139" s="83"/>
      <c r="BA139" s="83"/>
      <c r="BB139" s="83"/>
      <c r="BC139" s="83"/>
      <c r="BD139" s="83"/>
      <c r="BE139" s="83">
        <v>6300</v>
      </c>
      <c r="BF139" s="83"/>
      <c r="BG139" s="83"/>
      <c r="BH139" s="95"/>
      <c r="BI139" s="96">
        <f t="shared" si="71"/>
        <v>0.18639053254437871</v>
      </c>
      <c r="BJ139" s="97">
        <v>2.6219999999999999</v>
      </c>
      <c r="BK139" s="98">
        <v>42</v>
      </c>
      <c r="BL139" s="88"/>
      <c r="BM139" s="88">
        <v>0.18</v>
      </c>
      <c r="BN139" s="88">
        <v>0.45</v>
      </c>
      <c r="BO139" s="88">
        <v>0.93</v>
      </c>
      <c r="BP139" s="88">
        <v>1.6</v>
      </c>
      <c r="BQ139" s="88">
        <v>2.1</v>
      </c>
      <c r="BR139" s="88">
        <v>2.6619999999999999</v>
      </c>
      <c r="BS139" s="88">
        <v>2.726</v>
      </c>
      <c r="BT139" s="81">
        <v>44</v>
      </c>
      <c r="BU139" s="83">
        <v>3000</v>
      </c>
      <c r="BV139" s="99">
        <v>42096</v>
      </c>
      <c r="BW139" s="84">
        <v>0.69400760633343683</v>
      </c>
      <c r="BX139" s="83">
        <v>23802</v>
      </c>
      <c r="BY139" s="83">
        <v>9288</v>
      </c>
      <c r="BZ139" s="84">
        <v>0.39021930930173937</v>
      </c>
      <c r="CA139" s="83">
        <v>288</v>
      </c>
      <c r="CB139" s="83">
        <v>297</v>
      </c>
      <c r="CC139" s="84">
        <v>1.209982354423998E-2</v>
      </c>
      <c r="CD139" s="84">
        <v>1.2477943029997478E-2</v>
      </c>
    </row>
    <row r="140" spans="1:82" x14ac:dyDescent="0.25">
      <c r="A140" s="79" t="s">
        <v>100</v>
      </c>
      <c r="B140" s="80" t="s">
        <v>80</v>
      </c>
      <c r="C140" s="81">
        <v>764</v>
      </c>
      <c r="D140" s="108">
        <v>5348.18</v>
      </c>
      <c r="E140" s="108">
        <v>25546.183219999999</v>
      </c>
      <c r="F140" s="83">
        <v>58000</v>
      </c>
      <c r="G140" s="83">
        <v>55364</v>
      </c>
      <c r="H140" s="84">
        <f>IF(F140=0,0,+((F140-G140)/F140))</f>
        <v>4.5448275862068968E-2</v>
      </c>
      <c r="I140" s="79">
        <v>418</v>
      </c>
      <c r="J140" s="84">
        <f>+(I140/F140)</f>
        <v>7.2068965517241377E-3</v>
      </c>
      <c r="K140" s="83">
        <v>150820</v>
      </c>
      <c r="L140" s="83">
        <v>283620</v>
      </c>
      <c r="M140" s="85">
        <f>IF(G140=0,0,+K140/G140)</f>
        <v>2.7241528791272307</v>
      </c>
      <c r="N140" s="85">
        <f>IF(K140=0,0,+L140/K140)</f>
        <v>1.8805198249569022</v>
      </c>
      <c r="O140" s="85">
        <f t="shared" si="65"/>
        <v>1.8929654470711623</v>
      </c>
      <c r="P140" s="86">
        <f>IF(G140=0,0,+E140/G140)</f>
        <v>0.4614222819882956</v>
      </c>
      <c r="Q140" s="86">
        <f>IF(G140=0,0,+D140/G140)</f>
        <v>9.6600317896105778E-2</v>
      </c>
      <c r="R140" s="83">
        <v>4880</v>
      </c>
      <c r="S140" s="86">
        <f>IF(R140=0,0,+E140/R140)</f>
        <v>5.2348736106557379</v>
      </c>
      <c r="T140" s="85">
        <f>IF(R140=0,0,+F140/R140)</f>
        <v>11.885245901639344</v>
      </c>
      <c r="U140" s="85">
        <f>IF(L140=0,0,+L140/G140)</f>
        <v>5.122823495412181</v>
      </c>
      <c r="V140" s="87">
        <v>46.19</v>
      </c>
      <c r="W140" s="83"/>
      <c r="X140" s="85"/>
      <c r="Y140" s="83"/>
      <c r="Z140" s="88">
        <f>IF(V140=0,0,+M140/V140)</f>
        <v>5.8977113642070381E-2</v>
      </c>
      <c r="AA140" s="109" t="str">
        <f>IF(W140=0,"",+X140/W140)</f>
        <v/>
      </c>
      <c r="AB140" s="88">
        <v>0.28034482758620688</v>
      </c>
      <c r="AC140" s="88">
        <v>1.4513793103448276</v>
      </c>
      <c r="AD140" s="88">
        <v>2.2741379310344829</v>
      </c>
      <c r="AE140" s="88">
        <v>0.88413793103448279</v>
      </c>
      <c r="AF140" s="90" t="s">
        <v>81</v>
      </c>
      <c r="AG140" s="91"/>
      <c r="AH140" s="91"/>
      <c r="AI140" s="91">
        <v>10200</v>
      </c>
      <c r="AJ140" s="91"/>
      <c r="AK140" s="91"/>
      <c r="AL140" s="110"/>
      <c r="AM140" s="91"/>
      <c r="AN140" s="92"/>
      <c r="AO140" s="93">
        <f t="shared" si="70"/>
        <v>0.17586206896551723</v>
      </c>
      <c r="AP140" s="94" t="s">
        <v>82</v>
      </c>
      <c r="AQ140" s="83"/>
      <c r="AR140" s="83"/>
      <c r="AS140" s="83"/>
      <c r="AT140" s="83"/>
      <c r="AU140" s="83"/>
      <c r="AV140" s="83"/>
      <c r="AW140" s="110"/>
      <c r="AX140" s="83"/>
      <c r="AY140" s="83"/>
      <c r="AZ140" s="83"/>
      <c r="BA140" s="83"/>
      <c r="BB140" s="83"/>
      <c r="BC140" s="83"/>
      <c r="BD140" s="83"/>
      <c r="BE140" s="83"/>
      <c r="BF140" s="83">
        <v>47800</v>
      </c>
      <c r="BG140" s="83"/>
      <c r="BH140" s="95"/>
      <c r="BI140" s="96">
        <f t="shared" si="71"/>
        <v>0.82413793103448274</v>
      </c>
      <c r="BJ140" s="97">
        <v>2.83</v>
      </c>
      <c r="BK140" s="98">
        <v>45</v>
      </c>
      <c r="BL140" s="88">
        <v>3.9E-2</v>
      </c>
      <c r="BM140" s="88"/>
      <c r="BN140" s="88">
        <v>0.46</v>
      </c>
      <c r="BO140" s="88">
        <v>0.88249999999999995</v>
      </c>
      <c r="BP140" s="88">
        <v>1.4730000000000001</v>
      </c>
      <c r="BQ140" s="88">
        <v>1.992</v>
      </c>
      <c r="BR140" s="88">
        <v>2.415</v>
      </c>
      <c r="BS140" s="88">
        <v>2.762</v>
      </c>
      <c r="BT140" s="81">
        <v>47</v>
      </c>
      <c r="BU140" s="83"/>
      <c r="BV140" s="99">
        <v>42186</v>
      </c>
      <c r="BW140" s="84">
        <v>0.69414805728683204</v>
      </c>
      <c r="BX140" s="83">
        <v>54968</v>
      </c>
      <c r="BY140" s="83">
        <v>26472</v>
      </c>
      <c r="BZ140" s="84">
        <v>0.48158928831320041</v>
      </c>
      <c r="CA140" s="83">
        <v>70</v>
      </c>
      <c r="CB140" s="83">
        <v>294</v>
      </c>
      <c r="CC140" s="84">
        <v>1.2734681996798137E-3</v>
      </c>
      <c r="CD140" s="84">
        <v>5.348566438655218E-3</v>
      </c>
    </row>
    <row r="141" spans="1:82" x14ac:dyDescent="0.25">
      <c r="A141" s="79" t="s">
        <v>123</v>
      </c>
      <c r="B141" s="80" t="s">
        <v>80</v>
      </c>
      <c r="C141" s="81">
        <v>830</v>
      </c>
      <c r="D141" s="108">
        <v>596.22</v>
      </c>
      <c r="E141" s="108">
        <v>8794.7065000000002</v>
      </c>
      <c r="F141" s="83">
        <v>24000</v>
      </c>
      <c r="G141" s="83">
        <v>23300</v>
      </c>
      <c r="H141" s="84">
        <f>IF(F141=0,0,+((F141-G141)/F141))</f>
        <v>2.9166666666666667E-2</v>
      </c>
      <c r="I141" s="79">
        <v>257</v>
      </c>
      <c r="J141" s="84">
        <f>+(I141/F141)</f>
        <v>1.0708333333333334E-2</v>
      </c>
      <c r="K141" s="83">
        <v>57200</v>
      </c>
      <c r="L141" s="83">
        <v>106200</v>
      </c>
      <c r="M141" s="85">
        <f>IF(G141=0,0,+K141/G141)</f>
        <v>2.4549356223175964</v>
      </c>
      <c r="N141" s="85">
        <f>IF(K141=0,0,+L141/K141)</f>
        <v>1.8566433566433567</v>
      </c>
      <c r="O141" s="85">
        <f t="shared" si="65"/>
        <v>1.8724750123269798</v>
      </c>
      <c r="P141" s="86">
        <f>IF(G141=0,0,+E141/G141)</f>
        <v>0.37745521459227471</v>
      </c>
      <c r="Q141" s="86">
        <f>IF(G141=0,0,+D141/G141)</f>
        <v>2.5588841201716738E-2</v>
      </c>
      <c r="R141" s="83">
        <v>1680</v>
      </c>
      <c r="S141" s="86">
        <f>IF(R141=0,0,+E141/R141)</f>
        <v>5.2349443452380955</v>
      </c>
      <c r="T141" s="85">
        <f>IF(R141=0,0,+F141/R141)</f>
        <v>14.285714285714286</v>
      </c>
      <c r="U141" s="85">
        <f>IF(L141=0,0,+L141/G141)</f>
        <v>4.5579399141630903</v>
      </c>
      <c r="V141" s="87">
        <v>43</v>
      </c>
      <c r="W141" s="83">
        <v>33</v>
      </c>
      <c r="X141" s="85">
        <v>1.92</v>
      </c>
      <c r="Y141" s="83">
        <v>8000</v>
      </c>
      <c r="Z141" s="88">
        <f>IF(V141=0,0,+M141/V141)</f>
        <v>5.7091526100409219E-2</v>
      </c>
      <c r="AA141" s="112">
        <f>IF(W141=0,"",+X141/W141)</f>
        <v>5.8181818181818182E-2</v>
      </c>
      <c r="AB141" s="88">
        <v>0.31083333333333335</v>
      </c>
      <c r="AC141" s="88">
        <v>1.4883333333333333</v>
      </c>
      <c r="AD141" s="88">
        <v>1.895</v>
      </c>
      <c r="AE141" s="88">
        <v>0.73083333333333333</v>
      </c>
      <c r="AF141" s="90" t="s">
        <v>81</v>
      </c>
      <c r="AG141" s="91"/>
      <c r="AH141" s="91"/>
      <c r="AI141" s="91">
        <v>8300</v>
      </c>
      <c r="AJ141" s="91"/>
      <c r="AK141" s="91"/>
      <c r="AL141" s="110"/>
      <c r="AM141" s="91"/>
      <c r="AN141" s="92"/>
      <c r="AO141" s="93">
        <f t="shared" si="70"/>
        <v>0.34583333333333333</v>
      </c>
      <c r="AP141" s="94" t="s">
        <v>82</v>
      </c>
      <c r="AQ141" s="91"/>
      <c r="AR141" s="83"/>
      <c r="AS141" s="83"/>
      <c r="AT141" s="83"/>
      <c r="AU141" s="91"/>
      <c r="AV141" s="83"/>
      <c r="AW141" s="110"/>
      <c r="AX141" s="83"/>
      <c r="AY141" s="91"/>
      <c r="AZ141" s="83"/>
      <c r="BA141" s="83"/>
      <c r="BB141" s="83"/>
      <c r="BC141" s="83"/>
      <c r="BD141" s="83"/>
      <c r="BE141" s="83"/>
      <c r="BF141" s="91"/>
      <c r="BG141" s="83">
        <v>15700</v>
      </c>
      <c r="BH141" s="92"/>
      <c r="BI141" s="96">
        <f t="shared" si="71"/>
        <v>0.65416666666666667</v>
      </c>
      <c r="BJ141" s="97">
        <v>2.734</v>
      </c>
      <c r="BK141" s="98">
        <v>34</v>
      </c>
      <c r="BL141" s="88">
        <v>4.2000000000000003E-2</v>
      </c>
      <c r="BM141" s="88">
        <v>0.19500000000000001</v>
      </c>
      <c r="BN141" s="88">
        <v>0.48</v>
      </c>
      <c r="BO141" s="88">
        <v>1</v>
      </c>
      <c r="BP141" s="88">
        <v>1.6</v>
      </c>
      <c r="BQ141" s="88">
        <v>2.1</v>
      </c>
      <c r="BR141" s="88"/>
      <c r="BS141" s="88">
        <v>2.734</v>
      </c>
      <c r="BT141" s="81">
        <v>34</v>
      </c>
      <c r="BU141" s="83"/>
      <c r="BV141" s="99">
        <v>42151</v>
      </c>
      <c r="BW141" s="84">
        <v>0.69445745697896744</v>
      </c>
      <c r="BX141" s="83">
        <v>15100</v>
      </c>
      <c r="BY141" s="83">
        <v>7440</v>
      </c>
      <c r="BZ141" s="84">
        <v>0.49271523178807947</v>
      </c>
      <c r="CA141" s="83">
        <v>43</v>
      </c>
      <c r="CB141" s="83">
        <v>154</v>
      </c>
      <c r="CC141" s="84">
        <v>2.8476821192052982E-3</v>
      </c>
      <c r="CD141" s="84">
        <v>1.0198675496688741E-2</v>
      </c>
    </row>
    <row r="142" spans="1:82" x14ac:dyDescent="0.25">
      <c r="A142" s="79" t="s">
        <v>89</v>
      </c>
      <c r="B142" s="80" t="s">
        <v>80</v>
      </c>
      <c r="C142" s="81">
        <v>775</v>
      </c>
      <c r="D142" s="100">
        <v>411.69</v>
      </c>
      <c r="E142" s="100">
        <v>11019.29</v>
      </c>
      <c r="F142" s="83">
        <v>22000</v>
      </c>
      <c r="G142" s="83">
        <v>21400</v>
      </c>
      <c r="H142" s="84">
        <f>IF(F142=0,0,+((F142-G142)/F142))</f>
        <v>2.7272727272727271E-2</v>
      </c>
      <c r="I142" s="79">
        <v>179</v>
      </c>
      <c r="J142" s="84">
        <f>+(I142/F142)</f>
        <v>8.136363636363636E-3</v>
      </c>
      <c r="K142" s="83">
        <v>61000</v>
      </c>
      <c r="L142" s="83">
        <v>107780</v>
      </c>
      <c r="M142" s="85">
        <f>IF(G142=0,0,+K142/G142)</f>
        <v>2.8504672897196262</v>
      </c>
      <c r="N142" s="85">
        <f>IF(K142=0,0,+L142/K142)</f>
        <v>1.7668852459016393</v>
      </c>
      <c r="O142" s="85">
        <f t="shared" si="65"/>
        <v>1.7815371401382907</v>
      </c>
      <c r="P142" s="86">
        <f>IF(G142=0,0,+E142/G142)</f>
        <v>0.51492009345794398</v>
      </c>
      <c r="Q142" s="86">
        <f>IF(G142=0,0,+D142/G142)</f>
        <v>1.9237850467289718E-2</v>
      </c>
      <c r="R142" s="83">
        <v>2100</v>
      </c>
      <c r="S142" s="86">
        <f>IF(R142=0,0,+E142/R142)</f>
        <v>5.2472809523809527</v>
      </c>
      <c r="T142" s="85">
        <f>IF(R142=0,0,+F142/R142)</f>
        <v>10.476190476190476</v>
      </c>
      <c r="U142" s="85">
        <f>IF(L142=0,0,+L142/G142)</f>
        <v>5.0364485981308409</v>
      </c>
      <c r="V142" s="87">
        <v>43</v>
      </c>
      <c r="W142" s="83"/>
      <c r="X142" s="85"/>
      <c r="Y142" s="83"/>
      <c r="Z142" s="88">
        <f>IF(V142=0,0,+M142/V142)</f>
        <v>6.6289936970223867E-2</v>
      </c>
      <c r="AA142" s="101" t="str">
        <f>IF(W142=0,"",+X142/W142)</f>
        <v/>
      </c>
      <c r="AB142" s="102">
        <v>0.32636363636363636</v>
      </c>
      <c r="AC142" s="102">
        <v>1.4918181818181817</v>
      </c>
      <c r="AD142" s="102">
        <v>2.2254545454545456</v>
      </c>
      <c r="AE142" s="102">
        <v>0.85545454545454547</v>
      </c>
      <c r="AF142" s="90" t="s">
        <v>81</v>
      </c>
      <c r="AG142" s="91"/>
      <c r="AH142" s="91"/>
      <c r="AI142" s="91"/>
      <c r="AJ142" s="91"/>
      <c r="AK142" s="91"/>
      <c r="AL142" s="91"/>
      <c r="AM142" s="91"/>
      <c r="AN142" s="92"/>
      <c r="AO142" s="93">
        <f t="shared" si="70"/>
        <v>0</v>
      </c>
      <c r="AP142" s="94" t="s">
        <v>82</v>
      </c>
      <c r="AQ142" s="91"/>
      <c r="AR142" s="83"/>
      <c r="AS142" s="83"/>
      <c r="AT142" s="83"/>
      <c r="AU142" s="83"/>
      <c r="AV142" s="83"/>
      <c r="AW142" s="83"/>
      <c r="AX142" s="83"/>
      <c r="AY142" s="83"/>
      <c r="AZ142" s="83"/>
      <c r="BA142" s="83"/>
      <c r="BB142" s="83"/>
      <c r="BC142" s="83"/>
      <c r="BD142" s="83"/>
      <c r="BE142" s="83"/>
      <c r="BF142" s="91"/>
      <c r="BG142" s="83">
        <v>22000</v>
      </c>
      <c r="BH142" s="95"/>
      <c r="BI142" s="96">
        <f t="shared" si="71"/>
        <v>1</v>
      </c>
      <c r="BJ142" s="97">
        <v>2.85</v>
      </c>
      <c r="BK142" s="98">
        <v>43</v>
      </c>
      <c r="BL142" s="88">
        <v>4.2000000000000003E-2</v>
      </c>
      <c r="BM142" s="88">
        <v>0.14199999999999999</v>
      </c>
      <c r="BN142" s="88">
        <v>0.434</v>
      </c>
      <c r="BO142" s="88">
        <v>0.91100000000000003</v>
      </c>
      <c r="BP142" s="88">
        <v>1.58</v>
      </c>
      <c r="BQ142" s="88">
        <v>2.109</v>
      </c>
      <c r="BR142" s="88">
        <v>2.64</v>
      </c>
      <c r="BS142" s="88">
        <v>2.85</v>
      </c>
      <c r="BT142" s="81">
        <v>43</v>
      </c>
      <c r="BU142" s="83"/>
      <c r="BV142" s="104">
        <v>42304</v>
      </c>
      <c r="BW142" s="84">
        <v>0.69834311475409838</v>
      </c>
      <c r="BX142" s="83">
        <v>21202</v>
      </c>
      <c r="BY142" s="83">
        <v>9584</v>
      </c>
      <c r="BZ142" s="84">
        <v>0.45203282709178377</v>
      </c>
      <c r="CA142" s="83">
        <v>26</v>
      </c>
      <c r="CB142" s="83">
        <v>150</v>
      </c>
      <c r="CC142" s="84">
        <v>1.2262994057164419E-3</v>
      </c>
      <c r="CD142" s="84">
        <v>7.0748042637487031E-3</v>
      </c>
    </row>
    <row r="143" spans="1:82" x14ac:dyDescent="0.25">
      <c r="A143" s="79" t="s">
        <v>119</v>
      </c>
      <c r="B143" s="80" t="s">
        <v>91</v>
      </c>
      <c r="C143" s="81">
        <v>896</v>
      </c>
      <c r="D143" s="82">
        <v>238.46</v>
      </c>
      <c r="E143" s="82">
        <v>10308.560874999999</v>
      </c>
      <c r="F143" s="83">
        <v>22800</v>
      </c>
      <c r="G143" s="83">
        <v>21675</v>
      </c>
      <c r="H143" s="84">
        <v>4.9342105263157895E-2</v>
      </c>
      <c r="I143" s="79">
        <v>413</v>
      </c>
      <c r="J143" s="84">
        <v>1.8114035087719298E-2</v>
      </c>
      <c r="K143" s="83">
        <v>58580</v>
      </c>
      <c r="L143" s="83">
        <v>106200</v>
      </c>
      <c r="M143" s="85">
        <v>2.7026528258362168</v>
      </c>
      <c r="N143" s="85">
        <v>1.8129054284738819</v>
      </c>
      <c r="O143" s="85">
        <v>1.820295787379969</v>
      </c>
      <c r="P143" s="86">
        <v>0.4755968108419838</v>
      </c>
      <c r="Q143" s="86">
        <v>1.100161476355248E-2</v>
      </c>
      <c r="R143" s="83">
        <v>1964</v>
      </c>
      <c r="S143" s="86">
        <v>5.2487580829938896</v>
      </c>
      <c r="T143" s="85">
        <v>11.608961303462321</v>
      </c>
      <c r="U143" s="85">
        <v>4.8996539792387539</v>
      </c>
      <c r="V143" s="87">
        <v>41.49</v>
      </c>
      <c r="W143" s="83"/>
      <c r="X143" s="85"/>
      <c r="Y143" s="83"/>
      <c r="Z143" s="88">
        <v>6.513986082998835E-2</v>
      </c>
      <c r="AA143" s="89" t="s">
        <v>84</v>
      </c>
      <c r="AB143" s="88">
        <v>0.3298245614035088</v>
      </c>
      <c r="AC143" s="88">
        <v>1.4280701754385965</v>
      </c>
      <c r="AD143" s="88">
        <v>2.5254385964912283</v>
      </c>
      <c r="AE143" s="88">
        <v>0.37456140350877193</v>
      </c>
      <c r="AF143" s="90" t="s">
        <v>81</v>
      </c>
      <c r="AG143" s="91"/>
      <c r="AH143" s="91"/>
      <c r="AI143" s="91"/>
      <c r="AJ143" s="91"/>
      <c r="AK143" s="91"/>
      <c r="AL143" s="79"/>
      <c r="AM143" s="91"/>
      <c r="AN143" s="92"/>
      <c r="AO143" s="93">
        <f t="shared" si="70"/>
        <v>0</v>
      </c>
      <c r="AP143" s="94" t="s">
        <v>82</v>
      </c>
      <c r="AQ143" s="91"/>
      <c r="AR143" s="83"/>
      <c r="AS143" s="83"/>
      <c r="AT143" s="83"/>
      <c r="AU143" s="83"/>
      <c r="AV143" s="83"/>
      <c r="AW143" s="83"/>
      <c r="AX143" s="83"/>
      <c r="AY143" s="83"/>
      <c r="AZ143" s="83"/>
      <c r="BA143" s="83"/>
      <c r="BB143" s="83"/>
      <c r="BC143" s="83"/>
      <c r="BD143" s="83"/>
      <c r="BE143" s="83"/>
      <c r="BF143" s="91"/>
      <c r="BG143" s="83">
        <v>22800</v>
      </c>
      <c r="BH143" s="95"/>
      <c r="BI143" s="96">
        <f t="shared" si="71"/>
        <v>1</v>
      </c>
      <c r="BJ143" s="97">
        <v>2.6760000000000002</v>
      </c>
      <c r="BK143" s="98">
        <v>41</v>
      </c>
      <c r="BL143" s="88">
        <v>4.2000000000000003E-2</v>
      </c>
      <c r="BM143" s="88">
        <v>0.16400000000000001</v>
      </c>
      <c r="BN143" s="88">
        <v>0.45700000000000002</v>
      </c>
      <c r="BO143" s="88">
        <v>0.89</v>
      </c>
      <c r="BP143" s="88">
        <v>1.47</v>
      </c>
      <c r="BQ143" s="88">
        <v>2.16</v>
      </c>
      <c r="BR143" s="88">
        <v>2.73</v>
      </c>
      <c r="BS143" s="88">
        <v>2.7290000000000001</v>
      </c>
      <c r="BT143" s="81">
        <v>42</v>
      </c>
      <c r="BU143" s="83"/>
      <c r="BV143" s="99">
        <v>42220</v>
      </c>
      <c r="BW143" s="84">
        <v>0.70482383065892795</v>
      </c>
      <c r="BX143" s="83">
        <v>21090</v>
      </c>
      <c r="BY143" s="83">
        <v>8952</v>
      </c>
      <c r="BZ143" s="84">
        <v>0.42446657183499287</v>
      </c>
      <c r="CA143" s="83">
        <v>228</v>
      </c>
      <c r="CB143" s="83">
        <v>105</v>
      </c>
      <c r="CC143" s="84">
        <v>1.0810810810810811E-2</v>
      </c>
      <c r="CD143" s="84">
        <v>4.9786628733997154E-3</v>
      </c>
    </row>
    <row r="144" spans="1:82" x14ac:dyDescent="0.25">
      <c r="A144" s="79" t="s">
        <v>98</v>
      </c>
      <c r="B144" s="80" t="s">
        <v>80</v>
      </c>
      <c r="C144" s="81">
        <v>823</v>
      </c>
      <c r="D144" s="105">
        <v>541.89</v>
      </c>
      <c r="E144" s="105">
        <v>8398.8989799999999</v>
      </c>
      <c r="F144" s="83">
        <v>18500</v>
      </c>
      <c r="G144" s="83">
        <v>18276</v>
      </c>
      <c r="H144" s="84">
        <f>IF(F144=0,0,+((F144-G144)/F144))</f>
        <v>1.2108108108108109E-2</v>
      </c>
      <c r="I144" s="79"/>
      <c r="J144" s="84">
        <f>+(I144/F144)</f>
        <v>0</v>
      </c>
      <c r="K144" s="83">
        <v>51600</v>
      </c>
      <c r="L144" s="83">
        <v>96920</v>
      </c>
      <c r="M144" s="85">
        <f>IF(G144=0,0,+K144/G144)</f>
        <v>2.8233749179251477</v>
      </c>
      <c r="N144" s="85">
        <f>IF(K144=0,0,+L144/K144)</f>
        <v>1.8782945736434109</v>
      </c>
      <c r="O144" s="85">
        <f>+L144/((G144-CA144-CB144)*M144)</f>
        <v>1.9113425182576269</v>
      </c>
      <c r="P144" s="86">
        <f>IF(G144=0,0,+E144/G144)</f>
        <v>0.45955892864959508</v>
      </c>
      <c r="Q144" s="86">
        <f>IF(G144=0,0,+D144/G144)</f>
        <v>2.9650361129349965E-2</v>
      </c>
      <c r="R144" s="83">
        <v>1600</v>
      </c>
      <c r="S144" s="86">
        <f>IF(R144=0,0,+E144/R144)</f>
        <v>5.2493118624999999</v>
      </c>
      <c r="T144" s="85">
        <f>IF(R144=0,0,+F144/R144)</f>
        <v>11.5625</v>
      </c>
      <c r="U144" s="85">
        <f>IF(L144=0,0,+L144/G144)</f>
        <v>5.3031297876997154</v>
      </c>
      <c r="V144" s="87">
        <v>43.66</v>
      </c>
      <c r="W144" s="83"/>
      <c r="X144" s="85"/>
      <c r="Y144" s="83"/>
      <c r="Z144" s="88">
        <f>IF(V144=0,0,+M144/V144)</f>
        <v>6.4667313740841684E-2</v>
      </c>
      <c r="AA144" s="107" t="str">
        <f>IF(W144=0,"",+X144/W144)</f>
        <v/>
      </c>
      <c r="AB144" s="88">
        <v>0.29189189189189191</v>
      </c>
      <c r="AC144" s="88">
        <v>1.4097297297297298</v>
      </c>
      <c r="AD144" s="88">
        <v>2.4227027027027028</v>
      </c>
      <c r="AE144" s="88">
        <v>1.1145945945945945</v>
      </c>
      <c r="AF144" s="90" t="s">
        <v>81</v>
      </c>
      <c r="AG144" s="116"/>
      <c r="AH144" s="116"/>
      <c r="AI144" s="116"/>
      <c r="AJ144" s="116"/>
      <c r="AK144" s="116"/>
      <c r="AL144" s="79"/>
      <c r="AM144" s="116"/>
      <c r="AN144" s="117"/>
      <c r="AO144" s="93">
        <f t="shared" si="70"/>
        <v>0</v>
      </c>
      <c r="AP144" s="94" t="s">
        <v>82</v>
      </c>
      <c r="AQ144" s="116"/>
      <c r="AR144" s="79"/>
      <c r="AS144" s="79"/>
      <c r="AT144" s="79"/>
      <c r="AU144" s="79"/>
      <c r="AV144" s="79"/>
      <c r="AW144" s="79"/>
      <c r="AX144" s="79"/>
      <c r="AY144" s="79"/>
      <c r="AZ144" s="79"/>
      <c r="BA144" s="79">
        <v>18500</v>
      </c>
      <c r="BB144" s="79"/>
      <c r="BC144" s="79"/>
      <c r="BD144" s="79"/>
      <c r="BE144" s="79"/>
      <c r="BF144" s="79"/>
      <c r="BG144" s="79"/>
      <c r="BH144" s="111"/>
      <c r="BI144" s="96">
        <f t="shared" si="71"/>
        <v>1</v>
      </c>
      <c r="BJ144" s="97">
        <v>2.8130000000000002</v>
      </c>
      <c r="BK144" s="98">
        <v>43</v>
      </c>
      <c r="BL144" s="88">
        <v>4.2000000000000003E-2</v>
      </c>
      <c r="BM144" s="88">
        <v>0.18</v>
      </c>
      <c r="BN144" s="88">
        <v>0.35</v>
      </c>
      <c r="BO144" s="88">
        <v>0.7</v>
      </c>
      <c r="BP144" s="88">
        <v>1.3</v>
      </c>
      <c r="BQ144" s="88">
        <v>1.96</v>
      </c>
      <c r="BR144" s="88">
        <v>2.8119999999999998</v>
      </c>
      <c r="BS144" s="88">
        <v>2.8290000000000002</v>
      </c>
      <c r="BT144" s="81">
        <v>44</v>
      </c>
      <c r="BU144" s="83">
        <v>3000</v>
      </c>
      <c r="BV144" s="99">
        <v>42012</v>
      </c>
      <c r="BW144" s="84">
        <v>0.68764903100775199</v>
      </c>
      <c r="BX144" s="79">
        <v>17844</v>
      </c>
      <c r="BY144" s="83">
        <v>7072</v>
      </c>
      <c r="BZ144" s="84">
        <v>0.39632369423895986</v>
      </c>
      <c r="CA144" s="83">
        <v>255</v>
      </c>
      <c r="CB144" s="83">
        <v>61</v>
      </c>
      <c r="CC144" s="84">
        <v>1.4290517821116342E-2</v>
      </c>
      <c r="CD144" s="84">
        <v>3.4185160277964582E-3</v>
      </c>
    </row>
    <row r="145" spans="1:82" x14ac:dyDescent="0.25">
      <c r="A145" s="79" t="s">
        <v>112</v>
      </c>
      <c r="B145" s="80" t="s">
        <v>80</v>
      </c>
      <c r="C145" s="81">
        <v>820</v>
      </c>
      <c r="D145" s="100">
        <v>782.17</v>
      </c>
      <c r="E145" s="100">
        <v>11576.29</v>
      </c>
      <c r="F145" s="83">
        <v>23400</v>
      </c>
      <c r="G145" s="83">
        <v>23190</v>
      </c>
      <c r="H145" s="84">
        <f>IF(F145=0,0,+((F145-G145)/F145))</f>
        <v>8.9743589743589737E-3</v>
      </c>
      <c r="I145" s="79">
        <v>142</v>
      </c>
      <c r="J145" s="84">
        <f>+(I145/F145)</f>
        <v>6.0683760683760682E-3</v>
      </c>
      <c r="K145" s="83">
        <v>68160</v>
      </c>
      <c r="L145" s="83">
        <v>124100</v>
      </c>
      <c r="M145" s="85">
        <f>IF(G145=0,0,+K145/G145)</f>
        <v>2.9391979301423028</v>
      </c>
      <c r="N145" s="85">
        <f>IF(K145=0,0,+L145/K145)</f>
        <v>1.8207159624413145</v>
      </c>
      <c r="O145" s="85">
        <f>+L145/((G145-CA145-CB145)*M145)</f>
        <v>1.8344804991750994</v>
      </c>
      <c r="P145" s="86">
        <f>IF(G145=0,0,+E145/G145)</f>
        <v>0.49919318671841317</v>
      </c>
      <c r="Q145" s="86">
        <f>IF(G145=0,0,+D145/G145)</f>
        <v>3.3728762397585162E-2</v>
      </c>
      <c r="R145" s="83">
        <v>2200</v>
      </c>
      <c r="S145" s="86">
        <f>IF(R145=0,0,+E145/R145)</f>
        <v>5.2619500000000006</v>
      </c>
      <c r="T145" s="85">
        <f>IF(R145=0,0,+F145/R145)</f>
        <v>10.636363636363637</v>
      </c>
      <c r="U145" s="85">
        <f>IF(L145=0,0,+L145/G145)</f>
        <v>5.3514445881845623</v>
      </c>
      <c r="V145" s="87">
        <v>41</v>
      </c>
      <c r="W145" s="83"/>
      <c r="X145" s="85"/>
      <c r="Y145" s="83"/>
      <c r="Z145" s="88">
        <f>IF(V145=0,0,+M145/V145)</f>
        <v>7.1687754393714706E-2</v>
      </c>
      <c r="AA145" s="101" t="str">
        <f>IF(W145=0,"",+X145/W145)</f>
        <v/>
      </c>
      <c r="AB145" s="102">
        <v>0.32222222222222224</v>
      </c>
      <c r="AC145" s="102">
        <v>1.476923076923077</v>
      </c>
      <c r="AD145" s="102">
        <v>2.5119658119658119</v>
      </c>
      <c r="AE145" s="102">
        <v>0.99230769230769234</v>
      </c>
      <c r="AF145" s="90" t="s">
        <v>81</v>
      </c>
      <c r="AG145" s="91"/>
      <c r="AH145" s="91">
        <v>9500</v>
      </c>
      <c r="AI145" s="91"/>
      <c r="AJ145" s="91"/>
      <c r="AK145" s="91"/>
      <c r="AL145" s="91"/>
      <c r="AM145" s="91"/>
      <c r="AN145" s="92"/>
      <c r="AO145" s="93">
        <f t="shared" si="70"/>
        <v>0.40598290598290598</v>
      </c>
      <c r="AP145" s="94" t="s">
        <v>82</v>
      </c>
      <c r="AQ145" s="83"/>
      <c r="AR145" s="83"/>
      <c r="AS145" s="83"/>
      <c r="AT145" s="83"/>
      <c r="AU145" s="83"/>
      <c r="AV145" s="83"/>
      <c r="AW145" s="83"/>
      <c r="AX145" s="83"/>
      <c r="AY145" s="83"/>
      <c r="AZ145" s="83"/>
      <c r="BA145" s="83"/>
      <c r="BB145" s="83"/>
      <c r="BC145" s="83"/>
      <c r="BD145" s="83"/>
      <c r="BE145" s="83"/>
      <c r="BF145" s="83">
        <v>7400</v>
      </c>
      <c r="BG145" s="83">
        <v>6500</v>
      </c>
      <c r="BH145" s="95"/>
      <c r="BI145" s="96">
        <f t="shared" si="71"/>
        <v>0.59401709401709402</v>
      </c>
      <c r="BJ145" s="97">
        <v>2.9390000000000001</v>
      </c>
      <c r="BK145" s="98">
        <v>45</v>
      </c>
      <c r="BL145" s="88">
        <v>4.2000000000000003E-2</v>
      </c>
      <c r="BM145" s="88">
        <v>0.19900000000000001</v>
      </c>
      <c r="BN145" s="88">
        <v>0.504</v>
      </c>
      <c r="BO145" s="88">
        <v>1.0209999999999999</v>
      </c>
      <c r="BP145" s="88">
        <v>1.5780000000000001</v>
      </c>
      <c r="BQ145" s="88">
        <v>2.2410000000000001</v>
      </c>
      <c r="BR145" s="88"/>
      <c r="BS145" s="88">
        <v>2.9390000000000001</v>
      </c>
      <c r="BT145" s="81">
        <v>45</v>
      </c>
      <c r="BU145" s="83"/>
      <c r="BV145" s="104">
        <v>42303</v>
      </c>
      <c r="BW145" s="84">
        <v>0.699312940140845</v>
      </c>
      <c r="BX145" s="83">
        <v>23016</v>
      </c>
      <c r="BY145" s="83">
        <v>7712</v>
      </c>
      <c r="BZ145" s="84">
        <v>0.33507125477928396</v>
      </c>
      <c r="CA145" s="83">
        <v>28</v>
      </c>
      <c r="CB145" s="83">
        <v>146</v>
      </c>
      <c r="CC145" s="84">
        <v>1.2165450121654502E-3</v>
      </c>
      <c r="CD145" s="84">
        <v>6.3434132777198471E-3</v>
      </c>
    </row>
    <row r="146" spans="1:82" x14ac:dyDescent="0.25">
      <c r="A146" s="79" t="s">
        <v>112</v>
      </c>
      <c r="B146" s="80" t="s">
        <v>80</v>
      </c>
      <c r="C146" s="81">
        <v>820</v>
      </c>
      <c r="D146" s="105">
        <v>1609.06</v>
      </c>
      <c r="E146" s="105">
        <v>11631.372950000001</v>
      </c>
      <c r="F146" s="83">
        <v>26000</v>
      </c>
      <c r="G146" s="83">
        <v>24790</v>
      </c>
      <c r="H146" s="84">
        <v>4.6538461538461535E-2</v>
      </c>
      <c r="I146" s="79">
        <v>309</v>
      </c>
      <c r="J146" s="84">
        <v>1.1884615384615384E-2</v>
      </c>
      <c r="K146" s="83">
        <v>63570</v>
      </c>
      <c r="L146" s="83">
        <v>108880</v>
      </c>
      <c r="M146" s="85">
        <v>2.5643404598628479</v>
      </c>
      <c r="N146" s="85">
        <v>1.7127575900582035</v>
      </c>
      <c r="O146" s="85">
        <f>+L146/((G146-CA146-CB146)*M146)</f>
        <v>1.7292901338957711</v>
      </c>
      <c r="P146" s="86">
        <v>0.46919616579265838</v>
      </c>
      <c r="Q146" s="86">
        <v>6.4907624041952397E-2</v>
      </c>
      <c r="R146" s="83">
        <v>2200</v>
      </c>
      <c r="S146" s="106">
        <v>5.2869877045454547</v>
      </c>
      <c r="T146" s="85">
        <v>11.818181818181818</v>
      </c>
      <c r="U146" s="85">
        <v>4.3920935861234369</v>
      </c>
      <c r="V146" s="87">
        <v>41</v>
      </c>
      <c r="W146" s="83">
        <v>31</v>
      </c>
      <c r="X146" s="85">
        <v>1.8440000000000001</v>
      </c>
      <c r="Y146" s="83">
        <v>7350</v>
      </c>
      <c r="Z146" s="88">
        <v>6.2544889264947515E-2</v>
      </c>
      <c r="AA146" s="107">
        <v>5.9483870967741936E-2</v>
      </c>
      <c r="AB146" s="88">
        <v>0.30153846153846153</v>
      </c>
      <c r="AC146" s="88">
        <v>1.486923076923077</v>
      </c>
      <c r="AD146" s="88">
        <v>2.0499999999999998</v>
      </c>
      <c r="AE146" s="88">
        <v>0.34923076923076923</v>
      </c>
      <c r="AF146" s="90" t="s">
        <v>81</v>
      </c>
      <c r="AG146" s="91"/>
      <c r="AH146" s="91"/>
      <c r="AI146" s="91"/>
      <c r="AJ146" s="91"/>
      <c r="AK146" s="91"/>
      <c r="AL146" s="110"/>
      <c r="AM146" s="91">
        <v>10000</v>
      </c>
      <c r="AN146" s="92"/>
      <c r="AO146" s="93">
        <f t="shared" si="70"/>
        <v>0.38461538461538464</v>
      </c>
      <c r="AP146" s="94" t="s">
        <v>82</v>
      </c>
      <c r="AQ146" s="91"/>
      <c r="AR146" s="83"/>
      <c r="AS146" s="83"/>
      <c r="AT146" s="83">
        <v>3700</v>
      </c>
      <c r="AU146" s="83"/>
      <c r="AV146" s="83"/>
      <c r="AW146" s="110"/>
      <c r="AX146" s="83"/>
      <c r="AY146" s="83"/>
      <c r="AZ146" s="83">
        <v>12300</v>
      </c>
      <c r="BA146" s="83"/>
      <c r="BB146" s="83"/>
      <c r="BC146" s="83"/>
      <c r="BD146" s="83"/>
      <c r="BE146" s="83"/>
      <c r="BF146" s="83"/>
      <c r="BG146" s="83"/>
      <c r="BH146" s="95"/>
      <c r="BI146" s="96">
        <f t="shared" si="71"/>
        <v>0.61538461538461542</v>
      </c>
      <c r="BJ146" s="97">
        <v>2.8679999999999999</v>
      </c>
      <c r="BK146" s="98">
        <v>41</v>
      </c>
      <c r="BL146" s="88">
        <v>4.1500000000000002E-2</v>
      </c>
      <c r="BM146" s="88"/>
      <c r="BN146" s="88">
        <v>0.51600000000000001</v>
      </c>
      <c r="BO146" s="88">
        <v>0.98499999999999999</v>
      </c>
      <c r="BP146" s="88">
        <v>1.536</v>
      </c>
      <c r="BQ146" s="88"/>
      <c r="BR146" s="88"/>
      <c r="BS146" s="88">
        <v>2.8679999999999999</v>
      </c>
      <c r="BT146" s="81">
        <v>41</v>
      </c>
      <c r="BU146" s="83">
        <v>3000</v>
      </c>
      <c r="BV146" s="99">
        <v>42103</v>
      </c>
      <c r="BW146" s="84">
        <v>0.68624530187924826</v>
      </c>
      <c r="BX146" s="83">
        <v>17268</v>
      </c>
      <c r="BY146" s="83">
        <v>9032</v>
      </c>
      <c r="BZ146" s="84">
        <v>0.52304841324994211</v>
      </c>
      <c r="CA146" s="83">
        <v>87</v>
      </c>
      <c r="CB146" s="83">
        <v>150</v>
      </c>
      <c r="CC146" s="84">
        <v>5.0382209867963863E-3</v>
      </c>
      <c r="CD146" s="84">
        <v>8.6865879082696322E-3</v>
      </c>
    </row>
    <row r="147" spans="1:82" x14ac:dyDescent="0.25">
      <c r="A147" s="79" t="s">
        <v>100</v>
      </c>
      <c r="B147" s="80" t="s">
        <v>80</v>
      </c>
      <c r="C147" s="81">
        <v>764</v>
      </c>
      <c r="D147" s="82">
        <v>2840.32</v>
      </c>
      <c r="E147" s="82">
        <v>25928.010000000002</v>
      </c>
      <c r="F147" s="83">
        <v>56700</v>
      </c>
      <c r="G147" s="83">
        <v>54710</v>
      </c>
      <c r="H147" s="84">
        <v>3.509700176366843E-2</v>
      </c>
      <c r="I147" s="79">
        <v>481</v>
      </c>
      <c r="J147" s="84">
        <v>8.483245149911816E-3</v>
      </c>
      <c r="K147" s="83">
        <v>150740</v>
      </c>
      <c r="L147" s="83">
        <v>277400</v>
      </c>
      <c r="M147" s="85">
        <v>2.7552549808078961</v>
      </c>
      <c r="N147" s="85">
        <v>1.8402547432665517</v>
      </c>
      <c r="O147" s="85">
        <v>1.8502653178246968</v>
      </c>
      <c r="P147" s="86">
        <v>0.47391719978066171</v>
      </c>
      <c r="Q147" s="86">
        <v>5.1915920307073662E-2</v>
      </c>
      <c r="R147" s="83">
        <v>4880</v>
      </c>
      <c r="S147" s="86">
        <v>5.3131168032786888</v>
      </c>
      <c r="T147" s="85">
        <v>11.618852459016393</v>
      </c>
      <c r="U147" s="85">
        <v>5.0703710473405224</v>
      </c>
      <c r="V147" s="87">
        <v>44.41</v>
      </c>
      <c r="W147" s="83"/>
      <c r="X147" s="85"/>
      <c r="Y147" s="83"/>
      <c r="Z147" s="88">
        <v>6.2041319090472787E-2</v>
      </c>
      <c r="AA147" s="89" t="s">
        <v>84</v>
      </c>
      <c r="AB147" s="88">
        <v>0.30793650793650795</v>
      </c>
      <c r="AC147" s="88">
        <v>1.3781305114638447</v>
      </c>
      <c r="AD147" s="88">
        <v>2.4751322751322751</v>
      </c>
      <c r="AE147" s="88">
        <v>0.73121693121693121</v>
      </c>
      <c r="AF147" s="90" t="s">
        <v>81</v>
      </c>
      <c r="AG147" s="91"/>
      <c r="AH147" s="91"/>
      <c r="AI147" s="91">
        <v>8500</v>
      </c>
      <c r="AJ147" s="91"/>
      <c r="AK147" s="91"/>
      <c r="AL147" s="79"/>
      <c r="AM147" s="91">
        <v>27600</v>
      </c>
      <c r="AN147" s="92"/>
      <c r="AO147" s="93">
        <f t="shared" si="70"/>
        <v>0.63668430335097004</v>
      </c>
      <c r="AP147" s="94" t="s">
        <v>82</v>
      </c>
      <c r="AQ147" s="83"/>
      <c r="AR147" s="83"/>
      <c r="AS147" s="83"/>
      <c r="AT147" s="83"/>
      <c r="AU147" s="83"/>
      <c r="AV147" s="83"/>
      <c r="AW147" s="83"/>
      <c r="AX147" s="83"/>
      <c r="AY147" s="83"/>
      <c r="AZ147" s="83">
        <v>20600</v>
      </c>
      <c r="BA147" s="83"/>
      <c r="BB147" s="83"/>
      <c r="BC147" s="83"/>
      <c r="BD147" s="83"/>
      <c r="BE147" s="83"/>
      <c r="BF147" s="83"/>
      <c r="BG147" s="83"/>
      <c r="BH147" s="95"/>
      <c r="BI147" s="96">
        <f t="shared" si="71"/>
        <v>0.36331569664902996</v>
      </c>
      <c r="BJ147" s="97">
        <v>2.774</v>
      </c>
      <c r="BK147" s="98">
        <v>44</v>
      </c>
      <c r="BL147" s="88"/>
      <c r="BM147" s="88"/>
      <c r="BN147" s="88">
        <v>0.42799999999999999</v>
      </c>
      <c r="BO147" s="88">
        <v>0.90600000000000003</v>
      </c>
      <c r="BP147" s="88">
        <v>1.48</v>
      </c>
      <c r="BQ147" s="88">
        <v>2.0750000000000002</v>
      </c>
      <c r="BR147" s="88">
        <v>2.6749999999999998</v>
      </c>
      <c r="BS147" s="88">
        <v>2.7269999999999999</v>
      </c>
      <c r="BT147" s="81">
        <v>45</v>
      </c>
      <c r="BU147" s="83"/>
      <c r="BV147" s="99">
        <v>42243</v>
      </c>
      <c r="BW147" s="84">
        <v>0.71123895449117691</v>
      </c>
      <c r="BX147" s="83">
        <v>54164</v>
      </c>
      <c r="BY147" s="83">
        <v>26104</v>
      </c>
      <c r="BZ147" s="84">
        <v>0.48194372646037958</v>
      </c>
      <c r="CA147" s="83">
        <v>106</v>
      </c>
      <c r="CB147" s="83">
        <v>507</v>
      </c>
      <c r="CC147" s="84">
        <v>1.957019422494646E-3</v>
      </c>
      <c r="CD147" s="84">
        <v>9.3604608226866559E-3</v>
      </c>
    </row>
    <row r="148" spans="1:82" x14ac:dyDescent="0.25">
      <c r="A148" s="79" t="s">
        <v>117</v>
      </c>
      <c r="B148" s="80" t="s">
        <v>80</v>
      </c>
      <c r="C148" s="81">
        <v>808</v>
      </c>
      <c r="D148" s="105">
        <v>259.27</v>
      </c>
      <c r="E148" s="105">
        <v>7974.8883750000005</v>
      </c>
      <c r="F148" s="83">
        <v>17600</v>
      </c>
      <c r="G148" s="83">
        <v>17175</v>
      </c>
      <c r="H148" s="84">
        <f t="shared" ref="H148:H160" si="72">IF(F148=0,0,+((F148-G148)/F148))</f>
        <v>2.4147727272727272E-2</v>
      </c>
      <c r="I148" s="79">
        <v>125</v>
      </c>
      <c r="J148" s="84">
        <f t="shared" ref="J148:J160" si="73">+(I148/F148)</f>
        <v>7.102272727272727E-3</v>
      </c>
      <c r="K148" s="83">
        <v>47780</v>
      </c>
      <c r="L148" s="83">
        <v>89340</v>
      </c>
      <c r="M148" s="85">
        <f t="shared" ref="M148:M160" si="74">IF(G148=0,0,+K148/G148)</f>
        <v>2.7819505094614265</v>
      </c>
      <c r="N148" s="85">
        <f t="shared" ref="N148:N160" si="75">IF(K148=0,0,+L148/K148)</f>
        <v>1.8698200083717036</v>
      </c>
      <c r="O148" s="85">
        <f>+L148/((G148-CA154-CB154)*M148)</f>
        <v>1.9033996351223332</v>
      </c>
      <c r="P148" s="86">
        <f>+E148/G148</f>
        <v>0.46433120087336249</v>
      </c>
      <c r="Q148" s="86">
        <f>+D148/G148</f>
        <v>1.5095778748180494E-2</v>
      </c>
      <c r="R148" s="83">
        <v>1500</v>
      </c>
      <c r="S148" s="106">
        <f>+E148/R148</f>
        <v>5.3165922500000002</v>
      </c>
      <c r="T148" s="85">
        <f t="shared" ref="T148:T160" si="76">IF(R148=0,0,+F148/R148)</f>
        <v>11.733333333333333</v>
      </c>
      <c r="U148" s="85">
        <f t="shared" ref="U148:U160" si="77">IF(L148=0,0,+L148/G148)</f>
        <v>5.20174672489083</v>
      </c>
      <c r="V148" s="87">
        <v>43.65</v>
      </c>
      <c r="W148" s="83"/>
      <c r="X148" s="85"/>
      <c r="Y148" s="83"/>
      <c r="Z148" s="88">
        <f t="shared" ref="Z148:Z160" si="78">IF(V148=0,0,+M148/V148)</f>
        <v>6.3733115909769225E-2</v>
      </c>
      <c r="AA148" s="107" t="str">
        <f t="shared" ref="AA148:AA160" si="79">IF(W148=0,"",+X148/W148)</f>
        <v/>
      </c>
      <c r="AB148" s="102">
        <v>0.32159090909090909</v>
      </c>
      <c r="AC148" s="102">
        <v>1.4204545454545454</v>
      </c>
      <c r="AD148" s="102">
        <v>2.6102272727272728</v>
      </c>
      <c r="AE148" s="102">
        <v>0.72386363636363638</v>
      </c>
      <c r="AF148" s="90" t="s">
        <v>81</v>
      </c>
      <c r="AG148" s="91"/>
      <c r="AH148" s="91"/>
      <c r="AI148" s="91"/>
      <c r="AJ148" s="91"/>
      <c r="AK148" s="91"/>
      <c r="AL148" s="91"/>
      <c r="AM148" s="91">
        <v>17600</v>
      </c>
      <c r="AN148" s="92"/>
      <c r="AO148" s="93">
        <f t="shared" si="70"/>
        <v>1</v>
      </c>
      <c r="AP148" s="94" t="s">
        <v>82</v>
      </c>
      <c r="AQ148" s="83"/>
      <c r="AR148" s="83"/>
      <c r="AS148" s="83"/>
      <c r="AT148" s="83"/>
      <c r="AU148" s="83"/>
      <c r="AV148" s="83"/>
      <c r="AW148" s="83"/>
      <c r="AX148" s="83"/>
      <c r="AY148" s="83"/>
      <c r="AZ148" s="83"/>
      <c r="BA148" s="83"/>
      <c r="BB148" s="83"/>
      <c r="BC148" s="83"/>
      <c r="BD148" s="83"/>
      <c r="BE148" s="83"/>
      <c r="BF148" s="83"/>
      <c r="BG148" s="83"/>
      <c r="BH148" s="95"/>
      <c r="BI148" s="96">
        <f t="shared" si="71"/>
        <v>0</v>
      </c>
      <c r="BJ148" s="97">
        <v>2.7149999999999999</v>
      </c>
      <c r="BK148" s="98">
        <v>43</v>
      </c>
      <c r="BL148" s="88">
        <v>4.5999999999999999E-2</v>
      </c>
      <c r="BM148" s="88">
        <v>0.17799999999999999</v>
      </c>
      <c r="BN148" s="88">
        <v>0.52</v>
      </c>
      <c r="BO148" s="88">
        <v>0.91</v>
      </c>
      <c r="BP148" s="88">
        <v>1.6</v>
      </c>
      <c r="BQ148" s="88">
        <v>1.95</v>
      </c>
      <c r="BR148" s="88">
        <v>2.698</v>
      </c>
      <c r="BS148" s="88">
        <v>2.9220000000000002</v>
      </c>
      <c r="BT148" s="81">
        <v>45</v>
      </c>
      <c r="BU148" s="83"/>
      <c r="BV148" s="99">
        <v>42267</v>
      </c>
      <c r="BW148" s="84">
        <v>0.71302930096274597</v>
      </c>
      <c r="BX148" s="83">
        <v>17212</v>
      </c>
      <c r="BY148" s="83">
        <v>6472</v>
      </c>
      <c r="BZ148" s="84">
        <v>0.3760167325122008</v>
      </c>
      <c r="CA148" s="83">
        <v>25</v>
      </c>
      <c r="CB148" s="83">
        <v>94</v>
      </c>
      <c r="CC148" s="84">
        <v>1.4524750174297002E-3</v>
      </c>
      <c r="CD148" s="84">
        <v>5.4613060655356732E-3</v>
      </c>
    </row>
    <row r="149" spans="1:82" x14ac:dyDescent="0.25">
      <c r="A149" s="79" t="s">
        <v>116</v>
      </c>
      <c r="B149" s="80" t="s">
        <v>80</v>
      </c>
      <c r="C149" s="81">
        <v>810</v>
      </c>
      <c r="D149" s="108">
        <v>763.92</v>
      </c>
      <c r="E149" s="108">
        <v>11223.696375</v>
      </c>
      <c r="F149" s="83">
        <v>25600</v>
      </c>
      <c r="G149" s="83">
        <v>24775</v>
      </c>
      <c r="H149" s="84">
        <f t="shared" si="72"/>
        <v>3.22265625E-2</v>
      </c>
      <c r="I149" s="79">
        <v>242</v>
      </c>
      <c r="J149" s="84">
        <f t="shared" si="73"/>
        <v>9.4531249999999997E-3</v>
      </c>
      <c r="K149" s="83">
        <v>66900</v>
      </c>
      <c r="L149" s="83">
        <v>122820</v>
      </c>
      <c r="M149" s="85">
        <f t="shared" si="74"/>
        <v>2.7003027245206863</v>
      </c>
      <c r="N149" s="85">
        <f t="shared" si="75"/>
        <v>1.8358744394618833</v>
      </c>
      <c r="O149" s="85">
        <f t="shared" ref="O149:O158" si="80">+L149/((G149-CA149-CB149)*M149)</f>
        <v>1.8547400088760821</v>
      </c>
      <c r="P149" s="86">
        <f t="shared" ref="P149:P155" si="81">IF(G149=0,0,+E149/G149)</f>
        <v>0.45302508072653885</v>
      </c>
      <c r="Q149" s="86">
        <f t="shared" ref="Q149:Q155" si="82">IF(G149=0,0,+D149/G149)</f>
        <v>3.08343087790111E-2</v>
      </c>
      <c r="R149" s="83">
        <v>2100</v>
      </c>
      <c r="S149" s="86">
        <f t="shared" ref="S149:S155" si="83">IF(R149=0,0,+E149/R149)</f>
        <v>5.3446173214285713</v>
      </c>
      <c r="T149" s="85">
        <f t="shared" si="76"/>
        <v>12.19047619047619</v>
      </c>
      <c r="U149" s="85">
        <f t="shared" si="77"/>
        <v>4.9574167507568117</v>
      </c>
      <c r="V149" s="87">
        <v>43.09</v>
      </c>
      <c r="W149" s="83"/>
      <c r="X149" s="85"/>
      <c r="Y149" s="83"/>
      <c r="Z149" s="88">
        <f t="shared" si="78"/>
        <v>6.2666575180336179E-2</v>
      </c>
      <c r="AA149" s="109" t="str">
        <f t="shared" si="79"/>
        <v/>
      </c>
      <c r="AB149" s="88">
        <v>0.33124999999999999</v>
      </c>
      <c r="AC149" s="88">
        <v>1.5546875</v>
      </c>
      <c r="AD149" s="88">
        <v>2.5179687500000001</v>
      </c>
      <c r="AE149" s="88">
        <v>0.39374999999999999</v>
      </c>
      <c r="AF149" s="90" t="s">
        <v>81</v>
      </c>
      <c r="AG149" s="91"/>
      <c r="AH149" s="91"/>
      <c r="AI149" s="91"/>
      <c r="AJ149" s="91"/>
      <c r="AK149" s="91"/>
      <c r="AL149" s="110"/>
      <c r="AM149" s="91"/>
      <c r="AN149" s="92"/>
      <c r="AO149" s="93">
        <f t="shared" si="70"/>
        <v>0</v>
      </c>
      <c r="AP149" s="94" t="s">
        <v>82</v>
      </c>
      <c r="AQ149" s="91"/>
      <c r="AR149" s="83"/>
      <c r="AS149" s="83"/>
      <c r="AT149" s="83"/>
      <c r="AU149" s="83"/>
      <c r="AV149" s="83"/>
      <c r="AW149" s="110"/>
      <c r="AX149" s="83"/>
      <c r="AY149" s="83"/>
      <c r="AZ149" s="83"/>
      <c r="BA149" s="83"/>
      <c r="BB149" s="83"/>
      <c r="BC149" s="83"/>
      <c r="BD149" s="83"/>
      <c r="BE149" s="83"/>
      <c r="BF149" s="91">
        <v>25600</v>
      </c>
      <c r="BG149" s="83"/>
      <c r="BH149" s="95"/>
      <c r="BI149" s="96">
        <f t="shared" si="71"/>
        <v>1</v>
      </c>
      <c r="BJ149" s="97">
        <v>2.6920000000000002</v>
      </c>
      <c r="BK149" s="98">
        <v>43</v>
      </c>
      <c r="BL149" s="88">
        <v>3.85E-2</v>
      </c>
      <c r="BM149" s="88">
        <v>0.16800000000000001</v>
      </c>
      <c r="BN149" s="88">
        <v>0.46800000000000003</v>
      </c>
      <c r="BO149" s="88">
        <v>0.91500000000000004</v>
      </c>
      <c r="BP149" s="88">
        <v>1.49</v>
      </c>
      <c r="BQ149" s="88">
        <v>2.0499999999999998</v>
      </c>
      <c r="BR149" s="88"/>
      <c r="BS149" s="88">
        <v>2.7869999999999999</v>
      </c>
      <c r="BT149" s="81">
        <v>44</v>
      </c>
      <c r="BU149" s="83">
        <v>5000</v>
      </c>
      <c r="BV149" s="99">
        <v>42201</v>
      </c>
      <c r="BW149" s="84">
        <v>0.69941375186846033</v>
      </c>
      <c r="BX149" s="83">
        <v>24378</v>
      </c>
      <c r="BY149" s="83">
        <v>9888</v>
      </c>
      <c r="BZ149" s="84">
        <v>0.40561161703174992</v>
      </c>
      <c r="CA149" s="83">
        <v>73</v>
      </c>
      <c r="CB149" s="83">
        <v>179</v>
      </c>
      <c r="CC149" s="84">
        <v>2.9945032406267945E-3</v>
      </c>
      <c r="CD149" s="84">
        <v>7.3426860283862501E-3</v>
      </c>
    </row>
    <row r="150" spans="1:82" x14ac:dyDescent="0.25">
      <c r="A150" s="79" t="s">
        <v>116</v>
      </c>
      <c r="B150" s="80" t="s">
        <v>80</v>
      </c>
      <c r="C150" s="81">
        <v>810</v>
      </c>
      <c r="D150" s="108">
        <v>897.37</v>
      </c>
      <c r="E150" s="108">
        <v>11252.0268</v>
      </c>
      <c r="F150" s="83">
        <v>29700</v>
      </c>
      <c r="G150" s="83">
        <v>28160</v>
      </c>
      <c r="H150" s="84">
        <f t="shared" si="72"/>
        <v>5.185185185185185E-2</v>
      </c>
      <c r="I150" s="79">
        <v>177</v>
      </c>
      <c r="J150" s="84">
        <f t="shared" si="73"/>
        <v>5.9595959595959598E-3</v>
      </c>
      <c r="K150" s="83">
        <v>77580</v>
      </c>
      <c r="L150" s="83">
        <v>149880</v>
      </c>
      <c r="M150" s="85">
        <f t="shared" si="74"/>
        <v>2.7549715909090908</v>
      </c>
      <c r="N150" s="85">
        <f t="shared" si="75"/>
        <v>1.9319412219644239</v>
      </c>
      <c r="O150" s="85">
        <f t="shared" si="80"/>
        <v>1.9535159183639692</v>
      </c>
      <c r="P150" s="86">
        <f t="shared" si="81"/>
        <v>0.39957481534090905</v>
      </c>
      <c r="Q150" s="86">
        <f t="shared" si="82"/>
        <v>3.1866832386363633E-2</v>
      </c>
      <c r="R150" s="83">
        <v>2100</v>
      </c>
      <c r="S150" s="86">
        <f t="shared" si="83"/>
        <v>5.3581079999999996</v>
      </c>
      <c r="T150" s="85">
        <f t="shared" si="76"/>
        <v>14.142857142857142</v>
      </c>
      <c r="U150" s="85">
        <f t="shared" si="77"/>
        <v>5.3224431818181817</v>
      </c>
      <c r="V150" s="87">
        <v>42.18</v>
      </c>
      <c r="W150" s="83"/>
      <c r="X150" s="85"/>
      <c r="Y150" s="83"/>
      <c r="Z150" s="88">
        <f t="shared" si="78"/>
        <v>6.5314641794904954E-2</v>
      </c>
      <c r="AA150" s="112" t="str">
        <f t="shared" si="79"/>
        <v/>
      </c>
      <c r="AB150" s="88">
        <v>0.29360269360269359</v>
      </c>
      <c r="AC150" s="88">
        <v>1.3993265993265993</v>
      </c>
      <c r="AD150" s="88">
        <v>2.4491582491582493</v>
      </c>
      <c r="AE150" s="88">
        <v>0.90437710437710439</v>
      </c>
      <c r="AF150" s="90" t="s">
        <v>81</v>
      </c>
      <c r="AG150" s="91"/>
      <c r="AH150" s="91"/>
      <c r="AI150" s="91"/>
      <c r="AJ150" s="91"/>
      <c r="AK150" s="91"/>
      <c r="AL150" s="110"/>
      <c r="AM150" s="91"/>
      <c r="AN150" s="92"/>
      <c r="AO150" s="93">
        <f t="shared" si="70"/>
        <v>0</v>
      </c>
      <c r="AP150" s="94" t="s">
        <v>82</v>
      </c>
      <c r="AQ150" s="91"/>
      <c r="AR150" s="83"/>
      <c r="AS150" s="83"/>
      <c r="AT150" s="83"/>
      <c r="AU150" s="91"/>
      <c r="AV150" s="83"/>
      <c r="AW150" s="110"/>
      <c r="AX150" s="83"/>
      <c r="AY150" s="91"/>
      <c r="AZ150" s="83">
        <v>29700</v>
      </c>
      <c r="BA150" s="83"/>
      <c r="BB150" s="83"/>
      <c r="BC150" s="83"/>
      <c r="BD150" s="83"/>
      <c r="BE150" s="83"/>
      <c r="BF150" s="91"/>
      <c r="BG150" s="83"/>
      <c r="BH150" s="92"/>
      <c r="BI150" s="96">
        <f t="shared" si="71"/>
        <v>1</v>
      </c>
      <c r="BJ150" s="97">
        <v>2.754</v>
      </c>
      <c r="BK150" s="98">
        <v>42</v>
      </c>
      <c r="BL150" s="88">
        <v>4.2500000000000003E-2</v>
      </c>
      <c r="BM150" s="88">
        <v>0.19500000000000001</v>
      </c>
      <c r="BN150" s="88">
        <v>0.50849999999999995</v>
      </c>
      <c r="BO150" s="88">
        <v>0.99560000000000004</v>
      </c>
      <c r="BP150" s="88">
        <v>1.56</v>
      </c>
      <c r="BQ150" s="88"/>
      <c r="BR150" s="88">
        <v>2.754</v>
      </c>
      <c r="BS150" s="88">
        <v>2.762</v>
      </c>
      <c r="BT150" s="81">
        <v>43</v>
      </c>
      <c r="BU150" s="83"/>
      <c r="BV150" s="99">
        <v>42138</v>
      </c>
      <c r="BW150" s="84">
        <v>0.69088901778808964</v>
      </c>
      <c r="BX150" s="83">
        <v>27884</v>
      </c>
      <c r="BY150" s="83">
        <v>13144</v>
      </c>
      <c r="BZ150" s="84">
        <v>0.47138143738344568</v>
      </c>
      <c r="CA150" s="83">
        <v>62</v>
      </c>
      <c r="CB150" s="83">
        <v>249</v>
      </c>
      <c r="CC150" s="84">
        <v>2.2234973461483288E-3</v>
      </c>
      <c r="CD150" s="84">
        <v>8.9298522450150623E-3</v>
      </c>
    </row>
    <row r="151" spans="1:82" x14ac:dyDescent="0.25">
      <c r="A151" s="79" t="s">
        <v>109</v>
      </c>
      <c r="B151" s="80" t="s">
        <v>80</v>
      </c>
      <c r="C151" s="81">
        <v>850</v>
      </c>
      <c r="D151" s="105">
        <v>614.55999999999995</v>
      </c>
      <c r="E151" s="105">
        <v>10549.807220000001</v>
      </c>
      <c r="F151" s="83">
        <v>25200</v>
      </c>
      <c r="G151" s="83">
        <v>24164</v>
      </c>
      <c r="H151" s="84">
        <f t="shared" si="72"/>
        <v>4.1111111111111112E-2</v>
      </c>
      <c r="I151" s="79">
        <v>442</v>
      </c>
      <c r="J151" s="84">
        <f t="shared" si="73"/>
        <v>1.7539682539682539E-2</v>
      </c>
      <c r="K151" s="83">
        <v>77130</v>
      </c>
      <c r="L151" s="83">
        <v>156420</v>
      </c>
      <c r="M151" s="85">
        <f t="shared" si="74"/>
        <v>3.1919384207912596</v>
      </c>
      <c r="N151" s="85">
        <f t="shared" si="75"/>
        <v>2.028004667444574</v>
      </c>
      <c r="O151" s="85">
        <f t="shared" si="80"/>
        <v>2.0630085368414033</v>
      </c>
      <c r="P151" s="86">
        <f t="shared" si="81"/>
        <v>0.43659192269491809</v>
      </c>
      <c r="Q151" s="86">
        <f t="shared" si="82"/>
        <v>2.5432875351762949E-2</v>
      </c>
      <c r="R151" s="83">
        <v>1960</v>
      </c>
      <c r="S151" s="86">
        <f t="shared" si="83"/>
        <v>5.3825547040816328</v>
      </c>
      <c r="T151" s="85">
        <f t="shared" si="76"/>
        <v>12.857142857142858</v>
      </c>
      <c r="U151" s="85">
        <f t="shared" si="77"/>
        <v>6.4732660155603376</v>
      </c>
      <c r="V151" s="87">
        <v>47.79</v>
      </c>
      <c r="W151" s="83"/>
      <c r="X151" s="85"/>
      <c r="Y151" s="83"/>
      <c r="Z151" s="88">
        <f t="shared" si="78"/>
        <v>6.6790927407224518E-2</v>
      </c>
      <c r="AA151" s="107" t="str">
        <f t="shared" si="79"/>
        <v/>
      </c>
      <c r="AB151" s="88">
        <v>0.3126984126984127</v>
      </c>
      <c r="AC151" s="88">
        <v>1.3111111111111111</v>
      </c>
      <c r="AD151" s="88">
        <v>2.3396825396825398</v>
      </c>
      <c r="AE151" s="88">
        <v>2.2436507936507937</v>
      </c>
      <c r="AF151" s="90" t="s">
        <v>81</v>
      </c>
      <c r="AG151" s="116"/>
      <c r="AH151" s="116"/>
      <c r="AI151" s="116"/>
      <c r="AJ151" s="116"/>
      <c r="AK151" s="116"/>
      <c r="AL151" s="79"/>
      <c r="AM151" s="116"/>
      <c r="AN151" s="117"/>
      <c r="AO151" s="93">
        <f t="shared" si="70"/>
        <v>0</v>
      </c>
      <c r="AP151" s="94" t="s">
        <v>82</v>
      </c>
      <c r="AQ151" s="116"/>
      <c r="AR151" s="79"/>
      <c r="AS151" s="79"/>
      <c r="AT151" s="79"/>
      <c r="AU151" s="79"/>
      <c r="AV151" s="79"/>
      <c r="AW151" s="79"/>
      <c r="AX151" s="79"/>
      <c r="AY151" s="79"/>
      <c r="AZ151" s="79"/>
      <c r="BA151" s="79">
        <v>25200</v>
      </c>
      <c r="BB151" s="79"/>
      <c r="BC151" s="79"/>
      <c r="BD151" s="79"/>
      <c r="BE151" s="79"/>
      <c r="BF151" s="79"/>
      <c r="BG151" s="79"/>
      <c r="BH151" s="111"/>
      <c r="BI151" s="96">
        <f t="shared" si="71"/>
        <v>1</v>
      </c>
      <c r="BJ151" s="97">
        <v>3.12</v>
      </c>
      <c r="BK151" s="98">
        <v>47</v>
      </c>
      <c r="BL151" s="88">
        <v>3.7999999999999999E-2</v>
      </c>
      <c r="BM151" s="88">
        <v>0.14399999999999999</v>
      </c>
      <c r="BN151" s="88">
        <v>0.38</v>
      </c>
      <c r="BO151" s="88">
        <v>0.76</v>
      </c>
      <c r="BP151" s="88">
        <v>1.43</v>
      </c>
      <c r="BQ151" s="88">
        <v>2.02</v>
      </c>
      <c r="BR151" s="88">
        <v>2.66</v>
      </c>
      <c r="BS151" s="88">
        <v>3.2120000000000002</v>
      </c>
      <c r="BT151" s="81">
        <v>48</v>
      </c>
      <c r="BU151" s="83"/>
      <c r="BV151" s="99">
        <v>42023</v>
      </c>
      <c r="BW151" s="84">
        <v>0.69735278101905873</v>
      </c>
      <c r="BX151" s="79">
        <v>23652</v>
      </c>
      <c r="BY151" s="83">
        <v>6704</v>
      </c>
      <c r="BZ151" s="84">
        <v>0.28344326061221037</v>
      </c>
      <c r="CA151" s="83">
        <v>109</v>
      </c>
      <c r="CB151" s="83">
        <v>301</v>
      </c>
      <c r="CC151" s="84">
        <v>4.6084897683071196E-3</v>
      </c>
      <c r="CD151" s="84">
        <v>1.2726196516150853E-2</v>
      </c>
    </row>
    <row r="152" spans="1:82" x14ac:dyDescent="0.25">
      <c r="A152" s="79" t="s">
        <v>124</v>
      </c>
      <c r="B152" s="80" t="s">
        <v>80</v>
      </c>
      <c r="C152" s="81">
        <v>850</v>
      </c>
      <c r="D152" s="108">
        <v>1224.99</v>
      </c>
      <c r="E152" s="108">
        <v>11319.424999999999</v>
      </c>
      <c r="F152" s="83">
        <v>25500</v>
      </c>
      <c r="G152" s="83">
        <v>25000</v>
      </c>
      <c r="H152" s="84">
        <f t="shared" si="72"/>
        <v>1.9607843137254902E-2</v>
      </c>
      <c r="I152" s="79">
        <v>199</v>
      </c>
      <c r="J152" s="84">
        <f t="shared" si="73"/>
        <v>7.8039215686274508E-3</v>
      </c>
      <c r="K152" s="83">
        <v>67200</v>
      </c>
      <c r="L152" s="83">
        <v>122280</v>
      </c>
      <c r="M152" s="85">
        <f t="shared" si="74"/>
        <v>2.6880000000000002</v>
      </c>
      <c r="N152" s="85">
        <f t="shared" si="75"/>
        <v>1.8196428571428571</v>
      </c>
      <c r="O152" s="85">
        <f t="shared" si="80"/>
        <v>1.8484040237524451</v>
      </c>
      <c r="P152" s="86">
        <f t="shared" si="81"/>
        <v>0.45277699999999999</v>
      </c>
      <c r="Q152" s="86">
        <f t="shared" si="82"/>
        <v>4.8999599999999997E-2</v>
      </c>
      <c r="R152" s="83">
        <v>2100</v>
      </c>
      <c r="S152" s="86">
        <f t="shared" si="83"/>
        <v>5.3902023809523802</v>
      </c>
      <c r="T152" s="85">
        <f t="shared" si="76"/>
        <v>12.142857142857142</v>
      </c>
      <c r="U152" s="85">
        <f t="shared" si="77"/>
        <v>4.8912000000000004</v>
      </c>
      <c r="V152" s="87">
        <v>41.5</v>
      </c>
      <c r="W152" s="83"/>
      <c r="X152" s="85"/>
      <c r="Y152" s="83"/>
      <c r="Z152" s="88">
        <f t="shared" si="78"/>
        <v>6.4771084337349405E-2</v>
      </c>
      <c r="AA152" s="109" t="str">
        <f t="shared" si="79"/>
        <v/>
      </c>
      <c r="AB152" s="88">
        <v>0.30117647058823527</v>
      </c>
      <c r="AC152" s="88">
        <v>1.4478431372549019</v>
      </c>
      <c r="AD152" s="88">
        <v>2</v>
      </c>
      <c r="AE152" s="88">
        <v>1.0462745098039217</v>
      </c>
      <c r="AF152" s="90" t="s">
        <v>81</v>
      </c>
      <c r="AG152" s="91"/>
      <c r="AH152" s="83"/>
      <c r="AI152" s="91"/>
      <c r="AJ152" s="91"/>
      <c r="AK152" s="91">
        <v>25500</v>
      </c>
      <c r="AL152" s="110"/>
      <c r="AM152" s="91"/>
      <c r="AN152" s="92"/>
      <c r="AO152" s="93">
        <f t="shared" si="70"/>
        <v>1</v>
      </c>
      <c r="AP152" s="94" t="s">
        <v>82</v>
      </c>
      <c r="AQ152" s="91"/>
      <c r="AR152" s="83"/>
      <c r="AS152" s="83"/>
      <c r="AT152" s="83"/>
      <c r="AU152" s="83"/>
      <c r="AV152" s="83"/>
      <c r="AW152" s="110"/>
      <c r="AX152" s="83"/>
      <c r="AY152" s="83"/>
      <c r="AZ152" s="83"/>
      <c r="BA152" s="83"/>
      <c r="BB152" s="83"/>
      <c r="BC152" s="83"/>
      <c r="BD152" s="83"/>
      <c r="BE152" s="83"/>
      <c r="BF152" s="91"/>
      <c r="BG152" s="83"/>
      <c r="BH152" s="95"/>
      <c r="BI152" s="96">
        <f t="shared" si="71"/>
        <v>0</v>
      </c>
      <c r="BJ152" s="97">
        <v>2.66</v>
      </c>
      <c r="BK152" s="98">
        <v>41</v>
      </c>
      <c r="BL152" s="88">
        <v>4.4999999999999998E-2</v>
      </c>
      <c r="BM152" s="88">
        <v>0.19</v>
      </c>
      <c r="BN152" s="88">
        <v>0.44600000000000001</v>
      </c>
      <c r="BO152" s="88">
        <v>0.90400000000000003</v>
      </c>
      <c r="BP152" s="88">
        <v>1.46</v>
      </c>
      <c r="BQ152" s="88"/>
      <c r="BR152" s="88">
        <v>2.7160000000000002</v>
      </c>
      <c r="BS152" s="88">
        <v>2.7170000000000001</v>
      </c>
      <c r="BT152" s="81">
        <v>42</v>
      </c>
      <c r="BU152" s="83">
        <v>3000</v>
      </c>
      <c r="BV152" s="99">
        <v>42173</v>
      </c>
      <c r="BW152" s="84">
        <v>0.69817232142857144</v>
      </c>
      <c r="BX152" s="83">
        <v>24666</v>
      </c>
      <c r="BY152" s="83">
        <v>8416</v>
      </c>
      <c r="BZ152" s="84">
        <v>0.34119841076785862</v>
      </c>
      <c r="CA152" s="83">
        <v>34</v>
      </c>
      <c r="CB152" s="83">
        <v>355</v>
      </c>
      <c r="CC152" s="84">
        <v>1.3784156328549421E-3</v>
      </c>
      <c r="CD152" s="84">
        <v>1.4392280872456012E-2</v>
      </c>
    </row>
    <row r="153" spans="1:82" x14ac:dyDescent="0.25">
      <c r="A153" s="79" t="s">
        <v>85</v>
      </c>
      <c r="B153" s="80" t="s">
        <v>86</v>
      </c>
      <c r="C153" s="81">
        <v>430</v>
      </c>
      <c r="D153" s="105">
        <v>420.28</v>
      </c>
      <c r="E153" s="105">
        <v>11040.592199999999</v>
      </c>
      <c r="F153" s="83">
        <v>24500</v>
      </c>
      <c r="G153" s="83">
        <v>23640</v>
      </c>
      <c r="H153" s="84">
        <f t="shared" si="72"/>
        <v>3.5102040816326528E-2</v>
      </c>
      <c r="I153" s="79">
        <v>140</v>
      </c>
      <c r="J153" s="84">
        <f t="shared" si="73"/>
        <v>5.7142857142857143E-3</v>
      </c>
      <c r="K153" s="83">
        <v>64780</v>
      </c>
      <c r="L153" s="83">
        <v>124740</v>
      </c>
      <c r="M153" s="85">
        <f t="shared" si="74"/>
        <v>2.7402707275803722</v>
      </c>
      <c r="N153" s="85">
        <f t="shared" si="75"/>
        <v>1.9255943192343317</v>
      </c>
      <c r="O153" s="85">
        <f t="shared" si="80"/>
        <v>1.9562118481607047</v>
      </c>
      <c r="P153" s="86">
        <f t="shared" si="81"/>
        <v>0.46703012690355328</v>
      </c>
      <c r="Q153" s="86">
        <f t="shared" si="82"/>
        <v>1.777834179357022E-2</v>
      </c>
      <c r="R153" s="83">
        <v>2040</v>
      </c>
      <c r="S153" s="86">
        <f t="shared" si="83"/>
        <v>5.4120549999999996</v>
      </c>
      <c r="T153" s="85">
        <f t="shared" si="76"/>
        <v>12.009803921568627</v>
      </c>
      <c r="U153" s="85">
        <f t="shared" si="77"/>
        <v>5.2766497461928932</v>
      </c>
      <c r="V153" s="87">
        <v>42.75</v>
      </c>
      <c r="W153" s="83"/>
      <c r="X153" s="85"/>
      <c r="Y153" s="83"/>
      <c r="Z153" s="88">
        <f t="shared" si="78"/>
        <v>6.409990006035958E-2</v>
      </c>
      <c r="AA153" s="107" t="str">
        <f t="shared" si="79"/>
        <v/>
      </c>
      <c r="AB153" s="88">
        <v>0.30612244897959184</v>
      </c>
      <c r="AC153" s="88">
        <v>1.5746938775510204</v>
      </c>
      <c r="AD153" s="88">
        <v>2.759183673469388</v>
      </c>
      <c r="AE153" s="88">
        <v>0.4514285714285714</v>
      </c>
      <c r="AF153" s="90" t="s">
        <v>81</v>
      </c>
      <c r="AG153" s="116"/>
      <c r="AH153" s="116"/>
      <c r="AI153" s="116"/>
      <c r="AJ153" s="116"/>
      <c r="AK153" s="116"/>
      <c r="AL153" s="79"/>
      <c r="AM153" s="116"/>
      <c r="AN153" s="117"/>
      <c r="AO153" s="93">
        <f t="shared" si="70"/>
        <v>0</v>
      </c>
      <c r="AP153" s="94" t="s">
        <v>82</v>
      </c>
      <c r="AQ153" s="116"/>
      <c r="AR153" s="79"/>
      <c r="AS153" s="79">
        <v>11300</v>
      </c>
      <c r="AT153" s="79">
        <v>1300</v>
      </c>
      <c r="AU153" s="79"/>
      <c r="AV153" s="79"/>
      <c r="AW153" s="79">
        <v>11900</v>
      </c>
      <c r="AX153" s="79"/>
      <c r="AY153" s="79"/>
      <c r="AZ153" s="79"/>
      <c r="BA153" s="79"/>
      <c r="BB153" s="79"/>
      <c r="BC153" s="79"/>
      <c r="BD153" s="79"/>
      <c r="BE153" s="79"/>
      <c r="BF153" s="79"/>
      <c r="BG153" s="79"/>
      <c r="BH153" s="111"/>
      <c r="BI153" s="96">
        <f t="shared" si="71"/>
        <v>1</v>
      </c>
      <c r="BJ153" s="97">
        <v>2.74</v>
      </c>
      <c r="BK153" s="98">
        <v>42</v>
      </c>
      <c r="BL153" s="88">
        <v>4.2000000000000003E-2</v>
      </c>
      <c r="BM153" s="88">
        <v>0.19</v>
      </c>
      <c r="BN153" s="88">
        <v>0.46600000000000003</v>
      </c>
      <c r="BO153" s="88">
        <v>0.93</v>
      </c>
      <c r="BP153" s="88">
        <v>1.57</v>
      </c>
      <c r="BQ153" s="88">
        <v>2.14</v>
      </c>
      <c r="BR153" s="88">
        <v>2.7269999999999999</v>
      </c>
      <c r="BS153" s="88">
        <v>2.74</v>
      </c>
      <c r="BT153" s="81">
        <v>43</v>
      </c>
      <c r="BU153" s="83">
        <v>7000</v>
      </c>
      <c r="BV153" s="99">
        <v>42017</v>
      </c>
      <c r="BW153" s="84">
        <v>0.68540398271071323</v>
      </c>
      <c r="BX153" s="79">
        <v>23182</v>
      </c>
      <c r="BY153" s="83">
        <v>11368</v>
      </c>
      <c r="BZ153" s="84">
        <v>0.49038046760417564</v>
      </c>
      <c r="CA153" s="83">
        <v>68</v>
      </c>
      <c r="CB153" s="83">
        <v>302</v>
      </c>
      <c r="CC153" s="84">
        <v>2.9333103269778278E-3</v>
      </c>
      <c r="CD153" s="84">
        <v>1.3027348805107411E-2</v>
      </c>
    </row>
    <row r="154" spans="1:82" x14ac:dyDescent="0.25">
      <c r="A154" s="79" t="s">
        <v>79</v>
      </c>
      <c r="B154" s="80" t="s">
        <v>80</v>
      </c>
      <c r="C154" s="81">
        <v>860</v>
      </c>
      <c r="D154" s="100">
        <v>706.48</v>
      </c>
      <c r="E154" s="100">
        <v>19491.446849999997</v>
      </c>
      <c r="F154" s="83">
        <v>39000</v>
      </c>
      <c r="G154" s="83">
        <v>37970</v>
      </c>
      <c r="H154" s="84">
        <f t="shared" si="72"/>
        <v>2.6410256410256409E-2</v>
      </c>
      <c r="I154" s="79">
        <v>363</v>
      </c>
      <c r="J154" s="84">
        <f t="shared" si="73"/>
        <v>9.3076923076923085E-3</v>
      </c>
      <c r="K154" s="83">
        <v>118350</v>
      </c>
      <c r="L154" s="83">
        <v>227300</v>
      </c>
      <c r="M154" s="85">
        <f t="shared" si="74"/>
        <v>3.1169344219120356</v>
      </c>
      <c r="N154" s="85">
        <f t="shared" si="75"/>
        <v>1.9205745669623997</v>
      </c>
      <c r="O154" s="85">
        <f t="shared" si="80"/>
        <v>1.9360240079529116</v>
      </c>
      <c r="P154" s="86">
        <f t="shared" si="81"/>
        <v>0.5133380787463786</v>
      </c>
      <c r="Q154" s="86">
        <f t="shared" si="82"/>
        <v>1.860626810639979E-2</v>
      </c>
      <c r="R154" s="83">
        <v>3600</v>
      </c>
      <c r="S154" s="86">
        <f t="shared" si="83"/>
        <v>5.4142907916666658</v>
      </c>
      <c r="T154" s="85">
        <f t="shared" si="76"/>
        <v>10.833333333333334</v>
      </c>
      <c r="U154" s="85">
        <f t="shared" si="77"/>
        <v>5.9863049776139059</v>
      </c>
      <c r="V154" s="87">
        <v>45.29</v>
      </c>
      <c r="W154" s="83"/>
      <c r="X154" s="85"/>
      <c r="Y154" s="83"/>
      <c r="Z154" s="88">
        <f t="shared" si="78"/>
        <v>6.8821691806403962E-2</v>
      </c>
      <c r="AA154" s="101" t="str">
        <f t="shared" si="79"/>
        <v/>
      </c>
      <c r="AB154" s="102">
        <v>0.31230769230769229</v>
      </c>
      <c r="AC154" s="102">
        <v>1.4492307692307693</v>
      </c>
      <c r="AD154" s="102">
        <v>2.0076923076923077</v>
      </c>
      <c r="AE154" s="102">
        <v>2.0589743589743588</v>
      </c>
      <c r="AF154" s="90" t="s">
        <v>81</v>
      </c>
      <c r="AG154" s="91"/>
      <c r="AH154" s="91">
        <v>14100</v>
      </c>
      <c r="AI154" s="91">
        <v>24900</v>
      </c>
      <c r="AJ154" s="91"/>
      <c r="AK154" s="91"/>
      <c r="AL154" s="91"/>
      <c r="AM154" s="91"/>
      <c r="AN154" s="92"/>
      <c r="AO154" s="93">
        <f t="shared" si="70"/>
        <v>1</v>
      </c>
      <c r="AP154" s="94" t="s">
        <v>82</v>
      </c>
      <c r="AQ154" s="91"/>
      <c r="AR154" s="83"/>
      <c r="AS154" s="83"/>
      <c r="AT154" s="83"/>
      <c r="AU154" s="83"/>
      <c r="AV154" s="83"/>
      <c r="AW154" s="83"/>
      <c r="AX154" s="83"/>
      <c r="AY154" s="83"/>
      <c r="AZ154" s="83"/>
      <c r="BA154" s="83"/>
      <c r="BB154" s="83"/>
      <c r="BC154" s="83"/>
      <c r="BD154" s="83"/>
      <c r="BE154" s="83"/>
      <c r="BF154" s="91"/>
      <c r="BG154" s="83"/>
      <c r="BH154" s="95"/>
      <c r="BI154" s="96">
        <f t="shared" si="71"/>
        <v>0</v>
      </c>
      <c r="BJ154" s="97">
        <v>3.1150000000000002</v>
      </c>
      <c r="BK154" s="98">
        <v>45</v>
      </c>
      <c r="BL154" s="113">
        <v>4.3499999999999997E-2</v>
      </c>
      <c r="BM154" s="113">
        <v>0.19</v>
      </c>
      <c r="BN154" s="113">
        <v>0.65900000000000003</v>
      </c>
      <c r="BO154" s="113">
        <v>0.68700000000000006</v>
      </c>
      <c r="BP154" s="113">
        <v>1.5269999999999999</v>
      </c>
      <c r="BQ154" s="113">
        <v>2.2570000000000001</v>
      </c>
      <c r="BR154" s="113">
        <v>2.6989999999999998</v>
      </c>
      <c r="BS154" s="113">
        <v>3.1030000000000002</v>
      </c>
      <c r="BT154" s="81">
        <v>47</v>
      </c>
      <c r="BU154" s="83">
        <v>11000</v>
      </c>
      <c r="BV154" s="104">
        <v>42339</v>
      </c>
      <c r="BW154" s="84">
        <v>0.69750942120828041</v>
      </c>
      <c r="BX154" s="83">
        <v>37466</v>
      </c>
      <c r="BY154" s="83">
        <v>14456</v>
      </c>
      <c r="BZ154" s="84">
        <v>0.38584316446911865</v>
      </c>
      <c r="CA154" s="83">
        <v>123</v>
      </c>
      <c r="CB154" s="83">
        <v>180</v>
      </c>
      <c r="CC154" s="84">
        <v>3.2829765654193133E-3</v>
      </c>
      <c r="CD154" s="84">
        <v>4.8043559493941177E-3</v>
      </c>
    </row>
    <row r="155" spans="1:82" x14ac:dyDescent="0.25">
      <c r="A155" s="79" t="s">
        <v>114</v>
      </c>
      <c r="B155" s="80" t="s">
        <v>115</v>
      </c>
      <c r="C155" s="81">
        <v>657</v>
      </c>
      <c r="D155" s="108">
        <f>886.32+16.22</f>
        <v>902.54000000000008</v>
      </c>
      <c r="E155" s="108">
        <v>13898.792195</v>
      </c>
      <c r="F155" s="83">
        <v>29200</v>
      </c>
      <c r="G155" s="83">
        <v>28259</v>
      </c>
      <c r="H155" s="84">
        <f t="shared" si="72"/>
        <v>3.2226027397260271E-2</v>
      </c>
      <c r="I155" s="79">
        <v>682</v>
      </c>
      <c r="J155" s="84">
        <f t="shared" si="73"/>
        <v>2.3356164383561643E-2</v>
      </c>
      <c r="K155" s="83">
        <v>72840</v>
      </c>
      <c r="L155" s="83">
        <v>125120</v>
      </c>
      <c r="M155" s="85">
        <f t="shared" si="74"/>
        <v>2.5775859018365832</v>
      </c>
      <c r="N155" s="85">
        <f t="shared" si="75"/>
        <v>1.7177375068643603</v>
      </c>
      <c r="O155" s="85">
        <f t="shared" si="80"/>
        <v>1.7297963155327474</v>
      </c>
      <c r="P155" s="86">
        <f t="shared" si="81"/>
        <v>0.49183595297073501</v>
      </c>
      <c r="Q155" s="86">
        <f t="shared" si="82"/>
        <v>3.1938143600268941E-2</v>
      </c>
      <c r="R155" s="83">
        <v>2566</v>
      </c>
      <c r="S155" s="86">
        <f t="shared" si="83"/>
        <v>5.4165207307092755</v>
      </c>
      <c r="T155" s="85">
        <f t="shared" si="76"/>
        <v>11.379579111457522</v>
      </c>
      <c r="U155" s="85">
        <f t="shared" si="77"/>
        <v>4.4276159807494961</v>
      </c>
      <c r="V155" s="87">
        <v>40.409999999999997</v>
      </c>
      <c r="W155" s="83"/>
      <c r="X155" s="85"/>
      <c r="Y155" s="83"/>
      <c r="Z155" s="88">
        <f t="shared" si="78"/>
        <v>6.3785842658663286E-2</v>
      </c>
      <c r="AA155" s="109" t="str">
        <f t="shared" si="79"/>
        <v/>
      </c>
      <c r="AB155" s="88">
        <v>0.3</v>
      </c>
      <c r="AC155" s="88">
        <v>1.4465753424657535</v>
      </c>
      <c r="AD155" s="88">
        <v>2.18013698630137</v>
      </c>
      <c r="AE155" s="88">
        <v>0.35821917808219178</v>
      </c>
      <c r="AF155" s="90" t="s">
        <v>81</v>
      </c>
      <c r="AG155" s="91"/>
      <c r="AH155" s="91">
        <v>2500</v>
      </c>
      <c r="AI155" s="91"/>
      <c r="AJ155" s="91"/>
      <c r="AK155" s="91"/>
      <c r="AL155" s="110"/>
      <c r="AM155" s="91"/>
      <c r="AN155" s="92"/>
      <c r="AO155" s="93">
        <f t="shared" si="70"/>
        <v>8.5616438356164379E-2</v>
      </c>
      <c r="AP155" s="94" t="s">
        <v>82</v>
      </c>
      <c r="AQ155" s="91"/>
      <c r="AR155" s="83"/>
      <c r="AS155" s="83"/>
      <c r="AT155" s="83"/>
      <c r="AU155" s="83"/>
      <c r="AV155" s="83"/>
      <c r="AW155" s="110"/>
      <c r="AX155" s="83"/>
      <c r="AY155" s="83"/>
      <c r="AZ155" s="83">
        <v>22400</v>
      </c>
      <c r="BA155" s="83"/>
      <c r="BB155" s="83"/>
      <c r="BC155" s="83"/>
      <c r="BD155" s="83"/>
      <c r="BE155" s="83"/>
      <c r="BF155" s="91">
        <v>4300</v>
      </c>
      <c r="BG155" s="83"/>
      <c r="BH155" s="95"/>
      <c r="BI155" s="96">
        <f t="shared" si="71"/>
        <v>0.91438356164383561</v>
      </c>
      <c r="BJ155" s="97">
        <v>2.6040000000000001</v>
      </c>
      <c r="BK155" s="98">
        <v>40</v>
      </c>
      <c r="BL155" s="88">
        <v>3.95E-2</v>
      </c>
      <c r="BM155" s="88">
        <v>0.19650000000000001</v>
      </c>
      <c r="BN155" s="88"/>
      <c r="BO155" s="88">
        <v>0.89500000000000002</v>
      </c>
      <c r="BP155" s="88">
        <v>1.474</v>
      </c>
      <c r="BQ155" s="88">
        <v>2.0790000000000002</v>
      </c>
      <c r="BR155" s="88">
        <v>2.5499999999999998</v>
      </c>
      <c r="BS155" s="88">
        <v>2.5379999999999998</v>
      </c>
      <c r="BT155" s="81">
        <v>41</v>
      </c>
      <c r="BU155" s="83"/>
      <c r="BV155" s="99">
        <v>42208</v>
      </c>
      <c r="BW155" s="84">
        <v>0.72161230093355311</v>
      </c>
      <c r="BX155" s="83">
        <v>28064</v>
      </c>
      <c r="BY155" s="83">
        <v>11736</v>
      </c>
      <c r="BZ155" s="84">
        <v>0.41818700114025087</v>
      </c>
      <c r="CA155" s="83">
        <v>50</v>
      </c>
      <c r="CB155" s="83">
        <v>147</v>
      </c>
      <c r="CC155" s="84">
        <v>1.781641961231471E-3</v>
      </c>
      <c r="CD155" s="84">
        <v>5.2380273660205248E-3</v>
      </c>
    </row>
    <row r="156" spans="1:82" x14ac:dyDescent="0.25">
      <c r="A156" s="79" t="s">
        <v>125</v>
      </c>
      <c r="B156" s="80" t="s">
        <v>91</v>
      </c>
      <c r="C156" s="81">
        <v>830</v>
      </c>
      <c r="D156" s="108">
        <v>1257.1099999999999</v>
      </c>
      <c r="E156" s="108">
        <f>15910.93+U156+V156</f>
        <v>15958.122243767313</v>
      </c>
      <c r="F156" s="83">
        <v>37700</v>
      </c>
      <c r="G156" s="83">
        <v>36100</v>
      </c>
      <c r="H156" s="84">
        <f t="shared" si="72"/>
        <v>4.2440318302387266E-2</v>
      </c>
      <c r="I156" s="79">
        <v>705</v>
      </c>
      <c r="J156" s="84">
        <f t="shared" si="73"/>
        <v>1.8700265251989388E-2</v>
      </c>
      <c r="K156" s="83">
        <v>101740</v>
      </c>
      <c r="L156" s="83">
        <v>187440</v>
      </c>
      <c r="M156" s="85">
        <f t="shared" si="74"/>
        <v>2.8182825484764544</v>
      </c>
      <c r="N156" s="85">
        <f t="shared" si="75"/>
        <v>1.8423432278356595</v>
      </c>
      <c r="O156" s="85">
        <f t="shared" si="80"/>
        <v>1.8723211115609286</v>
      </c>
      <c r="P156" s="86">
        <f>+E156/G156</f>
        <v>0.44205324774978705</v>
      </c>
      <c r="Q156" s="86">
        <f>+D156/G156</f>
        <v>3.4822991689750692E-2</v>
      </c>
      <c r="R156" s="83">
        <v>2940</v>
      </c>
      <c r="S156" s="106">
        <f>+E156/R156</f>
        <v>5.4279327359752765</v>
      </c>
      <c r="T156" s="85">
        <f t="shared" si="76"/>
        <v>12.82312925170068</v>
      </c>
      <c r="U156" s="85">
        <f t="shared" si="77"/>
        <v>5.1922437673130197</v>
      </c>
      <c r="V156" s="87">
        <v>42</v>
      </c>
      <c r="W156" s="83"/>
      <c r="X156" s="85"/>
      <c r="Y156" s="83"/>
      <c r="Z156" s="88">
        <f t="shared" si="78"/>
        <v>6.7101965439915576E-2</v>
      </c>
      <c r="AA156" s="109" t="str">
        <f t="shared" si="79"/>
        <v/>
      </c>
      <c r="AB156" s="88">
        <v>0.30716180371352786</v>
      </c>
      <c r="AC156" s="88">
        <v>1.3846153846153846</v>
      </c>
      <c r="AD156" s="88">
        <v>2.4572944297082229</v>
      </c>
      <c r="AE156" s="88">
        <v>0.82281167108753317</v>
      </c>
      <c r="AF156" s="90" t="s">
        <v>81</v>
      </c>
      <c r="AG156" s="91"/>
      <c r="AH156" s="91"/>
      <c r="AI156" s="91"/>
      <c r="AJ156" s="91"/>
      <c r="AK156" s="91"/>
      <c r="AL156" s="110"/>
      <c r="AM156" s="91"/>
      <c r="AN156" s="92"/>
      <c r="AO156" s="93">
        <f t="shared" si="70"/>
        <v>0</v>
      </c>
      <c r="AP156" s="94" t="s">
        <v>82</v>
      </c>
      <c r="AQ156" s="91"/>
      <c r="AR156" s="83"/>
      <c r="AS156" s="83"/>
      <c r="AT156" s="83"/>
      <c r="AU156" s="83"/>
      <c r="AV156" s="83">
        <v>32100</v>
      </c>
      <c r="AW156" s="110"/>
      <c r="AX156" s="83"/>
      <c r="AY156" s="83"/>
      <c r="AZ156" s="83"/>
      <c r="BA156" s="83">
        <v>5600</v>
      </c>
      <c r="BB156" s="83"/>
      <c r="BC156" s="83"/>
      <c r="BD156" s="83"/>
      <c r="BE156" s="83"/>
      <c r="BF156" s="83"/>
      <c r="BG156" s="83"/>
      <c r="BH156" s="95"/>
      <c r="BI156" s="96">
        <f t="shared" si="71"/>
        <v>1</v>
      </c>
      <c r="BJ156" s="97">
        <v>2.8180000000000001</v>
      </c>
      <c r="BK156" s="98">
        <v>42</v>
      </c>
      <c r="BL156" s="88">
        <v>4.4999999999999998E-2</v>
      </c>
      <c r="BM156" s="88">
        <v>0.17249999999999999</v>
      </c>
      <c r="BN156" s="88">
        <v>0.41499999999999998</v>
      </c>
      <c r="BO156" s="88">
        <v>0.88249999999999995</v>
      </c>
      <c r="BP156" s="88">
        <v>1.403</v>
      </c>
      <c r="BQ156" s="88">
        <v>2.105</v>
      </c>
      <c r="BR156" s="88">
        <v>2.8180000000000001</v>
      </c>
      <c r="BS156" s="88">
        <v>2.8180000000000001</v>
      </c>
      <c r="BT156" s="81">
        <v>42</v>
      </c>
      <c r="BU156" s="83">
        <v>4000</v>
      </c>
      <c r="BV156" s="99">
        <v>42038</v>
      </c>
      <c r="BW156" s="84">
        <v>0.69127904462355017</v>
      </c>
      <c r="BX156" s="83">
        <v>35488</v>
      </c>
      <c r="BY156" s="83">
        <v>15464</v>
      </c>
      <c r="BZ156" s="84">
        <v>0.43575293056807934</v>
      </c>
      <c r="CA156" s="83">
        <v>276</v>
      </c>
      <c r="CB156" s="83">
        <v>302</v>
      </c>
      <c r="CC156" s="84">
        <v>7.777276825969342E-3</v>
      </c>
      <c r="CD156" s="84">
        <v>8.5099188458070338E-3</v>
      </c>
    </row>
    <row r="157" spans="1:82" x14ac:dyDescent="0.25">
      <c r="A157" s="79" t="s">
        <v>114</v>
      </c>
      <c r="B157" s="80" t="s">
        <v>115</v>
      </c>
      <c r="C157" s="81">
        <v>657</v>
      </c>
      <c r="D157" s="108">
        <v>1139.75</v>
      </c>
      <c r="E157" s="108">
        <v>8020.2497000000003</v>
      </c>
      <c r="F157" s="83">
        <v>20000</v>
      </c>
      <c r="G157" s="83">
        <v>19140</v>
      </c>
      <c r="H157" s="84">
        <f t="shared" si="72"/>
        <v>4.2999999999999997E-2</v>
      </c>
      <c r="I157" s="79">
        <v>785</v>
      </c>
      <c r="J157" s="84">
        <f t="shared" si="73"/>
        <v>3.925E-2</v>
      </c>
      <c r="K157" s="83">
        <v>48820</v>
      </c>
      <c r="L157" s="83">
        <v>87440</v>
      </c>
      <c r="M157" s="85">
        <f t="shared" si="74"/>
        <v>2.5506792058516194</v>
      </c>
      <c r="N157" s="85">
        <f t="shared" si="75"/>
        <v>1.7910692339205243</v>
      </c>
      <c r="O157" s="85">
        <f t="shared" si="80"/>
        <v>1.8105558855624189</v>
      </c>
      <c r="P157" s="86">
        <f>IF(G157=0,0,+E157/G157)</f>
        <v>0.41903080982236157</v>
      </c>
      <c r="Q157" s="86">
        <f>IF(G157=0,0,+D157/G157)</f>
        <v>5.9548066875653081E-2</v>
      </c>
      <c r="R157" s="83">
        <v>1476</v>
      </c>
      <c r="S157" s="86">
        <f>IF(R157=0,0,+E157/R157)</f>
        <v>5.4337735094850954</v>
      </c>
      <c r="T157" s="85">
        <f t="shared" si="76"/>
        <v>13.550135501355014</v>
      </c>
      <c r="U157" s="85">
        <f t="shared" si="77"/>
        <v>4.5684430512016716</v>
      </c>
      <c r="V157" s="87">
        <v>44</v>
      </c>
      <c r="W157" s="83"/>
      <c r="X157" s="85"/>
      <c r="Y157" s="83"/>
      <c r="Z157" s="88">
        <f t="shared" si="78"/>
        <v>5.7969981951173172E-2</v>
      </c>
      <c r="AA157" s="109" t="str">
        <f t="shared" si="79"/>
        <v/>
      </c>
      <c r="AB157" s="88">
        <v>0.30599999999999999</v>
      </c>
      <c r="AC157" s="88">
        <v>1.403</v>
      </c>
      <c r="AD157" s="88">
        <v>2.0129999999999999</v>
      </c>
      <c r="AE157" s="88">
        <v>0.65</v>
      </c>
      <c r="AF157" s="90" t="s">
        <v>81</v>
      </c>
      <c r="AG157" s="91"/>
      <c r="AH157" s="83"/>
      <c r="AI157" s="91"/>
      <c r="AJ157" s="91"/>
      <c r="AK157" s="91"/>
      <c r="AL157" s="110"/>
      <c r="AM157" s="91">
        <v>1400</v>
      </c>
      <c r="AN157" s="92"/>
      <c r="AO157" s="93">
        <f t="shared" si="70"/>
        <v>7.0000000000000007E-2</v>
      </c>
      <c r="AP157" s="94" t="s">
        <v>82</v>
      </c>
      <c r="AQ157" s="91"/>
      <c r="AR157" s="83"/>
      <c r="AS157" s="83"/>
      <c r="AT157" s="83"/>
      <c r="AU157" s="83"/>
      <c r="AV157" s="83"/>
      <c r="AW157" s="110"/>
      <c r="AX157" s="83"/>
      <c r="AY157" s="83"/>
      <c r="AZ157" s="83"/>
      <c r="BA157" s="83"/>
      <c r="BB157" s="83"/>
      <c r="BC157" s="83"/>
      <c r="BD157" s="83"/>
      <c r="BE157" s="83"/>
      <c r="BF157" s="91">
        <v>18600</v>
      </c>
      <c r="BG157" s="83"/>
      <c r="BH157" s="95"/>
      <c r="BI157" s="96">
        <f t="shared" si="71"/>
        <v>0.93</v>
      </c>
      <c r="BJ157" s="97">
        <v>2.5510000000000002</v>
      </c>
      <c r="BK157" s="98">
        <v>44</v>
      </c>
      <c r="BL157" s="88">
        <v>3.5999999999999997E-2</v>
      </c>
      <c r="BM157" s="88">
        <v>0.153</v>
      </c>
      <c r="BN157" s="88">
        <v>0.40500000000000003</v>
      </c>
      <c r="BO157" s="88">
        <v>0.80500000000000005</v>
      </c>
      <c r="BP157" s="88">
        <v>1.363</v>
      </c>
      <c r="BQ157" s="88">
        <v>1.98</v>
      </c>
      <c r="BR157" s="88"/>
      <c r="BS157" s="88">
        <v>2.5510000000000002</v>
      </c>
      <c r="BT157" s="81">
        <v>44</v>
      </c>
      <c r="BU157" s="83"/>
      <c r="BV157" s="99">
        <v>42180</v>
      </c>
      <c r="BW157" s="84">
        <v>0.71511081523965581</v>
      </c>
      <c r="BX157" s="83">
        <v>18972</v>
      </c>
      <c r="BY157" s="83">
        <v>8560</v>
      </c>
      <c r="BZ157" s="84">
        <v>0.451191229179844</v>
      </c>
      <c r="CA157" s="83">
        <v>18</v>
      </c>
      <c r="CB157" s="83">
        <v>188</v>
      </c>
      <c r="CC157" s="84">
        <v>9.4876660341555979E-4</v>
      </c>
      <c r="CD157" s="84">
        <v>9.9093400801180693E-3</v>
      </c>
    </row>
    <row r="158" spans="1:82" x14ac:dyDescent="0.25">
      <c r="A158" s="79" t="s">
        <v>112</v>
      </c>
      <c r="B158" s="80" t="s">
        <v>80</v>
      </c>
      <c r="C158" s="81">
        <v>820</v>
      </c>
      <c r="D158" s="108">
        <v>2391.38</v>
      </c>
      <c r="E158" s="108">
        <v>11968.54535</v>
      </c>
      <c r="F158" s="83">
        <v>24800</v>
      </c>
      <c r="G158" s="83">
        <v>23670</v>
      </c>
      <c r="H158" s="84">
        <f t="shared" si="72"/>
        <v>4.5564516129032256E-2</v>
      </c>
      <c r="I158" s="79">
        <v>275</v>
      </c>
      <c r="J158" s="84">
        <f t="shared" si="73"/>
        <v>1.1088709677419355E-2</v>
      </c>
      <c r="K158" s="83">
        <v>69990</v>
      </c>
      <c r="L158" s="83">
        <v>125740</v>
      </c>
      <c r="M158" s="85">
        <f t="shared" si="74"/>
        <v>2.9569074778200255</v>
      </c>
      <c r="N158" s="85">
        <f t="shared" si="75"/>
        <v>1.7965423631947421</v>
      </c>
      <c r="O158" s="85">
        <f t="shared" si="80"/>
        <v>1.8199160205777429</v>
      </c>
      <c r="P158" s="86">
        <f>IF(G158=0,0,+E158/G158)</f>
        <v>0.50564196662441907</v>
      </c>
      <c r="Q158" s="86">
        <f>IF(G158=0,0,+D158/G158)</f>
        <v>0.10102999577524292</v>
      </c>
      <c r="R158" s="83">
        <v>2200</v>
      </c>
      <c r="S158" s="86">
        <f>IF(R158=0,0,+E158/R158)</f>
        <v>5.4402478863636361</v>
      </c>
      <c r="T158" s="85">
        <f t="shared" si="76"/>
        <v>11.272727272727273</v>
      </c>
      <c r="U158" s="85">
        <f t="shared" si="77"/>
        <v>5.3122095479509932</v>
      </c>
      <c r="V158" s="87">
        <v>41</v>
      </c>
      <c r="W158" s="83"/>
      <c r="X158" s="85"/>
      <c r="Y158" s="83"/>
      <c r="Z158" s="88">
        <f t="shared" si="78"/>
        <v>7.2119694580976237E-2</v>
      </c>
      <c r="AA158" s="109" t="str">
        <f t="shared" si="79"/>
        <v/>
      </c>
      <c r="AB158" s="88">
        <v>0.29596774193548386</v>
      </c>
      <c r="AC158" s="88">
        <v>1.4185483870967741</v>
      </c>
      <c r="AD158" s="88">
        <v>2.592741935483871</v>
      </c>
      <c r="AE158" s="88">
        <v>0.76290322580645165</v>
      </c>
      <c r="AF158" s="90" t="s">
        <v>81</v>
      </c>
      <c r="AG158" s="91"/>
      <c r="AH158" s="83"/>
      <c r="AI158" s="91"/>
      <c r="AJ158" s="91"/>
      <c r="AK158" s="91"/>
      <c r="AL158" s="110"/>
      <c r="AM158" s="91"/>
      <c r="AN158" s="92"/>
      <c r="AO158" s="93">
        <f t="shared" si="70"/>
        <v>0</v>
      </c>
      <c r="AP158" s="94" t="s">
        <v>82</v>
      </c>
      <c r="AQ158" s="91"/>
      <c r="AR158" s="83"/>
      <c r="AS158" s="83"/>
      <c r="AT158" s="83"/>
      <c r="AU158" s="83"/>
      <c r="AV158" s="83">
        <v>24800</v>
      </c>
      <c r="AW158" s="110"/>
      <c r="AX158" s="83"/>
      <c r="AY158" s="83"/>
      <c r="AZ158" s="83"/>
      <c r="BA158" s="83"/>
      <c r="BB158" s="83"/>
      <c r="BC158" s="83"/>
      <c r="BD158" s="83"/>
      <c r="BE158" s="83"/>
      <c r="BF158" s="91"/>
      <c r="BG158" s="83"/>
      <c r="BH158" s="95"/>
      <c r="BI158" s="96">
        <f t="shared" si="71"/>
        <v>1</v>
      </c>
      <c r="BJ158" s="97">
        <v>2.843</v>
      </c>
      <c r="BK158" s="98">
        <v>42</v>
      </c>
      <c r="BL158" s="88"/>
      <c r="BM158" s="88">
        <v>0.215</v>
      </c>
      <c r="BN158" s="88">
        <v>0.495</v>
      </c>
      <c r="BO158" s="88">
        <v>1.0009999999999999</v>
      </c>
      <c r="BP158" s="88">
        <v>1.61</v>
      </c>
      <c r="BQ158" s="88">
        <v>2.2000000000000002</v>
      </c>
      <c r="BR158" s="88">
        <v>2.843</v>
      </c>
      <c r="BS158" s="88">
        <v>2.9780000000000002</v>
      </c>
      <c r="BT158" s="81">
        <v>45</v>
      </c>
      <c r="BU158" s="83">
        <v>1000</v>
      </c>
      <c r="BV158" s="99">
        <v>42170</v>
      </c>
      <c r="BW158" s="84">
        <v>0.69251178739819974</v>
      </c>
      <c r="BX158" s="83">
        <v>23432</v>
      </c>
      <c r="BY158" s="83">
        <v>11512</v>
      </c>
      <c r="BZ158" s="84">
        <v>0.49129395698190509</v>
      </c>
      <c r="CA158" s="83">
        <v>98</v>
      </c>
      <c r="CB158" s="83">
        <v>206</v>
      </c>
      <c r="CC158" s="84">
        <v>4.1823147832024581E-3</v>
      </c>
      <c r="CD158" s="84">
        <v>8.791396381017412E-3</v>
      </c>
    </row>
    <row r="159" spans="1:82" x14ac:dyDescent="0.25">
      <c r="A159" s="79" t="s">
        <v>88</v>
      </c>
      <c r="B159" s="80" t="s">
        <v>80</v>
      </c>
      <c r="C159" s="81">
        <v>874</v>
      </c>
      <c r="D159" s="105">
        <v>532.24</v>
      </c>
      <c r="E159" s="105">
        <v>19064.307699999998</v>
      </c>
      <c r="F159" s="83">
        <v>37300</v>
      </c>
      <c r="G159" s="83">
        <v>36740</v>
      </c>
      <c r="H159" s="84">
        <f t="shared" si="72"/>
        <v>1.5013404825737266E-2</v>
      </c>
      <c r="I159" s="79">
        <v>279</v>
      </c>
      <c r="J159" s="84">
        <f t="shared" si="73"/>
        <v>7.4798927613941016E-3</v>
      </c>
      <c r="K159" s="83">
        <v>110480</v>
      </c>
      <c r="L159" s="83">
        <v>207920</v>
      </c>
      <c r="M159" s="85">
        <f t="shared" si="74"/>
        <v>3.0070767555797495</v>
      </c>
      <c r="N159" s="85">
        <f t="shared" si="75"/>
        <v>1.8819695872556119</v>
      </c>
      <c r="O159" s="85">
        <f>+L159/((G159-CA176-CB176)*M159)</f>
        <v>1.9045714696940057</v>
      </c>
      <c r="P159" s="86">
        <f>+E159/G159</f>
        <v>0.51889786880783884</v>
      </c>
      <c r="Q159" s="86">
        <f>+D159/G159</f>
        <v>1.4486663037561241E-2</v>
      </c>
      <c r="R159" s="83">
        <v>3500</v>
      </c>
      <c r="S159" s="106">
        <f>+E159/R159</f>
        <v>5.4469450571428562</v>
      </c>
      <c r="T159" s="85">
        <f t="shared" si="76"/>
        <v>10.657142857142857</v>
      </c>
      <c r="U159" s="85">
        <f t="shared" si="77"/>
        <v>5.6592270005443659</v>
      </c>
      <c r="V159" s="87">
        <v>45.13</v>
      </c>
      <c r="W159" s="83"/>
      <c r="X159" s="85"/>
      <c r="Y159" s="83"/>
      <c r="Z159" s="88">
        <f t="shared" si="78"/>
        <v>6.6631437083530892E-2</v>
      </c>
      <c r="AA159" s="107" t="str">
        <f t="shared" si="79"/>
        <v/>
      </c>
      <c r="AB159" s="102">
        <v>0.2949</v>
      </c>
      <c r="AC159" s="102">
        <v>1.5035000000000001</v>
      </c>
      <c r="AD159" s="102">
        <v>2.4257</v>
      </c>
      <c r="AE159" s="102">
        <v>1.3501000000000001</v>
      </c>
      <c r="AF159" s="90" t="s">
        <v>81</v>
      </c>
      <c r="AG159" s="91"/>
      <c r="AH159" s="91">
        <v>17700</v>
      </c>
      <c r="AI159" s="91"/>
      <c r="AJ159" s="91"/>
      <c r="AK159" s="91"/>
      <c r="AL159" s="91"/>
      <c r="AM159" s="91"/>
      <c r="AN159" s="92"/>
      <c r="AO159" s="93">
        <f t="shared" si="70"/>
        <v>0.47453083109919569</v>
      </c>
      <c r="AP159" s="94" t="s">
        <v>82</v>
      </c>
      <c r="AQ159" s="91"/>
      <c r="AR159" s="83"/>
      <c r="AS159" s="83"/>
      <c r="AT159" s="83"/>
      <c r="AU159" s="83"/>
      <c r="AV159" s="83"/>
      <c r="AW159" s="83"/>
      <c r="AX159" s="83"/>
      <c r="AY159" s="83">
        <v>17900</v>
      </c>
      <c r="AZ159" s="83"/>
      <c r="BA159" s="83"/>
      <c r="BB159" s="83"/>
      <c r="BC159" s="83"/>
      <c r="BD159" s="83"/>
      <c r="BE159" s="83"/>
      <c r="BF159" s="91">
        <v>1700</v>
      </c>
      <c r="BG159" s="83"/>
      <c r="BH159" s="95"/>
      <c r="BI159" s="96">
        <f t="shared" si="71"/>
        <v>0.52546916890080431</v>
      </c>
      <c r="BJ159" s="97">
        <v>3.01</v>
      </c>
      <c r="BK159" s="98">
        <v>45</v>
      </c>
      <c r="BL159" s="88">
        <v>3.6999999999999998E-2</v>
      </c>
      <c r="BM159" s="88">
        <v>0.16</v>
      </c>
      <c r="BN159" s="88">
        <v>0.49349999999999999</v>
      </c>
      <c r="BO159" s="88">
        <v>0.97499999999999998</v>
      </c>
      <c r="BP159" s="88">
        <v>1.52</v>
      </c>
      <c r="BQ159" s="88">
        <v>2.13</v>
      </c>
      <c r="BR159" s="88">
        <v>2.7149999999999999</v>
      </c>
      <c r="BS159" s="88">
        <v>2.9860000000000002</v>
      </c>
      <c r="BT159" s="81">
        <v>46</v>
      </c>
      <c r="BU159" s="83"/>
      <c r="BV159" s="99">
        <v>42276</v>
      </c>
      <c r="BW159" s="84">
        <v>0.70532422157856622</v>
      </c>
      <c r="BX159" s="83">
        <v>36428</v>
      </c>
      <c r="BY159" s="83">
        <v>11208</v>
      </c>
      <c r="BZ159" s="84">
        <v>0.30767541451630614</v>
      </c>
      <c r="CA159" s="83">
        <v>58</v>
      </c>
      <c r="CB159" s="83">
        <v>285</v>
      </c>
      <c r="CC159" s="84">
        <v>1.5921818381464806E-3</v>
      </c>
      <c r="CD159" s="84">
        <v>7.8236521357197761E-3</v>
      </c>
    </row>
    <row r="160" spans="1:82" x14ac:dyDescent="0.25">
      <c r="A160" s="79" t="s">
        <v>124</v>
      </c>
      <c r="B160" s="80" t="s">
        <v>80</v>
      </c>
      <c r="C160" s="81">
        <v>850</v>
      </c>
      <c r="D160" s="105">
        <v>429.78</v>
      </c>
      <c r="E160" s="105">
        <v>11472.219650000001</v>
      </c>
      <c r="F160" s="83">
        <v>24500</v>
      </c>
      <c r="G160" s="83">
        <v>23330</v>
      </c>
      <c r="H160" s="84">
        <f t="shared" si="72"/>
        <v>4.7755102040816323E-2</v>
      </c>
      <c r="I160" s="79">
        <v>607</v>
      </c>
      <c r="J160" s="84">
        <f t="shared" si="73"/>
        <v>2.4775510204081634E-2</v>
      </c>
      <c r="K160" s="83">
        <v>64050</v>
      </c>
      <c r="L160" s="83">
        <v>114840</v>
      </c>
      <c r="M160" s="85">
        <f t="shared" si="74"/>
        <v>2.745392198885555</v>
      </c>
      <c r="N160" s="85">
        <f t="shared" si="75"/>
        <v>1.7929742388758783</v>
      </c>
      <c r="O160" s="85">
        <f>+L160/((G160-CA160-CB160)*M160)</f>
        <v>1.8153056890584665</v>
      </c>
      <c r="P160" s="86">
        <f>IF(G160=0,0,+E160/G160)</f>
        <v>0.49173680454350627</v>
      </c>
      <c r="Q160" s="86">
        <f>IF(G160=0,0,+D160/G160)</f>
        <v>1.8421774539219886E-2</v>
      </c>
      <c r="R160" s="83">
        <v>2100</v>
      </c>
      <c r="S160" s="86">
        <f>IF(R160=0,0,+E160/R160)</f>
        <v>5.4629617380952382</v>
      </c>
      <c r="T160" s="85">
        <f t="shared" si="76"/>
        <v>11.666666666666666</v>
      </c>
      <c r="U160" s="85">
        <f t="shared" si="77"/>
        <v>4.9224174882126022</v>
      </c>
      <c r="V160" s="87">
        <v>42</v>
      </c>
      <c r="W160" s="83"/>
      <c r="X160" s="85"/>
      <c r="Y160" s="83"/>
      <c r="Z160" s="88">
        <f t="shared" si="78"/>
        <v>6.5366480925846543E-2</v>
      </c>
      <c r="AA160" s="107" t="str">
        <f t="shared" si="79"/>
        <v/>
      </c>
      <c r="AB160" s="88">
        <v>0.3069387755102041</v>
      </c>
      <c r="AC160" s="88">
        <v>1.3861224489795918</v>
      </c>
      <c r="AD160" s="88">
        <v>2.5853061224489795</v>
      </c>
      <c r="AE160" s="88">
        <v>0.40897959183673471</v>
      </c>
      <c r="AF160" s="90" t="s">
        <v>81</v>
      </c>
      <c r="AG160" s="116"/>
      <c r="AH160" s="116"/>
      <c r="AI160" s="116"/>
      <c r="AJ160" s="116"/>
      <c r="AK160" s="116"/>
      <c r="AL160" s="79"/>
      <c r="AM160" s="116"/>
      <c r="AN160" s="117"/>
      <c r="AO160" s="93">
        <f t="shared" si="70"/>
        <v>0</v>
      </c>
      <c r="AP160" s="94" t="s">
        <v>82</v>
      </c>
      <c r="AQ160" s="116"/>
      <c r="AR160" s="79"/>
      <c r="AS160" s="79"/>
      <c r="AT160" s="79"/>
      <c r="AU160" s="79"/>
      <c r="AV160" s="79">
        <v>24500</v>
      </c>
      <c r="AW160" s="79"/>
      <c r="AX160" s="79"/>
      <c r="AY160" s="79"/>
      <c r="AZ160" s="79"/>
      <c r="BA160" s="79"/>
      <c r="BB160" s="79"/>
      <c r="BC160" s="79"/>
      <c r="BD160" s="79"/>
      <c r="BE160" s="79"/>
      <c r="BF160" s="79"/>
      <c r="BG160" s="79"/>
      <c r="BH160" s="111"/>
      <c r="BI160" s="96">
        <f t="shared" si="71"/>
        <v>1</v>
      </c>
      <c r="BJ160" s="97">
        <v>2.7450000000000001</v>
      </c>
      <c r="BK160" s="98">
        <v>42</v>
      </c>
      <c r="BL160" s="88">
        <v>4.1000000000000002E-2</v>
      </c>
      <c r="BM160" s="88">
        <v>0.151</v>
      </c>
      <c r="BN160" s="88">
        <v>0.41</v>
      </c>
      <c r="BO160" s="88">
        <v>0.83</v>
      </c>
      <c r="BP160" s="88">
        <v>1.43</v>
      </c>
      <c r="BQ160" s="88">
        <v>2.1349999999999998</v>
      </c>
      <c r="BR160" s="88">
        <v>2.56</v>
      </c>
      <c r="BS160" s="88">
        <v>2.7450000000000001</v>
      </c>
      <c r="BT160" s="81">
        <v>42</v>
      </c>
      <c r="BU160" s="83">
        <v>14000</v>
      </c>
      <c r="BV160" s="99">
        <v>42031</v>
      </c>
      <c r="BW160" s="84">
        <v>0.68554910226385635</v>
      </c>
      <c r="BX160" s="79">
        <v>23036</v>
      </c>
      <c r="BY160" s="83">
        <v>9760</v>
      </c>
      <c r="BZ160" s="84">
        <v>0.42368466747699252</v>
      </c>
      <c r="CA160" s="83">
        <v>114</v>
      </c>
      <c r="CB160" s="83">
        <v>173</v>
      </c>
      <c r="CC160" s="84">
        <v>4.9487758291370029E-3</v>
      </c>
      <c r="CD160" s="84">
        <v>7.5099843722868558E-3</v>
      </c>
    </row>
    <row r="161" spans="1:82" x14ac:dyDescent="0.25">
      <c r="A161" s="79" t="s">
        <v>124</v>
      </c>
      <c r="B161" s="80" t="s">
        <v>80</v>
      </c>
      <c r="C161" s="81">
        <v>850</v>
      </c>
      <c r="D161" s="105">
        <v>1469.18</v>
      </c>
      <c r="E161" s="105">
        <v>11475.694799999999</v>
      </c>
      <c r="F161" s="83">
        <v>26500</v>
      </c>
      <c r="G161" s="83">
        <v>25760</v>
      </c>
      <c r="H161" s="84">
        <v>2.7924528301886794E-2</v>
      </c>
      <c r="I161" s="79">
        <v>234</v>
      </c>
      <c r="J161" s="84">
        <v>8.8301886792452825E-3</v>
      </c>
      <c r="K161" s="83">
        <v>68410</v>
      </c>
      <c r="L161" s="83">
        <v>123780</v>
      </c>
      <c r="M161" s="85">
        <v>2.6556677018633539</v>
      </c>
      <c r="N161" s="85">
        <v>1.8093845928957755</v>
      </c>
      <c r="O161" s="85">
        <f>+L161/((G161-CA161-CB161)*M161)</f>
        <v>1.8273315996783306</v>
      </c>
      <c r="P161" s="86">
        <v>0.44548504658385091</v>
      </c>
      <c r="Q161" s="86">
        <v>5.7033385093167702E-2</v>
      </c>
      <c r="R161" s="83">
        <v>2100</v>
      </c>
      <c r="S161" s="106">
        <v>5.4646165714285715</v>
      </c>
      <c r="T161" s="85">
        <v>12.619047619047619</v>
      </c>
      <c r="U161" s="85">
        <v>4.8051242236024843</v>
      </c>
      <c r="V161" s="87">
        <v>41</v>
      </c>
      <c r="W161" s="83"/>
      <c r="X161" s="85"/>
      <c r="Y161" s="83"/>
      <c r="Z161" s="88">
        <v>6.4772382972276929E-2</v>
      </c>
      <c r="AA161" s="107" t="s">
        <v>84</v>
      </c>
      <c r="AB161" s="88">
        <v>0.28528301886792451</v>
      </c>
      <c r="AC161" s="88">
        <v>1.5222641509433963</v>
      </c>
      <c r="AD161" s="88">
        <v>1.8467924528301887</v>
      </c>
      <c r="AE161" s="88">
        <v>1.0166037735849056</v>
      </c>
      <c r="AF161" s="90" t="s">
        <v>81</v>
      </c>
      <c r="AG161" s="91"/>
      <c r="AH161" s="91"/>
      <c r="AI161" s="91"/>
      <c r="AJ161" s="91"/>
      <c r="AK161" s="91"/>
      <c r="AL161" s="110"/>
      <c r="AM161" s="91"/>
      <c r="AN161" s="92"/>
      <c r="AO161" s="93">
        <f t="shared" si="70"/>
        <v>0</v>
      </c>
      <c r="AP161" s="94" t="s">
        <v>82</v>
      </c>
      <c r="AQ161" s="91"/>
      <c r="AR161" s="83"/>
      <c r="AS161" s="83"/>
      <c r="AT161" s="83">
        <v>6600</v>
      </c>
      <c r="AU161" s="83"/>
      <c r="AV161" s="83"/>
      <c r="AW161" s="110"/>
      <c r="AX161" s="83"/>
      <c r="AY161" s="83"/>
      <c r="AZ161" s="83"/>
      <c r="BA161" s="83">
        <v>19900</v>
      </c>
      <c r="BB161" s="83"/>
      <c r="BC161" s="83"/>
      <c r="BD161" s="83"/>
      <c r="BE161" s="83"/>
      <c r="BF161" s="83"/>
      <c r="BG161" s="83"/>
      <c r="BH161" s="95"/>
      <c r="BI161" s="96">
        <f t="shared" si="71"/>
        <v>1</v>
      </c>
      <c r="BJ161" s="97">
        <v>2.6560000000000001</v>
      </c>
      <c r="BK161" s="98">
        <v>41</v>
      </c>
      <c r="BL161" s="88">
        <v>4.2000000000000003E-2</v>
      </c>
      <c r="BM161" s="88">
        <v>0.17199999999999999</v>
      </c>
      <c r="BN161" s="88">
        <v>0.44</v>
      </c>
      <c r="BO161" s="88">
        <v>0.86</v>
      </c>
      <c r="BP161" s="88">
        <v>1.34</v>
      </c>
      <c r="BQ161" s="88">
        <v>1.9</v>
      </c>
      <c r="BR161" s="88">
        <v>2.65</v>
      </c>
      <c r="BS161" s="88">
        <v>2.6560000000000001</v>
      </c>
      <c r="BT161" s="81">
        <v>41</v>
      </c>
      <c r="BU161" s="83">
        <v>8000</v>
      </c>
      <c r="BV161" s="99">
        <v>42102</v>
      </c>
      <c r="BW161" s="84">
        <v>0.68410656336792874</v>
      </c>
      <c r="BX161" s="83">
        <v>25568</v>
      </c>
      <c r="BY161" s="83">
        <v>11696</v>
      </c>
      <c r="BZ161" s="84">
        <v>0.45744680851063829</v>
      </c>
      <c r="CA161" s="83">
        <v>82</v>
      </c>
      <c r="CB161" s="83">
        <v>171</v>
      </c>
      <c r="CC161" s="84">
        <v>3.2071339173967458E-3</v>
      </c>
      <c r="CD161" s="84">
        <v>6.6880475594493114E-3</v>
      </c>
    </row>
    <row r="162" spans="1:82" x14ac:dyDescent="0.25">
      <c r="A162" s="79" t="s">
        <v>112</v>
      </c>
      <c r="B162" s="80" t="s">
        <v>80</v>
      </c>
      <c r="C162" s="81">
        <v>820</v>
      </c>
      <c r="D162" s="108">
        <v>2067.5700000000002</v>
      </c>
      <c r="E162" s="108">
        <f>24000.11+U162+V162</f>
        <v>24045.840689029919</v>
      </c>
      <c r="F162" s="83">
        <v>52400</v>
      </c>
      <c r="G162" s="83">
        <v>49635</v>
      </c>
      <c r="H162" s="84">
        <f>IF(F162=0,0,+((F162-G162)/F162))</f>
        <v>5.2767175572519087E-2</v>
      </c>
      <c r="I162" s="79">
        <v>336</v>
      </c>
      <c r="J162" s="84">
        <f>+(I162/F162)</f>
        <v>6.4122137404580152E-3</v>
      </c>
      <c r="K162" s="83">
        <v>141480</v>
      </c>
      <c r="L162" s="83">
        <v>252180</v>
      </c>
      <c r="M162" s="85">
        <f>IF(G162=0,0,+K162/G162)</f>
        <v>2.8504079782411607</v>
      </c>
      <c r="N162" s="85">
        <f>IF(K162=0,0,+L162/K162)</f>
        <v>1.782442748091603</v>
      </c>
      <c r="O162" s="85">
        <f>+L162/((G162-CA162-CB162)*M162)</f>
        <v>1.8155085223271985</v>
      </c>
      <c r="P162" s="86">
        <f>+E162/G162</f>
        <v>0.48445332303878147</v>
      </c>
      <c r="Q162" s="86">
        <f>+D162/G162</f>
        <v>4.1655485040797829E-2</v>
      </c>
      <c r="R162" s="83">
        <v>4400</v>
      </c>
      <c r="S162" s="106">
        <f>+E162/R162</f>
        <v>5.4649637929613455</v>
      </c>
      <c r="T162" s="85">
        <f>IF(R162=0,0,+F162/R162)</f>
        <v>11.909090909090908</v>
      </c>
      <c r="U162" s="85">
        <f>IF(L162=0,0,+L162/G162)</f>
        <v>5.0806890299184042</v>
      </c>
      <c r="V162" s="87">
        <v>40.65</v>
      </c>
      <c r="W162" s="83"/>
      <c r="X162" s="85"/>
      <c r="Y162" s="83"/>
      <c r="Z162" s="88">
        <f>IF(V162=0,0,+M162/V162)</f>
        <v>7.0120737472107272E-2</v>
      </c>
      <c r="AA162" s="109" t="str">
        <f>IF(W162=0,"",+X162/W162)</f>
        <v/>
      </c>
      <c r="AB162" s="88">
        <v>0.30534351145038169</v>
      </c>
      <c r="AC162" s="88">
        <v>1.4007633587786259</v>
      </c>
      <c r="AD162" s="88">
        <v>2.5969465648854961</v>
      </c>
      <c r="AE162" s="88">
        <v>0.50954198473282442</v>
      </c>
      <c r="AF162" s="90" t="s">
        <v>81</v>
      </c>
      <c r="AG162" s="91"/>
      <c r="AH162" s="91"/>
      <c r="AI162" s="91"/>
      <c r="AJ162" s="91"/>
      <c r="AK162" s="91"/>
      <c r="AL162" s="110"/>
      <c r="AM162" s="91"/>
      <c r="AN162" s="92"/>
      <c r="AO162" s="93">
        <f t="shared" si="70"/>
        <v>0</v>
      </c>
      <c r="AP162" s="94" t="s">
        <v>82</v>
      </c>
      <c r="AQ162" s="91"/>
      <c r="AR162" s="83"/>
      <c r="AS162" s="83"/>
      <c r="AT162" s="83">
        <v>52400</v>
      </c>
      <c r="AU162" s="83"/>
      <c r="AV162" s="83"/>
      <c r="AW162" s="110"/>
      <c r="AX162" s="83"/>
      <c r="AY162" s="83"/>
      <c r="AZ162" s="83"/>
      <c r="BA162" s="83"/>
      <c r="BB162" s="83"/>
      <c r="BC162" s="83"/>
      <c r="BD162" s="83"/>
      <c r="BE162" s="83"/>
      <c r="BF162" s="83"/>
      <c r="BG162" s="83"/>
      <c r="BH162" s="95"/>
      <c r="BI162" s="96">
        <f t="shared" si="71"/>
        <v>1</v>
      </c>
      <c r="BJ162" s="97">
        <v>2.7890000000000001</v>
      </c>
      <c r="BK162" s="98">
        <v>40</v>
      </c>
      <c r="BL162" s="88">
        <v>0.04</v>
      </c>
      <c r="BM162" s="88">
        <v>1.975E-2</v>
      </c>
      <c r="BN162" s="88">
        <v>0.48849999999999999</v>
      </c>
      <c r="BO162" s="88">
        <v>1.0069999999999999</v>
      </c>
      <c r="BP162" s="88">
        <v>1.6</v>
      </c>
      <c r="BQ162" s="88">
        <v>2.2970000000000002</v>
      </c>
      <c r="BR162" s="88">
        <v>2.879</v>
      </c>
      <c r="BS162" s="88">
        <v>2.879</v>
      </c>
      <c r="BT162" s="81">
        <v>41</v>
      </c>
      <c r="BU162" s="83"/>
      <c r="BV162" s="99">
        <v>42040</v>
      </c>
      <c r="BW162" s="84">
        <v>0.68066709075487697</v>
      </c>
      <c r="BX162" s="83">
        <v>48426</v>
      </c>
      <c r="BY162" s="83">
        <v>21032</v>
      </c>
      <c r="BZ162" s="84">
        <v>0.43431214636765375</v>
      </c>
      <c r="CA162" s="83">
        <v>444</v>
      </c>
      <c r="CB162" s="83">
        <v>460</v>
      </c>
      <c r="CC162" s="84">
        <v>9.1686284227481107E-3</v>
      </c>
      <c r="CD162" s="84">
        <v>9.4990294469912851E-3</v>
      </c>
    </row>
    <row r="163" spans="1:82" x14ac:dyDescent="0.25">
      <c r="A163" s="79" t="s">
        <v>102</v>
      </c>
      <c r="B163" s="80" t="s">
        <v>86</v>
      </c>
      <c r="C163" s="81">
        <v>444</v>
      </c>
      <c r="D163" s="82">
        <v>343.46</v>
      </c>
      <c r="E163" s="82">
        <v>9199.9818400000004</v>
      </c>
      <c r="F163" s="83">
        <v>21000</v>
      </c>
      <c r="G163" s="83">
        <v>20208</v>
      </c>
      <c r="H163" s="84">
        <v>3.7714285714285714E-2</v>
      </c>
      <c r="I163" s="79">
        <v>122</v>
      </c>
      <c r="J163" s="84">
        <v>5.8095238095238096E-3</v>
      </c>
      <c r="K163" s="83">
        <v>52680</v>
      </c>
      <c r="L163" s="83">
        <v>97900</v>
      </c>
      <c r="M163" s="85">
        <v>2.6068883610451308</v>
      </c>
      <c r="N163" s="85">
        <v>1.8583902809415338</v>
      </c>
      <c r="O163" s="85">
        <v>1.8768729470371588</v>
      </c>
      <c r="P163" s="86">
        <v>0.455264342834521</v>
      </c>
      <c r="Q163" s="86">
        <v>1.6996239113222487E-2</v>
      </c>
      <c r="R163" s="83">
        <v>1680</v>
      </c>
      <c r="S163" s="86">
        <v>5.4761796666666669</v>
      </c>
      <c r="T163" s="85">
        <v>12.5</v>
      </c>
      <c r="U163" s="85">
        <v>4.844615993665875</v>
      </c>
      <c r="V163" s="87">
        <v>46</v>
      </c>
      <c r="W163" s="83"/>
      <c r="X163" s="85"/>
      <c r="Y163" s="83"/>
      <c r="Z163" s="88">
        <v>5.6671486109676754E-2</v>
      </c>
      <c r="AA163" s="89" t="s">
        <v>84</v>
      </c>
      <c r="AB163" s="88">
        <v>0.30759999999999998</v>
      </c>
      <c r="AC163" s="88">
        <v>1.4514</v>
      </c>
      <c r="AD163" s="88">
        <v>2.1457000000000002</v>
      </c>
      <c r="AE163" s="88">
        <v>0.7571</v>
      </c>
      <c r="AF163" s="90" t="s">
        <v>81</v>
      </c>
      <c r="AG163" s="91"/>
      <c r="AH163" s="91"/>
      <c r="AI163" s="91">
        <v>9000</v>
      </c>
      <c r="AJ163" s="91"/>
      <c r="AK163" s="91"/>
      <c r="AL163" s="79"/>
      <c r="AM163" s="91">
        <v>12000</v>
      </c>
      <c r="AN163" s="92"/>
      <c r="AO163" s="93">
        <f t="shared" si="70"/>
        <v>1</v>
      </c>
      <c r="AP163" s="94" t="s">
        <v>82</v>
      </c>
      <c r="AQ163" s="83"/>
      <c r="AR163" s="83"/>
      <c r="AS163" s="83"/>
      <c r="AT163" s="83"/>
      <c r="AU163" s="83"/>
      <c r="AV163" s="83"/>
      <c r="AW163" s="83"/>
      <c r="AX163" s="83"/>
      <c r="AY163" s="83"/>
      <c r="AZ163" s="83"/>
      <c r="BA163" s="83"/>
      <c r="BB163" s="83"/>
      <c r="BC163" s="83"/>
      <c r="BD163" s="83"/>
      <c r="BE163" s="83"/>
      <c r="BF163" s="83"/>
      <c r="BG163" s="83"/>
      <c r="BH163" s="95"/>
      <c r="BI163" s="96">
        <f t="shared" si="71"/>
        <v>0</v>
      </c>
      <c r="BJ163" s="97">
        <v>2.6070000000000002</v>
      </c>
      <c r="BK163" s="98">
        <v>46</v>
      </c>
      <c r="BL163" s="88">
        <v>0.04</v>
      </c>
      <c r="BM163" s="88">
        <v>0.23799999999999999</v>
      </c>
      <c r="BN163" s="88">
        <v>0.38500000000000001</v>
      </c>
      <c r="BO163" s="88"/>
      <c r="BP163" s="88">
        <v>1.3</v>
      </c>
      <c r="BQ163" s="88">
        <v>1.75</v>
      </c>
      <c r="BR163" s="88"/>
      <c r="BS163" s="88">
        <v>2.6070000000000002</v>
      </c>
      <c r="BT163" s="81">
        <v>46</v>
      </c>
      <c r="BU163" s="83">
        <v>2000</v>
      </c>
      <c r="BV163" s="99">
        <v>42240</v>
      </c>
      <c r="BW163" s="84">
        <v>0.71718033409263471</v>
      </c>
      <c r="BX163" s="83">
        <v>20208</v>
      </c>
      <c r="BY163" s="83">
        <v>8456</v>
      </c>
      <c r="BZ163" s="84">
        <v>0.4184481393507522</v>
      </c>
      <c r="CA163" s="83">
        <v>25</v>
      </c>
      <c r="CB163" s="83">
        <v>186</v>
      </c>
      <c r="CC163" s="84">
        <v>1.2371338083927157E-3</v>
      </c>
      <c r="CD163" s="84">
        <v>9.2042755344418047E-3</v>
      </c>
    </row>
    <row r="164" spans="1:82" x14ac:dyDescent="0.25">
      <c r="A164" s="79" t="s">
        <v>124</v>
      </c>
      <c r="B164" s="80" t="s">
        <v>80</v>
      </c>
      <c r="C164" s="81">
        <v>850</v>
      </c>
      <c r="D164" s="100">
        <v>563.91999999999996</v>
      </c>
      <c r="E164" s="100">
        <v>11534.49</v>
      </c>
      <c r="F164" s="83">
        <v>23500</v>
      </c>
      <c r="G164" s="83">
        <v>23055</v>
      </c>
      <c r="H164" s="84">
        <f t="shared" ref="H164:H169" si="84">IF(F164=0,0,+((F164-G164)/F164))</f>
        <v>1.8936170212765956E-2</v>
      </c>
      <c r="I164" s="79">
        <v>239</v>
      </c>
      <c r="J164" s="84">
        <f t="shared" ref="J164:J169" si="85">+(I164/F164)</f>
        <v>1.0170212765957446E-2</v>
      </c>
      <c r="K164" s="83">
        <v>63070</v>
      </c>
      <c r="L164" s="83">
        <v>109560</v>
      </c>
      <c r="M164" s="85">
        <f t="shared" ref="M164:M169" si="86">IF(G164=0,0,+K164/G164)</f>
        <v>2.735632183908046</v>
      </c>
      <c r="N164" s="85">
        <f t="shared" ref="N164:N169" si="87">IF(K164=0,0,+L164/K164)</f>
        <v>1.7371174885048359</v>
      </c>
      <c r="O164" s="85">
        <f t="shared" ref="O164:O169" si="88">+L164/((G164-CA164-CB164)*M164)</f>
        <v>1.7468918999162082</v>
      </c>
      <c r="P164" s="86">
        <f t="shared" ref="P164:P169" si="89">IF(G164=0,0,+E164/G164)</f>
        <v>0.50030318802862717</v>
      </c>
      <c r="Q164" s="86">
        <f t="shared" ref="Q164:Q169" si="90">IF(G164=0,0,+D164/G164)</f>
        <v>2.4459770114942526E-2</v>
      </c>
      <c r="R164" s="83">
        <v>2100</v>
      </c>
      <c r="S164" s="86">
        <f t="shared" ref="S164:S169" si="91">IF(R164=0,0,+E164/R164)</f>
        <v>5.4926142857142857</v>
      </c>
      <c r="T164" s="85">
        <f t="shared" ref="T164:T169" si="92">IF(R164=0,0,+F164/R164)</f>
        <v>11.19047619047619</v>
      </c>
      <c r="U164" s="85">
        <f t="shared" ref="U164:U169" si="93">IF(L164=0,0,+L164/G164)</f>
        <v>4.7521145087833441</v>
      </c>
      <c r="V164" s="87">
        <v>43</v>
      </c>
      <c r="W164" s="83"/>
      <c r="X164" s="85"/>
      <c r="Y164" s="83"/>
      <c r="Z164" s="88">
        <f t="shared" ref="Z164:Z169" si="94">IF(V164=0,0,+M164/V164)</f>
        <v>6.3619353114140603E-2</v>
      </c>
      <c r="AA164" s="101" t="str">
        <f t="shared" ref="AA164:AA169" si="95">IF(W164=0,"",+X164/W164)</f>
        <v/>
      </c>
      <c r="AB164" s="102">
        <v>0.31744680851063828</v>
      </c>
      <c r="AC164" s="102">
        <v>1.4127659574468086</v>
      </c>
      <c r="AD164" s="102">
        <v>2.4017021276595742</v>
      </c>
      <c r="AE164" s="102">
        <v>0.53021276595744682</v>
      </c>
      <c r="AF164" s="90" t="s">
        <v>81</v>
      </c>
      <c r="AG164" s="91"/>
      <c r="AH164" s="91"/>
      <c r="AI164" s="91"/>
      <c r="AJ164" s="91"/>
      <c r="AK164" s="91"/>
      <c r="AL164" s="91"/>
      <c r="AM164" s="91"/>
      <c r="AN164" s="92"/>
      <c r="AO164" s="93">
        <f t="shared" si="70"/>
        <v>0</v>
      </c>
      <c r="AP164" s="94" t="s">
        <v>82</v>
      </c>
      <c r="AQ164" s="83"/>
      <c r="AR164" s="83"/>
      <c r="AS164" s="83"/>
      <c r="AT164" s="83"/>
      <c r="AU164" s="83"/>
      <c r="AV164" s="83"/>
      <c r="AW164" s="83"/>
      <c r="AX164" s="83"/>
      <c r="AY164" s="83"/>
      <c r="AZ164" s="83"/>
      <c r="BA164" s="83"/>
      <c r="BB164" s="83"/>
      <c r="BC164" s="83"/>
      <c r="BD164" s="83">
        <v>23500</v>
      </c>
      <c r="BE164" s="83"/>
      <c r="BF164" s="83"/>
      <c r="BG164" s="83"/>
      <c r="BH164" s="95"/>
      <c r="BI164" s="96">
        <f t="shared" si="71"/>
        <v>1</v>
      </c>
      <c r="BJ164" s="97">
        <v>2.7360000000000002</v>
      </c>
      <c r="BK164" s="98">
        <v>43</v>
      </c>
      <c r="BL164" s="88">
        <v>3.5999999999999997E-2</v>
      </c>
      <c r="BM164" s="88">
        <v>0.14799999999999999</v>
      </c>
      <c r="BN164" s="88">
        <v>0.42</v>
      </c>
      <c r="BO164" s="88">
        <v>0.82899999999999996</v>
      </c>
      <c r="BP164" s="88">
        <v>1.46</v>
      </c>
      <c r="BQ164" s="88">
        <v>2.36</v>
      </c>
      <c r="BR164" s="88"/>
      <c r="BS164" s="88">
        <v>2.7360000000000002</v>
      </c>
      <c r="BT164" s="81">
        <v>43</v>
      </c>
      <c r="BU164" s="83"/>
      <c r="BV164" s="104">
        <v>42298</v>
      </c>
      <c r="BW164" s="84">
        <v>0.70006389725701601</v>
      </c>
      <c r="BX164" s="83">
        <v>23038</v>
      </c>
      <c r="BY164" s="83">
        <v>13152</v>
      </c>
      <c r="BZ164" s="84">
        <v>0.57088288913968221</v>
      </c>
      <c r="CA164" s="83">
        <v>22</v>
      </c>
      <c r="CB164" s="83">
        <v>107</v>
      </c>
      <c r="CC164" s="84">
        <v>9.5494400555603783E-4</v>
      </c>
      <c r="CD164" s="84">
        <v>4.6445003906589117E-3</v>
      </c>
    </row>
    <row r="165" spans="1:82" x14ac:dyDescent="0.25">
      <c r="A165" s="79" t="s">
        <v>107</v>
      </c>
      <c r="B165" s="80" t="s">
        <v>80</v>
      </c>
      <c r="C165" s="81">
        <v>862</v>
      </c>
      <c r="D165" s="100">
        <v>1231.53</v>
      </c>
      <c r="E165" s="100">
        <v>13758.821984999999</v>
      </c>
      <c r="F165" s="83">
        <v>31000</v>
      </c>
      <c r="G165" s="83">
        <v>30257</v>
      </c>
      <c r="H165" s="84">
        <f t="shared" si="84"/>
        <v>2.3967741935483872E-2</v>
      </c>
      <c r="I165" s="79">
        <v>471</v>
      </c>
      <c r="J165" s="84">
        <f t="shared" si="85"/>
        <v>1.5193548387096774E-2</v>
      </c>
      <c r="K165" s="83">
        <v>91570</v>
      </c>
      <c r="L165" s="83">
        <v>178480</v>
      </c>
      <c r="M165" s="85">
        <f t="shared" si="86"/>
        <v>3.0264071124037413</v>
      </c>
      <c r="N165" s="85">
        <f t="shared" si="87"/>
        <v>1.9491099705143606</v>
      </c>
      <c r="O165" s="85">
        <f t="shared" si="88"/>
        <v>1.9708000393614826</v>
      </c>
      <c r="P165" s="86">
        <f t="shared" si="89"/>
        <v>0.45473186320520864</v>
      </c>
      <c r="Q165" s="86">
        <f t="shared" si="90"/>
        <v>4.0702316819248435E-2</v>
      </c>
      <c r="R165" s="83">
        <v>2500</v>
      </c>
      <c r="S165" s="86">
        <f t="shared" si="91"/>
        <v>5.5035287939999993</v>
      </c>
      <c r="T165" s="85">
        <f t="shared" si="92"/>
        <v>12.4</v>
      </c>
      <c r="U165" s="85">
        <f t="shared" si="93"/>
        <v>5.8988002776217074</v>
      </c>
      <c r="V165" s="87">
        <v>46</v>
      </c>
      <c r="W165" s="83"/>
      <c r="X165" s="85"/>
      <c r="Y165" s="83"/>
      <c r="Z165" s="88">
        <f t="shared" si="94"/>
        <v>6.5791458965298727E-2</v>
      </c>
      <c r="AA165" s="101" t="str">
        <f t="shared" si="95"/>
        <v/>
      </c>
      <c r="AB165" s="102">
        <v>0.28064516129032258</v>
      </c>
      <c r="AC165" s="102">
        <v>1.5651612903225807</v>
      </c>
      <c r="AD165" s="102">
        <v>2.346451612903226</v>
      </c>
      <c r="AE165" s="102">
        <v>1.5651612903225807</v>
      </c>
      <c r="AF165" s="90" t="s">
        <v>81</v>
      </c>
      <c r="AG165" s="91"/>
      <c r="AH165" s="91"/>
      <c r="AI165" s="91"/>
      <c r="AJ165" s="91"/>
      <c r="AK165" s="91"/>
      <c r="AL165" s="91"/>
      <c r="AM165" s="91"/>
      <c r="AN165" s="92"/>
      <c r="AO165" s="93">
        <f t="shared" si="70"/>
        <v>0</v>
      </c>
      <c r="AP165" s="94" t="s">
        <v>82</v>
      </c>
      <c r="AQ165" s="91"/>
      <c r="AR165" s="83"/>
      <c r="AS165" s="83"/>
      <c r="AT165" s="83"/>
      <c r="AU165" s="83"/>
      <c r="AV165" s="83"/>
      <c r="AW165" s="83">
        <v>31000</v>
      </c>
      <c r="AX165" s="83"/>
      <c r="AY165" s="83"/>
      <c r="AZ165" s="83"/>
      <c r="BA165" s="83"/>
      <c r="BB165" s="83"/>
      <c r="BC165" s="83"/>
      <c r="BD165" s="83"/>
      <c r="BE165" s="83"/>
      <c r="BF165" s="91"/>
      <c r="BG165" s="83"/>
      <c r="BH165" s="95"/>
      <c r="BI165" s="96">
        <f t="shared" si="71"/>
        <v>1</v>
      </c>
      <c r="BJ165" s="97">
        <v>3.0259999999999998</v>
      </c>
      <c r="BK165" s="98">
        <v>46</v>
      </c>
      <c r="BL165" s="113">
        <v>4.5999999999999999E-2</v>
      </c>
      <c r="BM165" s="113">
        <v>0.17</v>
      </c>
      <c r="BN165" s="113">
        <v>0.4</v>
      </c>
      <c r="BO165" s="113">
        <v>0.85499999999999998</v>
      </c>
      <c r="BP165" s="113">
        <v>1.42</v>
      </c>
      <c r="BQ165" s="113">
        <v>2.0649999999999999</v>
      </c>
      <c r="BR165" s="113"/>
      <c r="BS165" s="113">
        <v>3.0259999999999998</v>
      </c>
      <c r="BT165" s="81">
        <v>42</v>
      </c>
      <c r="BU165" s="83"/>
      <c r="BV165" s="104">
        <v>42367</v>
      </c>
      <c r="BW165" s="84">
        <v>0.69312001747297147</v>
      </c>
      <c r="BX165" s="83">
        <v>29584</v>
      </c>
      <c r="BY165" s="83">
        <v>10673</v>
      </c>
      <c r="BZ165" s="84">
        <v>0.36076933477555434</v>
      </c>
      <c r="CA165" s="83">
        <v>230</v>
      </c>
      <c r="CB165" s="83">
        <v>103</v>
      </c>
      <c r="CC165" s="84">
        <v>7.7744726879394269E-3</v>
      </c>
      <c r="CD165" s="84">
        <v>3.4816116819902649E-3</v>
      </c>
    </row>
    <row r="166" spans="1:82" x14ac:dyDescent="0.25">
      <c r="A166" s="79" t="s">
        <v>125</v>
      </c>
      <c r="B166" s="80" t="s">
        <v>91</v>
      </c>
      <c r="C166" s="81">
        <v>830</v>
      </c>
      <c r="D166" s="100">
        <v>1233.18</v>
      </c>
      <c r="E166" s="100">
        <v>16209.08007</v>
      </c>
      <c r="F166" s="83">
        <v>39500</v>
      </c>
      <c r="G166" s="83">
        <v>37334</v>
      </c>
      <c r="H166" s="84">
        <f t="shared" si="84"/>
        <v>5.4835443037974684E-2</v>
      </c>
      <c r="I166" s="79">
        <v>284</v>
      </c>
      <c r="J166" s="84">
        <f t="shared" si="85"/>
        <v>7.1898734177215191E-3</v>
      </c>
      <c r="K166" s="83">
        <v>106920</v>
      </c>
      <c r="L166" s="83">
        <v>205020</v>
      </c>
      <c r="M166" s="85">
        <f t="shared" si="86"/>
        <v>2.8638774307601649</v>
      </c>
      <c r="N166" s="85">
        <f t="shared" si="87"/>
        <v>1.9175084175084176</v>
      </c>
      <c r="O166" s="85">
        <f t="shared" si="88"/>
        <v>1.9514845507376311</v>
      </c>
      <c r="P166" s="86">
        <f t="shared" si="89"/>
        <v>0.43416403466009534</v>
      </c>
      <c r="Q166" s="86">
        <f t="shared" si="90"/>
        <v>3.3031017303262446E-2</v>
      </c>
      <c r="R166" s="83">
        <v>2940</v>
      </c>
      <c r="S166" s="86">
        <f t="shared" si="91"/>
        <v>5.5132925408163267</v>
      </c>
      <c r="T166" s="85">
        <f t="shared" si="92"/>
        <v>13.435374149659864</v>
      </c>
      <c r="U166" s="85">
        <f t="shared" si="93"/>
        <v>5.4915090801949962</v>
      </c>
      <c r="V166" s="87">
        <v>45.81</v>
      </c>
      <c r="W166" s="83"/>
      <c r="X166" s="85"/>
      <c r="Y166" s="83"/>
      <c r="Z166" s="88">
        <f t="shared" si="94"/>
        <v>6.2516425032965825E-2</v>
      </c>
      <c r="AA166" s="101" t="str">
        <f t="shared" si="95"/>
        <v/>
      </c>
      <c r="AB166" s="102">
        <v>0.30582278481012659</v>
      </c>
      <c r="AC166" s="102">
        <v>1.3751898734177215</v>
      </c>
      <c r="AD166" s="102">
        <v>2.2865822784810126</v>
      </c>
      <c r="AE166" s="102">
        <v>1.2227848101265824</v>
      </c>
      <c r="AF166" s="90" t="s">
        <v>81</v>
      </c>
      <c r="AG166" s="91"/>
      <c r="AH166" s="91"/>
      <c r="AI166" s="91"/>
      <c r="AJ166" s="91"/>
      <c r="AK166" s="91"/>
      <c r="AL166" s="91"/>
      <c r="AM166" s="91"/>
      <c r="AN166" s="118"/>
      <c r="AO166" s="93">
        <f t="shared" si="70"/>
        <v>0</v>
      </c>
      <c r="AP166" s="94" t="s">
        <v>82</v>
      </c>
      <c r="AQ166" s="91"/>
      <c r="AR166" s="83"/>
      <c r="AS166" s="83"/>
      <c r="AT166" s="83"/>
      <c r="AU166" s="83"/>
      <c r="AV166" s="83"/>
      <c r="AW166" s="83"/>
      <c r="AX166" s="83"/>
      <c r="AY166" s="83"/>
      <c r="AZ166" s="83"/>
      <c r="BA166" s="83"/>
      <c r="BB166" s="83">
        <v>2900</v>
      </c>
      <c r="BC166" s="83"/>
      <c r="BD166" s="83">
        <v>36600</v>
      </c>
      <c r="BE166" s="83"/>
      <c r="BF166" s="91"/>
      <c r="BG166" s="83"/>
      <c r="BH166" s="95"/>
      <c r="BI166" s="96">
        <f t="shared" si="71"/>
        <v>1</v>
      </c>
      <c r="BJ166" s="97">
        <v>2.7530000000000001</v>
      </c>
      <c r="BK166" s="98">
        <v>45</v>
      </c>
      <c r="BL166" s="88">
        <v>3.7999999999999999E-2</v>
      </c>
      <c r="BM166" s="88">
        <v>0.1585</v>
      </c>
      <c r="BN166" s="88">
        <v>0.4</v>
      </c>
      <c r="BO166" s="88">
        <v>0.82699999999999996</v>
      </c>
      <c r="BP166" s="88">
        <v>1.4650000000000001</v>
      </c>
      <c r="BQ166" s="88">
        <v>1.9850000000000001</v>
      </c>
      <c r="BR166" s="88">
        <v>2.5099999999999998</v>
      </c>
      <c r="BS166" s="88">
        <v>2.9830000000000001</v>
      </c>
      <c r="BT166" s="81">
        <v>47</v>
      </c>
      <c r="BU166" s="83"/>
      <c r="BV166" s="104">
        <v>42326</v>
      </c>
      <c r="BW166" s="84">
        <v>0.69434090909090918</v>
      </c>
      <c r="BX166" s="83">
        <v>36556</v>
      </c>
      <c r="BY166" s="83">
        <v>14024</v>
      </c>
      <c r="BZ166" s="84">
        <v>0.38363059415690992</v>
      </c>
      <c r="CA166" s="83">
        <v>212</v>
      </c>
      <c r="CB166" s="83">
        <v>438</v>
      </c>
      <c r="CC166" s="84">
        <v>5.7993215887952726E-3</v>
      </c>
      <c r="CD166" s="84">
        <v>1.1981617244775139E-2</v>
      </c>
    </row>
    <row r="167" spans="1:82" x14ac:dyDescent="0.25">
      <c r="A167" s="79" t="s">
        <v>110</v>
      </c>
      <c r="B167" s="80" t="s">
        <v>80</v>
      </c>
      <c r="C167" s="81">
        <v>810</v>
      </c>
      <c r="D167" s="100">
        <v>1183.4000000000001</v>
      </c>
      <c r="E167" s="100">
        <v>12992.55</v>
      </c>
      <c r="F167" s="83">
        <v>38100</v>
      </c>
      <c r="G167" s="83">
        <v>37200</v>
      </c>
      <c r="H167" s="84">
        <f t="shared" si="84"/>
        <v>2.3622047244094488E-2</v>
      </c>
      <c r="I167" s="79">
        <v>267</v>
      </c>
      <c r="J167" s="84">
        <f t="shared" si="85"/>
        <v>7.0078740157480312E-3</v>
      </c>
      <c r="K167" s="83">
        <v>96210</v>
      </c>
      <c r="L167" s="83">
        <v>182660</v>
      </c>
      <c r="M167" s="85">
        <f t="shared" si="86"/>
        <v>2.5862903225806453</v>
      </c>
      <c r="N167" s="85">
        <f t="shared" si="87"/>
        <v>1.8985552437376572</v>
      </c>
      <c r="O167" s="85">
        <f t="shared" si="88"/>
        <v>1.918826719565323</v>
      </c>
      <c r="P167" s="86">
        <f t="shared" si="89"/>
        <v>0.34926209677419351</v>
      </c>
      <c r="Q167" s="86">
        <f t="shared" si="90"/>
        <v>3.1811827956989253E-2</v>
      </c>
      <c r="R167" s="83">
        <v>2352</v>
      </c>
      <c r="S167" s="86">
        <f t="shared" si="91"/>
        <v>5.5240433673469385</v>
      </c>
      <c r="T167" s="85">
        <f t="shared" si="92"/>
        <v>16.198979591836736</v>
      </c>
      <c r="U167" s="85">
        <f t="shared" si="93"/>
        <v>4.9102150537634408</v>
      </c>
      <c r="V167" s="87">
        <v>44.75</v>
      </c>
      <c r="W167" s="83">
        <v>34</v>
      </c>
      <c r="X167" s="85">
        <v>1.835</v>
      </c>
      <c r="Y167" s="83">
        <v>8000</v>
      </c>
      <c r="Z167" s="88">
        <f t="shared" si="94"/>
        <v>5.7794197152640121E-2</v>
      </c>
      <c r="AA167" s="101">
        <f t="shared" si="95"/>
        <v>5.3970588235294117E-2</v>
      </c>
      <c r="AB167" s="102">
        <v>0.29658792650918636</v>
      </c>
      <c r="AC167" s="102">
        <v>1.4813648293963255</v>
      </c>
      <c r="AD167" s="102">
        <v>2.188976377952756</v>
      </c>
      <c r="AE167" s="102">
        <v>0.82729658792650917</v>
      </c>
      <c r="AF167" s="90" t="s">
        <v>81</v>
      </c>
      <c r="AG167" s="91"/>
      <c r="AH167" s="91">
        <v>32900</v>
      </c>
      <c r="AI167" s="91"/>
      <c r="AJ167" s="91"/>
      <c r="AK167" s="91"/>
      <c r="AL167" s="91"/>
      <c r="AM167" s="91"/>
      <c r="AN167" s="92"/>
      <c r="AO167" s="93">
        <f t="shared" si="70"/>
        <v>0.86351706036745401</v>
      </c>
      <c r="AP167" s="94" t="s">
        <v>82</v>
      </c>
      <c r="AQ167" s="91"/>
      <c r="AR167" s="83"/>
      <c r="AS167" s="83"/>
      <c r="AT167" s="83"/>
      <c r="AU167" s="83"/>
      <c r="AV167" s="83"/>
      <c r="AW167" s="83"/>
      <c r="AX167" s="83"/>
      <c r="AY167" s="83"/>
      <c r="AZ167" s="83"/>
      <c r="BA167" s="83"/>
      <c r="BB167" s="83"/>
      <c r="BC167" s="83"/>
      <c r="BD167" s="83">
        <v>5200</v>
      </c>
      <c r="BE167" s="83"/>
      <c r="BF167" s="91"/>
      <c r="BG167" s="83"/>
      <c r="BH167" s="95"/>
      <c r="BI167" s="96">
        <f t="shared" si="71"/>
        <v>0.13648293963254593</v>
      </c>
      <c r="BJ167" s="97">
        <v>2.734</v>
      </c>
      <c r="BK167" s="98">
        <v>44</v>
      </c>
      <c r="BL167" s="113">
        <v>4.1000000000000002E-2</v>
      </c>
      <c r="BM167" s="113">
        <v>0.183</v>
      </c>
      <c r="BN167" s="113">
        <v>0.46</v>
      </c>
      <c r="BO167" s="113" t="s">
        <v>126</v>
      </c>
      <c r="BP167" s="113">
        <v>1.3080000000000001</v>
      </c>
      <c r="BQ167" s="113"/>
      <c r="BR167" s="113">
        <v>2.452</v>
      </c>
      <c r="BS167" s="113">
        <v>2.8879999999999999</v>
      </c>
      <c r="BT167" s="81">
        <v>46</v>
      </c>
      <c r="BU167" s="83"/>
      <c r="BV167" s="104">
        <v>42363</v>
      </c>
      <c r="BW167" s="84">
        <v>0.69205200539678646</v>
      </c>
      <c r="BX167" s="83">
        <v>28642</v>
      </c>
      <c r="BY167" s="83">
        <v>11866</v>
      </c>
      <c r="BZ167" s="84">
        <v>0.41428671182180016</v>
      </c>
      <c r="CA167" s="83">
        <v>107</v>
      </c>
      <c r="CB167" s="83">
        <v>286</v>
      </c>
      <c r="CC167" s="84">
        <v>3.735772641575309E-3</v>
      </c>
      <c r="CD167" s="84">
        <v>9.9853362195377413E-3</v>
      </c>
    </row>
    <row r="168" spans="1:82" x14ac:dyDescent="0.25">
      <c r="A168" s="79" t="s">
        <v>112</v>
      </c>
      <c r="B168" s="80" t="s">
        <v>80</v>
      </c>
      <c r="C168" s="81">
        <v>820</v>
      </c>
      <c r="D168" s="100">
        <v>1493.44</v>
      </c>
      <c r="E168" s="100">
        <v>24309.39</v>
      </c>
      <c r="F168" s="83">
        <v>46900</v>
      </c>
      <c r="G168" s="83">
        <v>46090</v>
      </c>
      <c r="H168" s="84">
        <f t="shared" si="84"/>
        <v>1.7270788912579958E-2</v>
      </c>
      <c r="I168" s="79">
        <v>173</v>
      </c>
      <c r="J168" s="84">
        <f t="shared" si="85"/>
        <v>3.6886993603411516E-3</v>
      </c>
      <c r="K168" s="83">
        <v>131940</v>
      </c>
      <c r="L168" s="83">
        <v>230420</v>
      </c>
      <c r="M168" s="85">
        <f t="shared" si="86"/>
        <v>2.8626600130180084</v>
      </c>
      <c r="N168" s="85">
        <f t="shared" si="87"/>
        <v>1.7463998787327573</v>
      </c>
      <c r="O168" s="85">
        <f t="shared" si="88"/>
        <v>1.7631167811708492</v>
      </c>
      <c r="P168" s="86">
        <f t="shared" si="89"/>
        <v>0.52743306574094162</v>
      </c>
      <c r="Q168" s="86">
        <f t="shared" si="90"/>
        <v>3.2402690388370584E-2</v>
      </c>
      <c r="R168" s="83">
        <v>4400</v>
      </c>
      <c r="S168" s="86">
        <f t="shared" si="91"/>
        <v>5.5248613636363633</v>
      </c>
      <c r="T168" s="85">
        <f t="shared" si="92"/>
        <v>10.659090909090908</v>
      </c>
      <c r="U168" s="85">
        <f t="shared" si="93"/>
        <v>4.9993490995877634</v>
      </c>
      <c r="V168" s="87">
        <v>41.87</v>
      </c>
      <c r="W168" s="83"/>
      <c r="X168" s="85"/>
      <c r="Y168" s="83"/>
      <c r="Z168" s="88">
        <f t="shared" si="94"/>
        <v>6.8370193766849982E-2</v>
      </c>
      <c r="AA168" s="101" t="str">
        <f t="shared" si="95"/>
        <v/>
      </c>
      <c r="AB168" s="102">
        <v>0.32025586353944563</v>
      </c>
      <c r="AC168" s="102">
        <v>1.433688699360341</v>
      </c>
      <c r="AD168" s="102">
        <v>2.7927505330490403</v>
      </c>
      <c r="AE168" s="102">
        <v>0.36631130063965883</v>
      </c>
      <c r="AF168" s="90" t="s">
        <v>81</v>
      </c>
      <c r="AG168" s="91"/>
      <c r="AH168" s="91"/>
      <c r="AI168" s="91">
        <v>34300</v>
      </c>
      <c r="AJ168" s="91"/>
      <c r="AK168" s="91"/>
      <c r="AL168" s="91"/>
      <c r="AM168" s="91"/>
      <c r="AN168" s="92"/>
      <c r="AO168" s="93">
        <f t="shared" si="70"/>
        <v>0.73134328358208955</v>
      </c>
      <c r="AP168" s="94" t="s">
        <v>82</v>
      </c>
      <c r="AQ168" s="91"/>
      <c r="AR168" s="83"/>
      <c r="AS168" s="83"/>
      <c r="AT168" s="83"/>
      <c r="AU168" s="83"/>
      <c r="AV168" s="83"/>
      <c r="AW168" s="83"/>
      <c r="AX168" s="83"/>
      <c r="AY168" s="83">
        <v>12600</v>
      </c>
      <c r="AZ168" s="83"/>
      <c r="BA168" s="83"/>
      <c r="BB168" s="83"/>
      <c r="BC168" s="83"/>
      <c r="BD168" s="83"/>
      <c r="BE168" s="83"/>
      <c r="BF168" s="91"/>
      <c r="BG168" s="83"/>
      <c r="BH168" s="95"/>
      <c r="BI168" s="96">
        <f t="shared" si="71"/>
        <v>0.26865671641791045</v>
      </c>
      <c r="BJ168" s="97">
        <v>2.8119999999999998</v>
      </c>
      <c r="BK168" s="98">
        <v>41</v>
      </c>
      <c r="BL168" s="88">
        <v>4.9000000000000002E-2</v>
      </c>
      <c r="BM168" s="88">
        <v>0.188</v>
      </c>
      <c r="BN168" s="88">
        <v>0.48699999999999999</v>
      </c>
      <c r="BO168" s="88">
        <v>0.98</v>
      </c>
      <c r="BP168" s="88">
        <v>1.613</v>
      </c>
      <c r="BQ168" s="88">
        <v>2.15</v>
      </c>
      <c r="BR168" s="88"/>
      <c r="BS168" s="88">
        <v>2.8690000000000002</v>
      </c>
      <c r="BT168" s="81">
        <v>42</v>
      </c>
      <c r="BU168" s="83"/>
      <c r="BV168" s="104">
        <v>42299</v>
      </c>
      <c r="BW168" s="84">
        <v>0.69431718963165068</v>
      </c>
      <c r="BX168" s="83">
        <v>45590</v>
      </c>
      <c r="BY168" s="83">
        <v>20144</v>
      </c>
      <c r="BZ168" s="84">
        <v>0.44185128317613509</v>
      </c>
      <c r="CA168" s="83">
        <v>80</v>
      </c>
      <c r="CB168" s="83">
        <v>357</v>
      </c>
      <c r="CC168" s="84">
        <v>1.754770783066462E-3</v>
      </c>
      <c r="CD168" s="84">
        <v>7.8306646194340867E-3</v>
      </c>
    </row>
    <row r="169" spans="1:82" x14ac:dyDescent="0.25">
      <c r="A169" s="79" t="s">
        <v>110</v>
      </c>
      <c r="B169" s="80" t="s">
        <v>80</v>
      </c>
      <c r="C169" s="81">
        <v>810</v>
      </c>
      <c r="D169" s="105">
        <v>1373.31</v>
      </c>
      <c r="E169" s="105">
        <v>15876.23877</v>
      </c>
      <c r="F169" s="83">
        <v>35500</v>
      </c>
      <c r="G169" s="83">
        <v>34274</v>
      </c>
      <c r="H169" s="84">
        <f t="shared" si="84"/>
        <v>3.4535211267605635E-2</v>
      </c>
      <c r="I169" s="79">
        <f>235+263</f>
        <v>498</v>
      </c>
      <c r="J169" s="84">
        <f t="shared" si="85"/>
        <v>1.4028169014084506E-2</v>
      </c>
      <c r="K169" s="83">
        <v>96820</v>
      </c>
      <c r="L169" s="83">
        <v>179610</v>
      </c>
      <c r="M169" s="85">
        <f t="shared" si="86"/>
        <v>2.8248818346268307</v>
      </c>
      <c r="N169" s="85">
        <f t="shared" si="87"/>
        <v>1.8550919231563727</v>
      </c>
      <c r="O169" s="85">
        <f t="shared" si="88"/>
        <v>1.8749497382637348</v>
      </c>
      <c r="P169" s="86">
        <f t="shared" si="89"/>
        <v>0.46321522932835385</v>
      </c>
      <c r="Q169" s="86">
        <f t="shared" si="90"/>
        <v>4.0068565093073466E-2</v>
      </c>
      <c r="R169" s="83">
        <v>2856</v>
      </c>
      <c r="S169" s="86">
        <f t="shared" si="91"/>
        <v>5.5589071323529415</v>
      </c>
      <c r="T169" s="85">
        <f t="shared" si="92"/>
        <v>12.429971988795518</v>
      </c>
      <c r="U169" s="85">
        <f t="shared" si="93"/>
        <v>5.2404154752873895</v>
      </c>
      <c r="V169" s="87">
        <v>43.49</v>
      </c>
      <c r="W169" s="83"/>
      <c r="X169" s="85"/>
      <c r="Y169" s="83"/>
      <c r="Z169" s="88">
        <f t="shared" si="94"/>
        <v>6.4954744415424939E-2</v>
      </c>
      <c r="AA169" s="107" t="str">
        <f t="shared" si="95"/>
        <v/>
      </c>
      <c r="AB169" s="88">
        <v>0.31380281690140843</v>
      </c>
      <c r="AC169" s="88">
        <v>1.4647887323943662</v>
      </c>
      <c r="AD169" s="88">
        <v>2.4557746478873241</v>
      </c>
      <c r="AE169" s="88">
        <v>0.82507042253521123</v>
      </c>
      <c r="AF169" s="90" t="s">
        <v>81</v>
      </c>
      <c r="AG169" s="116"/>
      <c r="AH169" s="116"/>
      <c r="AI169" s="116"/>
      <c r="AJ169" s="116"/>
      <c r="AK169" s="116"/>
      <c r="AL169" s="79"/>
      <c r="AM169" s="116"/>
      <c r="AN169" s="117"/>
      <c r="AO169" s="93">
        <f t="shared" si="70"/>
        <v>0</v>
      </c>
      <c r="AP169" s="94" t="s">
        <v>82</v>
      </c>
      <c r="AQ169" s="116"/>
      <c r="AR169" s="79"/>
      <c r="AS169" s="79"/>
      <c r="AT169" s="79"/>
      <c r="AU169" s="79"/>
      <c r="AV169" s="79">
        <v>5500</v>
      </c>
      <c r="AW169" s="79"/>
      <c r="AX169" s="79"/>
      <c r="AY169" s="79"/>
      <c r="AZ169" s="79"/>
      <c r="BA169" s="79">
        <v>30000</v>
      </c>
      <c r="BB169" s="79"/>
      <c r="BC169" s="79"/>
      <c r="BD169" s="79"/>
      <c r="BE169" s="79"/>
      <c r="BF169" s="79"/>
      <c r="BG169" s="79"/>
      <c r="BH169" s="111"/>
      <c r="BI169" s="96">
        <f t="shared" si="71"/>
        <v>1</v>
      </c>
      <c r="BJ169" s="97">
        <v>2.7309999999999999</v>
      </c>
      <c r="BK169" s="98">
        <v>43</v>
      </c>
      <c r="BL169" s="88">
        <v>3.9E-2</v>
      </c>
      <c r="BM169" s="88">
        <v>0.18</v>
      </c>
      <c r="BN169" s="88">
        <v>0.48699999999999999</v>
      </c>
      <c r="BO169" s="88">
        <v>0.89449999999999996</v>
      </c>
      <c r="BP169" s="88">
        <v>1.528</v>
      </c>
      <c r="BQ169" s="88">
        <v>2.19</v>
      </c>
      <c r="BR169" s="88">
        <v>2.78</v>
      </c>
      <c r="BS169" s="88">
        <v>2.92</v>
      </c>
      <c r="BT169" s="81">
        <v>44</v>
      </c>
      <c r="BU169" s="83">
        <v>3850</v>
      </c>
      <c r="BV169" s="99">
        <v>42026</v>
      </c>
      <c r="BW169" s="84">
        <v>0.69535922330097077</v>
      </c>
      <c r="BX169" s="79">
        <v>33572</v>
      </c>
      <c r="BY169" s="83">
        <v>14264</v>
      </c>
      <c r="BZ169" s="84">
        <v>0.42487787441915881</v>
      </c>
      <c r="CA169" s="83">
        <v>190</v>
      </c>
      <c r="CB169" s="83">
        <v>173</v>
      </c>
      <c r="CC169" s="84">
        <v>5.6594781365423563E-3</v>
      </c>
      <c r="CD169" s="84">
        <v>5.1531037769569884E-3</v>
      </c>
    </row>
    <row r="170" spans="1:82" x14ac:dyDescent="0.25">
      <c r="A170" s="79" t="s">
        <v>110</v>
      </c>
      <c r="B170" s="80" t="s">
        <v>80</v>
      </c>
      <c r="C170" s="81">
        <v>810</v>
      </c>
      <c r="D170" s="82">
        <v>632.66999999999996</v>
      </c>
      <c r="E170" s="82">
        <v>15885.58</v>
      </c>
      <c r="F170" s="83">
        <v>36000</v>
      </c>
      <c r="G170" s="83">
        <v>34740</v>
      </c>
      <c r="H170" s="84">
        <v>3.5000000000000003E-2</v>
      </c>
      <c r="I170" s="79">
        <v>405</v>
      </c>
      <c r="J170" s="84">
        <v>1.125E-2</v>
      </c>
      <c r="K170" s="83">
        <v>97260</v>
      </c>
      <c r="L170" s="83">
        <v>182900</v>
      </c>
      <c r="M170" s="85">
        <v>2.7996545768566494</v>
      </c>
      <c r="N170" s="85">
        <v>1.8805264240180959</v>
      </c>
      <c r="O170" s="85">
        <v>1.8987266535992282</v>
      </c>
      <c r="P170" s="86">
        <v>0.45727058146229133</v>
      </c>
      <c r="Q170" s="86">
        <v>1.8211571675302244E-2</v>
      </c>
      <c r="R170" s="83">
        <v>2856</v>
      </c>
      <c r="S170" s="86">
        <v>5.5621778711484593</v>
      </c>
      <c r="T170" s="85">
        <v>12.605042016806722</v>
      </c>
      <c r="U170" s="85">
        <v>5.26482440990213</v>
      </c>
      <c r="V170" s="87">
        <v>45.66</v>
      </c>
      <c r="W170" s="83"/>
      <c r="X170" s="85"/>
      <c r="Y170" s="83"/>
      <c r="Z170" s="88">
        <v>6.1315255734924433E-2</v>
      </c>
      <c r="AA170" s="89" t="s">
        <v>84</v>
      </c>
      <c r="AB170" s="88">
        <v>0.30555555555555558</v>
      </c>
      <c r="AC170" s="88">
        <v>1.4177777777777778</v>
      </c>
      <c r="AD170" s="88">
        <v>2.4061111111111111</v>
      </c>
      <c r="AE170" s="88">
        <v>0.95111111111111113</v>
      </c>
      <c r="AF170" s="90" t="s">
        <v>81</v>
      </c>
      <c r="AG170" s="91"/>
      <c r="AH170" s="91">
        <v>9500</v>
      </c>
      <c r="AI170" s="91"/>
      <c r="AJ170" s="91"/>
      <c r="AK170" s="91"/>
      <c r="AL170" s="79"/>
      <c r="AM170" s="91"/>
      <c r="AN170" s="92"/>
      <c r="AO170" s="93">
        <f t="shared" si="70"/>
        <v>0.2638888888888889</v>
      </c>
      <c r="AP170" s="94" t="s">
        <v>82</v>
      </c>
      <c r="AQ170" s="83"/>
      <c r="AR170" s="83"/>
      <c r="AS170" s="83"/>
      <c r="AT170" s="83"/>
      <c r="AU170" s="83"/>
      <c r="AV170" s="83"/>
      <c r="AW170" s="83"/>
      <c r="AX170" s="83"/>
      <c r="AY170" s="83">
        <v>26500</v>
      </c>
      <c r="AZ170" s="83"/>
      <c r="BA170" s="83"/>
      <c r="BB170" s="83"/>
      <c r="BC170" s="83"/>
      <c r="BD170" s="83"/>
      <c r="BE170" s="83"/>
      <c r="BF170" s="83"/>
      <c r="BG170" s="83"/>
      <c r="BH170" s="95"/>
      <c r="BI170" s="96">
        <f t="shared" si="71"/>
        <v>0.73611111111111116</v>
      </c>
      <c r="BJ170" s="97">
        <v>2.8340000000000001</v>
      </c>
      <c r="BK170" s="98">
        <v>45</v>
      </c>
      <c r="BL170" s="88">
        <v>4.1500000000000002E-2</v>
      </c>
      <c r="BM170" s="88">
        <v>0.19500000000000001</v>
      </c>
      <c r="BN170" s="88">
        <v>0.4975</v>
      </c>
      <c r="BO170" s="88">
        <v>0.95550000000000002</v>
      </c>
      <c r="BP170" s="88">
        <v>1.5780000000000001</v>
      </c>
      <c r="BQ170" s="88">
        <v>2.036</v>
      </c>
      <c r="BR170" s="88">
        <v>2.4950000000000001</v>
      </c>
      <c r="BS170" s="88">
        <v>2.7810000000000001</v>
      </c>
      <c r="BT170" s="81">
        <v>46</v>
      </c>
      <c r="BU170" s="83"/>
      <c r="BV170" s="99">
        <v>42233</v>
      </c>
      <c r="BW170" s="84">
        <v>0.70915237507711293</v>
      </c>
      <c r="BX170" s="83">
        <v>34384</v>
      </c>
      <c r="BY170" s="83">
        <v>18232</v>
      </c>
      <c r="BZ170" s="84">
        <v>0.53024662633783159</v>
      </c>
      <c r="CA170" s="83">
        <v>90</v>
      </c>
      <c r="CB170" s="83">
        <v>366</v>
      </c>
      <c r="CC170" s="84">
        <v>2.6174965100046535E-3</v>
      </c>
      <c r="CD170" s="84">
        <v>1.0644485807352257E-2</v>
      </c>
    </row>
    <row r="171" spans="1:82" x14ac:dyDescent="0.25">
      <c r="A171" s="79" t="s">
        <v>97</v>
      </c>
      <c r="B171" s="80" t="s">
        <v>80</v>
      </c>
      <c r="C171" s="81">
        <v>878</v>
      </c>
      <c r="D171" s="100">
        <v>562.51</v>
      </c>
      <c r="E171" s="100">
        <v>8193.6608250000008</v>
      </c>
      <c r="F171" s="83">
        <v>18900</v>
      </c>
      <c r="G171" s="83">
        <v>17865</v>
      </c>
      <c r="H171" s="84">
        <f t="shared" ref="H171:H180" si="96">IF(F171=0,0,+((F171-G171)/F171))</f>
        <v>5.4761904761904762E-2</v>
      </c>
      <c r="I171" s="79">
        <v>277</v>
      </c>
      <c r="J171" s="84">
        <f t="shared" ref="J171:J180" si="97">+(I171/F171)</f>
        <v>1.4656084656084657E-2</v>
      </c>
      <c r="K171" s="83">
        <v>54010</v>
      </c>
      <c r="L171" s="83">
        <v>104840</v>
      </c>
      <c r="M171" s="85">
        <f t="shared" ref="M171:M180" si="98">IF(G171=0,0,+K171/G171)</f>
        <v>3.0232297788972851</v>
      </c>
      <c r="N171" s="85">
        <f t="shared" ref="N171:N180" si="99">IF(K171=0,0,+L171/K171)</f>
        <v>1.94112201444177</v>
      </c>
      <c r="O171" s="85">
        <f t="shared" ref="O171:O184" si="100">+L171/((G171-CA171-CB171)*M171)</f>
        <v>1.9601031419852035</v>
      </c>
      <c r="P171" s="86">
        <f>IF(G171=0,0,+E171/G171)</f>
        <v>0.4586432031905962</v>
      </c>
      <c r="Q171" s="86">
        <f>IF(G171=0,0,+D171/G171)</f>
        <v>3.1486705849426255E-2</v>
      </c>
      <c r="R171" s="83">
        <v>1470</v>
      </c>
      <c r="S171" s="86">
        <f>IF(R171=0,0,+E171/R171)</f>
        <v>5.5739189285714295</v>
      </c>
      <c r="T171" s="85">
        <f t="shared" ref="T171:T180" si="101">IF(R171=0,0,+F171/R171)</f>
        <v>12.857142857142858</v>
      </c>
      <c r="U171" s="85">
        <f t="shared" ref="U171:U180" si="102">IF(L171=0,0,+L171/G171)</f>
        <v>5.8684578785334454</v>
      </c>
      <c r="V171" s="87">
        <v>43.59</v>
      </c>
      <c r="W171" s="83"/>
      <c r="X171" s="85"/>
      <c r="Y171" s="83"/>
      <c r="Z171" s="88">
        <f t="shared" ref="Z171:Z180" si="103">IF(V171=0,0,+M171/V171)</f>
        <v>6.9356039892114821E-2</v>
      </c>
      <c r="AA171" s="101" t="str">
        <f t="shared" ref="AA171:AA180" si="104">IF(W171=0,"",+X171/W171)</f>
        <v/>
      </c>
      <c r="AB171" s="102">
        <v>0.31851851851851853</v>
      </c>
      <c r="AC171" s="102">
        <v>1.4201058201058201</v>
      </c>
      <c r="AD171" s="102">
        <v>2.7269841269841271</v>
      </c>
      <c r="AE171" s="102">
        <v>1.0814814814814815</v>
      </c>
      <c r="AF171" s="90" t="s">
        <v>81</v>
      </c>
      <c r="AG171" s="91"/>
      <c r="AH171" s="91"/>
      <c r="AI171" s="91">
        <v>14200</v>
      </c>
      <c r="AJ171" s="91"/>
      <c r="AK171" s="91"/>
      <c r="AL171" s="91">
        <v>4700</v>
      </c>
      <c r="AM171" s="91"/>
      <c r="AN171" s="92"/>
      <c r="AO171" s="93">
        <f t="shared" si="70"/>
        <v>1</v>
      </c>
      <c r="AP171" s="94" t="s">
        <v>82</v>
      </c>
      <c r="AQ171" s="83"/>
      <c r="AR171" s="83"/>
      <c r="AS171" s="83"/>
      <c r="AT171" s="83"/>
      <c r="AU171" s="83"/>
      <c r="AV171" s="83"/>
      <c r="AW171" s="83"/>
      <c r="AX171" s="83"/>
      <c r="AY171" s="83"/>
      <c r="AZ171" s="83"/>
      <c r="BA171" s="83"/>
      <c r="BB171" s="83"/>
      <c r="BC171" s="83"/>
      <c r="BD171" s="83"/>
      <c r="BE171" s="83"/>
      <c r="BF171" s="83"/>
      <c r="BG171" s="83"/>
      <c r="BH171" s="95"/>
      <c r="BI171" s="96">
        <f t="shared" si="71"/>
        <v>0</v>
      </c>
      <c r="BJ171" s="97">
        <v>3.008</v>
      </c>
      <c r="BK171" s="98">
        <v>43</v>
      </c>
      <c r="BL171" s="113"/>
      <c r="BM171" s="113"/>
      <c r="BN171" s="113"/>
      <c r="BO171" s="113">
        <v>1.08</v>
      </c>
      <c r="BP171" s="113">
        <v>1.46</v>
      </c>
      <c r="BQ171" s="113">
        <v>2.2000000000000002</v>
      </c>
      <c r="BR171" s="113"/>
      <c r="BS171" s="113">
        <v>3.0369999999999999</v>
      </c>
      <c r="BT171" s="81">
        <v>44</v>
      </c>
      <c r="BU171" s="83"/>
      <c r="BV171" s="104">
        <v>42368</v>
      </c>
      <c r="BW171" s="84">
        <v>0.70331420107387521</v>
      </c>
      <c r="BX171" s="83">
        <v>17612</v>
      </c>
      <c r="BY171" s="83">
        <v>5533</v>
      </c>
      <c r="BZ171" s="84">
        <v>0.31416079945491709</v>
      </c>
      <c r="CA171" s="83">
        <v>88</v>
      </c>
      <c r="CB171" s="83">
        <v>85</v>
      </c>
      <c r="CC171" s="84">
        <v>4.9965932318873493E-3</v>
      </c>
      <c r="CD171" s="84">
        <v>4.8262548262548262E-3</v>
      </c>
    </row>
    <row r="172" spans="1:82" x14ac:dyDescent="0.25">
      <c r="A172" s="79" t="s">
        <v>121</v>
      </c>
      <c r="B172" s="80" t="s">
        <v>97</v>
      </c>
      <c r="C172" s="81">
        <v>870</v>
      </c>
      <c r="D172" s="108">
        <v>2168.79</v>
      </c>
      <c r="E172" s="108">
        <f>22198.55+U172+V172</f>
        <v>22245.090650781163</v>
      </c>
      <c r="F172" s="83">
        <v>48200</v>
      </c>
      <c r="G172" s="83">
        <v>44485</v>
      </c>
      <c r="H172" s="84">
        <f t="shared" si="96"/>
        <v>7.7074688796680502E-2</v>
      </c>
      <c r="I172" s="79">
        <v>1492</v>
      </c>
      <c r="J172" s="84">
        <f t="shared" si="97"/>
        <v>3.0954356846473029E-2</v>
      </c>
      <c r="K172" s="83">
        <v>126050</v>
      </c>
      <c r="L172" s="83">
        <v>219340</v>
      </c>
      <c r="M172" s="85">
        <f t="shared" si="98"/>
        <v>2.8335393953017873</v>
      </c>
      <c r="N172" s="85">
        <f t="shared" si="99"/>
        <v>1.7401031336771122</v>
      </c>
      <c r="O172" s="85">
        <f t="shared" si="100"/>
        <v>1.7666717158486929</v>
      </c>
      <c r="P172" s="86">
        <f>+E172/G172</f>
        <v>0.50005823650176828</v>
      </c>
      <c r="Q172" s="86">
        <f>+D172/G172</f>
        <v>4.8753287625042149E-2</v>
      </c>
      <c r="R172" s="83">
        <v>3990</v>
      </c>
      <c r="S172" s="106">
        <f>+E172/R172</f>
        <v>5.5752106894188378</v>
      </c>
      <c r="T172" s="85">
        <f t="shared" si="101"/>
        <v>12.080200501253133</v>
      </c>
      <c r="U172" s="85">
        <f t="shared" si="102"/>
        <v>4.9306507811621891</v>
      </c>
      <c r="V172" s="87">
        <v>41.61</v>
      </c>
      <c r="W172" s="83"/>
      <c r="X172" s="85"/>
      <c r="Y172" s="83"/>
      <c r="Z172" s="88">
        <f t="shared" si="103"/>
        <v>6.8097558166349131E-2</v>
      </c>
      <c r="AA172" s="109" t="str">
        <f t="shared" si="104"/>
        <v/>
      </c>
      <c r="AB172" s="88">
        <v>0.29294605809128632</v>
      </c>
      <c r="AC172" s="88">
        <v>1.3639004149377594</v>
      </c>
      <c r="AD172" s="88">
        <v>2.5165975103734439</v>
      </c>
      <c r="AE172" s="88">
        <v>0.37717842323651452</v>
      </c>
      <c r="AF172" s="90" t="s">
        <v>81</v>
      </c>
      <c r="AG172" s="91"/>
      <c r="AH172" s="91"/>
      <c r="AI172" s="91"/>
      <c r="AJ172" s="91"/>
      <c r="AK172" s="91"/>
      <c r="AL172" s="110"/>
      <c r="AM172" s="91"/>
      <c r="AN172" s="92"/>
      <c r="AO172" s="93">
        <f t="shared" si="70"/>
        <v>0</v>
      </c>
      <c r="AP172" s="94" t="s">
        <v>82</v>
      </c>
      <c r="AQ172" s="91"/>
      <c r="AR172" s="83"/>
      <c r="AS172" s="83"/>
      <c r="AT172" s="83"/>
      <c r="AU172" s="83"/>
      <c r="AV172" s="83"/>
      <c r="AW172" s="110"/>
      <c r="AX172" s="83"/>
      <c r="AY172" s="83"/>
      <c r="AZ172" s="83">
        <v>48200</v>
      </c>
      <c r="BA172" s="83"/>
      <c r="BB172" s="83"/>
      <c r="BC172" s="83"/>
      <c r="BD172" s="83"/>
      <c r="BE172" s="83"/>
      <c r="BF172" s="83"/>
      <c r="BG172" s="83"/>
      <c r="BH172" s="95"/>
      <c r="BI172" s="96">
        <f t="shared" si="71"/>
        <v>1</v>
      </c>
      <c r="BJ172" s="97">
        <v>2.7709999999999999</v>
      </c>
      <c r="BK172" s="98">
        <v>40</v>
      </c>
      <c r="BL172" s="88">
        <v>3.7999999999999999E-2</v>
      </c>
      <c r="BM172" s="88">
        <v>0.1925</v>
      </c>
      <c r="BN172" s="88">
        <v>0.47249999999999998</v>
      </c>
      <c r="BO172" s="88">
        <v>0.83</v>
      </c>
      <c r="BP172" s="88">
        <v>0</v>
      </c>
      <c r="BQ172" s="88">
        <v>0</v>
      </c>
      <c r="BR172" s="88">
        <v>0</v>
      </c>
      <c r="BS172" s="88">
        <v>2.8380000000000001</v>
      </c>
      <c r="BT172" s="81">
        <v>43</v>
      </c>
      <c r="BU172" s="83"/>
      <c r="BV172" s="99">
        <v>42050</v>
      </c>
      <c r="BW172" s="84">
        <v>0.68881745339151135</v>
      </c>
      <c r="BX172" s="83">
        <v>43712</v>
      </c>
      <c r="BY172" s="83">
        <v>18776</v>
      </c>
      <c r="BZ172" s="84">
        <v>0.42953879941434847</v>
      </c>
      <c r="CA172" s="83">
        <v>286</v>
      </c>
      <c r="CB172" s="83">
        <v>383</v>
      </c>
      <c r="CC172" s="84">
        <v>6.5428257686676429E-3</v>
      </c>
      <c r="CD172" s="84">
        <v>8.7618960468521228E-3</v>
      </c>
    </row>
    <row r="173" spans="1:82" x14ac:dyDescent="0.25">
      <c r="A173" s="79" t="s">
        <v>127</v>
      </c>
      <c r="B173" s="80" t="s">
        <v>86</v>
      </c>
      <c r="C173" s="81">
        <v>736</v>
      </c>
      <c r="D173" s="108">
        <v>2936.42</v>
      </c>
      <c r="E173" s="108">
        <v>33752.589999999997</v>
      </c>
      <c r="F173" s="83">
        <v>87300</v>
      </c>
      <c r="G173" s="83">
        <v>80578</v>
      </c>
      <c r="H173" s="84">
        <f t="shared" si="96"/>
        <v>7.6998854524627722E-2</v>
      </c>
      <c r="I173" s="79">
        <f>2016+624+813+63</f>
        <v>3516</v>
      </c>
      <c r="J173" s="84">
        <f t="shared" si="97"/>
        <v>4.027491408934708E-2</v>
      </c>
      <c r="K173" s="83">
        <v>219450</v>
      </c>
      <c r="L173" s="83">
        <v>403740</v>
      </c>
      <c r="M173" s="85">
        <f t="shared" si="98"/>
        <v>2.7234480875673261</v>
      </c>
      <c r="N173" s="85">
        <f t="shared" si="99"/>
        <v>1.8397812713602186</v>
      </c>
      <c r="O173" s="85">
        <f t="shared" si="100"/>
        <v>1.8641420343748971</v>
      </c>
      <c r="P173" s="86">
        <f>+E173/G173</f>
        <v>0.41888096006354086</v>
      </c>
      <c r="Q173" s="86">
        <f>+D173/G173</f>
        <v>3.6441956861674403E-2</v>
      </c>
      <c r="R173" s="83">
        <v>6053</v>
      </c>
      <c r="S173" s="86">
        <f>+E173/R173</f>
        <v>5.5761754501899876</v>
      </c>
      <c r="T173" s="85">
        <f t="shared" si="101"/>
        <v>14.422600363456137</v>
      </c>
      <c r="U173" s="85">
        <f t="shared" si="102"/>
        <v>5.0105487850281714</v>
      </c>
      <c r="V173" s="87">
        <v>44.13</v>
      </c>
      <c r="W173" s="83">
        <v>35</v>
      </c>
      <c r="X173" s="85">
        <v>1.9239999999999999</v>
      </c>
      <c r="Y173" s="83">
        <v>8000</v>
      </c>
      <c r="Z173" s="88">
        <f t="shared" si="103"/>
        <v>6.1714210006057695E-2</v>
      </c>
      <c r="AA173" s="109">
        <f t="shared" si="104"/>
        <v>5.4971428571428567E-2</v>
      </c>
      <c r="AB173" s="88">
        <v>0.32700000000000001</v>
      </c>
      <c r="AC173" s="88">
        <v>1.456</v>
      </c>
      <c r="AD173" s="88">
        <v>2.113</v>
      </c>
      <c r="AE173" s="88">
        <v>0.72899999999999998</v>
      </c>
      <c r="AF173" s="90" t="s">
        <v>81</v>
      </c>
      <c r="AG173" s="91"/>
      <c r="AH173" s="91"/>
      <c r="AI173" s="91"/>
      <c r="AJ173" s="91"/>
      <c r="AK173" s="91"/>
      <c r="AL173" s="110"/>
      <c r="AM173" s="83">
        <v>25300</v>
      </c>
      <c r="AN173" s="92"/>
      <c r="AO173" s="93">
        <f t="shared" si="70"/>
        <v>0.28980526918671251</v>
      </c>
      <c r="AP173" s="94" t="s">
        <v>82</v>
      </c>
      <c r="AQ173" s="91"/>
      <c r="AR173" s="83">
        <v>5200</v>
      </c>
      <c r="AS173" s="83"/>
      <c r="AT173" s="83"/>
      <c r="AU173" s="91"/>
      <c r="AV173" s="83">
        <f>27000+16700</f>
        <v>43700</v>
      </c>
      <c r="AW173" s="110"/>
      <c r="AX173" s="83"/>
      <c r="AY173" s="91"/>
      <c r="AZ173" s="83">
        <v>13100</v>
      </c>
      <c r="BA173" s="83"/>
      <c r="BB173" s="83"/>
      <c r="BC173" s="83"/>
      <c r="BD173" s="83"/>
      <c r="BE173" s="83"/>
      <c r="BF173" s="83"/>
      <c r="BG173" s="83"/>
      <c r="BH173" s="95"/>
      <c r="BI173" s="96">
        <f t="shared" si="71"/>
        <v>0.71019473081328754</v>
      </c>
      <c r="BJ173" s="97">
        <v>2.7549999999999999</v>
      </c>
      <c r="BK173" s="98">
        <v>41</v>
      </c>
      <c r="BL173" s="88">
        <v>0.04</v>
      </c>
      <c r="BM173" s="88">
        <v>0.1565</v>
      </c>
      <c r="BN173" s="88">
        <v>0.42649999999999999</v>
      </c>
      <c r="BO173" s="88">
        <v>0.88</v>
      </c>
      <c r="BP173" s="88">
        <v>1.478</v>
      </c>
      <c r="BQ173" s="88">
        <v>2.0369999999999999</v>
      </c>
      <c r="BR173" s="88"/>
      <c r="BS173" s="88">
        <v>2.8</v>
      </c>
      <c r="BT173" s="81">
        <v>47</v>
      </c>
      <c r="BU173" s="83">
        <v>13000</v>
      </c>
      <c r="BV173" s="99">
        <v>42071</v>
      </c>
      <c r="BW173" s="84">
        <v>0.70019793198079006</v>
      </c>
      <c r="BX173" s="83">
        <v>71592</v>
      </c>
      <c r="BY173" s="83">
        <v>31616</v>
      </c>
      <c r="BZ173" s="84">
        <v>0.44161358811040341</v>
      </c>
      <c r="CA173" s="83">
        <v>475</v>
      </c>
      <c r="CB173" s="83">
        <v>578</v>
      </c>
      <c r="CC173" s="84">
        <v>6.6348195329087051E-3</v>
      </c>
      <c r="CD173" s="84">
        <v>8.0735277684657498E-3</v>
      </c>
    </row>
    <row r="174" spans="1:82" x14ac:dyDescent="0.25">
      <c r="A174" s="79" t="s">
        <v>123</v>
      </c>
      <c r="B174" s="80" t="s">
        <v>80</v>
      </c>
      <c r="C174" s="81">
        <v>830</v>
      </c>
      <c r="D174" s="108">
        <v>629.44000000000005</v>
      </c>
      <c r="E174" s="108">
        <v>9368.6418000000012</v>
      </c>
      <c r="F174" s="83">
        <v>24000</v>
      </c>
      <c r="G174" s="83">
        <v>23160</v>
      </c>
      <c r="H174" s="84">
        <f t="shared" si="96"/>
        <v>3.5000000000000003E-2</v>
      </c>
      <c r="I174" s="79">
        <v>217</v>
      </c>
      <c r="J174" s="84">
        <f t="shared" si="97"/>
        <v>9.0416666666666666E-3</v>
      </c>
      <c r="K174" s="83">
        <v>57480</v>
      </c>
      <c r="L174" s="83">
        <v>104560</v>
      </c>
      <c r="M174" s="85">
        <f t="shared" si="98"/>
        <v>2.4818652849740932</v>
      </c>
      <c r="N174" s="85">
        <f t="shared" si="99"/>
        <v>1.8190675017397355</v>
      </c>
      <c r="O174" s="85">
        <f t="shared" si="100"/>
        <v>1.8453615129343968</v>
      </c>
      <c r="P174" s="86">
        <f>+E174/G174</f>
        <v>0.40451821243523323</v>
      </c>
      <c r="Q174" s="86">
        <f>+D174/G174</f>
        <v>2.7177892918825563E-2</v>
      </c>
      <c r="R174" s="83">
        <v>1680</v>
      </c>
      <c r="S174" s="86">
        <f>+E174/R174</f>
        <v>5.576572500000001</v>
      </c>
      <c r="T174" s="85">
        <f t="shared" si="101"/>
        <v>14.285714285714286</v>
      </c>
      <c r="U174" s="85">
        <f t="shared" si="102"/>
        <v>4.514680483592401</v>
      </c>
      <c r="V174" s="87">
        <v>43</v>
      </c>
      <c r="W174" s="83">
        <v>30</v>
      </c>
      <c r="X174" s="85">
        <v>1.7330000000000001</v>
      </c>
      <c r="Y174" s="83">
        <v>8000</v>
      </c>
      <c r="Z174" s="88">
        <f t="shared" si="103"/>
        <v>5.7717797324978913E-2</v>
      </c>
      <c r="AA174" s="109">
        <f t="shared" si="104"/>
        <v>5.7766666666666668E-2</v>
      </c>
      <c r="AB174" s="88">
        <v>0.31583333333333335</v>
      </c>
      <c r="AC174" s="88">
        <v>1.4658333333333333</v>
      </c>
      <c r="AD174" s="88">
        <v>2.1800000000000002</v>
      </c>
      <c r="AE174" s="88">
        <v>0.39500000000000002</v>
      </c>
      <c r="AF174" s="90" t="s">
        <v>81</v>
      </c>
      <c r="AG174" s="91"/>
      <c r="AH174" s="91"/>
      <c r="AI174" s="91"/>
      <c r="AJ174" s="91"/>
      <c r="AK174" s="91"/>
      <c r="AL174" s="110"/>
      <c r="AM174" s="83">
        <v>24000</v>
      </c>
      <c r="AN174" s="92"/>
      <c r="AO174" s="93">
        <f t="shared" si="70"/>
        <v>1</v>
      </c>
      <c r="AP174" s="94" t="s">
        <v>82</v>
      </c>
      <c r="AQ174" s="91"/>
      <c r="AR174" s="83"/>
      <c r="AS174" s="83"/>
      <c r="AT174" s="83"/>
      <c r="AU174" s="91"/>
      <c r="AV174" s="83"/>
      <c r="AW174" s="110"/>
      <c r="AX174" s="83"/>
      <c r="AY174" s="91"/>
      <c r="AZ174" s="83"/>
      <c r="BA174" s="83"/>
      <c r="BB174" s="83"/>
      <c r="BC174" s="83"/>
      <c r="BD174" s="83"/>
      <c r="BE174" s="83"/>
      <c r="BF174" s="83"/>
      <c r="BG174" s="83"/>
      <c r="BH174" s="95"/>
      <c r="BI174" s="96">
        <f t="shared" si="71"/>
        <v>0</v>
      </c>
      <c r="BJ174" s="97">
        <v>2.8769999999999998</v>
      </c>
      <c r="BK174" s="98">
        <v>43</v>
      </c>
      <c r="BL174" s="88">
        <v>4.2000000000000003E-2</v>
      </c>
      <c r="BM174" s="88">
        <v>0.16500000000000001</v>
      </c>
      <c r="BN174" s="88">
        <v>0.57999999999999996</v>
      </c>
      <c r="BO174" s="88">
        <v>0.9</v>
      </c>
      <c r="BP174" s="88">
        <v>1.6</v>
      </c>
      <c r="BQ174" s="88">
        <v>2.2999999999999998</v>
      </c>
      <c r="BR174" s="88"/>
      <c r="BS174" s="88">
        <v>2.8769999999999998</v>
      </c>
      <c r="BT174" s="81">
        <v>43</v>
      </c>
      <c r="BU174" s="83">
        <v>1000</v>
      </c>
      <c r="BV174" s="99">
        <v>42081</v>
      </c>
      <c r="BW174" s="84">
        <v>0.69153874369555246</v>
      </c>
      <c r="BX174" s="83">
        <v>14708</v>
      </c>
      <c r="BY174" s="83">
        <v>3568</v>
      </c>
      <c r="BZ174" s="84">
        <v>0.24258906717432691</v>
      </c>
      <c r="CA174" s="83">
        <v>120</v>
      </c>
      <c r="CB174" s="83">
        <v>210</v>
      </c>
      <c r="CC174" s="84">
        <v>8.158825129181398E-3</v>
      </c>
      <c r="CD174" s="84">
        <v>1.4277943976067447E-2</v>
      </c>
    </row>
    <row r="175" spans="1:82" x14ac:dyDescent="0.25">
      <c r="A175" s="79" t="s">
        <v>114</v>
      </c>
      <c r="B175" s="80" t="s">
        <v>115</v>
      </c>
      <c r="C175" s="81">
        <v>657</v>
      </c>
      <c r="D175" s="108">
        <v>1841.25</v>
      </c>
      <c r="E175" s="108">
        <v>14385.84886</v>
      </c>
      <c r="F175" s="83">
        <v>35000</v>
      </c>
      <c r="G175" s="83">
        <v>33132</v>
      </c>
      <c r="H175" s="84">
        <f t="shared" si="96"/>
        <v>5.337142857142857E-2</v>
      </c>
      <c r="I175" s="79">
        <f>472+209</f>
        <v>681</v>
      </c>
      <c r="J175" s="84">
        <f t="shared" si="97"/>
        <v>1.9457142857142857E-2</v>
      </c>
      <c r="K175" s="83">
        <v>83980</v>
      </c>
      <c r="L175" s="83">
        <v>148320</v>
      </c>
      <c r="M175" s="85">
        <f t="shared" si="98"/>
        <v>2.5347096462634311</v>
      </c>
      <c r="N175" s="85">
        <f t="shared" si="99"/>
        <v>1.766134793998571</v>
      </c>
      <c r="O175" s="85">
        <f t="shared" si="100"/>
        <v>1.7866260990095464</v>
      </c>
      <c r="P175" s="86">
        <f>+E175/G175</f>
        <v>0.43419802185198597</v>
      </c>
      <c r="Q175" s="86">
        <f>+D175/G175</f>
        <v>5.5573161897863092E-2</v>
      </c>
      <c r="R175" s="83">
        <v>2566</v>
      </c>
      <c r="S175" s="86">
        <f>+E175/R175</f>
        <v>5.6063323694466094</v>
      </c>
      <c r="T175" s="85">
        <f t="shared" si="101"/>
        <v>13.639906469212782</v>
      </c>
      <c r="U175" s="85">
        <f t="shared" si="102"/>
        <v>4.4766388989496555</v>
      </c>
      <c r="V175" s="87">
        <v>41</v>
      </c>
      <c r="W175" s="83">
        <v>30</v>
      </c>
      <c r="X175" s="85">
        <v>1.7549999999999999</v>
      </c>
      <c r="Y175" s="83">
        <v>8000</v>
      </c>
      <c r="Z175" s="88">
        <f t="shared" si="103"/>
        <v>6.1822186494230026E-2</v>
      </c>
      <c r="AA175" s="109">
        <f t="shared" si="104"/>
        <v>5.8499999999999996E-2</v>
      </c>
      <c r="AB175" s="88">
        <v>0.32228571428571429</v>
      </c>
      <c r="AC175" s="88">
        <v>1.3971428571428572</v>
      </c>
      <c r="AD175" s="88">
        <v>2.1194285714285712</v>
      </c>
      <c r="AE175" s="88">
        <v>0.39885714285714285</v>
      </c>
      <c r="AF175" s="90" t="s">
        <v>81</v>
      </c>
      <c r="AG175" s="91"/>
      <c r="AH175" s="91"/>
      <c r="AI175" s="91"/>
      <c r="AJ175" s="91"/>
      <c r="AK175" s="91"/>
      <c r="AL175" s="110"/>
      <c r="AM175" s="83"/>
      <c r="AN175" s="92"/>
      <c r="AO175" s="93">
        <f t="shared" si="70"/>
        <v>0</v>
      </c>
      <c r="AP175" s="94" t="s">
        <v>82</v>
      </c>
      <c r="AQ175" s="91"/>
      <c r="AR175" s="83"/>
      <c r="AS175" s="83"/>
      <c r="AT175" s="83"/>
      <c r="AU175" s="91"/>
      <c r="AV175" s="83">
        <v>5400</v>
      </c>
      <c r="AW175" s="110"/>
      <c r="AX175" s="83"/>
      <c r="AY175" s="91"/>
      <c r="AZ175" s="83"/>
      <c r="BA175" s="83">
        <f>6100+23500</f>
        <v>29600</v>
      </c>
      <c r="BB175" s="83"/>
      <c r="BC175" s="83"/>
      <c r="BD175" s="83"/>
      <c r="BE175" s="83"/>
      <c r="BF175" s="83"/>
      <c r="BG175" s="83"/>
      <c r="BH175" s="95"/>
      <c r="BI175" s="96">
        <f t="shared" si="71"/>
        <v>1</v>
      </c>
      <c r="BJ175" s="97">
        <v>2.782</v>
      </c>
      <c r="BK175" s="98">
        <v>41</v>
      </c>
      <c r="BL175" s="88">
        <v>0.40500000000000003</v>
      </c>
      <c r="BM175" s="88">
        <v>0.1875</v>
      </c>
      <c r="BN175" s="88">
        <v>0.47349999999999998</v>
      </c>
      <c r="BO175" s="88">
        <v>0.91749999999999998</v>
      </c>
      <c r="BP175" s="88">
        <v>1.4690000000000001</v>
      </c>
      <c r="BQ175" s="88">
        <v>2.1</v>
      </c>
      <c r="BR175" s="88">
        <v>2.782</v>
      </c>
      <c r="BS175" s="88">
        <v>2.782</v>
      </c>
      <c r="BT175" s="81">
        <v>41</v>
      </c>
      <c r="BU175" s="83">
        <v>1500</v>
      </c>
      <c r="BV175" s="99">
        <v>42072</v>
      </c>
      <c r="BW175" s="84">
        <f>48877.84/69940</f>
        <v>0.69885387474978544</v>
      </c>
      <c r="BX175" s="83">
        <v>24738</v>
      </c>
      <c r="BY175" s="83">
        <v>7552</v>
      </c>
      <c r="BZ175" s="84">
        <f>+BY175/BX175</f>
        <v>0.30527932735063468</v>
      </c>
      <c r="CA175" s="83">
        <v>193</v>
      </c>
      <c r="CB175" s="83">
        <v>187</v>
      </c>
      <c r="CC175" s="84">
        <f>+CA175/25132</f>
        <v>7.679452490848321E-3</v>
      </c>
      <c r="CD175" s="84">
        <f>+CB175/25132</f>
        <v>7.44071303517428E-3</v>
      </c>
    </row>
    <row r="176" spans="1:82" x14ac:dyDescent="0.25">
      <c r="A176" s="79" t="s">
        <v>112</v>
      </c>
      <c r="B176" s="80" t="s">
        <v>80</v>
      </c>
      <c r="C176" s="81">
        <v>820</v>
      </c>
      <c r="D176" s="108">
        <v>3302.9</v>
      </c>
      <c r="E176" s="108">
        <v>24766.722109999999</v>
      </c>
      <c r="F176" s="83">
        <v>51500</v>
      </c>
      <c r="G176" s="83">
        <v>48782</v>
      </c>
      <c r="H176" s="84">
        <f t="shared" si="96"/>
        <v>5.2776699029126212E-2</v>
      </c>
      <c r="I176" s="79">
        <v>460</v>
      </c>
      <c r="J176" s="84">
        <f t="shared" si="97"/>
        <v>8.9320388349514567E-3</v>
      </c>
      <c r="K176" s="83">
        <v>140410</v>
      </c>
      <c r="L176" s="83">
        <v>250940</v>
      </c>
      <c r="M176" s="85">
        <f t="shared" si="98"/>
        <v>2.8783157722110615</v>
      </c>
      <c r="N176" s="85">
        <f t="shared" si="99"/>
        <v>1.7871946442561071</v>
      </c>
      <c r="O176" s="85">
        <f t="shared" si="100"/>
        <v>1.8033121485976382</v>
      </c>
      <c r="P176" s="86">
        <f>IF(G176=0,0,+E176/G176)</f>
        <v>0.50770206449100075</v>
      </c>
      <c r="Q176" s="86">
        <f>IF(G176=0,0,+D176/G176)</f>
        <v>6.770735107211677E-2</v>
      </c>
      <c r="R176" s="83">
        <v>4400</v>
      </c>
      <c r="S176" s="86">
        <f>IF(R176=0,0,+E176/R176)</f>
        <v>5.628800479545454</v>
      </c>
      <c r="T176" s="85">
        <f t="shared" si="101"/>
        <v>11.704545454545455</v>
      </c>
      <c r="U176" s="85">
        <f t="shared" si="102"/>
        <v>5.1441105325734906</v>
      </c>
      <c r="V176" s="87">
        <v>40.369999999999997</v>
      </c>
      <c r="W176" s="83"/>
      <c r="X176" s="85"/>
      <c r="Y176" s="83"/>
      <c r="Z176" s="88">
        <f t="shared" si="103"/>
        <v>7.1298384250955207E-2</v>
      </c>
      <c r="AA176" s="109" t="str">
        <f t="shared" si="104"/>
        <v/>
      </c>
      <c r="AB176" s="88">
        <v>0.29087378640776701</v>
      </c>
      <c r="AC176" s="88">
        <v>1.4609708737864078</v>
      </c>
      <c r="AD176" s="88">
        <v>2.283883495145631</v>
      </c>
      <c r="AE176" s="88">
        <v>0.8368932038834952</v>
      </c>
      <c r="AF176" s="90" t="s">
        <v>81</v>
      </c>
      <c r="AG176" s="91"/>
      <c r="AH176" s="83"/>
      <c r="AI176" s="91"/>
      <c r="AJ176" s="91"/>
      <c r="AK176" s="91"/>
      <c r="AL176" s="110"/>
      <c r="AM176" s="91"/>
      <c r="AN176" s="92"/>
      <c r="AO176" s="93">
        <f t="shared" si="70"/>
        <v>0</v>
      </c>
      <c r="AP176" s="94" t="s">
        <v>82</v>
      </c>
      <c r="AQ176" s="91"/>
      <c r="AR176" s="83"/>
      <c r="AS176" s="83"/>
      <c r="AT176" s="83"/>
      <c r="AU176" s="83"/>
      <c r="AV176" s="83"/>
      <c r="AW176" s="110"/>
      <c r="AX176" s="83"/>
      <c r="AY176" s="83"/>
      <c r="AZ176" s="83">
        <v>49300</v>
      </c>
      <c r="BA176" s="83"/>
      <c r="BB176" s="83"/>
      <c r="BC176" s="83"/>
      <c r="BD176" s="83"/>
      <c r="BE176" s="83"/>
      <c r="BF176" s="91">
        <v>2200</v>
      </c>
      <c r="BG176" s="83"/>
      <c r="BH176" s="95"/>
      <c r="BI176" s="96">
        <f t="shared" si="71"/>
        <v>1</v>
      </c>
      <c r="BJ176" s="97">
        <v>2.7530000000000001</v>
      </c>
      <c r="BK176" s="98">
        <v>33</v>
      </c>
      <c r="BL176" s="88">
        <v>5.7000000000000002E-2</v>
      </c>
      <c r="BM176" s="88">
        <v>0.185</v>
      </c>
      <c r="BN176" s="88">
        <v>0.46500000000000002</v>
      </c>
      <c r="BO176" s="88">
        <v>0.94399999999999995</v>
      </c>
      <c r="BP176" s="88">
        <v>1.5269999999999999</v>
      </c>
      <c r="BQ176" s="88">
        <v>2.125</v>
      </c>
      <c r="BR176" s="88"/>
      <c r="BS176" s="88">
        <v>2.9470000000000001</v>
      </c>
      <c r="BT176" s="81">
        <v>45</v>
      </c>
      <c r="BU176" s="83"/>
      <c r="BV176" s="99">
        <v>42177</v>
      </c>
      <c r="BW176" s="84">
        <v>0.69394466206110672</v>
      </c>
      <c r="BX176" s="83">
        <v>48424</v>
      </c>
      <c r="BY176" s="83">
        <v>20440</v>
      </c>
      <c r="BZ176" s="84">
        <v>0.4221047414505204</v>
      </c>
      <c r="CA176" s="83">
        <v>92</v>
      </c>
      <c r="CB176" s="83">
        <v>344</v>
      </c>
      <c r="CC176" s="84">
        <v>1.899884354865356E-3</v>
      </c>
      <c r="CD176" s="84">
        <v>7.1039154138443743E-3</v>
      </c>
    </row>
    <row r="177" spans="1:82" x14ac:dyDescent="0.25">
      <c r="A177" s="79" t="s">
        <v>100</v>
      </c>
      <c r="B177" s="80" t="s">
        <v>80</v>
      </c>
      <c r="C177" s="81">
        <v>764</v>
      </c>
      <c r="D177" s="100">
        <v>3159.69</v>
      </c>
      <c r="E177" s="100">
        <v>27496.280000000002</v>
      </c>
      <c r="F177" s="83">
        <v>55100</v>
      </c>
      <c r="G177" s="83">
        <v>54210</v>
      </c>
      <c r="H177" s="84">
        <f t="shared" si="96"/>
        <v>1.6152450090744102E-2</v>
      </c>
      <c r="I177" s="79">
        <v>590</v>
      </c>
      <c r="J177" s="84">
        <f t="shared" si="97"/>
        <v>1.0707803992740472E-2</v>
      </c>
      <c r="K177" s="83">
        <v>150180</v>
      </c>
      <c r="L177" s="83">
        <v>267060</v>
      </c>
      <c r="M177" s="85">
        <f t="shared" si="98"/>
        <v>2.7703375760929716</v>
      </c>
      <c r="N177" s="85">
        <f t="shared" si="99"/>
        <v>1.7782660807031563</v>
      </c>
      <c r="O177" s="85">
        <f t="shared" si="100"/>
        <v>1.7868691585556378</v>
      </c>
      <c r="P177" s="86">
        <f>IF(G177=0,0,+E177/G177)</f>
        <v>0.50721785648404361</v>
      </c>
      <c r="Q177" s="86">
        <f>IF(G177=0,0,+D177/G177)</f>
        <v>5.8286109573879356E-2</v>
      </c>
      <c r="R177" s="83">
        <v>4880</v>
      </c>
      <c r="S177" s="86">
        <f>IF(R177=0,0,+E177/R177)</f>
        <v>5.6344836065573771</v>
      </c>
      <c r="T177" s="85">
        <f t="shared" si="101"/>
        <v>11.290983606557377</v>
      </c>
      <c r="U177" s="85">
        <f t="shared" si="102"/>
        <v>4.9263973436635311</v>
      </c>
      <c r="V177" s="87">
        <v>47.59</v>
      </c>
      <c r="W177" s="83"/>
      <c r="X177" s="85"/>
      <c r="Y177" s="83"/>
      <c r="Z177" s="88">
        <f t="shared" si="103"/>
        <v>5.8212598783210161E-2</v>
      </c>
      <c r="AA177" s="101" t="str">
        <f t="shared" si="104"/>
        <v/>
      </c>
      <c r="AB177" s="102">
        <v>0.31034482758620691</v>
      </c>
      <c r="AC177" s="102">
        <v>1.411978221415608</v>
      </c>
      <c r="AD177" s="102">
        <v>2.4148820326678764</v>
      </c>
      <c r="AE177" s="102">
        <v>0.70961887477313979</v>
      </c>
      <c r="AF177" s="90" t="s">
        <v>81</v>
      </c>
      <c r="AG177" s="91"/>
      <c r="AH177" s="91"/>
      <c r="AI177" s="91"/>
      <c r="AJ177" s="91"/>
      <c r="AK177" s="91"/>
      <c r="AL177" s="91"/>
      <c r="AM177" s="91"/>
      <c r="AN177" s="118"/>
      <c r="AO177" s="93">
        <f t="shared" si="70"/>
        <v>0</v>
      </c>
      <c r="AP177" s="94" t="s">
        <v>82</v>
      </c>
      <c r="AQ177" s="91"/>
      <c r="AR177" s="83"/>
      <c r="AS177" s="83"/>
      <c r="AT177" s="83"/>
      <c r="AU177" s="83"/>
      <c r="AV177" s="83"/>
      <c r="AW177" s="83"/>
      <c r="AX177" s="83"/>
      <c r="AY177" s="83"/>
      <c r="AZ177" s="83"/>
      <c r="BA177" s="83"/>
      <c r="BB177" s="83"/>
      <c r="BC177" s="83"/>
      <c r="BD177" s="83">
        <v>55100</v>
      </c>
      <c r="BE177" s="83"/>
      <c r="BF177" s="91"/>
      <c r="BG177" s="83"/>
      <c r="BH177" s="95"/>
      <c r="BI177" s="96">
        <f t="shared" si="71"/>
        <v>1</v>
      </c>
      <c r="BJ177" s="97">
        <v>2.778</v>
      </c>
      <c r="BK177" s="98">
        <v>47</v>
      </c>
      <c r="BL177" s="88">
        <v>3.7499999999999999E-2</v>
      </c>
      <c r="BM177" s="88">
        <v>0.151</v>
      </c>
      <c r="BN177" s="88">
        <v>0.42099999999999999</v>
      </c>
      <c r="BO177" s="88">
        <v>0.86250000000000004</v>
      </c>
      <c r="BP177" s="88">
        <v>1.4</v>
      </c>
      <c r="BQ177" s="88">
        <v>1.6879999999999999</v>
      </c>
      <c r="BR177" s="88">
        <v>2.3879999999999999</v>
      </c>
      <c r="BS177" s="88">
        <v>2.7629999999999999</v>
      </c>
      <c r="BT177" s="81">
        <v>48</v>
      </c>
      <c r="BU177" s="83"/>
      <c r="BV177" s="104">
        <v>42310</v>
      </c>
      <c r="BW177" s="84">
        <v>0.69203056332401114</v>
      </c>
      <c r="BX177" s="83">
        <v>54092</v>
      </c>
      <c r="BY177" s="83">
        <v>31312</v>
      </c>
      <c r="BZ177" s="84">
        <v>0.57886563632330101</v>
      </c>
      <c r="CA177" s="83">
        <v>98</v>
      </c>
      <c r="CB177" s="83">
        <v>163</v>
      </c>
      <c r="CC177" s="84">
        <v>1.8117281668268875E-3</v>
      </c>
      <c r="CD177" s="84">
        <v>3.0133846040079864E-3</v>
      </c>
    </row>
    <row r="178" spans="1:82" x14ac:dyDescent="0.25">
      <c r="A178" s="79" t="s">
        <v>117</v>
      </c>
      <c r="B178" s="80" t="s">
        <v>80</v>
      </c>
      <c r="C178" s="81">
        <v>808</v>
      </c>
      <c r="D178" s="105">
        <v>333.33</v>
      </c>
      <c r="E178" s="105">
        <v>8468.982</v>
      </c>
      <c r="F178" s="83">
        <v>19000</v>
      </c>
      <c r="G178" s="83">
        <v>18400</v>
      </c>
      <c r="H178" s="84">
        <f t="shared" si="96"/>
        <v>3.1578947368421054E-2</v>
      </c>
      <c r="I178" s="79"/>
      <c r="J178" s="84">
        <f t="shared" si="97"/>
        <v>0</v>
      </c>
      <c r="K178" s="83">
        <v>52230</v>
      </c>
      <c r="L178" s="83">
        <v>98140</v>
      </c>
      <c r="M178" s="85">
        <f t="shared" si="98"/>
        <v>2.838586956521739</v>
      </c>
      <c r="N178" s="85">
        <f t="shared" si="99"/>
        <v>1.8789967451656135</v>
      </c>
      <c r="O178" s="85">
        <f t="shared" si="100"/>
        <v>1.905718229029175</v>
      </c>
      <c r="P178" s="86">
        <f>IF(G178=0,0,+E178/G178)</f>
        <v>0.4602707608695652</v>
      </c>
      <c r="Q178" s="86">
        <f>IF(G178=0,0,+D178/G178)</f>
        <v>1.8115760869565217E-2</v>
      </c>
      <c r="R178" s="83">
        <v>1500</v>
      </c>
      <c r="S178" s="86">
        <f>IF(R178=0,0,+E178/R178)</f>
        <v>5.645988</v>
      </c>
      <c r="T178" s="85">
        <f t="shared" si="101"/>
        <v>12.666666666666666</v>
      </c>
      <c r="U178" s="85">
        <f t="shared" si="102"/>
        <v>5.3336956521739127</v>
      </c>
      <c r="V178" s="87">
        <v>44</v>
      </c>
      <c r="W178" s="83"/>
      <c r="X178" s="85"/>
      <c r="Y178" s="83"/>
      <c r="Z178" s="88">
        <f t="shared" si="103"/>
        <v>6.4513339920948612E-2</v>
      </c>
      <c r="AA178" s="107" t="str">
        <f t="shared" si="104"/>
        <v/>
      </c>
      <c r="AB178" s="88">
        <v>0.30210526315789471</v>
      </c>
      <c r="AC178" s="88">
        <v>1.3589473684210527</v>
      </c>
      <c r="AD178" s="88">
        <v>2.4684210526315788</v>
      </c>
      <c r="AE178" s="88">
        <v>1.0357894736842106</v>
      </c>
      <c r="AF178" s="90" t="s">
        <v>81</v>
      </c>
      <c r="AG178" s="116"/>
      <c r="AH178" s="116"/>
      <c r="AI178" s="116"/>
      <c r="AJ178" s="116"/>
      <c r="AK178" s="116"/>
      <c r="AL178" s="79"/>
      <c r="AM178" s="116"/>
      <c r="AN178" s="117"/>
      <c r="AO178" s="93">
        <f t="shared" si="70"/>
        <v>0</v>
      </c>
      <c r="AP178" s="94" t="s">
        <v>82</v>
      </c>
      <c r="AQ178" s="116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>
        <v>19000</v>
      </c>
      <c r="BB178" s="79"/>
      <c r="BC178" s="79"/>
      <c r="BD178" s="79"/>
      <c r="BE178" s="79"/>
      <c r="BF178" s="79"/>
      <c r="BG178" s="79"/>
      <c r="BH178" s="111"/>
      <c r="BI178" s="96">
        <f t="shared" si="71"/>
        <v>1</v>
      </c>
      <c r="BJ178" s="97">
        <v>2.839</v>
      </c>
      <c r="BK178" s="98">
        <v>44</v>
      </c>
      <c r="BL178" s="88">
        <v>3.5999999999999997E-2</v>
      </c>
      <c r="BM178" s="88">
        <v>0.17499999999999999</v>
      </c>
      <c r="BN178" s="88">
        <v>0.38</v>
      </c>
      <c r="BO178" s="88">
        <v>1.05</v>
      </c>
      <c r="BP178" s="88">
        <v>1.34</v>
      </c>
      <c r="BQ178" s="88">
        <v>2.04</v>
      </c>
      <c r="BR178" s="88"/>
      <c r="BS178" s="88">
        <v>2.839</v>
      </c>
      <c r="BT178" s="81">
        <v>44</v>
      </c>
      <c r="BU178" s="83"/>
      <c r="BV178" s="99">
        <v>42005</v>
      </c>
      <c r="BW178" s="84">
        <v>0.69476948114110659</v>
      </c>
      <c r="BX178" s="79">
        <v>18160</v>
      </c>
      <c r="BY178" s="83">
        <v>7648</v>
      </c>
      <c r="BZ178" s="84">
        <v>0.42114537444933919</v>
      </c>
      <c r="CA178" s="83">
        <v>103</v>
      </c>
      <c r="CB178" s="83">
        <v>155</v>
      </c>
      <c r="CC178" s="84">
        <v>5.6718061674008811E-3</v>
      </c>
      <c r="CD178" s="84">
        <v>8.5352422907488991E-3</v>
      </c>
    </row>
    <row r="179" spans="1:82" x14ac:dyDescent="0.25">
      <c r="A179" s="79" t="s">
        <v>99</v>
      </c>
      <c r="B179" s="80" t="s">
        <v>80</v>
      </c>
      <c r="C179" s="81">
        <v>800</v>
      </c>
      <c r="D179" s="105">
        <v>512.84</v>
      </c>
      <c r="E179" s="105">
        <v>17411.862799999999</v>
      </c>
      <c r="F179" s="83">
        <v>38500</v>
      </c>
      <c r="G179" s="83">
        <v>37360</v>
      </c>
      <c r="H179" s="84">
        <f t="shared" si="96"/>
        <v>2.9610389610389611E-2</v>
      </c>
      <c r="I179" s="79"/>
      <c r="J179" s="84">
        <f t="shared" si="97"/>
        <v>0</v>
      </c>
      <c r="K179" s="83">
        <v>105760</v>
      </c>
      <c r="L179" s="83">
        <v>208010</v>
      </c>
      <c r="M179" s="85">
        <f t="shared" si="98"/>
        <v>2.8308351177730193</v>
      </c>
      <c r="N179" s="85">
        <f t="shared" si="99"/>
        <v>1.9668116490166414</v>
      </c>
      <c r="O179" s="85">
        <f t="shared" si="100"/>
        <v>1.9959820505042027</v>
      </c>
      <c r="P179" s="86">
        <f>IF(G179=0,0,+E179/G179)</f>
        <v>0.46605628479657385</v>
      </c>
      <c r="Q179" s="86">
        <f>IF(G179=0,0,+D179/G179)</f>
        <v>1.3726980728051393E-2</v>
      </c>
      <c r="R179" s="83">
        <v>3072</v>
      </c>
      <c r="S179" s="86">
        <f>IF(R179=0,0,+E179/R179)</f>
        <v>5.6679240885416666</v>
      </c>
      <c r="T179" s="85">
        <f t="shared" si="101"/>
        <v>12.532552083333334</v>
      </c>
      <c r="U179" s="85">
        <f t="shared" si="102"/>
        <v>5.5677194860813701</v>
      </c>
      <c r="V179" s="87">
        <v>45.84</v>
      </c>
      <c r="W179" s="83"/>
      <c r="X179" s="85"/>
      <c r="Y179" s="83"/>
      <c r="Z179" s="88">
        <f t="shared" si="103"/>
        <v>6.175469279609553E-2</v>
      </c>
      <c r="AA179" s="107" t="str">
        <f t="shared" si="104"/>
        <v/>
      </c>
      <c r="AB179" s="88">
        <v>0.29350649350649349</v>
      </c>
      <c r="AC179" s="88">
        <v>1.5594805194805195</v>
      </c>
      <c r="AD179" s="88">
        <v>2.2280519480519478</v>
      </c>
      <c r="AE179" s="88">
        <v>1.3218181818181818</v>
      </c>
      <c r="AF179" s="90" t="s">
        <v>81</v>
      </c>
      <c r="AG179" s="116">
        <v>36900</v>
      </c>
      <c r="AH179" s="116"/>
      <c r="AI179" s="116"/>
      <c r="AJ179" s="116"/>
      <c r="AK179" s="116">
        <v>1600</v>
      </c>
      <c r="AL179" s="79"/>
      <c r="AM179" s="116"/>
      <c r="AN179" s="117"/>
      <c r="AO179" s="93">
        <f t="shared" si="70"/>
        <v>1</v>
      </c>
      <c r="AP179" s="94" t="s">
        <v>82</v>
      </c>
      <c r="AQ179" s="116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79"/>
      <c r="BG179" s="79"/>
      <c r="BH179" s="111"/>
      <c r="BI179" s="96">
        <f t="shared" si="71"/>
        <v>0</v>
      </c>
      <c r="BJ179" s="97">
        <v>2.778</v>
      </c>
      <c r="BK179" s="98">
        <v>45</v>
      </c>
      <c r="BL179" s="88">
        <v>4.4999999999999998E-2</v>
      </c>
      <c r="BM179" s="88">
        <v>0.17150000000000001</v>
      </c>
      <c r="BN179" s="88">
        <v>0.503</v>
      </c>
      <c r="BO179" s="88">
        <v>0.98299999999999998</v>
      </c>
      <c r="BP179" s="88">
        <v>1.53</v>
      </c>
      <c r="BQ179" s="88">
        <v>1.97</v>
      </c>
      <c r="BR179" s="88">
        <v>2.5470000000000002</v>
      </c>
      <c r="BS179" s="88">
        <v>2.8250000000000002</v>
      </c>
      <c r="BT179" s="81">
        <v>47</v>
      </c>
      <c r="BU179" s="83">
        <v>7010</v>
      </c>
      <c r="BV179" s="99">
        <v>42010</v>
      </c>
      <c r="BW179" s="84">
        <v>0.69297409228441753</v>
      </c>
      <c r="BX179" s="79">
        <v>36829</v>
      </c>
      <c r="BY179" s="83">
        <v>14896</v>
      </c>
      <c r="BZ179" s="84">
        <v>0.40446387357788699</v>
      </c>
      <c r="CA179" s="83">
        <v>206</v>
      </c>
      <c r="CB179" s="83">
        <v>340</v>
      </c>
      <c r="CC179" s="84">
        <v>5.5934182301990275E-3</v>
      </c>
      <c r="CD179" s="84">
        <v>9.2318553313964543E-3</v>
      </c>
    </row>
    <row r="180" spans="1:82" x14ac:dyDescent="0.25">
      <c r="A180" s="79" t="s">
        <v>99</v>
      </c>
      <c r="B180" s="80" t="s">
        <v>80</v>
      </c>
      <c r="C180" s="81">
        <v>800</v>
      </c>
      <c r="D180" s="108">
        <v>704.82</v>
      </c>
      <c r="E180" s="108">
        <v>17495.559269999998</v>
      </c>
      <c r="F180" s="83">
        <v>35600</v>
      </c>
      <c r="G180" s="83">
        <v>34374</v>
      </c>
      <c r="H180" s="84">
        <f t="shared" si="96"/>
        <v>3.4438202247191012E-2</v>
      </c>
      <c r="I180" s="79">
        <f>99+73+56</f>
        <v>228</v>
      </c>
      <c r="J180" s="84">
        <f t="shared" si="97"/>
        <v>6.404494382022472E-3</v>
      </c>
      <c r="K180" s="83">
        <v>92080</v>
      </c>
      <c r="L180" s="83">
        <v>161020</v>
      </c>
      <c r="M180" s="85">
        <f t="shared" si="98"/>
        <v>2.6787688369116194</v>
      </c>
      <c r="N180" s="85">
        <f t="shared" si="99"/>
        <v>1.7486967854039965</v>
      </c>
      <c r="O180" s="85">
        <f t="shared" si="100"/>
        <v>1.7742466808783308</v>
      </c>
      <c r="P180" s="86">
        <f>+E180/G180</f>
        <v>0.50897653080816896</v>
      </c>
      <c r="Q180" s="86">
        <f>+D180/G180</f>
        <v>2.050445103857567E-2</v>
      </c>
      <c r="R180" s="83">
        <v>3072</v>
      </c>
      <c r="S180" s="86">
        <f>+E180/R180</f>
        <v>5.6951690332031246</v>
      </c>
      <c r="T180" s="85">
        <f t="shared" si="101"/>
        <v>11.588541666666666</v>
      </c>
      <c r="U180" s="85">
        <f t="shared" si="102"/>
        <v>4.6843544539477513</v>
      </c>
      <c r="V180" s="87">
        <v>41</v>
      </c>
      <c r="W180" s="83"/>
      <c r="X180" s="85"/>
      <c r="Y180" s="83"/>
      <c r="Z180" s="88">
        <f t="shared" si="103"/>
        <v>6.5335825290527297E-2</v>
      </c>
      <c r="AA180" s="109" t="str">
        <f t="shared" si="104"/>
        <v/>
      </c>
      <c r="AB180" s="88">
        <v>0.32415730337078652</v>
      </c>
      <c r="AC180" s="88">
        <v>1.4657303370786516</v>
      </c>
      <c r="AD180" s="88">
        <v>2.3466292134831459</v>
      </c>
      <c r="AE180" s="88">
        <v>0.38651685393258428</v>
      </c>
      <c r="AF180" s="90" t="s">
        <v>81</v>
      </c>
      <c r="AG180" s="91"/>
      <c r="AH180" s="91"/>
      <c r="AI180" s="91"/>
      <c r="AJ180" s="91"/>
      <c r="AK180" s="91"/>
      <c r="AL180" s="110"/>
      <c r="AM180" s="83">
        <f>11900+3700</f>
        <v>15600</v>
      </c>
      <c r="AN180" s="92"/>
      <c r="AO180" s="93">
        <f t="shared" si="70"/>
        <v>0.43820224719101125</v>
      </c>
      <c r="AP180" s="94" t="s">
        <v>82</v>
      </c>
      <c r="AQ180" s="91"/>
      <c r="AR180" s="83"/>
      <c r="AS180" s="83"/>
      <c r="AT180" s="83"/>
      <c r="AU180" s="91"/>
      <c r="AV180" s="83"/>
      <c r="AW180" s="110"/>
      <c r="AX180" s="83"/>
      <c r="AY180" s="91"/>
      <c r="AZ180" s="83">
        <f>8200+11800</f>
        <v>20000</v>
      </c>
      <c r="BA180" s="83"/>
      <c r="BB180" s="83"/>
      <c r="BC180" s="83"/>
      <c r="BD180" s="83"/>
      <c r="BE180" s="83"/>
      <c r="BF180" s="83"/>
      <c r="BG180" s="83"/>
      <c r="BH180" s="95"/>
      <c r="BI180" s="96">
        <f t="shared" si="71"/>
        <v>0.5617977528089888</v>
      </c>
      <c r="BJ180" s="97">
        <v>2.6789999999999998</v>
      </c>
      <c r="BK180" s="98">
        <v>41</v>
      </c>
      <c r="BL180" s="88">
        <v>3.5000000000000003E-2</v>
      </c>
      <c r="BM180" s="88">
        <v>0.16500000000000001</v>
      </c>
      <c r="BN180" s="88">
        <v>0.47</v>
      </c>
      <c r="BO180" s="88">
        <v>0.90300000000000002</v>
      </c>
      <c r="BP180" s="88">
        <v>1.49</v>
      </c>
      <c r="BQ180" s="88">
        <v>2.21</v>
      </c>
      <c r="BR180" s="88"/>
      <c r="BS180" s="88">
        <v>2.6789999999999998</v>
      </c>
      <c r="BT180" s="81">
        <v>41</v>
      </c>
      <c r="BU180" s="83">
        <v>6230</v>
      </c>
      <c r="BV180" s="99">
        <v>42075</v>
      </c>
      <c r="BW180" s="84">
        <v>0.69587391398783671</v>
      </c>
      <c r="BX180" s="83">
        <v>33904</v>
      </c>
      <c r="BY180" s="83">
        <v>13800</v>
      </c>
      <c r="BZ180" s="84">
        <v>0.40703161868806043</v>
      </c>
      <c r="CA180" s="83">
        <v>153</v>
      </c>
      <c r="CB180" s="83">
        <v>342</v>
      </c>
      <c r="CC180" s="84">
        <v>4.5127418593676263E-3</v>
      </c>
      <c r="CD180" s="84">
        <v>1.0087305332704105E-2</v>
      </c>
    </row>
    <row r="181" spans="1:82" x14ac:dyDescent="0.25">
      <c r="A181" s="79" t="s">
        <v>110</v>
      </c>
      <c r="B181" s="80" t="s">
        <v>80</v>
      </c>
      <c r="C181" s="81">
        <v>810</v>
      </c>
      <c r="D181" s="105">
        <v>1958.21</v>
      </c>
      <c r="E181" s="105">
        <v>13396.19355</v>
      </c>
      <c r="F181" s="83">
        <v>37500</v>
      </c>
      <c r="G181" s="83">
        <v>34510</v>
      </c>
      <c r="H181" s="84">
        <v>7.9733333333333337E-2</v>
      </c>
      <c r="I181" s="79">
        <v>502</v>
      </c>
      <c r="J181" s="84">
        <v>1.3386666666666667E-2</v>
      </c>
      <c r="K181" s="83">
        <v>86810</v>
      </c>
      <c r="L181" s="83">
        <v>157440</v>
      </c>
      <c r="M181" s="85">
        <v>2.515502752825268</v>
      </c>
      <c r="N181" s="85">
        <v>1.8136159428637253</v>
      </c>
      <c r="O181" s="85">
        <f t="shared" si="100"/>
        <v>1.8533576010727617</v>
      </c>
      <c r="P181" s="86">
        <v>0.38818294842074763</v>
      </c>
      <c r="Q181" s="86">
        <v>5.6743262822370327E-2</v>
      </c>
      <c r="R181" s="83">
        <v>2352</v>
      </c>
      <c r="S181" s="106">
        <v>5.6956605229591837</v>
      </c>
      <c r="T181" s="85">
        <v>15.943877551020408</v>
      </c>
      <c r="U181" s="85">
        <v>4.562155896841495</v>
      </c>
      <c r="V181" s="87">
        <v>42.59</v>
      </c>
      <c r="W181" s="83">
        <v>33</v>
      </c>
      <c r="X181" s="85">
        <v>1.85</v>
      </c>
      <c r="Y181" s="83">
        <v>8000</v>
      </c>
      <c r="Z181" s="88">
        <v>5.9063225001767264E-2</v>
      </c>
      <c r="AA181" s="107">
        <v>5.6060606060606061E-2</v>
      </c>
      <c r="AB181" s="88">
        <v>0.30933333333333335</v>
      </c>
      <c r="AC181" s="88">
        <v>1.4383999999999999</v>
      </c>
      <c r="AD181" s="88">
        <v>2.1168</v>
      </c>
      <c r="AE181" s="88">
        <v>0.33386666666666664</v>
      </c>
      <c r="AF181" s="90" t="s">
        <v>81</v>
      </c>
      <c r="AG181" s="91"/>
      <c r="AH181" s="91"/>
      <c r="AI181" s="91"/>
      <c r="AJ181" s="91"/>
      <c r="AK181" s="91"/>
      <c r="AL181" s="110"/>
      <c r="AM181" s="91"/>
      <c r="AN181" s="92"/>
      <c r="AO181" s="93">
        <f t="shared" si="70"/>
        <v>0</v>
      </c>
      <c r="AP181" s="94" t="s">
        <v>82</v>
      </c>
      <c r="AQ181" s="91"/>
      <c r="AR181" s="83"/>
      <c r="AS181" s="83"/>
      <c r="AT181" s="83"/>
      <c r="AU181" s="83"/>
      <c r="AV181" s="83">
        <v>37500</v>
      </c>
      <c r="AW181" s="110"/>
      <c r="AX181" s="83"/>
      <c r="AY181" s="83"/>
      <c r="AZ181" s="83"/>
      <c r="BA181" s="83"/>
      <c r="BB181" s="83"/>
      <c r="BC181" s="83"/>
      <c r="BD181" s="83"/>
      <c r="BE181" s="83"/>
      <c r="BF181" s="83"/>
      <c r="BG181" s="83"/>
      <c r="BH181" s="95"/>
      <c r="BI181" s="96">
        <f t="shared" si="71"/>
        <v>1</v>
      </c>
      <c r="BJ181" s="97">
        <v>2.7629999999999999</v>
      </c>
      <c r="BK181" s="98">
        <v>42</v>
      </c>
      <c r="BL181" s="88">
        <v>4.3999999999999997E-2</v>
      </c>
      <c r="BM181" s="88">
        <v>0.182</v>
      </c>
      <c r="BN181" s="88">
        <v>0.497</v>
      </c>
      <c r="BO181" s="88">
        <v>0.92400000000000004</v>
      </c>
      <c r="BP181" s="88">
        <v>1.47</v>
      </c>
      <c r="BQ181" s="88"/>
      <c r="BR181" s="88"/>
      <c r="BS181" s="88">
        <v>2.681</v>
      </c>
      <c r="BT181" s="81">
        <v>43</v>
      </c>
      <c r="BU181" s="83"/>
      <c r="BV181" s="99">
        <v>42104</v>
      </c>
      <c r="BW181" s="84">
        <v>0.6749598666851826</v>
      </c>
      <c r="BX181" s="83">
        <v>25748</v>
      </c>
      <c r="BY181" s="83">
        <v>12800</v>
      </c>
      <c r="BZ181" s="84">
        <v>0.49712599036818395</v>
      </c>
      <c r="CA181" s="83">
        <v>412</v>
      </c>
      <c r="CB181" s="83">
        <v>328</v>
      </c>
      <c r="CC181" s="84">
        <v>1.6001242814975919E-2</v>
      </c>
      <c r="CD181" s="84">
        <v>1.2738853503184714E-2</v>
      </c>
    </row>
    <row r="182" spans="1:82" x14ac:dyDescent="0.25">
      <c r="A182" s="79" t="s">
        <v>99</v>
      </c>
      <c r="B182" s="80" t="s">
        <v>80</v>
      </c>
      <c r="C182" s="81">
        <v>800</v>
      </c>
      <c r="D182" s="100">
        <v>340.56</v>
      </c>
      <c r="E182" s="100">
        <v>17515.98</v>
      </c>
      <c r="F182" s="83">
        <v>35900</v>
      </c>
      <c r="G182" s="83">
        <v>35050</v>
      </c>
      <c r="H182" s="84">
        <f>IF(F182=0,0,+((F182-G182)/F182))</f>
        <v>2.3676880222841225E-2</v>
      </c>
      <c r="I182" s="79">
        <v>213</v>
      </c>
      <c r="J182" s="84">
        <f>+(I182/F182)</f>
        <v>5.9331476323119777E-3</v>
      </c>
      <c r="K182" s="83">
        <v>97610</v>
      </c>
      <c r="L182" s="83">
        <v>178000</v>
      </c>
      <c r="M182" s="85">
        <f>IF(G182=0,0,+K182/G182)</f>
        <v>2.7848787446504994</v>
      </c>
      <c r="N182" s="85">
        <f>IF(K182=0,0,+L182/K182)</f>
        <v>1.8235836492162689</v>
      </c>
      <c r="O182" s="85">
        <f t="shared" si="100"/>
        <v>1.8503490404721714</v>
      </c>
      <c r="P182" s="86">
        <f>IF(G182=0,0,+E182/G182)</f>
        <v>0.49974265335235379</v>
      </c>
      <c r="Q182" s="86">
        <f>IF(G182=0,0,+D182/G182)</f>
        <v>9.7164051355206841E-3</v>
      </c>
      <c r="R182" s="83">
        <v>3072</v>
      </c>
      <c r="S182" s="86">
        <f>IF(R182=0,0,+E182/R182)</f>
        <v>5.7018164062499999</v>
      </c>
      <c r="T182" s="85">
        <f>IF(R182=0,0,+F182/R182)</f>
        <v>11.686197916666666</v>
      </c>
      <c r="U182" s="85">
        <f>IF(L182=0,0,+L182/G182)</f>
        <v>5.0784593437945791</v>
      </c>
      <c r="V182" s="87">
        <v>42</v>
      </c>
      <c r="W182" s="83"/>
      <c r="X182" s="85"/>
      <c r="Y182" s="83"/>
      <c r="Z182" s="88">
        <f>IF(V182=0,0,+M182/V182)</f>
        <v>6.6306636777392847E-2</v>
      </c>
      <c r="AA182" s="101" t="str">
        <f>IF(W182=0,"",+X182/W182)</f>
        <v/>
      </c>
      <c r="AB182" s="102">
        <v>0.31977715877437324</v>
      </c>
      <c r="AC182" s="102">
        <v>1.4122562674094707</v>
      </c>
      <c r="AD182" s="102">
        <v>2.5225626740947074</v>
      </c>
      <c r="AE182" s="102">
        <v>0.70362116991643453</v>
      </c>
      <c r="AF182" s="90" t="s">
        <v>81</v>
      </c>
      <c r="AG182" s="91"/>
      <c r="AH182" s="91"/>
      <c r="AI182" s="91"/>
      <c r="AJ182" s="91"/>
      <c r="AK182" s="83"/>
      <c r="AL182" s="83"/>
      <c r="AM182" s="83"/>
      <c r="AN182" s="95"/>
      <c r="AO182" s="93">
        <f t="shared" si="70"/>
        <v>0</v>
      </c>
      <c r="AP182" s="94" t="s">
        <v>82</v>
      </c>
      <c r="AQ182" s="79"/>
      <c r="AR182" s="79"/>
      <c r="AS182" s="79"/>
      <c r="AT182" s="79"/>
      <c r="AU182" s="79"/>
      <c r="AV182" s="79"/>
      <c r="AW182" s="79"/>
      <c r="AX182" s="79"/>
      <c r="AY182" s="79"/>
      <c r="AZ182" s="83"/>
      <c r="BA182" s="83"/>
      <c r="BB182" s="83"/>
      <c r="BC182" s="83"/>
      <c r="BD182" s="83"/>
      <c r="BE182" s="83"/>
      <c r="BF182" s="91">
        <v>35900</v>
      </c>
      <c r="BG182" s="83"/>
      <c r="BH182" s="95"/>
      <c r="BI182" s="96">
        <f t="shared" si="71"/>
        <v>1</v>
      </c>
      <c r="BJ182" s="97">
        <v>2.7850000000000001</v>
      </c>
      <c r="BK182" s="98">
        <v>42</v>
      </c>
      <c r="BL182" s="113">
        <v>4.3999999999999997E-2</v>
      </c>
      <c r="BM182" s="113">
        <v>0.1883</v>
      </c>
      <c r="BN182" s="113">
        <v>0.48</v>
      </c>
      <c r="BO182" s="113">
        <v>1.04</v>
      </c>
      <c r="BP182" s="113">
        <v>1.6830000000000001</v>
      </c>
      <c r="BQ182" s="113">
        <v>2.2200000000000002</v>
      </c>
      <c r="BR182" s="113">
        <v>2.7770000000000001</v>
      </c>
      <c r="BS182" s="113">
        <v>2.7850000000000001</v>
      </c>
      <c r="BT182" s="81">
        <v>42</v>
      </c>
      <c r="BU182" s="83">
        <v>6880</v>
      </c>
      <c r="BV182" s="104">
        <v>42341</v>
      </c>
      <c r="BW182" s="84">
        <v>0.68014588669193721</v>
      </c>
      <c r="BX182" s="83">
        <v>34700</v>
      </c>
      <c r="BY182" s="83">
        <v>17144</v>
      </c>
      <c r="BZ182" s="84">
        <v>0.49406340057636888</v>
      </c>
      <c r="CA182" s="83">
        <v>143</v>
      </c>
      <c r="CB182" s="83">
        <v>364</v>
      </c>
      <c r="CC182" s="84">
        <v>4.1210374639769455E-3</v>
      </c>
      <c r="CD182" s="84">
        <v>1.0489913544668588E-2</v>
      </c>
    </row>
    <row r="183" spans="1:82" x14ac:dyDescent="0.25">
      <c r="A183" s="79" t="s">
        <v>111</v>
      </c>
      <c r="B183" s="80" t="s">
        <v>86</v>
      </c>
      <c r="C183" s="81">
        <v>428</v>
      </c>
      <c r="D183" s="108">
        <v>840.52</v>
      </c>
      <c r="E183" s="108">
        <v>16490.53714</v>
      </c>
      <c r="F183" s="83">
        <v>32500</v>
      </c>
      <c r="G183" s="83">
        <v>32068</v>
      </c>
      <c r="H183" s="84">
        <f>IF(F183=0,0,+((F183-G183)/F183))</f>
        <v>1.3292307692307692E-2</v>
      </c>
      <c r="I183" s="79">
        <v>301</v>
      </c>
      <c r="J183" s="84">
        <f>+(I183/F183)</f>
        <v>9.2615384615384617E-3</v>
      </c>
      <c r="K183" s="83">
        <v>86740</v>
      </c>
      <c r="L183" s="83">
        <v>154540</v>
      </c>
      <c r="M183" s="85">
        <f>IF(G183=0,0,+K183/G183)</f>
        <v>2.7048771360858175</v>
      </c>
      <c r="N183" s="85">
        <f>IF(K183=0,0,+L183/K183)</f>
        <v>1.7816462992852202</v>
      </c>
      <c r="O183" s="85">
        <f t="shared" si="100"/>
        <v>1.7954193176254931</v>
      </c>
      <c r="P183" s="86">
        <f>IF(G183=0,0,+E183/G183)</f>
        <v>0.51423653299239114</v>
      </c>
      <c r="Q183" s="86">
        <f>IF(G183=0,0,+D183/G183)</f>
        <v>2.6210552575776473E-2</v>
      </c>
      <c r="R183" s="83">
        <v>2891</v>
      </c>
      <c r="S183" s="86">
        <f>IF(R183=0,0,+E183/R183)</f>
        <v>5.7040944794188864</v>
      </c>
      <c r="T183" s="85">
        <f>IF(R183=0,0,+F183/R183)</f>
        <v>11.241784849533033</v>
      </c>
      <c r="U183" s="85">
        <f>IF(L183=0,0,+L183/G183)</f>
        <v>4.8191343395285022</v>
      </c>
      <c r="V183" s="87">
        <v>41.53</v>
      </c>
      <c r="W183" s="83"/>
      <c r="X183" s="85"/>
      <c r="Y183" s="83"/>
      <c r="Z183" s="88">
        <f>IF(V183=0,0,+M183/V183)</f>
        <v>6.5130679896118884E-2</v>
      </c>
      <c r="AA183" s="109" t="str">
        <f>IF(W183=0,"",+X183/W183)</f>
        <v/>
      </c>
      <c r="AB183" s="88">
        <v>0.32184615384615384</v>
      </c>
      <c r="AC183" s="88">
        <v>1.6984615384615385</v>
      </c>
      <c r="AD183" s="88">
        <v>2.489846153846154</v>
      </c>
      <c r="AE183" s="88">
        <v>0.24492307692307691</v>
      </c>
      <c r="AF183" s="90" t="s">
        <v>81</v>
      </c>
      <c r="AG183" s="91"/>
      <c r="AH183" s="91"/>
      <c r="AI183" s="91">
        <v>6200</v>
      </c>
      <c r="AJ183" s="91"/>
      <c r="AK183" s="91"/>
      <c r="AL183" s="110"/>
      <c r="AM183" s="91">
        <v>26300</v>
      </c>
      <c r="AN183" s="92"/>
      <c r="AO183" s="93">
        <f t="shared" si="70"/>
        <v>1</v>
      </c>
      <c r="AP183" s="94" t="s">
        <v>82</v>
      </c>
      <c r="AQ183" s="91"/>
      <c r="AR183" s="83"/>
      <c r="AS183" s="83"/>
      <c r="AT183" s="83"/>
      <c r="AU183" s="83"/>
      <c r="AV183" s="83"/>
      <c r="AW183" s="110"/>
      <c r="AX183" s="83"/>
      <c r="AY183" s="83"/>
      <c r="AZ183" s="83"/>
      <c r="BA183" s="83"/>
      <c r="BB183" s="83"/>
      <c r="BC183" s="83"/>
      <c r="BD183" s="83"/>
      <c r="BE183" s="83"/>
      <c r="BF183" s="91"/>
      <c r="BG183" s="83"/>
      <c r="BH183" s="95"/>
      <c r="BI183" s="96">
        <f t="shared" si="71"/>
        <v>0</v>
      </c>
      <c r="BJ183" s="97">
        <v>2.6360000000000001</v>
      </c>
      <c r="BK183" s="98">
        <v>43</v>
      </c>
      <c r="BL183" s="88">
        <v>4.5999999999999999E-2</v>
      </c>
      <c r="BM183" s="88">
        <v>0.21329999999999999</v>
      </c>
      <c r="BN183" s="88">
        <v>0.53300000000000003</v>
      </c>
      <c r="BO183" s="88">
        <v>1.002</v>
      </c>
      <c r="BP183" s="88">
        <v>1.643</v>
      </c>
      <c r="BQ183" s="88">
        <v>2.21</v>
      </c>
      <c r="BR183" s="88">
        <v>2.7440000000000002</v>
      </c>
      <c r="BS183" s="88">
        <v>2.766</v>
      </c>
      <c r="BT183" s="81">
        <v>44</v>
      </c>
      <c r="BU183" s="83"/>
      <c r="BV183" s="99">
        <v>42208</v>
      </c>
      <c r="BW183" s="84">
        <v>0.72479997694258702</v>
      </c>
      <c r="BX183" s="83">
        <v>31848</v>
      </c>
      <c r="BY183" s="83">
        <v>12384</v>
      </c>
      <c r="BZ183" s="84">
        <v>0.38884702336096461</v>
      </c>
      <c r="CA183" s="83">
        <v>44</v>
      </c>
      <c r="CB183" s="83">
        <v>202</v>
      </c>
      <c r="CC183" s="84">
        <v>1.3815624215021351E-3</v>
      </c>
      <c r="CD183" s="84">
        <v>6.3426274805325296E-3</v>
      </c>
    </row>
    <row r="184" spans="1:82" x14ac:dyDescent="0.25">
      <c r="A184" s="79" t="s">
        <v>110</v>
      </c>
      <c r="B184" s="80" t="s">
        <v>80</v>
      </c>
      <c r="C184" s="81">
        <v>810</v>
      </c>
      <c r="D184" s="108">
        <v>2258.4</v>
      </c>
      <c r="E184" s="108">
        <v>13437.047709999999</v>
      </c>
      <c r="F184" s="83">
        <v>38000</v>
      </c>
      <c r="G184" s="83">
        <v>35502</v>
      </c>
      <c r="H184" s="84">
        <f>IF(F184=0,0,+((F184-G184)/F184))</f>
        <v>6.5736842105263163E-2</v>
      </c>
      <c r="I184" s="79">
        <v>932</v>
      </c>
      <c r="J184" s="84">
        <f>+(I184/F184)</f>
        <v>2.4526315789473684E-2</v>
      </c>
      <c r="K184" s="83">
        <v>97700</v>
      </c>
      <c r="L184" s="83">
        <v>188140</v>
      </c>
      <c r="M184" s="85">
        <f>IF(G184=0,0,+K184/G184)</f>
        <v>2.7519576361895104</v>
      </c>
      <c r="N184" s="85">
        <f>IF(K184=0,0,+L184/K184)</f>
        <v>1.9256908904810646</v>
      </c>
      <c r="O184" s="85">
        <f t="shared" si="100"/>
        <v>1.9503574014737328</v>
      </c>
      <c r="P184" s="86">
        <f>IF(G184=0,0,+E184/G184)</f>
        <v>0.37848706298236717</v>
      </c>
      <c r="Q184" s="86">
        <f>IF(G184=0,0,+D184/G184)</f>
        <v>6.3613317559574112E-2</v>
      </c>
      <c r="R184" s="83">
        <v>2352</v>
      </c>
      <c r="S184" s="86">
        <f>IF(R184=0,0,+E184/R184)</f>
        <v>5.7130304889455781</v>
      </c>
      <c r="T184" s="85">
        <f>IF(R184=0,0,+F184/R184)</f>
        <v>16.156462585034014</v>
      </c>
      <c r="U184" s="85">
        <f>IF(L184=0,0,+L184/G184)</f>
        <v>5.2994197509999434</v>
      </c>
      <c r="V184" s="87">
        <v>48.37</v>
      </c>
      <c r="W184" s="83">
        <v>37</v>
      </c>
      <c r="X184" s="85">
        <v>1.998</v>
      </c>
      <c r="Y184" s="83">
        <v>8000</v>
      </c>
      <c r="Z184" s="88">
        <f>IF(V184=0,0,+M184/V184)</f>
        <v>5.6893893657008691E-2</v>
      </c>
      <c r="AA184" s="109">
        <f>IF(W184=0,"",+X184/W184)</f>
        <v>5.3999999999999999E-2</v>
      </c>
      <c r="AB184" s="88">
        <v>0.31473684210526315</v>
      </c>
      <c r="AC184" s="88">
        <v>1.4036842105263159</v>
      </c>
      <c r="AD184" s="88">
        <v>1.9742105263157894</v>
      </c>
      <c r="AE184" s="88">
        <v>1.2584210526315789</v>
      </c>
      <c r="AF184" s="90" t="s">
        <v>81</v>
      </c>
      <c r="AG184" s="91"/>
      <c r="AH184" s="83"/>
      <c r="AI184" s="91">
        <v>1600</v>
      </c>
      <c r="AJ184" s="91"/>
      <c r="AK184" s="91"/>
      <c r="AL184" s="110"/>
      <c r="AM184" s="91"/>
      <c r="AN184" s="92"/>
      <c r="AO184" s="93">
        <f t="shared" si="70"/>
        <v>4.2105263157894736E-2</v>
      </c>
      <c r="AP184" s="94" t="s">
        <v>82</v>
      </c>
      <c r="AQ184" s="91"/>
      <c r="AR184" s="83"/>
      <c r="AS184" s="83"/>
      <c r="AT184" s="83"/>
      <c r="AU184" s="83"/>
      <c r="AV184" s="83"/>
      <c r="AW184" s="110"/>
      <c r="AX184" s="83"/>
      <c r="AY184" s="83">
        <v>6800</v>
      </c>
      <c r="AZ184" s="83"/>
      <c r="BA184" s="83"/>
      <c r="BB184" s="83"/>
      <c r="BC184" s="83"/>
      <c r="BD184" s="83"/>
      <c r="BE184" s="83"/>
      <c r="BF184" s="91">
        <v>29600</v>
      </c>
      <c r="BG184" s="83"/>
      <c r="BH184" s="95"/>
      <c r="BI184" s="96">
        <f t="shared" si="71"/>
        <v>0.95789473684210524</v>
      </c>
      <c r="BJ184" s="97">
        <v>2.96</v>
      </c>
      <c r="BK184" s="98">
        <v>48</v>
      </c>
      <c r="BL184" s="88">
        <v>3.7999999999999999E-2</v>
      </c>
      <c r="BM184" s="88">
        <v>0.14099999999999999</v>
      </c>
      <c r="BN184" s="88">
        <v>0.38500000000000001</v>
      </c>
      <c r="BO184" s="88">
        <v>0.83</v>
      </c>
      <c r="BP184" s="88">
        <v>1.35</v>
      </c>
      <c r="BQ184" s="88"/>
      <c r="BR184" s="88"/>
      <c r="BS184" s="88">
        <v>2.996</v>
      </c>
      <c r="BT184" s="81">
        <v>49</v>
      </c>
      <c r="BU184" s="83"/>
      <c r="BV184" s="99">
        <v>42178</v>
      </c>
      <c r="BW184" s="84">
        <v>0.70291161369193156</v>
      </c>
      <c r="BX184" s="83">
        <v>27060</v>
      </c>
      <c r="BY184" s="83">
        <v>9936</v>
      </c>
      <c r="BZ184" s="84">
        <v>0.36718403547671841</v>
      </c>
      <c r="CA184" s="83">
        <v>122</v>
      </c>
      <c r="CB184" s="83">
        <v>327</v>
      </c>
      <c r="CC184" s="84">
        <v>4.5084996304508504E-3</v>
      </c>
      <c r="CD184" s="84">
        <v>1.2084257206208426E-2</v>
      </c>
    </row>
    <row r="185" spans="1:82" x14ac:dyDescent="0.25">
      <c r="A185" s="79" t="s">
        <v>122</v>
      </c>
      <c r="B185" s="80" t="s">
        <v>86</v>
      </c>
      <c r="C185" s="81">
        <v>630</v>
      </c>
      <c r="D185" s="82">
        <v>939.22</v>
      </c>
      <c r="E185" s="82">
        <v>12011.661330000001</v>
      </c>
      <c r="F185" s="83">
        <v>32500</v>
      </c>
      <c r="G185" s="83">
        <v>31346</v>
      </c>
      <c r="H185" s="84">
        <v>3.550769230769231E-2</v>
      </c>
      <c r="I185" s="79">
        <v>341</v>
      </c>
      <c r="J185" s="84">
        <v>1.0492307692307693E-2</v>
      </c>
      <c r="K185" s="83">
        <v>70460</v>
      </c>
      <c r="L185" s="83">
        <v>122220</v>
      </c>
      <c r="M185" s="85">
        <v>2.2478147132010462</v>
      </c>
      <c r="N185" s="85">
        <v>1.7346011921657678</v>
      </c>
      <c r="O185" s="85">
        <v>1.7691995239523692</v>
      </c>
      <c r="P185" s="86">
        <v>0.38319598449562947</v>
      </c>
      <c r="Q185" s="86">
        <v>2.9962993683404583E-2</v>
      </c>
      <c r="R185" s="83">
        <v>2100</v>
      </c>
      <c r="S185" s="86">
        <v>5.7198387285714292</v>
      </c>
      <c r="T185" s="85">
        <v>15.476190476190476</v>
      </c>
      <c r="U185" s="85">
        <v>3.8990620812862886</v>
      </c>
      <c r="V185" s="87">
        <v>42</v>
      </c>
      <c r="W185" s="83">
        <v>35</v>
      </c>
      <c r="X185" s="85">
        <v>1.97</v>
      </c>
      <c r="Y185" s="83">
        <v>8000</v>
      </c>
      <c r="Z185" s="88">
        <v>5.3519397933358241E-2</v>
      </c>
      <c r="AA185" s="89">
        <v>5.6285714285714286E-2</v>
      </c>
      <c r="AB185" s="88">
        <v>0.30646153846153845</v>
      </c>
      <c r="AC185" s="88">
        <v>1.4153846153846155</v>
      </c>
      <c r="AD185" s="88">
        <v>1.88</v>
      </c>
      <c r="AE185" s="88">
        <v>0.15876923076923077</v>
      </c>
      <c r="AF185" s="90" t="s">
        <v>81</v>
      </c>
      <c r="AG185" s="91"/>
      <c r="AH185" s="91">
        <v>32500</v>
      </c>
      <c r="AI185" s="91"/>
      <c r="AJ185" s="91"/>
      <c r="AK185" s="91"/>
      <c r="AL185" s="79"/>
      <c r="AM185" s="91"/>
      <c r="AN185" s="92"/>
      <c r="AO185" s="93">
        <f t="shared" si="70"/>
        <v>1</v>
      </c>
      <c r="AP185" s="94" t="s">
        <v>82</v>
      </c>
      <c r="AQ185" s="83"/>
      <c r="AR185" s="83"/>
      <c r="AS185" s="83"/>
      <c r="AT185" s="83"/>
      <c r="AU185" s="83"/>
      <c r="AV185" s="83"/>
      <c r="AW185" s="83"/>
      <c r="AX185" s="83"/>
      <c r="AY185" s="83"/>
      <c r="AZ185" s="83"/>
      <c r="BA185" s="83"/>
      <c r="BB185" s="83"/>
      <c r="BC185" s="83"/>
      <c r="BD185" s="83"/>
      <c r="BE185" s="83"/>
      <c r="BF185" s="83"/>
      <c r="BG185" s="83"/>
      <c r="BH185" s="95"/>
      <c r="BI185" s="96">
        <f t="shared" si="71"/>
        <v>0</v>
      </c>
      <c r="BJ185" s="97">
        <v>2.343</v>
      </c>
      <c r="BK185" s="98">
        <v>42</v>
      </c>
      <c r="BL185" s="88">
        <v>3.6999999999999998E-2</v>
      </c>
      <c r="BM185" s="88">
        <v>0.17</v>
      </c>
      <c r="BN185" s="88">
        <v>0.47</v>
      </c>
      <c r="BO185" s="88">
        <v>0.85</v>
      </c>
      <c r="BP185" s="88">
        <v>1.45</v>
      </c>
      <c r="BQ185" s="88">
        <v>1.97</v>
      </c>
      <c r="BR185" s="88">
        <v>2.343</v>
      </c>
      <c r="BS185" s="88">
        <v>2.343</v>
      </c>
      <c r="BT185" s="81">
        <v>42</v>
      </c>
      <c r="BU185" s="83"/>
      <c r="BV185" s="99">
        <v>42229</v>
      </c>
      <c r="BW185" s="84">
        <v>0.71158994515539309</v>
      </c>
      <c r="BX185" s="83">
        <v>22776</v>
      </c>
      <c r="BY185" s="83">
        <v>10608</v>
      </c>
      <c r="BZ185" s="84">
        <v>0.46575342465753422</v>
      </c>
      <c r="CA185" s="83">
        <v>36</v>
      </c>
      <c r="CB185" s="83">
        <v>476</v>
      </c>
      <c r="CC185" s="84">
        <v>1.5806111696522655E-3</v>
      </c>
      <c r="CD185" s="84">
        <v>2.0899192132068846E-2</v>
      </c>
    </row>
    <row r="186" spans="1:82" x14ac:dyDescent="0.25">
      <c r="A186" s="79" t="s">
        <v>114</v>
      </c>
      <c r="B186" s="80" t="s">
        <v>115</v>
      </c>
      <c r="C186" s="81">
        <v>657</v>
      </c>
      <c r="D186" s="105">
        <v>1265.96</v>
      </c>
      <c r="E186" s="105">
        <v>8658.35995</v>
      </c>
      <c r="F186" s="83">
        <v>24000</v>
      </c>
      <c r="G186" s="83">
        <v>22190</v>
      </c>
      <c r="H186" s="84">
        <v>7.5416666666666674E-2</v>
      </c>
      <c r="I186" s="79">
        <v>764</v>
      </c>
      <c r="J186" s="84">
        <v>3.1833333333333332E-2</v>
      </c>
      <c r="K186" s="83">
        <v>58960</v>
      </c>
      <c r="L186" s="83">
        <v>110520</v>
      </c>
      <c r="M186" s="85">
        <v>2.6570527264533572</v>
      </c>
      <c r="N186" s="85">
        <v>1.8744911804613298</v>
      </c>
      <c r="O186" s="85">
        <f>+L186/((G186-CA186-CB186)*M186)</f>
        <v>1.8969744741385921</v>
      </c>
      <c r="P186" s="86">
        <v>0.39019197611536727</v>
      </c>
      <c r="Q186" s="86">
        <v>5.7050923839567377E-2</v>
      </c>
      <c r="R186" s="83">
        <v>1512</v>
      </c>
      <c r="S186" s="106">
        <v>5.7264285383597882</v>
      </c>
      <c r="T186" s="85">
        <v>15.873015873015873</v>
      </c>
      <c r="U186" s="85">
        <v>4.9806219017575488</v>
      </c>
      <c r="V186" s="87">
        <v>42</v>
      </c>
      <c r="W186" s="83">
        <v>34</v>
      </c>
      <c r="X186" s="85">
        <v>2.113</v>
      </c>
      <c r="Y186" s="83">
        <v>6000</v>
      </c>
      <c r="Z186" s="88">
        <v>6.3263160153651368E-2</v>
      </c>
      <c r="AA186" s="107">
        <v>6.2147058823529409E-2</v>
      </c>
      <c r="AB186" s="88">
        <v>0.24833333333333332</v>
      </c>
      <c r="AC186" s="88">
        <v>1.4558333333333333</v>
      </c>
      <c r="AD186" s="88">
        <v>2.3766666666666665</v>
      </c>
      <c r="AE186" s="88">
        <v>0.52416666666666667</v>
      </c>
      <c r="AF186" s="90" t="s">
        <v>81</v>
      </c>
      <c r="AG186" s="91"/>
      <c r="AH186" s="91"/>
      <c r="AI186" s="91"/>
      <c r="AJ186" s="91"/>
      <c r="AK186" s="91"/>
      <c r="AL186" s="110"/>
      <c r="AM186" s="91"/>
      <c r="AN186" s="92"/>
      <c r="AO186" s="93">
        <f t="shared" si="70"/>
        <v>0</v>
      </c>
      <c r="AP186" s="94" t="s">
        <v>82</v>
      </c>
      <c r="AQ186" s="91"/>
      <c r="AR186" s="83"/>
      <c r="AS186" s="83"/>
      <c r="AT186" s="83"/>
      <c r="AU186" s="83"/>
      <c r="AV186" s="83">
        <v>24000</v>
      </c>
      <c r="AW186" s="110"/>
      <c r="AX186" s="83"/>
      <c r="AY186" s="83"/>
      <c r="AZ186" s="83"/>
      <c r="BA186" s="83"/>
      <c r="BB186" s="83"/>
      <c r="BC186" s="83"/>
      <c r="BD186" s="83"/>
      <c r="BE186" s="83"/>
      <c r="BF186" s="83"/>
      <c r="BG186" s="83"/>
      <c r="BH186" s="95"/>
      <c r="BI186" s="96">
        <f t="shared" si="71"/>
        <v>1</v>
      </c>
      <c r="BJ186" s="97">
        <v>2.8570000000000002</v>
      </c>
      <c r="BK186" s="98">
        <v>42</v>
      </c>
      <c r="BL186" s="88">
        <v>4.2999999999999997E-2</v>
      </c>
      <c r="BM186" s="88">
        <v>0.216</v>
      </c>
      <c r="BN186" s="88">
        <v>0.52</v>
      </c>
      <c r="BO186" s="88">
        <v>0.98499999999999999</v>
      </c>
      <c r="BP186" s="88">
        <v>1.54</v>
      </c>
      <c r="BQ186" s="88"/>
      <c r="BR186" s="88">
        <v>2.86</v>
      </c>
      <c r="BS186" s="88">
        <v>2.8570000000000002</v>
      </c>
      <c r="BT186" s="81">
        <v>42</v>
      </c>
      <c r="BU186" s="83"/>
      <c r="BV186" s="99">
        <v>42111</v>
      </c>
      <c r="BW186" s="84">
        <v>0.69225842696629214</v>
      </c>
      <c r="BX186" s="83">
        <v>15924</v>
      </c>
      <c r="BY186" s="83">
        <v>6696</v>
      </c>
      <c r="BZ186" s="84">
        <v>0.42049736247174074</v>
      </c>
      <c r="CA186" s="83">
        <v>168</v>
      </c>
      <c r="CB186" s="83">
        <v>95</v>
      </c>
      <c r="CC186" s="84">
        <v>1.0550113036925395E-2</v>
      </c>
      <c r="CD186" s="84">
        <v>5.9658377292137656E-3</v>
      </c>
    </row>
    <row r="187" spans="1:82" x14ac:dyDescent="0.25">
      <c r="A187" s="79" t="s">
        <v>123</v>
      </c>
      <c r="B187" s="80" t="s">
        <v>80</v>
      </c>
      <c r="C187" s="81">
        <v>830</v>
      </c>
      <c r="D187" s="82">
        <v>337.69</v>
      </c>
      <c r="E187" s="82">
        <v>9621.4987000000001</v>
      </c>
      <c r="F187" s="83">
        <v>23500</v>
      </c>
      <c r="G187" s="83">
        <v>22940</v>
      </c>
      <c r="H187" s="84">
        <v>2.3829787234042554E-2</v>
      </c>
      <c r="I187" s="79">
        <v>250</v>
      </c>
      <c r="J187" s="84">
        <v>1.0638297872340425E-2</v>
      </c>
      <c r="K187" s="83">
        <v>57700</v>
      </c>
      <c r="L187" s="83">
        <v>105440</v>
      </c>
      <c r="M187" s="85">
        <v>2.5152571926765477</v>
      </c>
      <c r="N187" s="85">
        <v>1.8273830155979203</v>
      </c>
      <c r="O187" s="85">
        <v>1.8443471502404984</v>
      </c>
      <c r="P187" s="86">
        <v>0.4194201700087184</v>
      </c>
      <c r="Q187" s="86">
        <v>1.4720575414123801E-2</v>
      </c>
      <c r="R187" s="83">
        <v>1680</v>
      </c>
      <c r="S187" s="86">
        <v>5.7270825595238097</v>
      </c>
      <c r="T187" s="85">
        <v>13.988095238095237</v>
      </c>
      <c r="U187" s="85">
        <v>4.5963382737576284</v>
      </c>
      <c r="V187" s="87">
        <v>45</v>
      </c>
      <c r="W187" s="83">
        <v>31</v>
      </c>
      <c r="X187" s="85">
        <v>1.8129999999999999</v>
      </c>
      <c r="Y187" s="83">
        <v>8000</v>
      </c>
      <c r="Z187" s="88">
        <v>5.5894604281701059E-2</v>
      </c>
      <c r="AA187" s="89">
        <v>5.8483870967741935E-2</v>
      </c>
      <c r="AB187" s="88">
        <v>0.31914893617021278</v>
      </c>
      <c r="AC187" s="88">
        <v>1.4502127659574469</v>
      </c>
      <c r="AD187" s="88">
        <v>2.04</v>
      </c>
      <c r="AE187" s="88">
        <v>0.67744680851063832</v>
      </c>
      <c r="AF187" s="90" t="s">
        <v>81</v>
      </c>
      <c r="AG187" s="91"/>
      <c r="AH187" s="91"/>
      <c r="AI187" s="91"/>
      <c r="AJ187" s="91"/>
      <c r="AK187" s="91"/>
      <c r="AL187" s="79"/>
      <c r="AM187" s="91"/>
      <c r="AN187" s="92"/>
      <c r="AO187" s="93">
        <f t="shared" si="70"/>
        <v>0</v>
      </c>
      <c r="AP187" s="94" t="s">
        <v>82</v>
      </c>
      <c r="AQ187" s="91"/>
      <c r="AR187" s="83"/>
      <c r="AS187" s="83"/>
      <c r="AT187" s="83"/>
      <c r="AU187" s="83"/>
      <c r="AV187" s="83"/>
      <c r="AW187" s="83"/>
      <c r="AX187" s="83"/>
      <c r="AY187" s="83"/>
      <c r="AZ187" s="83"/>
      <c r="BA187" s="83"/>
      <c r="BB187" s="83"/>
      <c r="BC187" s="83"/>
      <c r="BD187" s="83"/>
      <c r="BE187" s="83"/>
      <c r="BF187" s="91"/>
      <c r="BG187" s="83">
        <v>23500</v>
      </c>
      <c r="BH187" s="95"/>
      <c r="BI187" s="96">
        <f t="shared" si="71"/>
        <v>1</v>
      </c>
      <c r="BJ187" s="97">
        <v>2.8919999999999999</v>
      </c>
      <c r="BK187" s="98">
        <v>45</v>
      </c>
      <c r="BL187" s="88">
        <v>4.2000000000000003E-2</v>
      </c>
      <c r="BM187" s="88">
        <v>0.2</v>
      </c>
      <c r="BN187" s="88">
        <v>0.55000000000000004</v>
      </c>
      <c r="BO187" s="88">
        <v>1.05</v>
      </c>
      <c r="BP187" s="88"/>
      <c r="BQ187" s="88"/>
      <c r="BR187" s="88"/>
      <c r="BS187" s="88">
        <v>2.8919999999999999</v>
      </c>
      <c r="BT187" s="81">
        <v>45</v>
      </c>
      <c r="BU187" s="83"/>
      <c r="BV187" s="99">
        <v>42218</v>
      </c>
      <c r="BW187" s="84">
        <v>0.7180319444444444</v>
      </c>
      <c r="BX187" s="83">
        <v>14596</v>
      </c>
      <c r="BY187" s="83">
        <v>4784</v>
      </c>
      <c r="BZ187" s="84">
        <v>0.32776103041929294</v>
      </c>
      <c r="CA187" s="83">
        <v>48</v>
      </c>
      <c r="CB187" s="83">
        <v>252</v>
      </c>
      <c r="CC187" s="84">
        <v>3.2885722115648121E-3</v>
      </c>
      <c r="CD187" s="84">
        <v>1.7265004110715264E-2</v>
      </c>
    </row>
    <row r="188" spans="1:82" x14ac:dyDescent="0.25">
      <c r="A188" s="79" t="s">
        <v>100</v>
      </c>
      <c r="B188" s="80" t="s">
        <v>80</v>
      </c>
      <c r="C188" s="81">
        <v>764</v>
      </c>
      <c r="D188" s="108">
        <v>4939.24</v>
      </c>
      <c r="E188" s="108">
        <f>27927.38+U188+V188</f>
        <v>27975.472330546167</v>
      </c>
      <c r="F188" s="83">
        <v>59600</v>
      </c>
      <c r="G188" s="83">
        <v>56210</v>
      </c>
      <c r="H188" s="84">
        <f t="shared" ref="H188:H194" si="105">IF(F188=0,0,+((F188-G188)/F188))</f>
        <v>5.687919463087248E-2</v>
      </c>
      <c r="I188" s="79">
        <v>1868</v>
      </c>
      <c r="J188" s="84">
        <f t="shared" ref="J188:J194" si="106">+(I188/F188)</f>
        <v>3.1342281879194633E-2</v>
      </c>
      <c r="K188" s="83">
        <v>156900</v>
      </c>
      <c r="L188" s="83">
        <v>275560</v>
      </c>
      <c r="M188" s="85">
        <f t="shared" ref="M188:M194" si="107">IF(G188=0,0,+K188/G188)</f>
        <v>2.7913182707703257</v>
      </c>
      <c r="N188" s="85">
        <f t="shared" ref="N188:N194" si="108">IF(K188=0,0,+L188/K188)</f>
        <v>1.7562778840025495</v>
      </c>
      <c r="O188" s="85">
        <f t="shared" ref="O188:O194" si="109">+L188/((G188-CA188-CB188)*M188)</f>
        <v>1.7791623237836485</v>
      </c>
      <c r="P188" s="86">
        <f>+E188/G188</f>
        <v>0.49769564722551446</v>
      </c>
      <c r="Q188" s="86">
        <f>+D188/G188</f>
        <v>8.7871197295854825E-2</v>
      </c>
      <c r="R188" s="83">
        <v>4880</v>
      </c>
      <c r="S188" s="106">
        <f>+E188/R188</f>
        <v>5.7326787562594603</v>
      </c>
      <c r="T188" s="85">
        <f t="shared" ref="T188:T194" si="110">IF(R188=0,0,+F188/R188)</f>
        <v>12.21311475409836</v>
      </c>
      <c r="U188" s="85">
        <f t="shared" ref="U188:U194" si="111">IF(L188=0,0,+L188/G188)</f>
        <v>4.902330546166163</v>
      </c>
      <c r="V188" s="87">
        <v>43.19</v>
      </c>
      <c r="W188" s="83"/>
      <c r="X188" s="85"/>
      <c r="Y188" s="83"/>
      <c r="Z188" s="88">
        <f t="shared" ref="Z188:Z194" si="112">IF(V188=0,0,+M188/V188)</f>
        <v>6.4628809232931836E-2</v>
      </c>
      <c r="AA188" s="109" t="str">
        <f t="shared" ref="AA188:AA194" si="113">IF(W188=0,"",+X188/W188)</f>
        <v/>
      </c>
      <c r="AB188" s="88">
        <v>0.29496644295302016</v>
      </c>
      <c r="AC188" s="88">
        <v>1.412751677852349</v>
      </c>
      <c r="AD188" s="88">
        <v>2.6067114093959733</v>
      </c>
      <c r="AE188" s="88">
        <v>0.30906040268456375</v>
      </c>
      <c r="AF188" s="90" t="s">
        <v>81</v>
      </c>
      <c r="AG188" s="91"/>
      <c r="AH188" s="91"/>
      <c r="AI188" s="91"/>
      <c r="AJ188" s="91"/>
      <c r="AK188" s="91"/>
      <c r="AL188" s="110"/>
      <c r="AM188" s="91"/>
      <c r="AN188" s="92"/>
      <c r="AO188" s="93">
        <f t="shared" si="70"/>
        <v>0</v>
      </c>
      <c r="AP188" s="94" t="s">
        <v>82</v>
      </c>
      <c r="AQ188" s="91"/>
      <c r="AR188" s="83"/>
      <c r="AS188" s="83"/>
      <c r="AT188" s="83"/>
      <c r="AU188" s="83"/>
      <c r="AV188" s="83">
        <v>7900</v>
      </c>
      <c r="AW188" s="110"/>
      <c r="AX188" s="83"/>
      <c r="AY188" s="83"/>
      <c r="AZ188" s="83">
        <v>51700</v>
      </c>
      <c r="BA188" s="83"/>
      <c r="BB188" s="83"/>
      <c r="BC188" s="83"/>
      <c r="BD188" s="83"/>
      <c r="BE188" s="83"/>
      <c r="BF188" s="83"/>
      <c r="BG188" s="83"/>
      <c r="BH188" s="95"/>
      <c r="BI188" s="96">
        <f t="shared" si="71"/>
        <v>1</v>
      </c>
      <c r="BJ188" s="97">
        <v>2.8039999999999998</v>
      </c>
      <c r="BK188" s="98">
        <v>42</v>
      </c>
      <c r="BL188" s="88">
        <v>4.1000000000000003E-3</v>
      </c>
      <c r="BM188" s="88">
        <v>0.185</v>
      </c>
      <c r="BN188" s="88">
        <v>0.41249999999999998</v>
      </c>
      <c r="BO188" s="88">
        <v>0.92100000000000004</v>
      </c>
      <c r="BP188" s="88">
        <v>1.4430000000000001</v>
      </c>
      <c r="BQ188" s="88">
        <v>2.097</v>
      </c>
      <c r="BR188" s="88">
        <v>2.8</v>
      </c>
      <c r="BS188" s="88">
        <v>2.8</v>
      </c>
      <c r="BT188" s="81">
        <v>44</v>
      </c>
      <c r="BU188" s="83">
        <v>4000</v>
      </c>
      <c r="BV188" s="99">
        <v>42047</v>
      </c>
      <c r="BW188" s="84">
        <v>0.7001833014659018</v>
      </c>
      <c r="BX188" s="83">
        <v>55656</v>
      </c>
      <c r="BY188" s="83">
        <v>27600</v>
      </c>
      <c r="BZ188" s="84">
        <v>0.49590340664079346</v>
      </c>
      <c r="CA188" s="83">
        <v>202</v>
      </c>
      <c r="CB188" s="83">
        <v>521</v>
      </c>
      <c r="CC188" s="84">
        <v>3.6294379761391406E-3</v>
      </c>
      <c r="CD188" s="84">
        <v>9.361075176081644E-3</v>
      </c>
    </row>
    <row r="189" spans="1:82" x14ac:dyDescent="0.25">
      <c r="A189" s="79" t="s">
        <v>107</v>
      </c>
      <c r="B189" s="80" t="s">
        <v>80</v>
      </c>
      <c r="C189" s="81">
        <v>862</v>
      </c>
      <c r="D189" s="100">
        <v>752.21</v>
      </c>
      <c r="E189" s="100">
        <v>14374.54</v>
      </c>
      <c r="F189" s="83">
        <v>29800</v>
      </c>
      <c r="G189" s="83">
        <v>29550</v>
      </c>
      <c r="H189" s="84">
        <f t="shared" si="105"/>
        <v>8.389261744966443E-3</v>
      </c>
      <c r="I189" s="79">
        <v>171</v>
      </c>
      <c r="J189" s="84">
        <f t="shared" si="106"/>
        <v>5.7382550335570472E-3</v>
      </c>
      <c r="K189" s="83">
        <v>79860</v>
      </c>
      <c r="L189" s="83">
        <v>139480</v>
      </c>
      <c r="M189" s="85">
        <f t="shared" si="107"/>
        <v>2.7025380710659896</v>
      </c>
      <c r="N189" s="85">
        <f t="shared" si="108"/>
        <v>1.7465564738292012</v>
      </c>
      <c r="O189" s="85">
        <f t="shared" si="109"/>
        <v>1.7545126394361197</v>
      </c>
      <c r="P189" s="86">
        <f t="shared" ref="P189:P194" si="114">IF(G189=0,0,+E189/G189)</f>
        <v>0.48644805414551612</v>
      </c>
      <c r="Q189" s="86">
        <f t="shared" ref="Q189:Q194" si="115">IF(G189=0,0,+D189/G189)</f>
        <v>2.5455499153976314E-2</v>
      </c>
      <c r="R189" s="83">
        <v>2500</v>
      </c>
      <c r="S189" s="86">
        <f t="shared" ref="S189:S194" si="116">IF(R189=0,0,+E189/R189)</f>
        <v>5.749816</v>
      </c>
      <c r="T189" s="85">
        <f t="shared" si="110"/>
        <v>11.92</v>
      </c>
      <c r="U189" s="85">
        <f t="shared" si="111"/>
        <v>4.7201353637901864</v>
      </c>
      <c r="V189" s="87">
        <v>42</v>
      </c>
      <c r="W189" s="83"/>
      <c r="X189" s="85"/>
      <c r="Y189" s="83"/>
      <c r="Z189" s="88">
        <f t="shared" si="112"/>
        <v>6.4346144549190229E-2</v>
      </c>
      <c r="AA189" s="101" t="str">
        <f t="shared" si="113"/>
        <v/>
      </c>
      <c r="AB189" s="102">
        <v>0.30268456375838926</v>
      </c>
      <c r="AC189" s="102">
        <v>1.4476510067114094</v>
      </c>
      <c r="AD189" s="102">
        <v>2.2637583892617448</v>
      </c>
      <c r="AE189" s="102">
        <v>0.66644295302013423</v>
      </c>
      <c r="AF189" s="90" t="s">
        <v>81</v>
      </c>
      <c r="AG189" s="91"/>
      <c r="AH189" s="91"/>
      <c r="AI189" s="91"/>
      <c r="AJ189" s="91"/>
      <c r="AK189" s="91"/>
      <c r="AL189" s="91"/>
      <c r="AM189" s="91"/>
      <c r="AN189" s="92"/>
      <c r="AO189" s="93">
        <f t="shared" si="70"/>
        <v>0</v>
      </c>
      <c r="AP189" s="94" t="s">
        <v>82</v>
      </c>
      <c r="AQ189" s="83"/>
      <c r="AR189" s="83"/>
      <c r="AS189" s="83"/>
      <c r="AT189" s="83"/>
      <c r="AU189" s="83">
        <v>25000</v>
      </c>
      <c r="AV189" s="83"/>
      <c r="AW189" s="83"/>
      <c r="AX189" s="83"/>
      <c r="AY189" s="83"/>
      <c r="AZ189" s="83"/>
      <c r="BA189" s="83"/>
      <c r="BB189" s="83"/>
      <c r="BC189" s="83"/>
      <c r="BD189" s="83"/>
      <c r="BE189" s="83"/>
      <c r="BF189" s="83">
        <v>4800</v>
      </c>
      <c r="BG189" s="83"/>
      <c r="BH189" s="95"/>
      <c r="BI189" s="96">
        <f t="shared" si="71"/>
        <v>1</v>
      </c>
      <c r="BJ189" s="97">
        <v>2.7029999999999998</v>
      </c>
      <c r="BK189" s="98">
        <v>42</v>
      </c>
      <c r="BL189" s="88">
        <v>4.5499999999999999E-2</v>
      </c>
      <c r="BM189" s="88">
        <v>0.19</v>
      </c>
      <c r="BN189" s="88">
        <v>0.49249999999999999</v>
      </c>
      <c r="BO189" s="88">
        <v>0.92500000000000004</v>
      </c>
      <c r="BP189" s="88">
        <v>1.5449999999999999</v>
      </c>
      <c r="BQ189" s="88">
        <v>2.0150000000000001</v>
      </c>
      <c r="BR189" s="88">
        <v>2.702</v>
      </c>
      <c r="BS189" s="88">
        <v>2.7029999999999998</v>
      </c>
      <c r="BT189" s="81">
        <v>42</v>
      </c>
      <c r="BU189" s="83"/>
      <c r="BV189" s="104">
        <v>42293</v>
      </c>
      <c r="BW189" s="84">
        <v>0.69828274480340602</v>
      </c>
      <c r="BX189" s="83">
        <v>29540</v>
      </c>
      <c r="BY189" s="83">
        <v>13912</v>
      </c>
      <c r="BZ189" s="84">
        <v>0.47095463777928231</v>
      </c>
      <c r="CA189" s="83">
        <v>46</v>
      </c>
      <c r="CB189" s="83">
        <v>88</v>
      </c>
      <c r="CC189" s="84">
        <v>1.5572105619498984E-3</v>
      </c>
      <c r="CD189" s="84">
        <v>2.9790115098171969E-3</v>
      </c>
    </row>
    <row r="190" spans="1:82" x14ac:dyDescent="0.25">
      <c r="A190" s="79" t="s">
        <v>127</v>
      </c>
      <c r="B190" s="80" t="s">
        <v>86</v>
      </c>
      <c r="C190" s="81">
        <v>736</v>
      </c>
      <c r="D190" s="108">
        <v>2030.982</v>
      </c>
      <c r="E190" s="108">
        <v>34831.870000000003</v>
      </c>
      <c r="F190" s="83">
        <v>91400</v>
      </c>
      <c r="G190" s="83">
        <v>88510</v>
      </c>
      <c r="H190" s="84">
        <f t="shared" si="105"/>
        <v>3.1619256017505468E-2</v>
      </c>
      <c r="I190" s="79">
        <v>822</v>
      </c>
      <c r="J190" s="84">
        <f t="shared" si="106"/>
        <v>8.9934354485776812E-3</v>
      </c>
      <c r="K190" s="83">
        <v>232750</v>
      </c>
      <c r="L190" s="83">
        <v>424940</v>
      </c>
      <c r="M190" s="85">
        <f t="shared" si="107"/>
        <v>2.6296463676420743</v>
      </c>
      <c r="N190" s="85">
        <f t="shared" si="108"/>
        <v>1.825735767991407</v>
      </c>
      <c r="O190" s="85">
        <f t="shared" si="109"/>
        <v>1.8456498523775848</v>
      </c>
      <c r="P190" s="86">
        <f t="shared" si="114"/>
        <v>0.39353598463450462</v>
      </c>
      <c r="Q190" s="86">
        <f t="shared" si="115"/>
        <v>2.2946356343915942E-2</v>
      </c>
      <c r="R190" s="83">
        <v>6053</v>
      </c>
      <c r="S190" s="86">
        <f t="shared" si="116"/>
        <v>5.7544804229307784</v>
      </c>
      <c r="T190" s="85">
        <f t="shared" si="110"/>
        <v>15.099950437799439</v>
      </c>
      <c r="U190" s="85">
        <f t="shared" si="111"/>
        <v>4.8010394305728168</v>
      </c>
      <c r="V190" s="87">
        <v>43.66</v>
      </c>
      <c r="W190" s="83">
        <v>34</v>
      </c>
      <c r="X190" s="85">
        <v>2.0640000000000001</v>
      </c>
      <c r="Y190" s="83">
        <v>16000</v>
      </c>
      <c r="Z190" s="88">
        <f t="shared" si="112"/>
        <v>6.0230104618462538E-2</v>
      </c>
      <c r="AA190" s="112">
        <f t="shared" si="113"/>
        <v>6.0705882352941179E-2</v>
      </c>
      <c r="AB190" s="88">
        <v>0.30875273522975932</v>
      </c>
      <c r="AC190" s="88">
        <v>1.5356673960612692</v>
      </c>
      <c r="AD190" s="88">
        <v>2.4452954048140043</v>
      </c>
      <c r="AE190" s="88">
        <v>0.35951859956236326</v>
      </c>
      <c r="AF190" s="90" t="s">
        <v>81</v>
      </c>
      <c r="AG190" s="91"/>
      <c r="AH190" s="91"/>
      <c r="AI190" s="91">
        <v>63100</v>
      </c>
      <c r="AJ190" s="91"/>
      <c r="AK190" s="91"/>
      <c r="AL190" s="110"/>
      <c r="AM190" s="91">
        <v>28300</v>
      </c>
      <c r="AN190" s="92"/>
      <c r="AO190" s="93">
        <f t="shared" si="70"/>
        <v>1</v>
      </c>
      <c r="AP190" s="94" t="s">
        <v>82</v>
      </c>
      <c r="AQ190" s="91"/>
      <c r="AR190" s="83"/>
      <c r="AS190" s="83"/>
      <c r="AT190" s="83"/>
      <c r="AU190" s="91"/>
      <c r="AV190" s="83"/>
      <c r="AW190" s="110"/>
      <c r="AX190" s="83"/>
      <c r="AY190" s="91"/>
      <c r="AZ190" s="83"/>
      <c r="BA190" s="83"/>
      <c r="BB190" s="83"/>
      <c r="BC190" s="83"/>
      <c r="BD190" s="83"/>
      <c r="BE190" s="83"/>
      <c r="BF190" s="91"/>
      <c r="BG190" s="83"/>
      <c r="BH190" s="92"/>
      <c r="BI190" s="96">
        <f t="shared" si="71"/>
        <v>0</v>
      </c>
      <c r="BJ190" s="97">
        <v>2.6040000000000001</v>
      </c>
      <c r="BK190" s="98">
        <v>41</v>
      </c>
      <c r="BL190" s="88">
        <v>4.5249999999999999E-2</v>
      </c>
      <c r="BM190" s="88">
        <v>0.19625000000000001</v>
      </c>
      <c r="BN190" s="88">
        <v>0.49</v>
      </c>
      <c r="BO190" s="88">
        <v>0.93474999999999997</v>
      </c>
      <c r="BP190" s="88">
        <v>1.5329999999999999</v>
      </c>
      <c r="BQ190" s="88">
        <v>2.226</v>
      </c>
      <c r="BR190" s="88">
        <v>2.847</v>
      </c>
      <c r="BS190" s="88">
        <v>2.6560000000000001</v>
      </c>
      <c r="BT190" s="81">
        <v>47</v>
      </c>
      <c r="BU190" s="83">
        <v>21000</v>
      </c>
      <c r="BV190" s="99">
        <v>42141</v>
      </c>
      <c r="BW190" s="84">
        <v>0.70809032645703984</v>
      </c>
      <c r="BX190" s="83">
        <v>71354</v>
      </c>
      <c r="BY190" s="83">
        <v>26544</v>
      </c>
      <c r="BZ190" s="84">
        <v>0.37200437256495783</v>
      </c>
      <c r="CA190" s="83">
        <v>141</v>
      </c>
      <c r="CB190" s="83">
        <v>814</v>
      </c>
      <c r="CC190" s="84">
        <v>1.9760630097822125E-3</v>
      </c>
      <c r="CD190" s="84">
        <v>1.1407909857891639E-2</v>
      </c>
    </row>
    <row r="191" spans="1:82" x14ac:dyDescent="0.25">
      <c r="A191" s="79" t="s">
        <v>119</v>
      </c>
      <c r="B191" s="80" t="s">
        <v>91</v>
      </c>
      <c r="C191" s="81">
        <v>896</v>
      </c>
      <c r="D191" s="100">
        <v>417.11</v>
      </c>
      <c r="E191" s="100">
        <v>11325.922639999999</v>
      </c>
      <c r="F191" s="83">
        <v>26700</v>
      </c>
      <c r="G191" s="83">
        <v>25168</v>
      </c>
      <c r="H191" s="84">
        <f t="shared" si="105"/>
        <v>5.7378277153558054E-2</v>
      </c>
      <c r="I191" s="79">
        <v>280</v>
      </c>
      <c r="J191" s="84">
        <f t="shared" si="106"/>
        <v>1.0486891385767791E-2</v>
      </c>
      <c r="K191" s="83">
        <v>72800</v>
      </c>
      <c r="L191" s="83">
        <v>139620</v>
      </c>
      <c r="M191" s="85">
        <f t="shared" si="107"/>
        <v>2.8925619834710745</v>
      </c>
      <c r="N191" s="85">
        <f t="shared" si="108"/>
        <v>1.9178571428571429</v>
      </c>
      <c r="O191" s="85">
        <f t="shared" si="109"/>
        <v>1.9442773129553119</v>
      </c>
      <c r="P191" s="86">
        <f t="shared" si="114"/>
        <v>0.45001281945327393</v>
      </c>
      <c r="Q191" s="86">
        <f t="shared" si="115"/>
        <v>1.6573029243483788E-2</v>
      </c>
      <c r="R191" s="83">
        <v>1964</v>
      </c>
      <c r="S191" s="86">
        <f t="shared" si="116"/>
        <v>5.7667630549898163</v>
      </c>
      <c r="T191" s="85">
        <f t="shared" si="110"/>
        <v>13.594704684317719</v>
      </c>
      <c r="U191" s="85">
        <f t="shared" si="111"/>
        <v>5.5475206611570247</v>
      </c>
      <c r="V191" s="87">
        <v>42.59</v>
      </c>
      <c r="W191" s="83"/>
      <c r="X191" s="85"/>
      <c r="Y191" s="83"/>
      <c r="Z191" s="88">
        <f t="shared" si="112"/>
        <v>6.7916458874643676E-2</v>
      </c>
      <c r="AA191" s="101" t="str">
        <f t="shared" si="113"/>
        <v/>
      </c>
      <c r="AB191" s="102">
        <v>0.31011235955056182</v>
      </c>
      <c r="AC191" s="102">
        <v>1.4277153558052433</v>
      </c>
      <c r="AD191" s="102">
        <v>2.7820224719101123</v>
      </c>
      <c r="AE191" s="102">
        <v>0.70936329588014979</v>
      </c>
      <c r="AF191" s="90" t="s">
        <v>81</v>
      </c>
      <c r="AG191" s="91"/>
      <c r="AH191" s="91">
        <v>13800</v>
      </c>
      <c r="AI191" s="91"/>
      <c r="AJ191" s="91"/>
      <c r="AK191" s="91"/>
      <c r="AL191" s="91"/>
      <c r="AM191" s="91"/>
      <c r="AN191" s="92"/>
      <c r="AO191" s="93">
        <f t="shared" si="70"/>
        <v>0.5168539325842697</v>
      </c>
      <c r="AP191" s="94" t="s">
        <v>82</v>
      </c>
      <c r="AQ191" s="91"/>
      <c r="AR191" s="83"/>
      <c r="AS191" s="83"/>
      <c r="AT191" s="83"/>
      <c r="AU191" s="83"/>
      <c r="AV191" s="83"/>
      <c r="AW191" s="83"/>
      <c r="AX191" s="83"/>
      <c r="AY191" s="83">
        <v>12900</v>
      </c>
      <c r="AZ191" s="83"/>
      <c r="BA191" s="83"/>
      <c r="BB191" s="83"/>
      <c r="BC191" s="83"/>
      <c r="BD191" s="83"/>
      <c r="BE191" s="83"/>
      <c r="BF191" s="91"/>
      <c r="BG191" s="83"/>
      <c r="BH191" s="95"/>
      <c r="BI191" s="96">
        <f t="shared" si="71"/>
        <v>0.48314606741573035</v>
      </c>
      <c r="BJ191" s="97">
        <v>2.859</v>
      </c>
      <c r="BK191" s="98">
        <v>42</v>
      </c>
      <c r="BL191" s="113">
        <v>4.2000000000000003E-2</v>
      </c>
      <c r="BM191" s="113">
        <v>0.19600000000000001</v>
      </c>
      <c r="BN191" s="113">
        <v>0.505</v>
      </c>
      <c r="BO191" s="113">
        <v>1</v>
      </c>
      <c r="BP191" s="113">
        <v>1.55</v>
      </c>
      <c r="BQ191" s="113">
        <v>2.1520000000000001</v>
      </c>
      <c r="BR191" s="113"/>
      <c r="BS191" s="113">
        <v>2.915</v>
      </c>
      <c r="BT191" s="81">
        <v>43</v>
      </c>
      <c r="BU191" s="83">
        <v>6000</v>
      </c>
      <c r="BV191" s="104">
        <v>42353</v>
      </c>
      <c r="BW191" s="84">
        <v>0.68857142857142861</v>
      </c>
      <c r="BX191" s="83">
        <v>24675</v>
      </c>
      <c r="BY191" s="83">
        <v>11152</v>
      </c>
      <c r="BZ191" s="84">
        <v>0.45195542046605874</v>
      </c>
      <c r="CA191" s="83">
        <v>118</v>
      </c>
      <c r="CB191" s="83">
        <v>224</v>
      </c>
      <c r="CC191" s="84">
        <v>4.7821681864235058E-3</v>
      </c>
      <c r="CD191" s="84">
        <v>9.078014184397163E-3</v>
      </c>
    </row>
    <row r="192" spans="1:82" x14ac:dyDescent="0.25">
      <c r="A192" s="79" t="s">
        <v>117</v>
      </c>
      <c r="B192" s="80" t="s">
        <v>80</v>
      </c>
      <c r="C192" s="81">
        <v>808</v>
      </c>
      <c r="D192" s="100">
        <v>359.77</v>
      </c>
      <c r="E192" s="100">
        <v>8657.0314999999991</v>
      </c>
      <c r="F192" s="83">
        <v>18800</v>
      </c>
      <c r="G192" s="83">
        <v>18300</v>
      </c>
      <c r="H192" s="84">
        <f t="shared" si="105"/>
        <v>2.6595744680851064E-2</v>
      </c>
      <c r="I192" s="79">
        <v>168</v>
      </c>
      <c r="J192" s="84">
        <f t="shared" si="106"/>
        <v>8.9361702127659579E-3</v>
      </c>
      <c r="K192" s="83">
        <v>53800</v>
      </c>
      <c r="L192" s="83">
        <v>102740</v>
      </c>
      <c r="M192" s="85">
        <f t="shared" si="107"/>
        <v>2.9398907103825138</v>
      </c>
      <c r="N192" s="85">
        <f t="shared" si="108"/>
        <v>1.9096654275092937</v>
      </c>
      <c r="O192" s="85">
        <f t="shared" si="109"/>
        <v>1.9316204578498823</v>
      </c>
      <c r="P192" s="86">
        <f t="shared" si="114"/>
        <v>0.47306183060109286</v>
      </c>
      <c r="Q192" s="86">
        <f t="shared" si="115"/>
        <v>1.9659562841530052E-2</v>
      </c>
      <c r="R192" s="83">
        <v>1500</v>
      </c>
      <c r="S192" s="86">
        <f t="shared" si="116"/>
        <v>5.771354333333333</v>
      </c>
      <c r="T192" s="85">
        <f t="shared" si="110"/>
        <v>12.533333333333333</v>
      </c>
      <c r="U192" s="85">
        <f t="shared" si="111"/>
        <v>5.6142076502732241</v>
      </c>
      <c r="V192" s="87">
        <v>44.6</v>
      </c>
      <c r="W192" s="83"/>
      <c r="X192" s="85"/>
      <c r="Y192" s="83"/>
      <c r="Z192" s="88">
        <f t="shared" si="112"/>
        <v>6.5916832071356804E-2</v>
      </c>
      <c r="AA192" s="101" t="str">
        <f t="shared" si="113"/>
        <v/>
      </c>
      <c r="AB192" s="102">
        <v>0.32127659574468087</v>
      </c>
      <c r="AC192" s="102">
        <v>1.3925531914893616</v>
      </c>
      <c r="AD192" s="102">
        <v>2.7765957446808511</v>
      </c>
      <c r="AE192" s="102">
        <v>0.97446808510638294</v>
      </c>
      <c r="AF192" s="90" t="s">
        <v>81</v>
      </c>
      <c r="AG192" s="91"/>
      <c r="AH192" s="91"/>
      <c r="AI192" s="91">
        <v>2800</v>
      </c>
      <c r="AJ192" s="91"/>
      <c r="AK192" s="91"/>
      <c r="AL192" s="91"/>
      <c r="AM192" s="91"/>
      <c r="AN192" s="118"/>
      <c r="AO192" s="93">
        <f t="shared" si="70"/>
        <v>0.14893617021276595</v>
      </c>
      <c r="AP192" s="94" t="s">
        <v>82</v>
      </c>
      <c r="AQ192" s="91"/>
      <c r="AR192" s="83"/>
      <c r="AS192" s="83"/>
      <c r="AT192" s="83"/>
      <c r="AU192" s="83"/>
      <c r="AV192" s="83"/>
      <c r="AW192" s="83"/>
      <c r="AX192" s="83"/>
      <c r="AY192" s="83"/>
      <c r="AZ192" s="83"/>
      <c r="BA192" s="83"/>
      <c r="BB192" s="83"/>
      <c r="BC192" s="83"/>
      <c r="BD192" s="83"/>
      <c r="BE192" s="83"/>
      <c r="BF192" s="91">
        <v>16000</v>
      </c>
      <c r="BG192" s="83"/>
      <c r="BH192" s="95"/>
      <c r="BI192" s="96">
        <f t="shared" si="71"/>
        <v>0.85106382978723405</v>
      </c>
      <c r="BJ192" s="97">
        <v>2.9540000000000002</v>
      </c>
      <c r="BK192" s="98">
        <v>44</v>
      </c>
      <c r="BL192" s="88">
        <v>4.2999999999999997E-2</v>
      </c>
      <c r="BM192" s="88"/>
      <c r="BN192" s="88">
        <v>0.48499999999999999</v>
      </c>
      <c r="BO192" s="88">
        <v>0.98599999999999999</v>
      </c>
      <c r="BP192" s="88">
        <v>1.49</v>
      </c>
      <c r="BQ192" s="88">
        <v>2.08</v>
      </c>
      <c r="BR192" s="88">
        <v>2.72</v>
      </c>
      <c r="BS192" s="88">
        <v>2.927</v>
      </c>
      <c r="BT192" s="81">
        <v>45</v>
      </c>
      <c r="BU192" s="83"/>
      <c r="BV192" s="104">
        <v>42327</v>
      </c>
      <c r="BW192" s="84">
        <v>0.70420074349442374</v>
      </c>
      <c r="BX192" s="83">
        <v>17956</v>
      </c>
      <c r="BY192" s="83">
        <v>5800</v>
      </c>
      <c r="BZ192" s="84">
        <v>0.32301180663844953</v>
      </c>
      <c r="CA192" s="83">
        <v>45</v>
      </c>
      <c r="CB192" s="83">
        <v>163</v>
      </c>
      <c r="CC192" s="84">
        <v>2.5061260859879707E-3</v>
      </c>
      <c r="CD192" s="84">
        <v>9.0777456003564277E-3</v>
      </c>
    </row>
    <row r="193" spans="1:82" x14ac:dyDescent="0.25">
      <c r="A193" s="79" t="s">
        <v>106</v>
      </c>
      <c r="B193" s="80" t="s">
        <v>86</v>
      </c>
      <c r="C193" s="81">
        <v>734</v>
      </c>
      <c r="D193" s="100">
        <v>306.76</v>
      </c>
      <c r="E193" s="100">
        <v>6950.57</v>
      </c>
      <c r="F193" s="83">
        <v>12300</v>
      </c>
      <c r="G193" s="83">
        <v>12225</v>
      </c>
      <c r="H193" s="84">
        <f t="shared" si="105"/>
        <v>6.0975609756097563E-3</v>
      </c>
      <c r="I193" s="79">
        <v>94</v>
      </c>
      <c r="J193" s="84">
        <f t="shared" si="106"/>
        <v>7.6422764227642281E-3</v>
      </c>
      <c r="K193" s="83">
        <v>35000</v>
      </c>
      <c r="L193" s="83">
        <v>61200</v>
      </c>
      <c r="M193" s="85">
        <f t="shared" si="107"/>
        <v>2.8629856850715747</v>
      </c>
      <c r="N193" s="85">
        <f t="shared" si="108"/>
        <v>1.7485714285714287</v>
      </c>
      <c r="O193" s="85">
        <f t="shared" si="109"/>
        <v>1.7573401606614367</v>
      </c>
      <c r="P193" s="86">
        <f t="shared" si="114"/>
        <v>0.56855378323108385</v>
      </c>
      <c r="Q193" s="86">
        <f t="shared" si="115"/>
        <v>2.5092842535787321E-2</v>
      </c>
      <c r="R193" s="83">
        <v>1200</v>
      </c>
      <c r="S193" s="86">
        <f t="shared" si="116"/>
        <v>5.7921416666666667</v>
      </c>
      <c r="T193" s="85">
        <f t="shared" si="110"/>
        <v>10.25</v>
      </c>
      <c r="U193" s="85">
        <f t="shared" si="111"/>
        <v>5.0061349693251538</v>
      </c>
      <c r="V193" s="87">
        <v>43</v>
      </c>
      <c r="W193" s="83"/>
      <c r="X193" s="85"/>
      <c r="Y193" s="83"/>
      <c r="Z193" s="88">
        <f t="shared" si="112"/>
        <v>6.6581062443524991E-2</v>
      </c>
      <c r="AA193" s="101" t="str">
        <f t="shared" si="113"/>
        <v/>
      </c>
      <c r="AB193" s="102">
        <v>0.29756097560975608</v>
      </c>
      <c r="AC193" s="102">
        <v>1.4552845528455285</v>
      </c>
      <c r="AD193" s="102">
        <v>2.5349593495934961</v>
      </c>
      <c r="AE193" s="102">
        <v>0.68780487804878043</v>
      </c>
      <c r="AF193" s="90" t="s">
        <v>81</v>
      </c>
      <c r="AG193" s="91"/>
      <c r="AH193" s="91"/>
      <c r="AI193" s="91"/>
      <c r="AJ193" s="91"/>
      <c r="AK193" s="91"/>
      <c r="AL193" s="91"/>
      <c r="AM193" s="91"/>
      <c r="AN193" s="92"/>
      <c r="AO193" s="93">
        <f t="shared" si="70"/>
        <v>0</v>
      </c>
      <c r="AP193" s="94" t="s">
        <v>82</v>
      </c>
      <c r="AQ193" s="91"/>
      <c r="AR193" s="83"/>
      <c r="AS193" s="83"/>
      <c r="AT193" s="83"/>
      <c r="AU193" s="83"/>
      <c r="AV193" s="83"/>
      <c r="AW193" s="83"/>
      <c r="AX193" s="83"/>
      <c r="AY193" s="83"/>
      <c r="AZ193" s="83"/>
      <c r="BA193" s="83"/>
      <c r="BB193" s="83"/>
      <c r="BC193" s="83"/>
      <c r="BD193" s="83">
        <v>12300</v>
      </c>
      <c r="BE193" s="83"/>
      <c r="BF193" s="91"/>
      <c r="BG193" s="83"/>
      <c r="BH193" s="95"/>
      <c r="BI193" s="96">
        <f t="shared" si="71"/>
        <v>1</v>
      </c>
      <c r="BJ193" s="97">
        <v>2.863</v>
      </c>
      <c r="BK193" s="98">
        <v>43</v>
      </c>
      <c r="BL193" s="88">
        <v>3.7999999999999999E-2</v>
      </c>
      <c r="BM193" s="88">
        <v>0.17</v>
      </c>
      <c r="BN193" s="88"/>
      <c r="BO193" s="88">
        <v>0.85</v>
      </c>
      <c r="BP193" s="88">
        <v>1.55</v>
      </c>
      <c r="BQ193" s="88">
        <v>2</v>
      </c>
      <c r="BR193" s="88">
        <v>2.7</v>
      </c>
      <c r="BS193" s="88">
        <v>2.863</v>
      </c>
      <c r="BT193" s="81">
        <v>43</v>
      </c>
      <c r="BU193" s="83"/>
      <c r="BV193" s="104">
        <v>42305</v>
      </c>
      <c r="BW193" s="84">
        <v>0.69875771428571432</v>
      </c>
      <c r="BX193" s="83">
        <v>12194</v>
      </c>
      <c r="BY193" s="83">
        <v>7376</v>
      </c>
      <c r="BZ193" s="84">
        <v>0.60488764966376907</v>
      </c>
      <c r="CA193" s="83">
        <v>20</v>
      </c>
      <c r="CB193" s="83">
        <v>41</v>
      </c>
      <c r="CC193" s="84">
        <v>1.6401508938822373E-3</v>
      </c>
      <c r="CD193" s="84">
        <v>3.3623093324585862E-3</v>
      </c>
    </row>
    <row r="194" spans="1:82" x14ac:dyDescent="0.25">
      <c r="A194" s="79" t="s">
        <v>122</v>
      </c>
      <c r="B194" s="80" t="s">
        <v>86</v>
      </c>
      <c r="C194" s="81">
        <v>630</v>
      </c>
      <c r="D194" s="108">
        <v>1774.28</v>
      </c>
      <c r="E194" s="108">
        <v>12187.798349999999</v>
      </c>
      <c r="F194" s="83">
        <v>33100</v>
      </c>
      <c r="G194" s="83">
        <v>32270</v>
      </c>
      <c r="H194" s="84">
        <f t="shared" si="105"/>
        <v>2.5075528700906343E-2</v>
      </c>
      <c r="I194" s="79">
        <v>305</v>
      </c>
      <c r="J194" s="84">
        <f t="shared" si="106"/>
        <v>9.2145015105740188E-3</v>
      </c>
      <c r="K194" s="83">
        <v>78420</v>
      </c>
      <c r="L194" s="83">
        <v>142420</v>
      </c>
      <c r="M194" s="85">
        <f t="shared" si="107"/>
        <v>2.4301208552835449</v>
      </c>
      <c r="N194" s="85">
        <f t="shared" si="108"/>
        <v>1.816118337158888</v>
      </c>
      <c r="O194" s="85">
        <f t="shared" si="109"/>
        <v>1.828014308799667</v>
      </c>
      <c r="P194" s="86">
        <f t="shared" si="114"/>
        <v>0.37768200650759215</v>
      </c>
      <c r="Q194" s="86">
        <f t="shared" si="115"/>
        <v>5.4982336535481874E-2</v>
      </c>
      <c r="R194" s="83">
        <v>2100</v>
      </c>
      <c r="S194" s="86">
        <f t="shared" si="116"/>
        <v>5.8037134999999997</v>
      </c>
      <c r="T194" s="85">
        <f t="shared" si="110"/>
        <v>15.761904761904763</v>
      </c>
      <c r="U194" s="85">
        <f t="shared" si="111"/>
        <v>4.4133870467926863</v>
      </c>
      <c r="V194" s="87">
        <v>43</v>
      </c>
      <c r="W194" s="83">
        <v>34</v>
      </c>
      <c r="X194" s="85">
        <v>1.931</v>
      </c>
      <c r="Y194" s="83">
        <v>5500</v>
      </c>
      <c r="Z194" s="88">
        <f t="shared" si="112"/>
        <v>5.6514438494966159E-2</v>
      </c>
      <c r="AA194" s="109">
        <f t="shared" si="113"/>
        <v>5.6794117647058828E-2</v>
      </c>
      <c r="AB194" s="88">
        <v>0.31963746223564954</v>
      </c>
      <c r="AC194" s="88">
        <v>1.4302114803625379</v>
      </c>
      <c r="AD194" s="88">
        <v>2.1595166163141992</v>
      </c>
      <c r="AE194" s="88">
        <v>0.3933534743202417</v>
      </c>
      <c r="AF194" s="90" t="s">
        <v>81</v>
      </c>
      <c r="AG194" s="91"/>
      <c r="AH194" s="83"/>
      <c r="AI194" s="91">
        <v>33100</v>
      </c>
      <c r="AJ194" s="91"/>
      <c r="AK194" s="91"/>
      <c r="AL194" s="110"/>
      <c r="AM194" s="91"/>
      <c r="AN194" s="92"/>
      <c r="AO194" s="93">
        <f t="shared" ref="AO194:AO257" si="117">+(AN194+AM194+AL194+AK194+AJ194+AI194+AH194+AG194)/F194</f>
        <v>1</v>
      </c>
      <c r="AP194" s="94" t="s">
        <v>82</v>
      </c>
      <c r="AQ194" s="91"/>
      <c r="AR194" s="83"/>
      <c r="AS194" s="83"/>
      <c r="AT194" s="83"/>
      <c r="AU194" s="83"/>
      <c r="AV194" s="83"/>
      <c r="AW194" s="110"/>
      <c r="AX194" s="83"/>
      <c r="AY194" s="83"/>
      <c r="AZ194" s="83"/>
      <c r="BA194" s="83"/>
      <c r="BB194" s="83"/>
      <c r="BC194" s="83"/>
      <c r="BD194" s="83"/>
      <c r="BE194" s="83"/>
      <c r="BF194" s="91"/>
      <c r="BG194" s="83"/>
      <c r="BH194" s="95"/>
      <c r="BI194" s="96">
        <f t="shared" ref="BI194:BI257" si="118">+(BH194+BG194+BF194+BE194+BD194+BC194+BB194+BA194+AZ194+AY194+AX194+AW194+AV194+AU194+AT194+AS194+AR194+AQ194)/F194</f>
        <v>0</v>
      </c>
      <c r="BJ194" s="97">
        <v>2.5329999999999999</v>
      </c>
      <c r="BK194" s="98">
        <v>43</v>
      </c>
      <c r="BL194" s="88">
        <v>0.04</v>
      </c>
      <c r="BM194" s="88">
        <v>0.17499999999999999</v>
      </c>
      <c r="BN194" s="88">
        <v>0.43</v>
      </c>
      <c r="BO194" s="88">
        <v>0.87</v>
      </c>
      <c r="BP194" s="88">
        <v>1.5</v>
      </c>
      <c r="BQ194" s="88">
        <v>1.93</v>
      </c>
      <c r="BR194" s="88"/>
      <c r="BS194" s="88">
        <v>2.5329999999999999</v>
      </c>
      <c r="BT194" s="81">
        <v>43</v>
      </c>
      <c r="BU194" s="83"/>
      <c r="BV194" s="99">
        <v>42165</v>
      </c>
      <c r="BW194" s="84">
        <v>0.70450575221238931</v>
      </c>
      <c r="BX194" s="83">
        <v>26450</v>
      </c>
      <c r="BY194" s="83">
        <v>12928</v>
      </c>
      <c r="BZ194" s="84">
        <v>0.48877126654064273</v>
      </c>
      <c r="CA194" s="83">
        <v>24</v>
      </c>
      <c r="CB194" s="83">
        <v>186</v>
      </c>
      <c r="CC194" s="84">
        <v>9.073724007561437E-4</v>
      </c>
      <c r="CD194" s="84">
        <v>7.0321361058601137E-3</v>
      </c>
    </row>
    <row r="195" spans="1:82" x14ac:dyDescent="0.25">
      <c r="A195" s="79" t="s">
        <v>110</v>
      </c>
      <c r="B195" s="80" t="s">
        <v>80</v>
      </c>
      <c r="C195" s="81">
        <v>810</v>
      </c>
      <c r="D195" s="82">
        <v>1027.33</v>
      </c>
      <c r="E195" s="82">
        <v>13772.297219999999</v>
      </c>
      <c r="F195" s="83">
        <v>36900</v>
      </c>
      <c r="G195" s="83">
        <v>34164</v>
      </c>
      <c r="H195" s="84">
        <v>7.4146341463414631E-2</v>
      </c>
      <c r="I195" s="79">
        <v>298</v>
      </c>
      <c r="J195" s="84">
        <v>8.0758807588075885E-3</v>
      </c>
      <c r="K195" s="83">
        <v>89440</v>
      </c>
      <c r="L195" s="83">
        <v>166400</v>
      </c>
      <c r="M195" s="85">
        <v>2.6179604261796041</v>
      </c>
      <c r="N195" s="85">
        <v>1.8604651162790697</v>
      </c>
      <c r="O195" s="85">
        <v>1.8856333876990075</v>
      </c>
      <c r="P195" s="86">
        <v>0.4031230892167193</v>
      </c>
      <c r="Q195" s="86">
        <v>3.0070542091090034E-2</v>
      </c>
      <c r="R195" s="83">
        <v>2352</v>
      </c>
      <c r="S195" s="86">
        <v>5.8555685459183664</v>
      </c>
      <c r="T195" s="85">
        <v>15.688775510204081</v>
      </c>
      <c r="U195" s="85">
        <v>4.8706240487062402</v>
      </c>
      <c r="V195" s="87">
        <v>46</v>
      </c>
      <c r="W195" s="83">
        <v>37</v>
      </c>
      <c r="X195" s="85">
        <v>2.1280000000000001</v>
      </c>
      <c r="Y195" s="83">
        <v>8000</v>
      </c>
      <c r="Z195" s="88">
        <v>5.6912183177817481E-2</v>
      </c>
      <c r="AA195" s="89">
        <v>5.7513513513513519E-2</v>
      </c>
      <c r="AB195" s="88">
        <v>0.31165311653116529</v>
      </c>
      <c r="AC195" s="88">
        <v>1.5029810298102981</v>
      </c>
      <c r="AD195" s="88">
        <v>2.2265582655826557</v>
      </c>
      <c r="AE195" s="88">
        <v>0.4682926829268293</v>
      </c>
      <c r="AF195" s="90" t="s">
        <v>81</v>
      </c>
      <c r="AG195" s="91"/>
      <c r="AH195" s="91"/>
      <c r="AI195" s="91">
        <v>16200</v>
      </c>
      <c r="AJ195" s="91"/>
      <c r="AK195" s="91"/>
      <c r="AL195" s="79"/>
      <c r="AM195" s="91"/>
      <c r="AN195" s="92"/>
      <c r="AO195" s="93">
        <f t="shared" si="117"/>
        <v>0.43902439024390244</v>
      </c>
      <c r="AP195" s="94" t="s">
        <v>82</v>
      </c>
      <c r="AQ195" s="83"/>
      <c r="AR195" s="83"/>
      <c r="AS195" s="83"/>
      <c r="AT195" s="83"/>
      <c r="AU195" s="83"/>
      <c r="AV195" s="83"/>
      <c r="AW195" s="83"/>
      <c r="AX195" s="83"/>
      <c r="AY195" s="83"/>
      <c r="AZ195" s="83"/>
      <c r="BA195" s="83"/>
      <c r="BB195" s="83"/>
      <c r="BC195" s="83"/>
      <c r="BD195" s="83"/>
      <c r="BE195" s="83"/>
      <c r="BF195" s="83">
        <v>20700</v>
      </c>
      <c r="BG195" s="83"/>
      <c r="BH195" s="95"/>
      <c r="BI195" s="96">
        <f t="shared" si="118"/>
        <v>0.56097560975609762</v>
      </c>
      <c r="BJ195" s="97">
        <v>2.7669999999999999</v>
      </c>
      <c r="BK195" s="98">
        <v>46</v>
      </c>
      <c r="BL195" s="88">
        <v>0.04</v>
      </c>
      <c r="BM195" s="88">
        <v>0.183</v>
      </c>
      <c r="BN195" s="88">
        <v>0.39500000000000002</v>
      </c>
      <c r="BO195" s="88">
        <v>0.8</v>
      </c>
      <c r="BP195" s="88">
        <v>1.36</v>
      </c>
      <c r="BQ195" s="88">
        <v>1.9</v>
      </c>
      <c r="BR195" s="88">
        <v>2.4</v>
      </c>
      <c r="BS195" s="88">
        <v>2.7669999999999999</v>
      </c>
      <c r="BT195" s="81">
        <v>46</v>
      </c>
      <c r="BU195" s="83"/>
      <c r="BV195" s="99">
        <v>42241</v>
      </c>
      <c r="BW195" s="84">
        <v>0.70792488262910791</v>
      </c>
      <c r="BX195" s="83">
        <v>25596</v>
      </c>
      <c r="BY195" s="83">
        <v>11496</v>
      </c>
      <c r="BZ195" s="84">
        <v>0.44913267698077824</v>
      </c>
      <c r="CA195" s="83">
        <v>83</v>
      </c>
      <c r="CB195" s="83">
        <v>491</v>
      </c>
      <c r="CC195" s="84">
        <v>3.2426941709642132E-3</v>
      </c>
      <c r="CD195" s="84">
        <v>1.9182684794499142E-2</v>
      </c>
    </row>
    <row r="196" spans="1:82" x14ac:dyDescent="0.25">
      <c r="A196" s="79" t="s">
        <v>85</v>
      </c>
      <c r="B196" s="80" t="s">
        <v>86</v>
      </c>
      <c r="C196" s="81">
        <v>430</v>
      </c>
      <c r="D196" s="105">
        <v>790.68</v>
      </c>
      <c r="E196" s="105">
        <v>9374.85</v>
      </c>
      <c r="F196" s="83">
        <v>22500</v>
      </c>
      <c r="G196" s="83">
        <v>20520</v>
      </c>
      <c r="H196" s="84">
        <f>IF(F196=0,0,+((F196-G196)/F196))</f>
        <v>8.7999999999999995E-2</v>
      </c>
      <c r="I196" s="79">
        <v>1224</v>
      </c>
      <c r="J196" s="84">
        <f>+(I196/F196)</f>
        <v>5.4399999999999997E-2</v>
      </c>
      <c r="K196" s="83">
        <v>57870</v>
      </c>
      <c r="L196" s="83">
        <v>106680</v>
      </c>
      <c r="M196" s="85">
        <f>IF(G196=0,0,+K196/G196)</f>
        <v>2.8201754385964914</v>
      </c>
      <c r="N196" s="85">
        <f>IF(K196=0,0,+L196/K196)</f>
        <v>1.8434421980300675</v>
      </c>
      <c r="O196" s="85">
        <f>+L196/((G196-CA204-CB204)*M196)</f>
        <v>1.864246902743925</v>
      </c>
      <c r="P196" s="86">
        <f>+E196/G196</f>
        <v>0.45686403508771933</v>
      </c>
      <c r="Q196" s="86">
        <f>+D196/G196</f>
        <v>3.8532163742690057E-2</v>
      </c>
      <c r="R196" s="83">
        <v>1590</v>
      </c>
      <c r="S196" s="106">
        <f>+E196/R196</f>
        <v>5.8961320754716979</v>
      </c>
      <c r="T196" s="85">
        <f>IF(R196=0,0,+F196/R196)</f>
        <v>14.150943396226415</v>
      </c>
      <c r="U196" s="85">
        <f>IF(L196=0,0,+L196/G196)</f>
        <v>5.1988304093567255</v>
      </c>
      <c r="V196" s="87">
        <v>46.23</v>
      </c>
      <c r="W196" s="83"/>
      <c r="X196" s="85"/>
      <c r="Y196" s="83"/>
      <c r="Z196" s="88">
        <f>IF(V196=0,0,+M196/V196)</f>
        <v>6.1003145978725755E-2</v>
      </c>
      <c r="AA196" s="107" t="str">
        <f>IF(W196=0,"",+X196/W196)</f>
        <v/>
      </c>
      <c r="AB196" s="102">
        <v>0.30755555555555558</v>
      </c>
      <c r="AC196" s="102">
        <v>1.4684444444444444</v>
      </c>
      <c r="AD196" s="102">
        <v>2.2320000000000002</v>
      </c>
      <c r="AE196" s="102">
        <v>0.73333333333333328</v>
      </c>
      <c r="AF196" s="90" t="s">
        <v>81</v>
      </c>
      <c r="AG196" s="91"/>
      <c r="AH196" s="91"/>
      <c r="AI196" s="91"/>
      <c r="AJ196" s="91"/>
      <c r="AK196" s="91"/>
      <c r="AL196" s="91"/>
      <c r="AM196" s="91"/>
      <c r="AN196" s="92"/>
      <c r="AO196" s="93">
        <f t="shared" si="117"/>
        <v>0</v>
      </c>
      <c r="AP196" s="94" t="s">
        <v>82</v>
      </c>
      <c r="AQ196" s="83"/>
      <c r="AR196" s="83"/>
      <c r="AS196" s="83"/>
      <c r="AT196" s="83"/>
      <c r="AU196" s="83"/>
      <c r="AV196" s="83"/>
      <c r="AW196" s="83"/>
      <c r="AX196" s="83"/>
      <c r="AY196" s="83">
        <v>22500</v>
      </c>
      <c r="AZ196" s="83"/>
      <c r="BA196" s="83"/>
      <c r="BB196" s="83"/>
      <c r="BC196" s="83"/>
      <c r="BD196" s="83"/>
      <c r="BE196" s="83"/>
      <c r="BF196" s="83"/>
      <c r="BG196" s="83"/>
      <c r="BH196" s="95"/>
      <c r="BI196" s="96">
        <f t="shared" si="118"/>
        <v>1</v>
      </c>
      <c r="BJ196" s="97">
        <v>2.8050000000000002</v>
      </c>
      <c r="BK196" s="98">
        <v>46</v>
      </c>
      <c r="BL196" s="88">
        <v>0.04</v>
      </c>
      <c r="BM196" s="88">
        <v>0.17</v>
      </c>
      <c r="BN196" s="88">
        <v>0.45</v>
      </c>
      <c r="BO196" s="88">
        <v>0.9</v>
      </c>
      <c r="BP196" s="88">
        <v>1.5</v>
      </c>
      <c r="BQ196" s="88">
        <v>2.1</v>
      </c>
      <c r="BR196" s="88">
        <v>2.5499999999999998</v>
      </c>
      <c r="BS196" s="88">
        <v>2.8719999999999999</v>
      </c>
      <c r="BT196" s="81">
        <v>47</v>
      </c>
      <c r="BU196" s="83"/>
      <c r="BV196" s="99">
        <v>42277</v>
      </c>
      <c r="BW196" s="84">
        <v>0.71582287886642471</v>
      </c>
      <c r="BX196" s="83">
        <v>20320</v>
      </c>
      <c r="BY196" s="83">
        <v>9744</v>
      </c>
      <c r="BZ196" s="84">
        <v>0.47952755905511812</v>
      </c>
      <c r="CA196" s="83">
        <v>33</v>
      </c>
      <c r="CB196" s="83">
        <v>135</v>
      </c>
      <c r="CC196" s="84">
        <v>1.624015748031496E-3</v>
      </c>
      <c r="CD196" s="84">
        <v>6.6437007874015751E-3</v>
      </c>
    </row>
    <row r="197" spans="1:82" x14ac:dyDescent="0.25">
      <c r="A197" s="79" t="s">
        <v>109</v>
      </c>
      <c r="B197" s="80" t="s">
        <v>80</v>
      </c>
      <c r="C197" s="81">
        <v>872</v>
      </c>
      <c r="D197" s="108">
        <v>916.98</v>
      </c>
      <c r="E197" s="108">
        <v>8261.3996100000004</v>
      </c>
      <c r="F197" s="83">
        <v>18500</v>
      </c>
      <c r="G197" s="83">
        <v>18282</v>
      </c>
      <c r="H197" s="84">
        <f>IF(F197=0,0,+((F197-G197)/F197))</f>
        <v>1.1783783783783783E-2</v>
      </c>
      <c r="I197" s="79">
        <v>130</v>
      </c>
      <c r="J197" s="84">
        <f>+(I197/F197)</f>
        <v>7.0270270270270272E-3</v>
      </c>
      <c r="K197" s="83">
        <v>48050</v>
      </c>
      <c r="L197" s="83">
        <v>86360</v>
      </c>
      <c r="M197" s="85">
        <f>IF(G197=0,0,+K197/G197)</f>
        <v>2.6282682419866537</v>
      </c>
      <c r="N197" s="85">
        <f>IF(K197=0,0,+L197/K197)</f>
        <v>1.7972944849115504</v>
      </c>
      <c r="O197" s="85">
        <f>+L197/((G197-CA197-CB197)*M197)</f>
        <v>1.8144645078774622</v>
      </c>
      <c r="P197" s="86">
        <f>IF(G197=0,0,+E197/G197)</f>
        <v>0.45188708073514933</v>
      </c>
      <c r="Q197" s="86">
        <f>IF(G197=0,0,+D197/G197)</f>
        <v>5.0157531998687235E-2</v>
      </c>
      <c r="R197" s="83">
        <v>1400</v>
      </c>
      <c r="S197" s="86">
        <f>IF(R197=0,0,+E197/R197)</f>
        <v>5.9009997214285717</v>
      </c>
      <c r="T197" s="85">
        <f>IF(R197=0,0,+F197/R197)</f>
        <v>13.214285714285714</v>
      </c>
      <c r="U197" s="85">
        <f>IF(L197=0,0,+L197/G197)</f>
        <v>4.7237720161907886</v>
      </c>
      <c r="V197" s="87">
        <v>41</v>
      </c>
      <c r="W197" s="83"/>
      <c r="X197" s="85"/>
      <c r="Y197" s="83"/>
      <c r="Z197" s="88">
        <f>IF(V197=0,0,+M197/V197)</f>
        <v>6.4104103463089118E-2</v>
      </c>
      <c r="AA197" s="109" t="str">
        <f>IF(W197=0,"",+X197/W197)</f>
        <v/>
      </c>
      <c r="AB197" s="88">
        <v>0.29081081081081084</v>
      </c>
      <c r="AC197" s="88">
        <v>1.508108108108108</v>
      </c>
      <c r="AD197" s="88">
        <v>2.5221621621621622</v>
      </c>
      <c r="AE197" s="88">
        <v>0.34702702702702704</v>
      </c>
      <c r="AF197" s="90" t="s">
        <v>81</v>
      </c>
      <c r="AG197" s="91"/>
      <c r="AH197" s="83"/>
      <c r="AI197" s="91"/>
      <c r="AJ197" s="91"/>
      <c r="AK197" s="91">
        <v>2200</v>
      </c>
      <c r="AL197" s="110"/>
      <c r="AM197" s="91"/>
      <c r="AN197" s="92"/>
      <c r="AO197" s="93">
        <f t="shared" si="117"/>
        <v>0.11891891891891893</v>
      </c>
      <c r="AP197" s="94" t="s">
        <v>82</v>
      </c>
      <c r="AQ197" s="91"/>
      <c r="AR197" s="83"/>
      <c r="AS197" s="83"/>
      <c r="AT197" s="83"/>
      <c r="AU197" s="83"/>
      <c r="AV197" s="83"/>
      <c r="AW197" s="110"/>
      <c r="AX197" s="83"/>
      <c r="AY197" s="83"/>
      <c r="AZ197" s="83"/>
      <c r="BA197" s="83"/>
      <c r="BB197" s="83"/>
      <c r="BC197" s="83"/>
      <c r="BD197" s="83"/>
      <c r="BE197" s="83"/>
      <c r="BF197" s="91"/>
      <c r="BG197" s="83">
        <v>16300</v>
      </c>
      <c r="BH197" s="95"/>
      <c r="BI197" s="96">
        <f t="shared" si="118"/>
        <v>0.88108108108108107</v>
      </c>
      <c r="BJ197" s="97">
        <v>2.6280000000000001</v>
      </c>
      <c r="BK197" s="98">
        <v>41</v>
      </c>
      <c r="BL197" s="88">
        <v>4.3999999999999997E-2</v>
      </c>
      <c r="BM197" s="88">
        <v>0.16800000000000001</v>
      </c>
      <c r="BN197" s="88">
        <v>0.435</v>
      </c>
      <c r="BO197" s="88">
        <v>0.94</v>
      </c>
      <c r="BP197" s="88">
        <v>1.42</v>
      </c>
      <c r="BQ197" s="88"/>
      <c r="BR197" s="88"/>
      <c r="BS197" s="88">
        <v>2.6280000000000001</v>
      </c>
      <c r="BT197" s="81">
        <v>41</v>
      </c>
      <c r="BU197" s="83">
        <v>9000</v>
      </c>
      <c r="BV197" s="99">
        <v>42172</v>
      </c>
      <c r="BW197" s="84">
        <v>0.70011925078043713</v>
      </c>
      <c r="BX197" s="83">
        <v>18120</v>
      </c>
      <c r="BY197" s="83">
        <v>7488</v>
      </c>
      <c r="BZ197" s="84">
        <v>0.41324503311258276</v>
      </c>
      <c r="CA197" s="83">
        <v>28</v>
      </c>
      <c r="CB197" s="83">
        <v>145</v>
      </c>
      <c r="CC197" s="84">
        <v>1.5452538631346578E-3</v>
      </c>
      <c r="CD197" s="84">
        <v>8.002207505518763E-3</v>
      </c>
    </row>
    <row r="198" spans="1:82" x14ac:dyDescent="0.25">
      <c r="A198" s="79" t="s">
        <v>114</v>
      </c>
      <c r="B198" s="80" t="s">
        <v>115</v>
      </c>
      <c r="C198" s="81">
        <v>657</v>
      </c>
      <c r="D198" s="82">
        <v>690.39</v>
      </c>
      <c r="E198" s="82">
        <v>8946.6157000000003</v>
      </c>
      <c r="F198" s="83">
        <v>19200</v>
      </c>
      <c r="G198" s="83">
        <v>18340</v>
      </c>
      <c r="H198" s="84">
        <v>4.4791666666666667E-2</v>
      </c>
      <c r="I198" s="79">
        <v>124</v>
      </c>
      <c r="J198" s="84">
        <v>6.4583333333333333E-3</v>
      </c>
      <c r="K198" s="83">
        <v>48820</v>
      </c>
      <c r="L198" s="83">
        <v>85600</v>
      </c>
      <c r="M198" s="85">
        <v>2.6619411123227916</v>
      </c>
      <c r="N198" s="85">
        <v>1.7533797623924621</v>
      </c>
      <c r="O198" s="85">
        <v>1.8037348464369394</v>
      </c>
      <c r="P198" s="86">
        <v>0.4878198309705562</v>
      </c>
      <c r="Q198" s="86">
        <v>3.7643947655398038E-2</v>
      </c>
      <c r="R198" s="83">
        <v>1512</v>
      </c>
      <c r="S198" s="86">
        <v>5.9170738756613757</v>
      </c>
      <c r="T198" s="85">
        <v>12.698412698412698</v>
      </c>
      <c r="U198" s="85">
        <v>4.6673936750272631</v>
      </c>
      <c r="V198" s="87">
        <v>44</v>
      </c>
      <c r="W198" s="83"/>
      <c r="X198" s="85"/>
      <c r="Y198" s="83"/>
      <c r="Z198" s="88">
        <v>6.0498661643699811E-2</v>
      </c>
      <c r="AA198" s="89" t="s">
        <v>84</v>
      </c>
      <c r="AB198" s="88">
        <v>0.31459999999999999</v>
      </c>
      <c r="AC198" s="88">
        <v>1.4552</v>
      </c>
      <c r="AD198" s="88">
        <v>2.0478999999999998</v>
      </c>
      <c r="AE198" s="88">
        <v>0.64059999999999995</v>
      </c>
      <c r="AF198" s="90" t="s">
        <v>81</v>
      </c>
      <c r="AG198" s="91"/>
      <c r="AH198" s="91"/>
      <c r="AI198" s="91"/>
      <c r="AJ198" s="91"/>
      <c r="AK198" s="91"/>
      <c r="AL198" s="79"/>
      <c r="AM198" s="91"/>
      <c r="AN198" s="92"/>
      <c r="AO198" s="93">
        <f t="shared" si="117"/>
        <v>0</v>
      </c>
      <c r="AP198" s="94" t="s">
        <v>82</v>
      </c>
      <c r="AQ198" s="83"/>
      <c r="AR198" s="83"/>
      <c r="AS198" s="83"/>
      <c r="AT198" s="83"/>
      <c r="AU198" s="83"/>
      <c r="AV198" s="83"/>
      <c r="AW198" s="83"/>
      <c r="AX198" s="83"/>
      <c r="AY198" s="83"/>
      <c r="AZ198" s="83"/>
      <c r="BA198" s="83"/>
      <c r="BB198" s="83"/>
      <c r="BC198" s="83"/>
      <c r="BD198" s="83"/>
      <c r="BE198" s="83"/>
      <c r="BF198" s="83">
        <v>19200</v>
      </c>
      <c r="BG198" s="83"/>
      <c r="BH198" s="95"/>
      <c r="BI198" s="96">
        <f t="shared" si="118"/>
        <v>1</v>
      </c>
      <c r="BJ198" s="97">
        <v>2.6619999999999999</v>
      </c>
      <c r="BK198" s="98">
        <v>42</v>
      </c>
      <c r="BL198" s="88"/>
      <c r="BM198" s="88">
        <v>0.16800000000000001</v>
      </c>
      <c r="BN198" s="88">
        <v>0.47699999999999998</v>
      </c>
      <c r="BO198" s="88">
        <v>0.92200000000000004</v>
      </c>
      <c r="BP198" s="88">
        <v>1.4570000000000001</v>
      </c>
      <c r="BQ198" s="88">
        <v>2.2000000000000002</v>
      </c>
      <c r="BR198" s="88">
        <v>2.4340000000000002</v>
      </c>
      <c r="BS198" s="88">
        <v>2.6619999999999999</v>
      </c>
      <c r="BT198" s="81">
        <v>42</v>
      </c>
      <c r="BU198" s="83"/>
      <c r="BV198" s="99">
        <v>42244</v>
      </c>
      <c r="BW198" s="84">
        <v>0.71794920114707084</v>
      </c>
      <c r="BX198" s="83">
        <v>18162</v>
      </c>
      <c r="BY198" s="83">
        <v>6432</v>
      </c>
      <c r="BZ198" s="84">
        <v>0.35414601916088534</v>
      </c>
      <c r="CA198" s="83">
        <v>23</v>
      </c>
      <c r="CB198" s="83">
        <v>162</v>
      </c>
      <c r="CC198" s="84">
        <v>1.2663803545864994E-3</v>
      </c>
      <c r="CD198" s="84">
        <v>8.9197224975222991E-3</v>
      </c>
    </row>
    <row r="199" spans="1:82" x14ac:dyDescent="0.25">
      <c r="A199" s="79" t="s">
        <v>92</v>
      </c>
      <c r="B199" s="80" t="s">
        <v>86</v>
      </c>
      <c r="C199" s="81">
        <v>456</v>
      </c>
      <c r="D199" s="108">
        <v>146.02000000000001</v>
      </c>
      <c r="E199" s="108">
        <v>5683.7590999999993</v>
      </c>
      <c r="F199" s="83">
        <v>12000</v>
      </c>
      <c r="G199" s="83">
        <v>11420</v>
      </c>
      <c r="H199" s="84">
        <f t="shared" ref="H199:H206" si="119">IF(F199=0,0,+((F199-G199)/F199))</f>
        <v>4.8333333333333332E-2</v>
      </c>
      <c r="I199" s="79">
        <v>114</v>
      </c>
      <c r="J199" s="84">
        <f t="shared" ref="J199:J206" si="120">+(I199/F199)</f>
        <v>9.4999999999999998E-3</v>
      </c>
      <c r="K199" s="83">
        <v>31440</v>
      </c>
      <c r="L199" s="83">
        <v>59440</v>
      </c>
      <c r="M199" s="85">
        <f t="shared" ref="M199:M206" si="121">IF(G199=0,0,+K199/G199)</f>
        <v>2.7530647985989494</v>
      </c>
      <c r="N199" s="85">
        <f t="shared" ref="N199:N206" si="122">IF(K199=0,0,+L199/K199)</f>
        <v>1.89058524173028</v>
      </c>
      <c r="O199" s="85">
        <f t="shared" ref="O199:O206" si="123">+L199/((G199-CA199-CB199)*M199)</f>
        <v>1.920348969186142</v>
      </c>
      <c r="P199" s="86">
        <f>+E199/G199</f>
        <v>0.49770219789842374</v>
      </c>
      <c r="Q199" s="86">
        <f>+D199/G199</f>
        <v>1.2786339754816113E-2</v>
      </c>
      <c r="R199" s="83">
        <v>960</v>
      </c>
      <c r="S199" s="86">
        <f>+E199/R199</f>
        <v>5.9205823958333328</v>
      </c>
      <c r="T199" s="85">
        <f t="shared" ref="T199:T206" si="124">IF(R199=0,0,+F199/R199)</f>
        <v>12.5</v>
      </c>
      <c r="U199" s="85">
        <f t="shared" ref="U199:U206" si="125">IF(L199=0,0,+L199/G199)</f>
        <v>5.2049036777583186</v>
      </c>
      <c r="V199" s="87">
        <v>43</v>
      </c>
      <c r="W199" s="83"/>
      <c r="X199" s="85"/>
      <c r="Y199" s="83"/>
      <c r="Z199" s="88">
        <f t="shared" ref="Z199:Z206" si="126">IF(V199=0,0,+M199/V199)</f>
        <v>6.4024762758115097E-2</v>
      </c>
      <c r="AA199" s="109" t="str">
        <f t="shared" ref="AA199:AA206" si="127">IF(W199=0,"",+X199/W199)</f>
        <v/>
      </c>
      <c r="AB199" s="88">
        <v>0.315</v>
      </c>
      <c r="AC199" s="88">
        <v>1.425</v>
      </c>
      <c r="AD199" s="88">
        <v>2.46</v>
      </c>
      <c r="AE199" s="88">
        <v>0.7533333333333333</v>
      </c>
      <c r="AF199" s="90" t="s">
        <v>81</v>
      </c>
      <c r="AG199" s="91"/>
      <c r="AH199" s="91"/>
      <c r="AI199" s="91"/>
      <c r="AJ199" s="91"/>
      <c r="AK199" s="91"/>
      <c r="AL199" s="110"/>
      <c r="AM199" s="83"/>
      <c r="AN199" s="92"/>
      <c r="AO199" s="93">
        <f t="shared" si="117"/>
        <v>0</v>
      </c>
      <c r="AP199" s="94" t="s">
        <v>82</v>
      </c>
      <c r="AQ199" s="91"/>
      <c r="AR199" s="83"/>
      <c r="AS199" s="83">
        <v>6500</v>
      </c>
      <c r="AT199" s="83"/>
      <c r="AU199" s="91"/>
      <c r="AV199" s="83"/>
      <c r="AW199" s="110"/>
      <c r="AX199" s="83"/>
      <c r="AY199" s="91"/>
      <c r="AZ199" s="83"/>
      <c r="BA199" s="83"/>
      <c r="BB199" s="83"/>
      <c r="BC199" s="83">
        <v>5500</v>
      </c>
      <c r="BD199" s="83"/>
      <c r="BE199" s="83"/>
      <c r="BF199" s="83"/>
      <c r="BG199" s="83"/>
      <c r="BH199" s="95"/>
      <c r="BI199" s="96">
        <f t="shared" si="118"/>
        <v>1</v>
      </c>
      <c r="BJ199" s="97">
        <v>2.7530000000000001</v>
      </c>
      <c r="BK199" s="98">
        <v>43</v>
      </c>
      <c r="BL199" s="88">
        <v>0.04</v>
      </c>
      <c r="BM199" s="88">
        <v>0.18</v>
      </c>
      <c r="BN199" s="88">
        <v>0.44</v>
      </c>
      <c r="BO199" s="88">
        <v>0.74</v>
      </c>
      <c r="BP199" s="88">
        <v>1.36</v>
      </c>
      <c r="BQ199" s="88">
        <v>2.1</v>
      </c>
      <c r="BR199" s="88">
        <v>2.7</v>
      </c>
      <c r="BS199" s="88">
        <v>2.7530000000000001</v>
      </c>
      <c r="BT199" s="81">
        <v>43</v>
      </c>
      <c r="BU199" s="83"/>
      <c r="BV199" s="99">
        <v>42088</v>
      </c>
      <c r="BW199" s="84">
        <v>0.69496469465648847</v>
      </c>
      <c r="BX199" s="83">
        <v>11340</v>
      </c>
      <c r="BY199" s="83">
        <v>3040</v>
      </c>
      <c r="BZ199" s="84">
        <v>0.26807760141093473</v>
      </c>
      <c r="CA199" s="83">
        <v>107</v>
      </c>
      <c r="CB199" s="83">
        <v>70</v>
      </c>
      <c r="CC199" s="84">
        <v>9.4356261022927688E-3</v>
      </c>
      <c r="CD199" s="84">
        <v>6.1728395061728392E-3</v>
      </c>
    </row>
    <row r="200" spans="1:82" x14ac:dyDescent="0.25">
      <c r="A200" s="79" t="s">
        <v>128</v>
      </c>
      <c r="B200" s="80" t="s">
        <v>86</v>
      </c>
      <c r="C200" s="81">
        <v>730</v>
      </c>
      <c r="D200" s="100">
        <v>1382.27</v>
      </c>
      <c r="E200" s="100">
        <v>9974.24</v>
      </c>
      <c r="F200" s="83">
        <v>25000</v>
      </c>
      <c r="G200" s="83">
        <v>24320</v>
      </c>
      <c r="H200" s="84">
        <f t="shared" si="119"/>
        <v>2.7199999999999998E-2</v>
      </c>
      <c r="I200" s="79">
        <v>260</v>
      </c>
      <c r="J200" s="84">
        <f t="shared" si="120"/>
        <v>1.04E-2</v>
      </c>
      <c r="K200" s="83">
        <v>59930</v>
      </c>
      <c r="L200" s="83">
        <v>106340</v>
      </c>
      <c r="M200" s="85">
        <f t="shared" si="121"/>
        <v>2.4642269736842106</v>
      </c>
      <c r="N200" s="85">
        <f t="shared" si="122"/>
        <v>1.7744034707158352</v>
      </c>
      <c r="O200" s="85">
        <f t="shared" si="123"/>
        <v>1.8020416923960876</v>
      </c>
      <c r="P200" s="86">
        <f>IF(G200=0,0,+E200/G200)</f>
        <v>0.41012500000000002</v>
      </c>
      <c r="Q200" s="86">
        <f>IF(G200=0,0,+D200/G200)</f>
        <v>5.6836759868421051E-2</v>
      </c>
      <c r="R200" s="83">
        <v>1680</v>
      </c>
      <c r="S200" s="86">
        <f>IF(R200=0,0,+E200/R200)</f>
        <v>5.9370476190476191</v>
      </c>
      <c r="T200" s="85">
        <f t="shared" si="124"/>
        <v>14.880952380952381</v>
      </c>
      <c r="U200" s="85">
        <f t="shared" si="125"/>
        <v>4.3725328947368425</v>
      </c>
      <c r="V200" s="87">
        <v>42</v>
      </c>
      <c r="W200" s="83">
        <v>34</v>
      </c>
      <c r="X200" s="85">
        <v>2.0299999999999998</v>
      </c>
      <c r="Y200" s="83">
        <v>8000</v>
      </c>
      <c r="Z200" s="88">
        <f t="shared" si="126"/>
        <v>5.8672070802005018E-2</v>
      </c>
      <c r="AA200" s="101">
        <f t="shared" si="127"/>
        <v>5.9705882352941171E-2</v>
      </c>
      <c r="AB200" s="102">
        <v>0.30320000000000003</v>
      </c>
      <c r="AC200" s="102">
        <v>1.3976</v>
      </c>
      <c r="AD200" s="102">
        <v>2.3936000000000002</v>
      </c>
      <c r="AE200" s="102">
        <v>0.15920000000000001</v>
      </c>
      <c r="AF200" s="90" t="s">
        <v>81</v>
      </c>
      <c r="AG200" s="91"/>
      <c r="AH200" s="91"/>
      <c r="AI200" s="91"/>
      <c r="AJ200" s="91"/>
      <c r="AK200" s="91"/>
      <c r="AL200" s="91">
        <v>8500</v>
      </c>
      <c r="AM200" s="91"/>
      <c r="AN200" s="92"/>
      <c r="AO200" s="93">
        <f t="shared" si="117"/>
        <v>0.34</v>
      </c>
      <c r="AP200" s="94" t="s">
        <v>82</v>
      </c>
      <c r="AQ200" s="83"/>
      <c r="AR200" s="83"/>
      <c r="AS200" s="83"/>
      <c r="AT200" s="83"/>
      <c r="AU200" s="83"/>
      <c r="AV200" s="83"/>
      <c r="AW200" s="83"/>
      <c r="AX200" s="83"/>
      <c r="AY200" s="83"/>
      <c r="AZ200" s="83"/>
      <c r="BA200" s="83"/>
      <c r="BB200" s="83">
        <v>16500</v>
      </c>
      <c r="BC200" s="83"/>
      <c r="BD200" s="83"/>
      <c r="BE200" s="83"/>
      <c r="BF200" s="83"/>
      <c r="BG200" s="83"/>
      <c r="BH200" s="95"/>
      <c r="BI200" s="96">
        <f t="shared" si="118"/>
        <v>0.66</v>
      </c>
      <c r="BJ200" s="97">
        <v>2.677</v>
      </c>
      <c r="BK200" s="98">
        <v>42</v>
      </c>
      <c r="BL200" s="113">
        <v>0.04</v>
      </c>
      <c r="BM200" s="113">
        <v>0.16</v>
      </c>
      <c r="BN200" s="113">
        <v>0.43</v>
      </c>
      <c r="BO200" s="113">
        <v>0.87</v>
      </c>
      <c r="BP200" s="113">
        <v>1.4</v>
      </c>
      <c r="BQ200" s="113"/>
      <c r="BR200" s="113"/>
      <c r="BS200" s="113">
        <v>2.677</v>
      </c>
      <c r="BT200" s="81">
        <v>42</v>
      </c>
      <c r="BU200" s="83">
        <v>5000</v>
      </c>
      <c r="BV200" s="104">
        <v>42349</v>
      </c>
      <c r="BW200" s="84">
        <v>0.70108033875028608</v>
      </c>
      <c r="BX200" s="83">
        <v>16148</v>
      </c>
      <c r="BY200" s="83">
        <v>0</v>
      </c>
      <c r="BZ200" s="84">
        <v>0</v>
      </c>
      <c r="CA200" s="83">
        <v>81</v>
      </c>
      <c r="CB200" s="83">
        <v>292</v>
      </c>
      <c r="CC200" s="84">
        <v>5.0161010651473869E-3</v>
      </c>
      <c r="CD200" s="84">
        <v>1.808273470398811E-2</v>
      </c>
    </row>
    <row r="201" spans="1:82" x14ac:dyDescent="0.25">
      <c r="A201" s="79" t="s">
        <v>97</v>
      </c>
      <c r="B201" s="80" t="s">
        <v>80</v>
      </c>
      <c r="C201" s="81">
        <v>870</v>
      </c>
      <c r="D201" s="108">
        <v>255.11</v>
      </c>
      <c r="E201" s="108">
        <v>8363.332085</v>
      </c>
      <c r="F201" s="83">
        <v>16200</v>
      </c>
      <c r="G201" s="83">
        <v>15877</v>
      </c>
      <c r="H201" s="84">
        <f t="shared" si="119"/>
        <v>1.993827160493827E-2</v>
      </c>
      <c r="I201" s="79">
        <v>71</v>
      </c>
      <c r="J201" s="84">
        <f t="shared" si="120"/>
        <v>4.3827160493827158E-3</v>
      </c>
      <c r="K201" s="83">
        <v>44990</v>
      </c>
      <c r="L201" s="83">
        <v>80960</v>
      </c>
      <c r="M201" s="85">
        <f t="shared" si="121"/>
        <v>2.8336587516533349</v>
      </c>
      <c r="N201" s="85">
        <f t="shared" si="122"/>
        <v>1.7995110024449879</v>
      </c>
      <c r="O201" s="85">
        <f t="shared" si="123"/>
        <v>1.8132154715884414</v>
      </c>
      <c r="P201" s="86">
        <f>IF(G201=0,0,+E201/G201)</f>
        <v>0.52675770517100207</v>
      </c>
      <c r="Q201" s="86">
        <f>IF(G201=0,0,+D201/G201)</f>
        <v>1.6067896957863578E-2</v>
      </c>
      <c r="R201" s="83">
        <v>1400</v>
      </c>
      <c r="S201" s="86">
        <f>IF(R201=0,0,+E201/R201)</f>
        <v>5.9738086321428572</v>
      </c>
      <c r="T201" s="85">
        <f t="shared" si="124"/>
        <v>11.571428571428571</v>
      </c>
      <c r="U201" s="85">
        <f t="shared" si="125"/>
        <v>5.0992001007747056</v>
      </c>
      <c r="V201" s="87">
        <v>42</v>
      </c>
      <c r="W201" s="83"/>
      <c r="X201" s="85"/>
      <c r="Y201" s="83"/>
      <c r="Z201" s="88">
        <f t="shared" si="126"/>
        <v>6.7468065515555592E-2</v>
      </c>
      <c r="AA201" s="109" t="str">
        <f t="shared" si="127"/>
        <v/>
      </c>
      <c r="AB201" s="88">
        <v>0.3037037037037037</v>
      </c>
      <c r="AC201" s="88">
        <v>1.4456790123456791</v>
      </c>
      <c r="AD201" s="88">
        <v>2.2555555555555555</v>
      </c>
      <c r="AE201" s="88">
        <v>1.0234567901234568</v>
      </c>
      <c r="AF201" s="90" t="s">
        <v>81</v>
      </c>
      <c r="AG201" s="91"/>
      <c r="AH201" s="79"/>
      <c r="AI201" s="91"/>
      <c r="AJ201" s="91"/>
      <c r="AK201" s="79"/>
      <c r="AL201" s="110"/>
      <c r="AM201" s="79"/>
      <c r="AN201" s="111"/>
      <c r="AO201" s="93">
        <f t="shared" si="117"/>
        <v>0</v>
      </c>
      <c r="AP201" s="94" t="s">
        <v>82</v>
      </c>
      <c r="AQ201" s="79"/>
      <c r="AR201" s="79"/>
      <c r="AS201" s="79"/>
      <c r="AT201" s="79"/>
      <c r="AU201" s="79"/>
      <c r="AV201" s="79"/>
      <c r="AW201" s="110"/>
      <c r="AX201" s="79"/>
      <c r="AY201" s="79"/>
      <c r="AZ201" s="83"/>
      <c r="BA201" s="83">
        <v>16200</v>
      </c>
      <c r="BB201" s="83"/>
      <c r="BC201" s="83"/>
      <c r="BD201" s="83"/>
      <c r="BE201" s="83"/>
      <c r="BF201" s="91"/>
      <c r="BG201" s="83"/>
      <c r="BH201" s="95"/>
      <c r="BI201" s="96">
        <f t="shared" si="118"/>
        <v>1</v>
      </c>
      <c r="BJ201" s="97">
        <v>2.8340000000000001</v>
      </c>
      <c r="BK201" s="98">
        <v>42</v>
      </c>
      <c r="BL201" s="88"/>
      <c r="BM201" s="88">
        <v>0.2</v>
      </c>
      <c r="BN201" s="88">
        <v>0.54</v>
      </c>
      <c r="BO201" s="88">
        <v>1.1479999999999999</v>
      </c>
      <c r="BP201" s="88">
        <v>1.64</v>
      </c>
      <c r="BQ201" s="88">
        <v>2.2999999999999998</v>
      </c>
      <c r="BR201" s="88">
        <v>2.8340000000000001</v>
      </c>
      <c r="BS201" s="88">
        <v>2.8340000000000001</v>
      </c>
      <c r="BT201" s="81">
        <v>42</v>
      </c>
      <c r="BU201" s="83"/>
      <c r="BV201" s="99">
        <v>42156</v>
      </c>
      <c r="BW201" s="84">
        <v>0.70811980440097799</v>
      </c>
      <c r="BX201" s="83">
        <v>15760</v>
      </c>
      <c r="BY201" s="83">
        <v>6640</v>
      </c>
      <c r="BZ201" s="84">
        <v>0.42131979695431471</v>
      </c>
      <c r="CA201" s="83">
        <v>18</v>
      </c>
      <c r="CB201" s="83">
        <v>102</v>
      </c>
      <c r="CC201" s="84">
        <v>1.1421319796954316E-3</v>
      </c>
      <c r="CD201" s="84">
        <v>6.4720812182741116E-3</v>
      </c>
    </row>
    <row r="202" spans="1:82" x14ac:dyDescent="0.25">
      <c r="A202" s="79" t="s">
        <v>108</v>
      </c>
      <c r="B202" s="80" t="s">
        <v>80</v>
      </c>
      <c r="C202" s="81">
        <v>932</v>
      </c>
      <c r="D202" s="108">
        <v>986.13</v>
      </c>
      <c r="E202" s="108">
        <f>16090.7+U202+V202</f>
        <v>16139.803514376998</v>
      </c>
      <c r="F202" s="83">
        <v>35800</v>
      </c>
      <c r="G202" s="83">
        <v>35056</v>
      </c>
      <c r="H202" s="84">
        <f t="shared" si="119"/>
        <v>2.0782122905027935E-2</v>
      </c>
      <c r="I202" s="79">
        <v>280</v>
      </c>
      <c r="J202" s="84">
        <f t="shared" si="120"/>
        <v>7.82122905027933E-3</v>
      </c>
      <c r="K202" s="83">
        <v>100510</v>
      </c>
      <c r="L202" s="83">
        <v>185920</v>
      </c>
      <c r="M202" s="85">
        <f t="shared" si="121"/>
        <v>2.8671268827019625</v>
      </c>
      <c r="N202" s="85">
        <f t="shared" si="122"/>
        <v>1.8497661924186648</v>
      </c>
      <c r="O202" s="85">
        <f t="shared" si="123"/>
        <v>1.9339517936602659</v>
      </c>
      <c r="P202" s="86">
        <f>+E202/G202</f>
        <v>0.46040060230422747</v>
      </c>
      <c r="Q202" s="86">
        <f>+D202/G202</f>
        <v>2.8130134641716112E-2</v>
      </c>
      <c r="R202" s="83">
        <v>2700</v>
      </c>
      <c r="S202" s="106">
        <f>+E202/R202</f>
        <v>5.9777050053248137</v>
      </c>
      <c r="T202" s="85">
        <f t="shared" si="124"/>
        <v>13.25925925925926</v>
      </c>
      <c r="U202" s="85">
        <f t="shared" si="125"/>
        <v>5.3035143769968052</v>
      </c>
      <c r="V202" s="87">
        <v>43.8</v>
      </c>
      <c r="W202" s="83"/>
      <c r="X202" s="85"/>
      <c r="Y202" s="83"/>
      <c r="Z202" s="88">
        <f t="shared" si="126"/>
        <v>6.5459517869907821E-2</v>
      </c>
      <c r="AA202" s="109" t="str">
        <f t="shared" si="127"/>
        <v/>
      </c>
      <c r="AB202" s="88">
        <v>0.30837988826815643</v>
      </c>
      <c r="AC202" s="88">
        <v>1.4</v>
      </c>
      <c r="AD202" s="88">
        <v>2.5446927374301676</v>
      </c>
      <c r="AE202" s="88">
        <v>0.94022346368715082</v>
      </c>
      <c r="AF202" s="90" t="s">
        <v>81</v>
      </c>
      <c r="AG202" s="91">
        <v>5800</v>
      </c>
      <c r="AH202" s="91"/>
      <c r="AI202" s="91"/>
      <c r="AJ202" s="91">
        <v>30000</v>
      </c>
      <c r="AK202" s="91"/>
      <c r="AL202" s="110"/>
      <c r="AM202" s="91"/>
      <c r="AN202" s="92"/>
      <c r="AO202" s="93">
        <f t="shared" si="117"/>
        <v>1</v>
      </c>
      <c r="AP202" s="94" t="s">
        <v>82</v>
      </c>
      <c r="AQ202" s="91"/>
      <c r="AR202" s="83"/>
      <c r="AS202" s="83"/>
      <c r="AT202" s="83"/>
      <c r="AU202" s="83"/>
      <c r="AV202" s="83"/>
      <c r="AW202" s="110"/>
      <c r="AX202" s="83"/>
      <c r="AY202" s="83"/>
      <c r="AZ202" s="83"/>
      <c r="BA202" s="83"/>
      <c r="BB202" s="83"/>
      <c r="BC202" s="83"/>
      <c r="BD202" s="83"/>
      <c r="BE202" s="83"/>
      <c r="BF202" s="83"/>
      <c r="BG202" s="83"/>
      <c r="BH202" s="95"/>
      <c r="BI202" s="96">
        <f t="shared" si="118"/>
        <v>0</v>
      </c>
      <c r="BJ202" s="97">
        <v>2.8109999999999999</v>
      </c>
      <c r="BK202" s="98">
        <v>43</v>
      </c>
      <c r="BL202" s="88">
        <v>3.95E-2</v>
      </c>
      <c r="BM202" s="88">
        <v>0.17749999999999999</v>
      </c>
      <c r="BN202" s="88">
        <v>0.52600000000000002</v>
      </c>
      <c r="BO202" s="88">
        <v>0.92049999999999998</v>
      </c>
      <c r="BP202" s="88">
        <v>1.4950000000000001</v>
      </c>
      <c r="BQ202" s="88">
        <v>2.0329999999999999</v>
      </c>
      <c r="BR202" s="88">
        <v>2.72</v>
      </c>
      <c r="BS202" s="88">
        <v>2.95</v>
      </c>
      <c r="BT202" s="81">
        <v>45</v>
      </c>
      <c r="BU202" s="83">
        <v>6000</v>
      </c>
      <c r="BV202" s="99">
        <v>42036</v>
      </c>
      <c r="BW202" s="84">
        <v>0.67335260173117106</v>
      </c>
      <c r="BX202" s="83">
        <v>33722</v>
      </c>
      <c r="BY202" s="83">
        <v>13624</v>
      </c>
      <c r="BZ202" s="84">
        <v>0.40400925212027755</v>
      </c>
      <c r="CA202" s="83">
        <v>155</v>
      </c>
      <c r="CB202" s="83">
        <v>1371</v>
      </c>
      <c r="CC202" s="84">
        <v>4.5964059071229467E-3</v>
      </c>
      <c r="CD202" s="84">
        <v>4.065595160429393E-2</v>
      </c>
    </row>
    <row r="203" spans="1:82" x14ac:dyDescent="0.25">
      <c r="A203" s="79" t="s">
        <v>97</v>
      </c>
      <c r="B203" s="80" t="s">
        <v>80</v>
      </c>
      <c r="C203" s="81">
        <v>870</v>
      </c>
      <c r="D203" s="105">
        <v>245.65</v>
      </c>
      <c r="E203" s="105">
        <v>8370.9875749999992</v>
      </c>
      <c r="F203" s="83">
        <v>15400</v>
      </c>
      <c r="G203" s="83">
        <v>15215</v>
      </c>
      <c r="H203" s="84">
        <f t="shared" si="119"/>
        <v>1.2012987012987014E-2</v>
      </c>
      <c r="I203" s="79">
        <v>75</v>
      </c>
      <c r="J203" s="84">
        <f t="shared" si="120"/>
        <v>4.87012987012987E-3</v>
      </c>
      <c r="K203" s="83">
        <v>43490</v>
      </c>
      <c r="L203" s="83">
        <v>77030</v>
      </c>
      <c r="M203" s="85">
        <f t="shared" si="121"/>
        <v>2.8583634571146894</v>
      </c>
      <c r="N203" s="85">
        <f t="shared" si="122"/>
        <v>1.7712117728213383</v>
      </c>
      <c r="O203" s="85">
        <f t="shared" si="123"/>
        <v>1.7895602047597223</v>
      </c>
      <c r="P203" s="86">
        <f>IF(G203=0,0,+E203/G203)</f>
        <v>0.55017992605980937</v>
      </c>
      <c r="Q203" s="86">
        <f>IF(G203=0,0,+D203/G203)</f>
        <v>1.6145251396648044E-2</v>
      </c>
      <c r="R203" s="83">
        <v>1400</v>
      </c>
      <c r="S203" s="86">
        <f>IF(R203=0,0,+E203/R203)</f>
        <v>5.9792768392857134</v>
      </c>
      <c r="T203" s="85">
        <f t="shared" si="124"/>
        <v>11</v>
      </c>
      <c r="U203" s="85">
        <f t="shared" si="125"/>
        <v>5.0627670062438384</v>
      </c>
      <c r="V203" s="87">
        <v>41</v>
      </c>
      <c r="W203" s="83"/>
      <c r="X203" s="85"/>
      <c r="Y203" s="83"/>
      <c r="Z203" s="88">
        <f t="shared" si="126"/>
        <v>6.9716181880846079E-2</v>
      </c>
      <c r="AA203" s="107" t="str">
        <f t="shared" si="127"/>
        <v/>
      </c>
      <c r="AB203" s="88">
        <v>0.30909090909090908</v>
      </c>
      <c r="AC203" s="88">
        <v>0.94935064935064939</v>
      </c>
      <c r="AD203" s="88">
        <v>2.5337662337662339</v>
      </c>
      <c r="AE203" s="88">
        <v>0.67402597402597397</v>
      </c>
      <c r="AF203" s="90" t="s">
        <v>81</v>
      </c>
      <c r="AG203" s="116"/>
      <c r="AH203" s="116"/>
      <c r="AI203" s="116"/>
      <c r="AJ203" s="116"/>
      <c r="AK203" s="116"/>
      <c r="AL203" s="79"/>
      <c r="AM203" s="116"/>
      <c r="AN203" s="117"/>
      <c r="AO203" s="93">
        <f t="shared" si="117"/>
        <v>0</v>
      </c>
      <c r="AP203" s="94" t="s">
        <v>82</v>
      </c>
      <c r="AQ203" s="116"/>
      <c r="AR203" s="79"/>
      <c r="AS203" s="79"/>
      <c r="AT203" s="79">
        <v>15400</v>
      </c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79"/>
      <c r="BG203" s="79"/>
      <c r="BH203" s="111"/>
      <c r="BI203" s="96">
        <f t="shared" si="118"/>
        <v>1</v>
      </c>
      <c r="BJ203" s="97">
        <v>2.8580000000000001</v>
      </c>
      <c r="BK203" s="98">
        <v>41</v>
      </c>
      <c r="BL203" s="88"/>
      <c r="BM203" s="88">
        <v>0.18</v>
      </c>
      <c r="BN203" s="88">
        <v>0.50800000000000001</v>
      </c>
      <c r="BO203" s="88">
        <v>0.95</v>
      </c>
      <c r="BP203" s="88">
        <v>1.35</v>
      </c>
      <c r="BQ203" s="88">
        <v>2.2999999999999998</v>
      </c>
      <c r="BR203" s="88">
        <v>2.8450000000000002</v>
      </c>
      <c r="BS203" s="88">
        <v>2.8580000000000001</v>
      </c>
      <c r="BT203" s="81">
        <v>41</v>
      </c>
      <c r="BU203" s="83">
        <v>4500</v>
      </c>
      <c r="BV203" s="99">
        <v>42032</v>
      </c>
      <c r="BW203" s="84">
        <v>0.6983849160726604</v>
      </c>
      <c r="BX203" s="79">
        <v>15008</v>
      </c>
      <c r="BY203" s="83">
        <v>5024</v>
      </c>
      <c r="BZ203" s="84">
        <v>0.3347547974413646</v>
      </c>
      <c r="CA203" s="83">
        <v>74</v>
      </c>
      <c r="CB203" s="83">
        <v>82</v>
      </c>
      <c r="CC203" s="84">
        <v>4.9307036247334757E-3</v>
      </c>
      <c r="CD203" s="84">
        <v>5.4637526652452023E-3</v>
      </c>
    </row>
    <row r="204" spans="1:82" x14ac:dyDescent="0.25">
      <c r="A204" s="79" t="s">
        <v>117</v>
      </c>
      <c r="B204" s="80" t="s">
        <v>80</v>
      </c>
      <c r="C204" s="81">
        <v>808</v>
      </c>
      <c r="D204" s="108">
        <v>227.99</v>
      </c>
      <c r="E204" s="108">
        <v>8977.8955000000005</v>
      </c>
      <c r="F204" s="83">
        <v>17700</v>
      </c>
      <c r="G204" s="83">
        <v>17100</v>
      </c>
      <c r="H204" s="84">
        <f t="shared" si="119"/>
        <v>3.3898305084745763E-2</v>
      </c>
      <c r="I204" s="79">
        <v>222</v>
      </c>
      <c r="J204" s="84">
        <f t="shared" si="120"/>
        <v>1.2542372881355932E-2</v>
      </c>
      <c r="K204" s="83">
        <v>48210</v>
      </c>
      <c r="L204" s="83">
        <v>86440</v>
      </c>
      <c r="M204" s="85">
        <f t="shared" si="121"/>
        <v>2.8192982456140352</v>
      </c>
      <c r="N204" s="85">
        <f t="shared" si="122"/>
        <v>1.7929890064302012</v>
      </c>
      <c r="O204" s="85">
        <f t="shared" si="123"/>
        <v>1.817326300157456</v>
      </c>
      <c r="P204" s="86">
        <f>+E204/G204</f>
        <v>0.52502312865497081</v>
      </c>
      <c r="Q204" s="86">
        <f>+D204/G204</f>
        <v>1.3332748538011696E-2</v>
      </c>
      <c r="R204" s="83">
        <v>1500</v>
      </c>
      <c r="S204" s="86">
        <f>+E204/R204</f>
        <v>5.9852636666666674</v>
      </c>
      <c r="T204" s="85">
        <f t="shared" si="124"/>
        <v>11.8</v>
      </c>
      <c r="U204" s="85">
        <f t="shared" si="125"/>
        <v>5.0549707602339184</v>
      </c>
      <c r="V204" s="87">
        <v>43</v>
      </c>
      <c r="W204" s="83"/>
      <c r="X204" s="85"/>
      <c r="Y204" s="83"/>
      <c r="Z204" s="88">
        <f t="shared" si="126"/>
        <v>6.5565075479396162E-2</v>
      </c>
      <c r="AA204" s="109" t="str">
        <f t="shared" si="127"/>
        <v/>
      </c>
      <c r="AB204" s="88">
        <v>0.32768361581920902</v>
      </c>
      <c r="AC204" s="88">
        <v>1.431638418079096</v>
      </c>
      <c r="AD204" s="88">
        <v>2.3864406779661018</v>
      </c>
      <c r="AE204" s="88">
        <v>0.73785310734463272</v>
      </c>
      <c r="AF204" s="90" t="s">
        <v>81</v>
      </c>
      <c r="AG204" s="91"/>
      <c r="AH204" s="91"/>
      <c r="AI204" s="91"/>
      <c r="AJ204" s="91"/>
      <c r="AK204" s="91"/>
      <c r="AL204" s="110"/>
      <c r="AM204" s="83"/>
      <c r="AN204" s="92"/>
      <c r="AO204" s="93">
        <f t="shared" si="117"/>
        <v>0</v>
      </c>
      <c r="AP204" s="94" t="s">
        <v>82</v>
      </c>
      <c r="AQ204" s="91"/>
      <c r="AR204" s="83"/>
      <c r="AS204" s="83"/>
      <c r="AT204" s="83">
        <v>7800</v>
      </c>
      <c r="AU204" s="91"/>
      <c r="AV204" s="83">
        <v>9900</v>
      </c>
      <c r="AW204" s="110"/>
      <c r="AX204" s="83"/>
      <c r="AY204" s="91"/>
      <c r="AZ204" s="83"/>
      <c r="BA204" s="83"/>
      <c r="BB204" s="83"/>
      <c r="BC204" s="83"/>
      <c r="BD204" s="83"/>
      <c r="BE204" s="83"/>
      <c r="BF204" s="83"/>
      <c r="BG204" s="83"/>
      <c r="BH204" s="95"/>
      <c r="BI204" s="96">
        <f t="shared" si="118"/>
        <v>1</v>
      </c>
      <c r="BJ204" s="97">
        <v>2.819</v>
      </c>
      <c r="BK204" s="98">
        <v>43</v>
      </c>
      <c r="BL204" s="88">
        <v>4.4999999999999998E-2</v>
      </c>
      <c r="BM204" s="88">
        <v>0.18</v>
      </c>
      <c r="BN204" s="88">
        <v>0.436</v>
      </c>
      <c r="BO204" s="88">
        <v>0.78600000000000003</v>
      </c>
      <c r="BP204" s="88">
        <v>1.36</v>
      </c>
      <c r="BQ204" s="88">
        <v>2</v>
      </c>
      <c r="BR204" s="88"/>
      <c r="BS204" s="88">
        <v>2.819</v>
      </c>
      <c r="BT204" s="81">
        <v>43</v>
      </c>
      <c r="BU204" s="83"/>
      <c r="BV204" s="99">
        <v>42069</v>
      </c>
      <c r="BW204" s="84">
        <v>0.69956482057664382</v>
      </c>
      <c r="BX204" s="83">
        <v>16858</v>
      </c>
      <c r="BY204" s="83">
        <v>5976</v>
      </c>
      <c r="BZ204" s="84">
        <v>0.35449044963815401</v>
      </c>
      <c r="CA204" s="83">
        <v>79</v>
      </c>
      <c r="CB204" s="83">
        <v>150</v>
      </c>
      <c r="CC204" s="84">
        <v>4.686202396488314E-3</v>
      </c>
      <c r="CD204" s="84">
        <v>8.8978526515600901E-3</v>
      </c>
    </row>
    <row r="205" spans="1:82" x14ac:dyDescent="0.25">
      <c r="A205" s="79" t="s">
        <v>106</v>
      </c>
      <c r="B205" s="80" t="s">
        <v>86</v>
      </c>
      <c r="C205" s="81">
        <v>734</v>
      </c>
      <c r="D205" s="108">
        <v>350.96</v>
      </c>
      <c r="E205" s="108">
        <f>7135.52+U205+V205</f>
        <v>7183.1074096129314</v>
      </c>
      <c r="F205" s="83">
        <v>12000</v>
      </c>
      <c r="G205" s="83">
        <v>11755</v>
      </c>
      <c r="H205" s="84">
        <f t="shared" si="119"/>
        <v>2.0416666666666666E-2</v>
      </c>
      <c r="I205" s="79">
        <v>82</v>
      </c>
      <c r="J205" s="84">
        <f t="shared" si="120"/>
        <v>6.8333333333333336E-3</v>
      </c>
      <c r="K205" s="83">
        <v>36280</v>
      </c>
      <c r="L205" s="83">
        <v>65680</v>
      </c>
      <c r="M205" s="85">
        <f t="shared" si="121"/>
        <v>3.0863462356444065</v>
      </c>
      <c r="N205" s="85">
        <f t="shared" si="122"/>
        <v>1.8103638368246968</v>
      </c>
      <c r="O205" s="85">
        <f t="shared" si="123"/>
        <v>1.8543766906478139</v>
      </c>
      <c r="P205" s="86">
        <f>+E205/G205</f>
        <v>0.61106826113253354</v>
      </c>
      <c r="Q205" s="86">
        <f>+D205/G205</f>
        <v>2.9856231390897488E-2</v>
      </c>
      <c r="R205" s="83">
        <v>1200</v>
      </c>
      <c r="S205" s="106">
        <f>+E205/R205</f>
        <v>5.9859228413441095</v>
      </c>
      <c r="T205" s="85">
        <f t="shared" si="124"/>
        <v>10</v>
      </c>
      <c r="U205" s="85">
        <f t="shared" si="125"/>
        <v>5.5874096129306681</v>
      </c>
      <c r="V205" s="87">
        <v>42</v>
      </c>
      <c r="W205" s="83"/>
      <c r="X205" s="85"/>
      <c r="Y205" s="83"/>
      <c r="Z205" s="88">
        <f t="shared" si="126"/>
        <v>7.3484434182009672E-2</v>
      </c>
      <c r="AA205" s="109" t="str">
        <f t="shared" si="127"/>
        <v/>
      </c>
      <c r="AB205" s="88">
        <v>0.31666666666666665</v>
      </c>
      <c r="AC205" s="88">
        <v>1.3833333333333333</v>
      </c>
      <c r="AD205" s="88">
        <v>2.7250000000000001</v>
      </c>
      <c r="AE205" s="88">
        <v>1.0483333333333333</v>
      </c>
      <c r="AF205" s="90" t="s">
        <v>81</v>
      </c>
      <c r="AG205" s="91"/>
      <c r="AH205" s="91"/>
      <c r="AI205" s="91"/>
      <c r="AJ205" s="91"/>
      <c r="AK205" s="91">
        <v>12000</v>
      </c>
      <c r="AL205" s="110"/>
      <c r="AM205" s="91"/>
      <c r="AN205" s="92"/>
      <c r="AO205" s="93">
        <f t="shared" si="117"/>
        <v>1</v>
      </c>
      <c r="AP205" s="94" t="s">
        <v>82</v>
      </c>
      <c r="AQ205" s="91"/>
      <c r="AR205" s="83"/>
      <c r="AS205" s="83"/>
      <c r="AT205" s="83"/>
      <c r="AU205" s="83"/>
      <c r="AV205" s="83"/>
      <c r="AW205" s="110"/>
      <c r="AX205" s="83"/>
      <c r="AY205" s="83"/>
      <c r="AZ205" s="83"/>
      <c r="BA205" s="83"/>
      <c r="BB205" s="83"/>
      <c r="BC205" s="83"/>
      <c r="BD205" s="83"/>
      <c r="BE205" s="83"/>
      <c r="BF205" s="83"/>
      <c r="BG205" s="83"/>
      <c r="BH205" s="95"/>
      <c r="BI205" s="96">
        <f t="shared" si="118"/>
        <v>0</v>
      </c>
      <c r="BJ205" s="97">
        <v>3.0859999999999999</v>
      </c>
      <c r="BK205" s="98">
        <v>42</v>
      </c>
      <c r="BL205" s="88">
        <v>0</v>
      </c>
      <c r="BM205" s="88">
        <v>0.16</v>
      </c>
      <c r="BN205" s="88">
        <v>0.48799999999999999</v>
      </c>
      <c r="BO205" s="88">
        <v>0.92800000000000005</v>
      </c>
      <c r="BP205" s="88">
        <v>1.4750000000000001</v>
      </c>
      <c r="BQ205" s="88">
        <v>2.2000000000000002</v>
      </c>
      <c r="BR205" s="88">
        <v>0</v>
      </c>
      <c r="BS205" s="88">
        <v>3.0859999999999999</v>
      </c>
      <c r="BT205" s="81">
        <v>42</v>
      </c>
      <c r="BU205" s="83"/>
      <c r="BV205" s="99">
        <v>42055</v>
      </c>
      <c r="BW205" s="84">
        <v>0.68712238147739801</v>
      </c>
      <c r="BX205" s="83">
        <v>11316</v>
      </c>
      <c r="BY205" s="83">
        <v>2872</v>
      </c>
      <c r="BZ205" s="84">
        <v>0.25379992930364087</v>
      </c>
      <c r="CA205" s="83">
        <v>133</v>
      </c>
      <c r="CB205" s="83">
        <v>146</v>
      </c>
      <c r="CC205" s="84">
        <v>1.1753269706610109E-2</v>
      </c>
      <c r="CD205" s="84">
        <v>1.2902085542594557E-2</v>
      </c>
    </row>
    <row r="206" spans="1:82" x14ac:dyDescent="0.25">
      <c r="A206" s="79" t="s">
        <v>92</v>
      </c>
      <c r="B206" s="80" t="s">
        <v>86</v>
      </c>
      <c r="C206" s="81">
        <v>456</v>
      </c>
      <c r="D206" s="100">
        <v>343.71199999999999</v>
      </c>
      <c r="E206" s="100">
        <v>5776.76</v>
      </c>
      <c r="F206" s="83">
        <v>11200</v>
      </c>
      <c r="G206" s="83">
        <v>10739</v>
      </c>
      <c r="H206" s="84">
        <f t="shared" si="119"/>
        <v>4.1160714285714287E-2</v>
      </c>
      <c r="I206" s="79">
        <v>86</v>
      </c>
      <c r="J206" s="84">
        <f t="shared" si="120"/>
        <v>7.6785714285714287E-3</v>
      </c>
      <c r="K206" s="83">
        <v>33440</v>
      </c>
      <c r="L206" s="83">
        <v>62280</v>
      </c>
      <c r="M206" s="85">
        <f t="shared" si="121"/>
        <v>3.113883974299283</v>
      </c>
      <c r="N206" s="85">
        <f t="shared" si="122"/>
        <v>1.8624401913875599</v>
      </c>
      <c r="O206" s="85">
        <f t="shared" si="123"/>
        <v>1.8624401913875599</v>
      </c>
      <c r="P206" s="86">
        <f>IF(G206=0,0,+E206/G206)</f>
        <v>0.53792345656020113</v>
      </c>
      <c r="Q206" s="86">
        <f>IF(G206=0,0,+D206/G206)</f>
        <v>3.2005959586553681E-2</v>
      </c>
      <c r="R206" s="83">
        <v>960</v>
      </c>
      <c r="S206" s="86">
        <f>IF(R206=0,0,+E206/R206)</f>
        <v>6.0174583333333338</v>
      </c>
      <c r="T206" s="85">
        <f t="shared" si="124"/>
        <v>11.666666666666666</v>
      </c>
      <c r="U206" s="85">
        <f t="shared" si="125"/>
        <v>5.7994226650526119</v>
      </c>
      <c r="V206" s="87">
        <v>47.463544091628641</v>
      </c>
      <c r="W206" s="83"/>
      <c r="X206" s="85"/>
      <c r="Y206" s="83"/>
      <c r="Z206" s="88">
        <f t="shared" si="126"/>
        <v>6.5605804073288587E-2</v>
      </c>
      <c r="AA206" s="101" t="str">
        <f t="shared" si="127"/>
        <v/>
      </c>
      <c r="AB206" s="102">
        <v>0.33035714285714285</v>
      </c>
      <c r="AC206" s="102">
        <v>1.5071428571428571</v>
      </c>
      <c r="AD206" s="102">
        <v>2.1535714285714285</v>
      </c>
      <c r="AE206" s="102">
        <v>1.5696428571428571</v>
      </c>
      <c r="AF206" s="90" t="s">
        <v>81</v>
      </c>
      <c r="AG206" s="91"/>
      <c r="AH206" s="91"/>
      <c r="AI206" s="91">
        <v>600</v>
      </c>
      <c r="AJ206" s="91"/>
      <c r="AK206" s="91"/>
      <c r="AL206" s="91"/>
      <c r="AM206" s="91">
        <v>10600</v>
      </c>
      <c r="AN206" s="92"/>
      <c r="AO206" s="93">
        <f t="shared" si="117"/>
        <v>1</v>
      </c>
      <c r="AP206" s="94" t="s">
        <v>82</v>
      </c>
      <c r="AQ206" s="91"/>
      <c r="AR206" s="83"/>
      <c r="AS206" s="83"/>
      <c r="AT206" s="83"/>
      <c r="AU206" s="83"/>
      <c r="AV206" s="83"/>
      <c r="AW206" s="83"/>
      <c r="AX206" s="83"/>
      <c r="AY206" s="83"/>
      <c r="AZ206" s="83"/>
      <c r="BA206" s="83"/>
      <c r="BB206" s="83"/>
      <c r="BC206" s="83"/>
      <c r="BD206" s="83"/>
      <c r="BE206" s="83"/>
      <c r="BF206" s="91"/>
      <c r="BG206" s="83"/>
      <c r="BH206" s="95"/>
      <c r="BI206" s="96">
        <f t="shared" si="118"/>
        <v>0</v>
      </c>
      <c r="BJ206" s="97">
        <v>3.08</v>
      </c>
      <c r="BK206" s="98">
        <v>46</v>
      </c>
      <c r="BL206" s="88">
        <v>0.04</v>
      </c>
      <c r="BM206" s="88">
        <v>0.17</v>
      </c>
      <c r="BN206" s="88">
        <v>0.44</v>
      </c>
      <c r="BO206" s="88">
        <v>0.96</v>
      </c>
      <c r="BP206" s="113">
        <v>1.5</v>
      </c>
      <c r="BQ206" s="113">
        <v>2</v>
      </c>
      <c r="BR206" s="88">
        <v>2.7</v>
      </c>
      <c r="BS206" s="88">
        <v>3.149</v>
      </c>
      <c r="BT206" s="81">
        <v>49</v>
      </c>
      <c r="BU206" s="83"/>
      <c r="BV206" s="104">
        <v>42282</v>
      </c>
      <c r="BW206" s="90"/>
      <c r="BX206" s="99"/>
      <c r="BY206" s="79"/>
      <c r="BZ206" s="79"/>
      <c r="CA206" s="90"/>
      <c r="CB206" s="99"/>
      <c r="CC206" s="79"/>
      <c r="CD206" s="79"/>
    </row>
    <row r="207" spans="1:82" x14ac:dyDescent="0.25">
      <c r="A207" s="79" t="s">
        <v>124</v>
      </c>
      <c r="B207" s="80" t="s">
        <v>80</v>
      </c>
      <c r="C207" s="81">
        <v>850</v>
      </c>
      <c r="D207" s="82">
        <v>1006.37</v>
      </c>
      <c r="E207" s="82">
        <v>12660.272634999999</v>
      </c>
      <c r="F207" s="83">
        <v>25000</v>
      </c>
      <c r="G207" s="83">
        <v>23787</v>
      </c>
      <c r="H207" s="84">
        <v>4.8520000000000001E-2</v>
      </c>
      <c r="I207" s="79">
        <v>232</v>
      </c>
      <c r="J207" s="84">
        <v>9.2800000000000001E-3</v>
      </c>
      <c r="K207" s="83">
        <v>66460</v>
      </c>
      <c r="L207" s="83">
        <v>115580</v>
      </c>
      <c r="M207" s="85">
        <v>2.793963089082272</v>
      </c>
      <c r="N207" s="85">
        <v>1.7390911826662654</v>
      </c>
      <c r="O207" s="85">
        <v>1.7613046349930792</v>
      </c>
      <c r="P207" s="86">
        <v>0.5322349449279018</v>
      </c>
      <c r="Q207" s="86">
        <v>4.2307562954555011E-2</v>
      </c>
      <c r="R207" s="83">
        <v>2100</v>
      </c>
      <c r="S207" s="86">
        <v>6.0287012547619048</v>
      </c>
      <c r="T207" s="85">
        <v>11.904761904761905</v>
      </c>
      <c r="U207" s="85">
        <v>4.8589565729179807</v>
      </c>
      <c r="V207" s="87">
        <v>42</v>
      </c>
      <c r="W207" s="83"/>
      <c r="X207" s="85"/>
      <c r="Y207" s="83"/>
      <c r="Z207" s="88">
        <v>6.6522930692435048E-2</v>
      </c>
      <c r="AA207" s="89" t="s">
        <v>84</v>
      </c>
      <c r="AB207" s="88">
        <v>0.2928</v>
      </c>
      <c r="AC207" s="88">
        <v>1.4623999999999999</v>
      </c>
      <c r="AD207" s="88">
        <v>2.3784000000000001</v>
      </c>
      <c r="AE207" s="88">
        <v>0.48959999999999998</v>
      </c>
      <c r="AF207" s="90" t="s">
        <v>81</v>
      </c>
      <c r="AG207" s="91"/>
      <c r="AH207" s="91"/>
      <c r="AI207" s="91"/>
      <c r="AJ207" s="91"/>
      <c r="AK207" s="91"/>
      <c r="AL207" s="79"/>
      <c r="AM207" s="91"/>
      <c r="AN207" s="92"/>
      <c r="AO207" s="93">
        <f t="shared" si="117"/>
        <v>0</v>
      </c>
      <c r="AP207" s="94" t="s">
        <v>82</v>
      </c>
      <c r="AQ207" s="91"/>
      <c r="AR207" s="83"/>
      <c r="AS207" s="83"/>
      <c r="AT207" s="83"/>
      <c r="AU207" s="83"/>
      <c r="AV207" s="83"/>
      <c r="AW207" s="83"/>
      <c r="AX207" s="83"/>
      <c r="AY207" s="83"/>
      <c r="AZ207" s="83"/>
      <c r="BA207" s="83"/>
      <c r="BB207" s="83"/>
      <c r="BC207" s="83"/>
      <c r="BD207" s="83"/>
      <c r="BE207" s="83">
        <v>23300</v>
      </c>
      <c r="BF207" s="91"/>
      <c r="BG207" s="83">
        <v>1700</v>
      </c>
      <c r="BH207" s="95"/>
      <c r="BI207" s="96">
        <f t="shared" si="118"/>
        <v>1</v>
      </c>
      <c r="BJ207" s="97">
        <v>2.794</v>
      </c>
      <c r="BK207" s="98">
        <v>42</v>
      </c>
      <c r="BL207" s="88">
        <v>0.04</v>
      </c>
      <c r="BM207" s="88">
        <v>0.18</v>
      </c>
      <c r="BN207" s="88">
        <v>0.44</v>
      </c>
      <c r="BO207" s="88">
        <v>0.90500000000000003</v>
      </c>
      <c r="BP207" s="88">
        <v>1.5</v>
      </c>
      <c r="BQ207" s="88">
        <v>2.1</v>
      </c>
      <c r="BR207" s="88">
        <v>2.794</v>
      </c>
      <c r="BS207" s="88">
        <v>2.794</v>
      </c>
      <c r="BT207" s="81">
        <v>42</v>
      </c>
      <c r="BU207" s="83"/>
      <c r="BV207" s="99">
        <v>42234</v>
      </c>
      <c r="BW207" s="84">
        <v>0.72394929280770381</v>
      </c>
      <c r="BX207" s="83">
        <v>23592</v>
      </c>
      <c r="BY207" s="83">
        <v>12576</v>
      </c>
      <c r="BZ207" s="84">
        <v>0.53306205493387593</v>
      </c>
      <c r="CA207" s="83">
        <v>34</v>
      </c>
      <c r="CB207" s="83">
        <v>219</v>
      </c>
      <c r="CC207" s="84">
        <v>1.4411664971176669E-3</v>
      </c>
      <c r="CD207" s="84">
        <v>9.2828077314343841E-3</v>
      </c>
    </row>
    <row r="208" spans="1:82" x14ac:dyDescent="0.25">
      <c r="A208" s="79" t="s">
        <v>101</v>
      </c>
      <c r="B208" s="80" t="s">
        <v>91</v>
      </c>
      <c r="C208" s="81">
        <v>840</v>
      </c>
      <c r="D208" s="108">
        <v>935.62</v>
      </c>
      <c r="E208" s="108">
        <v>12146.71868</v>
      </c>
      <c r="F208" s="83">
        <v>24400</v>
      </c>
      <c r="G208" s="83">
        <v>23416</v>
      </c>
      <c r="H208" s="84">
        <f t="shared" ref="H208:H228" si="128">IF(F208=0,0,+((F208-G208)/F208))</f>
        <v>4.0327868852459016E-2</v>
      </c>
      <c r="I208" s="79">
        <f>89+112</f>
        <v>201</v>
      </c>
      <c r="J208" s="84">
        <f t="shared" ref="J208:J228" si="129">+(I208/F208)</f>
        <v>8.2377049180327871E-3</v>
      </c>
      <c r="K208" s="83">
        <v>65250</v>
      </c>
      <c r="L208" s="83">
        <v>114980</v>
      </c>
      <c r="M208" s="85">
        <f t="shared" ref="M208:M228" si="130">IF(G208=0,0,+K208/G208)</f>
        <v>2.7865562008882816</v>
      </c>
      <c r="N208" s="85">
        <f t="shared" ref="N208:N228" si="131">IF(K208=0,0,+L208/K208)</f>
        <v>1.7621455938697319</v>
      </c>
      <c r="O208" s="85">
        <f>+L208/((G208-CA208-CB208)*M208)</f>
        <v>1.791213805610941</v>
      </c>
      <c r="P208" s="86">
        <f>+E208/G208</f>
        <v>0.51873585070037576</v>
      </c>
      <c r="Q208" s="86">
        <f>+D208/G208</f>
        <v>3.9956440040997611E-2</v>
      </c>
      <c r="R208" s="83">
        <v>2000</v>
      </c>
      <c r="S208" s="86">
        <f>+E208/R208</f>
        <v>6.0733593399999997</v>
      </c>
      <c r="T208" s="85">
        <f t="shared" ref="T208:T228" si="132">IF(R208=0,0,+F208/R208)</f>
        <v>12.2</v>
      </c>
      <c r="U208" s="85">
        <f t="shared" ref="U208:U228" si="133">IF(L208=0,0,+L208/G208)</f>
        <v>4.9103177314656641</v>
      </c>
      <c r="V208" s="87">
        <v>41</v>
      </c>
      <c r="W208" s="83"/>
      <c r="X208" s="85"/>
      <c r="Y208" s="83"/>
      <c r="Z208" s="88">
        <f t="shared" ref="Z208:Z228" si="134">IF(V208=0,0,+M208/V208)</f>
        <v>6.7964785387519058E-2</v>
      </c>
      <c r="AA208" s="109" t="str">
        <f t="shared" ref="AA208:AA228" si="135">IF(W208=0,"",+X208/W208)</f>
        <v/>
      </c>
      <c r="AB208" s="88">
        <v>0.31639344262295083</v>
      </c>
      <c r="AC208" s="88">
        <v>1.3885245901639345</v>
      </c>
      <c r="AD208" s="88">
        <v>2.6336065573770493</v>
      </c>
      <c r="AE208" s="88">
        <v>0.3737704918032787</v>
      </c>
      <c r="AF208" s="90" t="s">
        <v>81</v>
      </c>
      <c r="AG208" s="91"/>
      <c r="AH208" s="91"/>
      <c r="AI208" s="91"/>
      <c r="AJ208" s="91">
        <f>12200+6900</f>
        <v>19100</v>
      </c>
      <c r="AK208" s="91"/>
      <c r="AL208" s="110"/>
      <c r="AM208" s="83"/>
      <c r="AN208" s="92"/>
      <c r="AO208" s="93">
        <f t="shared" si="117"/>
        <v>0.78278688524590168</v>
      </c>
      <c r="AP208" s="94" t="s">
        <v>82</v>
      </c>
      <c r="AQ208" s="91"/>
      <c r="AR208" s="83"/>
      <c r="AS208" s="83"/>
      <c r="AT208" s="83">
        <v>5300</v>
      </c>
      <c r="AU208" s="91"/>
      <c r="AV208" s="83"/>
      <c r="AW208" s="110"/>
      <c r="AX208" s="83"/>
      <c r="AY208" s="91"/>
      <c r="AZ208" s="83"/>
      <c r="BA208" s="83"/>
      <c r="BB208" s="83"/>
      <c r="BC208" s="83"/>
      <c r="BD208" s="83"/>
      <c r="BE208" s="83"/>
      <c r="BF208" s="83"/>
      <c r="BG208" s="83"/>
      <c r="BH208" s="95"/>
      <c r="BI208" s="96">
        <f t="shared" si="118"/>
        <v>0.21721311475409835</v>
      </c>
      <c r="BJ208" s="97">
        <v>2.7869999999999999</v>
      </c>
      <c r="BK208" s="98">
        <v>41</v>
      </c>
      <c r="BL208" s="88">
        <v>4.2999999999999997E-2</v>
      </c>
      <c r="BM208" s="88">
        <v>0.20499999999999999</v>
      </c>
      <c r="BN208" s="88">
        <v>0.497</v>
      </c>
      <c r="BO208" s="88">
        <v>1.06</v>
      </c>
      <c r="BP208" s="88">
        <v>1.67</v>
      </c>
      <c r="BQ208" s="88">
        <v>2.1</v>
      </c>
      <c r="BR208" s="88"/>
      <c r="BS208" s="88">
        <v>2.7869999999999999</v>
      </c>
      <c r="BT208" s="81">
        <v>41</v>
      </c>
      <c r="BU208" s="83"/>
      <c r="BV208" s="99">
        <v>42067</v>
      </c>
      <c r="BW208" s="84">
        <v>0.69885387474978544</v>
      </c>
      <c r="BX208" s="83">
        <v>24738</v>
      </c>
      <c r="BY208" s="83">
        <v>7552</v>
      </c>
      <c r="BZ208" s="84">
        <v>0.30527932735063468</v>
      </c>
      <c r="CA208" s="83">
        <v>193</v>
      </c>
      <c r="CB208" s="83">
        <v>187</v>
      </c>
      <c r="CC208" s="84">
        <v>7.8017624706928608E-3</v>
      </c>
      <c r="CD208" s="84">
        <v>7.5592206322257259E-3</v>
      </c>
    </row>
    <row r="209" spans="1:82" x14ac:dyDescent="0.25">
      <c r="A209" s="79" t="s">
        <v>125</v>
      </c>
      <c r="B209" s="80" t="s">
        <v>91</v>
      </c>
      <c r="C209" s="81">
        <v>830</v>
      </c>
      <c r="D209" s="108">
        <v>1390.97</v>
      </c>
      <c r="E209" s="108">
        <v>17893.794300000001</v>
      </c>
      <c r="F209" s="83">
        <v>38700</v>
      </c>
      <c r="G209" s="83">
        <v>37660</v>
      </c>
      <c r="H209" s="84">
        <f t="shared" si="128"/>
        <v>2.6873385012919897E-2</v>
      </c>
      <c r="I209" s="79">
        <v>326</v>
      </c>
      <c r="J209" s="84">
        <f t="shared" si="129"/>
        <v>8.4237726098191218E-3</v>
      </c>
      <c r="K209" s="83">
        <v>101240</v>
      </c>
      <c r="L209" s="83">
        <v>188640</v>
      </c>
      <c r="M209" s="85">
        <f t="shared" si="130"/>
        <v>2.6882634094530005</v>
      </c>
      <c r="N209" s="85">
        <f t="shared" si="131"/>
        <v>1.8632951402607665</v>
      </c>
      <c r="O209" s="85">
        <f>+L209/((G209-CA209-CB209)*M209)</f>
        <v>1.8863358866188298</v>
      </c>
      <c r="P209" s="86">
        <f>IF(G209=0,0,+E209/G209)</f>
        <v>0.47514058151885291</v>
      </c>
      <c r="Q209" s="86">
        <f>IF(G209=0,0,+D209/G209)</f>
        <v>3.6934944237918217E-2</v>
      </c>
      <c r="R209" s="83">
        <v>2940</v>
      </c>
      <c r="S209" s="86">
        <f>IF(R209=0,0,+E209/R209)</f>
        <v>6.0863245918367355</v>
      </c>
      <c r="T209" s="85">
        <f t="shared" si="132"/>
        <v>13.163265306122449</v>
      </c>
      <c r="U209" s="85">
        <f t="shared" si="133"/>
        <v>5.0090281465746154</v>
      </c>
      <c r="V209" s="87">
        <v>43.7</v>
      </c>
      <c r="W209" s="83"/>
      <c r="X209" s="85"/>
      <c r="Y209" s="83"/>
      <c r="Z209" s="88">
        <f t="shared" si="134"/>
        <v>6.1516325159107557E-2</v>
      </c>
      <c r="AA209" s="109" t="str">
        <f t="shared" si="135"/>
        <v/>
      </c>
      <c r="AB209" s="88">
        <v>0.29767441860465116</v>
      </c>
      <c r="AC209" s="88">
        <v>1.3963824289405684</v>
      </c>
      <c r="AD209" s="88">
        <v>2.523514211886305</v>
      </c>
      <c r="AE209" s="88">
        <v>0.65684754521963828</v>
      </c>
      <c r="AF209" s="90" t="s">
        <v>81</v>
      </c>
      <c r="AG209" s="91"/>
      <c r="AH209" s="83"/>
      <c r="AI209" s="91"/>
      <c r="AJ209" s="91"/>
      <c r="AK209" s="91"/>
      <c r="AL209" s="110"/>
      <c r="AM209" s="91"/>
      <c r="AN209" s="92"/>
      <c r="AO209" s="93">
        <f t="shared" si="117"/>
        <v>0</v>
      </c>
      <c r="AP209" s="94" t="s">
        <v>82</v>
      </c>
      <c r="AQ209" s="91"/>
      <c r="AR209" s="83"/>
      <c r="AS209" s="83"/>
      <c r="AT209" s="83"/>
      <c r="AU209" s="83"/>
      <c r="AV209" s="83">
        <v>15300</v>
      </c>
      <c r="AW209" s="110"/>
      <c r="AX209" s="83"/>
      <c r="AY209" s="83"/>
      <c r="AZ209" s="83"/>
      <c r="BA209" s="83"/>
      <c r="BB209" s="83"/>
      <c r="BC209" s="83"/>
      <c r="BD209" s="83"/>
      <c r="BE209" s="83"/>
      <c r="BF209" s="91"/>
      <c r="BG209" s="83">
        <v>23400</v>
      </c>
      <c r="BH209" s="95"/>
      <c r="BI209" s="96">
        <f t="shared" si="118"/>
        <v>1</v>
      </c>
      <c r="BJ209" s="97">
        <v>2.6640000000000001</v>
      </c>
      <c r="BK209" s="98">
        <v>43</v>
      </c>
      <c r="BL209" s="88">
        <v>4.0500000000000001E-2</v>
      </c>
      <c r="BM209" s="88">
        <v>0.187</v>
      </c>
      <c r="BN209" s="88">
        <v>0.41499999999999998</v>
      </c>
      <c r="BO209" s="88">
        <v>0.94</v>
      </c>
      <c r="BP209" s="88">
        <v>0.50249999999999995</v>
      </c>
      <c r="BQ209" s="88">
        <v>2.31</v>
      </c>
      <c r="BR209" s="88">
        <v>2.6549999999999998</v>
      </c>
      <c r="BS209" s="88">
        <v>2.6989999999999998</v>
      </c>
      <c r="BT209" s="81">
        <v>44</v>
      </c>
      <c r="BU209" s="83">
        <v>2000</v>
      </c>
      <c r="BV209" s="99">
        <v>42179</v>
      </c>
      <c r="BW209" s="84">
        <v>0.69897708415645987</v>
      </c>
      <c r="BX209" s="83">
        <v>37184</v>
      </c>
      <c r="BY209" s="83">
        <v>17712</v>
      </c>
      <c r="BZ209" s="84">
        <v>0.47633390705679862</v>
      </c>
      <c r="CA209" s="83">
        <v>64</v>
      </c>
      <c r="CB209" s="83">
        <v>396</v>
      </c>
      <c r="CC209" s="84">
        <v>1.7211703958691911E-3</v>
      </c>
      <c r="CD209" s="84">
        <v>1.0649741824440619E-2</v>
      </c>
    </row>
    <row r="210" spans="1:82" x14ac:dyDescent="0.25">
      <c r="A210" s="79" t="s">
        <v>101</v>
      </c>
      <c r="B210" s="80" t="s">
        <v>91</v>
      </c>
      <c r="C210" s="81">
        <v>840</v>
      </c>
      <c r="D210" s="105">
        <v>152.93</v>
      </c>
      <c r="E210" s="105">
        <v>12210.79595</v>
      </c>
      <c r="F210" s="83">
        <v>24000</v>
      </c>
      <c r="G210" s="83">
        <v>23390</v>
      </c>
      <c r="H210" s="84">
        <f t="shared" si="128"/>
        <v>2.5416666666666667E-2</v>
      </c>
      <c r="I210" s="79">
        <v>500</v>
      </c>
      <c r="J210" s="84">
        <f t="shared" si="129"/>
        <v>2.0833333333333332E-2</v>
      </c>
      <c r="K210" s="83">
        <v>64030</v>
      </c>
      <c r="L210" s="83">
        <v>113450</v>
      </c>
      <c r="M210" s="85">
        <f t="shared" si="130"/>
        <v>2.7374946558358273</v>
      </c>
      <c r="N210" s="85">
        <f t="shared" si="131"/>
        <v>1.7718257066999843</v>
      </c>
      <c r="O210" s="85">
        <f>+L210/((G210-CA204-CB204)*M210)</f>
        <v>1.7893442977294864</v>
      </c>
      <c r="P210" s="86">
        <f>+E210/G210</f>
        <v>0.52205198589140656</v>
      </c>
      <c r="Q210" s="86">
        <f>+D210/G210</f>
        <v>6.5382642154767001E-3</v>
      </c>
      <c r="R210" s="83">
        <v>2000</v>
      </c>
      <c r="S210" s="106">
        <f>+E210/R210</f>
        <v>6.1053979749999998</v>
      </c>
      <c r="T210" s="85">
        <f t="shared" si="132"/>
        <v>12</v>
      </c>
      <c r="U210" s="85">
        <f t="shared" si="133"/>
        <v>4.8503634031637448</v>
      </c>
      <c r="V210" s="87">
        <v>45</v>
      </c>
      <c r="W210" s="83"/>
      <c r="X210" s="85"/>
      <c r="Y210" s="83"/>
      <c r="Z210" s="88">
        <f t="shared" si="134"/>
        <v>6.0833214574129497E-2</v>
      </c>
      <c r="AA210" s="107" t="str">
        <f t="shared" si="135"/>
        <v/>
      </c>
      <c r="AB210" s="102">
        <v>0.31330000000000002</v>
      </c>
      <c r="AC210" s="102">
        <v>1.4067000000000001</v>
      </c>
      <c r="AD210" s="102">
        <v>2.7946</v>
      </c>
      <c r="AE210" s="102">
        <v>0.21249999999999999</v>
      </c>
      <c r="AF210" s="90" t="s">
        <v>81</v>
      </c>
      <c r="AG210" s="91"/>
      <c r="AH210" s="91"/>
      <c r="AI210" s="91"/>
      <c r="AJ210" s="91"/>
      <c r="AK210" s="91"/>
      <c r="AL210" s="91"/>
      <c r="AM210" s="91">
        <v>12000</v>
      </c>
      <c r="AN210" s="92"/>
      <c r="AO210" s="93">
        <f t="shared" si="117"/>
        <v>0.5</v>
      </c>
      <c r="AP210" s="94" t="s">
        <v>82</v>
      </c>
      <c r="AQ210" s="83"/>
      <c r="AR210" s="83"/>
      <c r="AS210" s="83"/>
      <c r="AT210" s="83"/>
      <c r="AU210" s="83"/>
      <c r="AV210" s="83"/>
      <c r="AW210" s="83"/>
      <c r="AX210" s="83"/>
      <c r="AY210" s="83"/>
      <c r="AZ210" s="83">
        <v>12000</v>
      </c>
      <c r="BA210" s="83"/>
      <c r="BB210" s="83"/>
      <c r="BC210" s="83"/>
      <c r="BD210" s="83"/>
      <c r="BE210" s="83"/>
      <c r="BF210" s="83"/>
      <c r="BG210" s="83"/>
      <c r="BH210" s="95"/>
      <c r="BI210" s="96">
        <f t="shared" si="118"/>
        <v>0.5</v>
      </c>
      <c r="BJ210" s="97">
        <v>2.7370000000000001</v>
      </c>
      <c r="BK210" s="98">
        <v>45</v>
      </c>
      <c r="BL210" s="88">
        <v>3.6999999999999998E-2</v>
      </c>
      <c r="BM210" s="88">
        <v>0.17749999999999999</v>
      </c>
      <c r="BN210" s="88">
        <v>0.45700000000000002</v>
      </c>
      <c r="BO210" s="88">
        <v>0.83</v>
      </c>
      <c r="BP210" s="88">
        <v>1.4750000000000001</v>
      </c>
      <c r="BQ210" s="88">
        <v>1.97</v>
      </c>
      <c r="BR210" s="119" t="s">
        <v>104</v>
      </c>
      <c r="BS210" s="88">
        <v>2.7370000000000001</v>
      </c>
      <c r="BT210" s="81">
        <v>45</v>
      </c>
      <c r="BU210" s="83"/>
      <c r="BV210" s="99">
        <v>42272</v>
      </c>
      <c r="BW210" s="84">
        <v>0.73125753553022022</v>
      </c>
      <c r="BX210" s="83">
        <v>23298</v>
      </c>
      <c r="BY210" s="83">
        <v>9264</v>
      </c>
      <c r="BZ210" s="84">
        <v>0.39763069791398403</v>
      </c>
      <c r="CA210" s="83">
        <v>33</v>
      </c>
      <c r="CB210" s="83">
        <v>80</v>
      </c>
      <c r="CC210" s="84">
        <v>1.4164305949008499E-3</v>
      </c>
      <c r="CD210" s="84">
        <v>3.4337711391535753E-3</v>
      </c>
    </row>
    <row r="211" spans="1:82" x14ac:dyDescent="0.25">
      <c r="A211" s="79" t="s">
        <v>97</v>
      </c>
      <c r="B211" s="80" t="s">
        <v>80</v>
      </c>
      <c r="C211" s="81">
        <v>880</v>
      </c>
      <c r="D211" s="105">
        <v>1652.8</v>
      </c>
      <c r="E211" s="105">
        <v>30059.300259999996</v>
      </c>
      <c r="F211" s="83">
        <v>60800</v>
      </c>
      <c r="G211" s="83">
        <v>59812</v>
      </c>
      <c r="H211" s="84">
        <f t="shared" si="128"/>
        <v>1.6250000000000001E-2</v>
      </c>
      <c r="I211" s="79">
        <v>213</v>
      </c>
      <c r="J211" s="84">
        <f t="shared" si="129"/>
        <v>3.5032894736842105E-3</v>
      </c>
      <c r="K211" s="83">
        <v>174600</v>
      </c>
      <c r="L211" s="83">
        <v>324780</v>
      </c>
      <c r="M211" s="85">
        <f t="shared" si="130"/>
        <v>2.9191466595332041</v>
      </c>
      <c r="N211" s="85">
        <f t="shared" si="131"/>
        <v>1.8601374570446736</v>
      </c>
      <c r="O211" s="85">
        <f>+L211/((G211-CA205-CB205)*M211)</f>
        <v>1.86885494735283</v>
      </c>
      <c r="P211" s="86">
        <f>+E211/G211</f>
        <v>0.5025630351768875</v>
      </c>
      <c r="Q211" s="86">
        <f>+D211/G211</f>
        <v>2.7633250852671706E-2</v>
      </c>
      <c r="R211" s="83">
        <v>4914</v>
      </c>
      <c r="S211" s="106">
        <f>+E211/R211</f>
        <v>6.1170737199837193</v>
      </c>
      <c r="T211" s="85">
        <f t="shared" si="132"/>
        <v>12.372812372812373</v>
      </c>
      <c r="U211" s="85">
        <f t="shared" si="133"/>
        <v>5.4300140440045475</v>
      </c>
      <c r="V211" s="87">
        <v>44.72</v>
      </c>
      <c r="W211" s="83"/>
      <c r="X211" s="85"/>
      <c r="Y211" s="83"/>
      <c r="Z211" s="88">
        <f t="shared" si="134"/>
        <v>6.5276088093318516E-2</v>
      </c>
      <c r="AA211" s="107" t="str">
        <f t="shared" si="135"/>
        <v/>
      </c>
      <c r="AB211" s="102">
        <v>0.30296052631578946</v>
      </c>
      <c r="AC211" s="102">
        <v>1.4108552631578948</v>
      </c>
      <c r="AD211" s="102">
        <v>2.6914473684210525</v>
      </c>
      <c r="AE211" s="102">
        <v>0.93651315789473688</v>
      </c>
      <c r="AF211" s="90" t="s">
        <v>81</v>
      </c>
      <c r="AG211" s="91"/>
      <c r="AH211" s="91">
        <v>46200</v>
      </c>
      <c r="AI211" s="91"/>
      <c r="AJ211" s="91"/>
      <c r="AK211" s="91"/>
      <c r="AL211" s="91"/>
      <c r="AM211" s="91"/>
      <c r="AN211" s="92"/>
      <c r="AO211" s="93">
        <f t="shared" si="117"/>
        <v>0.75986842105263153</v>
      </c>
      <c r="AP211" s="94" t="s">
        <v>82</v>
      </c>
      <c r="AQ211" s="83"/>
      <c r="AR211" s="83"/>
      <c r="AS211" s="83"/>
      <c r="AT211" s="83"/>
      <c r="AU211" s="83">
        <v>12200</v>
      </c>
      <c r="AV211" s="83"/>
      <c r="AW211" s="83"/>
      <c r="AX211" s="83"/>
      <c r="AY211" s="83"/>
      <c r="AZ211" s="83"/>
      <c r="BA211" s="83"/>
      <c r="BB211" s="83"/>
      <c r="BC211" s="83"/>
      <c r="BD211" s="83"/>
      <c r="BE211" s="83"/>
      <c r="BF211" s="83">
        <v>2400</v>
      </c>
      <c r="BG211" s="83"/>
      <c r="BH211" s="95"/>
      <c r="BI211" s="96">
        <f t="shared" si="118"/>
        <v>0.24013157894736842</v>
      </c>
      <c r="BJ211" s="97">
        <v>2.8969999999999998</v>
      </c>
      <c r="BK211" s="98">
        <v>44</v>
      </c>
      <c r="BL211" s="88">
        <v>4.1000000000000002E-2</v>
      </c>
      <c r="BM211" s="88">
        <v>0.17699999999999999</v>
      </c>
      <c r="BN211" s="88">
        <v>0.47199999999999998</v>
      </c>
      <c r="BO211" s="88">
        <v>0.873</v>
      </c>
      <c r="BP211" s="88">
        <v>1.4610000000000001</v>
      </c>
      <c r="BQ211" s="88">
        <v>2.0270000000000001</v>
      </c>
      <c r="BR211" s="88">
        <v>2.7210000000000001</v>
      </c>
      <c r="BS211" s="88">
        <v>2.968</v>
      </c>
      <c r="BT211" s="81">
        <v>46</v>
      </c>
      <c r="BU211" s="83"/>
      <c r="BV211" s="99">
        <v>42255</v>
      </c>
      <c r="BW211" s="84">
        <v>0.70448430698739972</v>
      </c>
      <c r="BX211" s="83">
        <v>57780</v>
      </c>
      <c r="BY211" s="83">
        <v>23976</v>
      </c>
      <c r="BZ211" s="84">
        <v>0.41495327102803736</v>
      </c>
      <c r="CA211" s="83">
        <v>227</v>
      </c>
      <c r="CB211" s="83">
        <v>248</v>
      </c>
      <c r="CC211" s="84">
        <v>3.9286950501903773E-3</v>
      </c>
      <c r="CD211" s="84">
        <v>4.2921426098996192E-3</v>
      </c>
    </row>
    <row r="212" spans="1:82" x14ac:dyDescent="0.25">
      <c r="A212" s="79" t="s">
        <v>121</v>
      </c>
      <c r="B212" s="80" t="s">
        <v>97</v>
      </c>
      <c r="C212" s="81">
        <v>870</v>
      </c>
      <c r="D212" s="105">
        <v>870.04</v>
      </c>
      <c r="E212" s="105">
        <v>24475.087100000001</v>
      </c>
      <c r="F212" s="83">
        <v>48200</v>
      </c>
      <c r="G212" s="83">
        <v>47020</v>
      </c>
      <c r="H212" s="84">
        <f t="shared" si="128"/>
        <v>2.4481327800829875E-2</v>
      </c>
      <c r="I212" s="79">
        <v>379</v>
      </c>
      <c r="J212" s="84">
        <f t="shared" si="129"/>
        <v>7.8630705394190873E-3</v>
      </c>
      <c r="K212" s="83">
        <v>133880</v>
      </c>
      <c r="L212" s="83">
        <v>242900</v>
      </c>
      <c r="M212" s="85">
        <f t="shared" si="130"/>
        <v>2.8472990216928968</v>
      </c>
      <c r="N212" s="85">
        <f t="shared" si="131"/>
        <v>1.8143113235733492</v>
      </c>
      <c r="O212" s="85">
        <f>+L212/((G212-CA206-CB206)*M212)</f>
        <v>1.8143113235733492</v>
      </c>
      <c r="P212" s="86">
        <f>+E212/G212</f>
        <v>0.52052503402807315</v>
      </c>
      <c r="Q212" s="86">
        <f>+D212/G212</f>
        <v>1.8503615482773288E-2</v>
      </c>
      <c r="R212" s="83">
        <v>3990</v>
      </c>
      <c r="S212" s="106">
        <f>+E212/R212</f>
        <v>6.1341070426065167</v>
      </c>
      <c r="T212" s="85">
        <f t="shared" si="132"/>
        <v>12.080200501253133</v>
      </c>
      <c r="U212" s="85">
        <f t="shared" si="133"/>
        <v>5.1658868566567415</v>
      </c>
      <c r="V212" s="87">
        <v>38.64</v>
      </c>
      <c r="W212" s="83"/>
      <c r="X212" s="85"/>
      <c r="Y212" s="83"/>
      <c r="Z212" s="88">
        <f t="shared" si="134"/>
        <v>7.3687862880250948E-2</v>
      </c>
      <c r="AA212" s="107" t="str">
        <f t="shared" si="135"/>
        <v/>
      </c>
      <c r="AB212" s="102">
        <v>0.3095435684647303</v>
      </c>
      <c r="AC212" s="102">
        <v>1.407883817427386</v>
      </c>
      <c r="AD212" s="102">
        <v>2.4286307053941907</v>
      </c>
      <c r="AE212" s="102">
        <v>0.89336099585062245</v>
      </c>
      <c r="AF212" s="90" t="s">
        <v>81</v>
      </c>
      <c r="AG212" s="91"/>
      <c r="AH212" s="91"/>
      <c r="AI212" s="91"/>
      <c r="AJ212" s="91"/>
      <c r="AK212" s="91"/>
      <c r="AL212" s="91"/>
      <c r="AM212" s="91"/>
      <c r="AN212" s="92"/>
      <c r="AO212" s="93">
        <f t="shared" si="117"/>
        <v>0</v>
      </c>
      <c r="AP212" s="94" t="s">
        <v>82</v>
      </c>
      <c r="AQ212" s="91"/>
      <c r="AR212" s="83"/>
      <c r="AS212" s="83"/>
      <c r="AT212" s="83"/>
      <c r="AU212" s="83"/>
      <c r="AV212" s="83"/>
      <c r="AW212" s="83"/>
      <c r="AX212" s="83"/>
      <c r="AY212" s="83"/>
      <c r="AZ212" s="83"/>
      <c r="BA212" s="83"/>
      <c r="BB212" s="83"/>
      <c r="BC212" s="83"/>
      <c r="BD212" s="83"/>
      <c r="BE212" s="83"/>
      <c r="BF212" s="91"/>
      <c r="BG212" s="83">
        <v>48200</v>
      </c>
      <c r="BH212" s="95"/>
      <c r="BI212" s="96">
        <f t="shared" si="118"/>
        <v>1</v>
      </c>
      <c r="BJ212" s="97">
        <v>2.8740000000000001</v>
      </c>
      <c r="BK212" s="98">
        <v>43</v>
      </c>
      <c r="BL212" s="88">
        <v>4.4999999999999998E-2</v>
      </c>
      <c r="BM212" s="88">
        <v>0.1825</v>
      </c>
      <c r="BN212" s="88">
        <v>0.5</v>
      </c>
      <c r="BO212" s="88">
        <v>0.99</v>
      </c>
      <c r="BP212" s="103" t="s">
        <v>104</v>
      </c>
      <c r="BQ212" s="103" t="s">
        <v>104</v>
      </c>
      <c r="BR212" s="88">
        <v>2.7829999999999999</v>
      </c>
      <c r="BS212" s="88">
        <v>2.923</v>
      </c>
      <c r="BT212" s="81">
        <v>45</v>
      </c>
      <c r="BU212" s="83"/>
      <c r="BV212" s="99">
        <v>42251</v>
      </c>
      <c r="BW212" s="84">
        <v>0.69939901404242599</v>
      </c>
      <c r="BX212" s="83">
        <v>46412</v>
      </c>
      <c r="BY212" s="83">
        <v>24784</v>
      </c>
      <c r="BZ212" s="84">
        <v>0.53399982763078513</v>
      </c>
      <c r="CA212" s="83">
        <v>142</v>
      </c>
      <c r="CB212" s="83">
        <v>295</v>
      </c>
      <c r="CC212" s="84">
        <v>3.0595535637335173E-3</v>
      </c>
      <c r="CD212" s="84">
        <v>6.356114797897096E-3</v>
      </c>
    </row>
    <row r="213" spans="1:82" x14ac:dyDescent="0.25">
      <c r="A213" s="79" t="s">
        <v>102</v>
      </c>
      <c r="B213" s="80" t="s">
        <v>86</v>
      </c>
      <c r="C213" s="81">
        <v>444</v>
      </c>
      <c r="D213" s="100">
        <v>496.79</v>
      </c>
      <c r="E213" s="100">
        <v>9827.1439999999984</v>
      </c>
      <c r="F213" s="83">
        <v>17300</v>
      </c>
      <c r="G213" s="83">
        <v>16800</v>
      </c>
      <c r="H213" s="84">
        <f t="shared" si="128"/>
        <v>2.8901734104046242E-2</v>
      </c>
      <c r="I213" s="79">
        <v>249</v>
      </c>
      <c r="J213" s="84">
        <f t="shared" si="129"/>
        <v>1.4393063583815029E-2</v>
      </c>
      <c r="K213" s="83">
        <v>48040</v>
      </c>
      <c r="L213" s="83">
        <v>82160</v>
      </c>
      <c r="M213" s="85">
        <f t="shared" si="130"/>
        <v>2.8595238095238096</v>
      </c>
      <c r="N213" s="85">
        <f t="shared" si="131"/>
        <v>1.7102414654454621</v>
      </c>
      <c r="O213" s="85">
        <f t="shared" ref="O213:O222" si="136">+L213/((G213-CA213-CB213)*M213)</f>
        <v>1.720482432304417</v>
      </c>
      <c r="P213" s="86">
        <f>IF(G213=0,0,+E213/G213)</f>
        <v>0.58494904761904754</v>
      </c>
      <c r="Q213" s="86">
        <f>IF(G213=0,0,+D213/G213)</f>
        <v>2.9570833333333334E-2</v>
      </c>
      <c r="R213" s="83">
        <v>1600</v>
      </c>
      <c r="S213" s="86">
        <f>IF(R213=0,0,+E213/R213)</f>
        <v>6.141964999999999</v>
      </c>
      <c r="T213" s="85">
        <f t="shared" si="132"/>
        <v>10.8125</v>
      </c>
      <c r="U213" s="85">
        <f t="shared" si="133"/>
        <v>4.8904761904761909</v>
      </c>
      <c r="V213" s="87">
        <v>44</v>
      </c>
      <c r="W213" s="83"/>
      <c r="X213" s="85"/>
      <c r="Y213" s="83"/>
      <c r="Z213" s="88">
        <f t="shared" si="134"/>
        <v>6.4989177489177485E-2</v>
      </c>
      <c r="AA213" s="101" t="str">
        <f t="shared" si="135"/>
        <v/>
      </c>
      <c r="AB213" s="102">
        <v>0.31907514450867053</v>
      </c>
      <c r="AC213" s="102">
        <v>1.4369942196531791</v>
      </c>
      <c r="AD213" s="102">
        <v>2.0693641618497112</v>
      </c>
      <c r="AE213" s="102">
        <v>0.92369942196531796</v>
      </c>
      <c r="AF213" s="90" t="s">
        <v>81</v>
      </c>
      <c r="AG213" s="91"/>
      <c r="AH213" s="91"/>
      <c r="AI213" s="91"/>
      <c r="AJ213" s="91"/>
      <c r="AK213" s="91"/>
      <c r="AL213" s="91"/>
      <c r="AM213" s="91"/>
      <c r="AN213" s="118"/>
      <c r="AO213" s="93">
        <f t="shared" si="117"/>
        <v>0</v>
      </c>
      <c r="AP213" s="94" t="s">
        <v>82</v>
      </c>
      <c r="AQ213" s="91"/>
      <c r="AR213" s="83"/>
      <c r="AS213" s="83"/>
      <c r="AT213" s="83"/>
      <c r="AU213" s="83"/>
      <c r="AV213" s="83"/>
      <c r="AW213" s="83"/>
      <c r="AX213" s="83"/>
      <c r="AY213" s="83"/>
      <c r="AZ213" s="83"/>
      <c r="BA213" s="83"/>
      <c r="BB213" s="83"/>
      <c r="BC213" s="83"/>
      <c r="BD213" s="83">
        <v>17300</v>
      </c>
      <c r="BE213" s="83"/>
      <c r="BF213" s="91"/>
      <c r="BG213" s="83"/>
      <c r="BH213" s="95"/>
      <c r="BI213" s="96">
        <f t="shared" si="118"/>
        <v>1</v>
      </c>
      <c r="BJ213" s="97">
        <v>2.86</v>
      </c>
      <c r="BK213" s="98">
        <v>44</v>
      </c>
      <c r="BL213" s="88">
        <v>3.7999999999999999E-2</v>
      </c>
      <c r="BM213" s="88">
        <v>0.16600000000000001</v>
      </c>
      <c r="BN213" s="88">
        <v>0.44</v>
      </c>
      <c r="BO213" s="88">
        <v>0.8</v>
      </c>
      <c r="BP213" s="88">
        <v>1.57</v>
      </c>
      <c r="BQ213" s="88">
        <v>1.99</v>
      </c>
      <c r="BR213" s="88">
        <v>2.6</v>
      </c>
      <c r="BS213" s="88">
        <v>2.86</v>
      </c>
      <c r="BT213" s="81">
        <v>44</v>
      </c>
      <c r="BU213" s="83"/>
      <c r="BV213" s="104">
        <v>42309</v>
      </c>
      <c r="BW213" s="84">
        <v>0.69966590341382173</v>
      </c>
      <c r="BX213" s="83">
        <v>16768</v>
      </c>
      <c r="BY213" s="83">
        <v>7664</v>
      </c>
      <c r="BZ213" s="84">
        <v>0.45706106870229007</v>
      </c>
      <c r="CA213" s="83">
        <v>34</v>
      </c>
      <c r="CB213" s="83">
        <v>66</v>
      </c>
      <c r="CC213" s="84">
        <v>2.0276717557251907E-3</v>
      </c>
      <c r="CD213" s="84">
        <v>3.936068702290076E-3</v>
      </c>
    </row>
    <row r="214" spans="1:82" x14ac:dyDescent="0.25">
      <c r="A214" s="79" t="s">
        <v>114</v>
      </c>
      <c r="B214" s="80" t="s">
        <v>115</v>
      </c>
      <c r="C214" s="81">
        <v>657</v>
      </c>
      <c r="D214" s="108">
        <v>859.82</v>
      </c>
      <c r="E214" s="108">
        <f>9240.9+U214+V214</f>
        <v>9288.4702853166309</v>
      </c>
      <c r="F214" s="83">
        <v>24000</v>
      </c>
      <c r="G214" s="83">
        <v>22992</v>
      </c>
      <c r="H214" s="84">
        <f t="shared" si="128"/>
        <v>4.2000000000000003E-2</v>
      </c>
      <c r="I214" s="79">
        <v>395</v>
      </c>
      <c r="J214" s="84">
        <f t="shared" si="129"/>
        <v>1.6458333333333332E-2</v>
      </c>
      <c r="K214" s="83">
        <v>58800</v>
      </c>
      <c r="L214" s="83">
        <v>105080</v>
      </c>
      <c r="M214" s="85">
        <f t="shared" si="130"/>
        <v>2.55741127348643</v>
      </c>
      <c r="N214" s="85">
        <f t="shared" si="131"/>
        <v>1.7870748299319728</v>
      </c>
      <c r="O214" s="85">
        <f t="shared" si="136"/>
        <v>1.8220222823731063</v>
      </c>
      <c r="P214" s="86">
        <f>+E214/G214</f>
        <v>0.40398705137946378</v>
      </c>
      <c r="Q214" s="86">
        <f>+D214/G214</f>
        <v>3.7396485734168407E-2</v>
      </c>
      <c r="R214" s="83">
        <v>1512</v>
      </c>
      <c r="S214" s="106">
        <f>+E214/R214</f>
        <v>6.1431681781194651</v>
      </c>
      <c r="T214" s="85">
        <f t="shared" si="132"/>
        <v>15.873015873015873</v>
      </c>
      <c r="U214" s="85">
        <f t="shared" si="133"/>
        <v>4.570285316631872</v>
      </c>
      <c r="V214" s="87">
        <v>43</v>
      </c>
      <c r="W214" s="83">
        <v>32</v>
      </c>
      <c r="X214" s="85">
        <v>1.883</v>
      </c>
      <c r="Y214" s="83">
        <v>7200</v>
      </c>
      <c r="Z214" s="88">
        <f t="shared" si="134"/>
        <v>5.9474680778754188E-2</v>
      </c>
      <c r="AA214" s="109">
        <f t="shared" si="135"/>
        <v>5.884375E-2</v>
      </c>
      <c r="AB214" s="88">
        <v>0.31083333333333335</v>
      </c>
      <c r="AC214" s="88">
        <v>1.395</v>
      </c>
      <c r="AD214" s="88">
        <v>2.4833333333333334</v>
      </c>
      <c r="AE214" s="88">
        <v>0.18916666666666668</v>
      </c>
      <c r="AF214" s="90" t="s">
        <v>81</v>
      </c>
      <c r="AG214" s="91"/>
      <c r="AH214" s="91"/>
      <c r="AI214" s="91"/>
      <c r="AJ214" s="91"/>
      <c r="AK214" s="91"/>
      <c r="AL214" s="110"/>
      <c r="AM214" s="91"/>
      <c r="AN214" s="92"/>
      <c r="AO214" s="93">
        <f t="shared" si="117"/>
        <v>0</v>
      </c>
      <c r="AP214" s="94" t="s">
        <v>82</v>
      </c>
      <c r="AQ214" s="91"/>
      <c r="AR214" s="83"/>
      <c r="AS214" s="83"/>
      <c r="AT214" s="83"/>
      <c r="AU214" s="83"/>
      <c r="AV214" s="83">
        <v>24000</v>
      </c>
      <c r="AW214" s="110"/>
      <c r="AX214" s="83"/>
      <c r="AY214" s="83"/>
      <c r="AZ214" s="83"/>
      <c r="BA214" s="83"/>
      <c r="BB214" s="83"/>
      <c r="BC214" s="83"/>
      <c r="BD214" s="83"/>
      <c r="BE214" s="83"/>
      <c r="BF214" s="83"/>
      <c r="BG214" s="83"/>
      <c r="BH214" s="95"/>
      <c r="BI214" s="96">
        <f t="shared" si="118"/>
        <v>1</v>
      </c>
      <c r="BJ214" s="97">
        <v>2.8660000000000001</v>
      </c>
      <c r="BK214" s="98">
        <v>43</v>
      </c>
      <c r="BL214" s="88">
        <v>4.1000000000000002E-2</v>
      </c>
      <c r="BM214" s="88">
        <v>0.17799999999999999</v>
      </c>
      <c r="BN214" s="88">
        <v>0.505</v>
      </c>
      <c r="BO214" s="88">
        <v>0.92</v>
      </c>
      <c r="BP214" s="88">
        <v>1.5</v>
      </c>
      <c r="BQ214" s="88">
        <v>2.1</v>
      </c>
      <c r="BR214" s="88">
        <v>0</v>
      </c>
      <c r="BS214" s="88">
        <v>2.8660000000000001</v>
      </c>
      <c r="BT214" s="81">
        <v>43</v>
      </c>
      <c r="BU214" s="83"/>
      <c r="BV214" s="99">
        <v>42043</v>
      </c>
      <c r="BW214" s="84">
        <v>0.67636030061892127</v>
      </c>
      <c r="BX214" s="83">
        <v>15356</v>
      </c>
      <c r="BY214" s="83">
        <v>7072</v>
      </c>
      <c r="BZ214" s="84">
        <v>0.4605365980724147</v>
      </c>
      <c r="CA214" s="83">
        <v>97</v>
      </c>
      <c r="CB214" s="83">
        <v>344</v>
      </c>
      <c r="CC214" s="84">
        <v>6.3167491534253713E-3</v>
      </c>
      <c r="CD214" s="84">
        <v>2.2401667100807501E-2</v>
      </c>
    </row>
    <row r="215" spans="1:82" x14ac:dyDescent="0.25">
      <c r="A215" s="79" t="s">
        <v>94</v>
      </c>
      <c r="B215" s="80" t="s">
        <v>80</v>
      </c>
      <c r="C215" s="81">
        <v>820</v>
      </c>
      <c r="D215" s="108">
        <v>612.77</v>
      </c>
      <c r="E215" s="108">
        <f>7972.17+U215+V215</f>
        <v>8021.7237540533797</v>
      </c>
      <c r="F215" s="83">
        <v>17300</v>
      </c>
      <c r="G215" s="83">
        <v>16036</v>
      </c>
      <c r="H215" s="84">
        <f t="shared" si="128"/>
        <v>7.3063583815028907E-2</v>
      </c>
      <c r="I215" s="79">
        <v>295</v>
      </c>
      <c r="J215" s="84">
        <f t="shared" si="129"/>
        <v>1.7052023121387282E-2</v>
      </c>
      <c r="K215" s="83">
        <v>48650</v>
      </c>
      <c r="L215" s="83">
        <v>89060</v>
      </c>
      <c r="M215" s="85">
        <f t="shared" si="130"/>
        <v>3.0337989523571962</v>
      </c>
      <c r="N215" s="85">
        <f t="shared" si="131"/>
        <v>1.8306269270298048</v>
      </c>
      <c r="O215" s="85">
        <f t="shared" si="136"/>
        <v>1.8674257889217525</v>
      </c>
      <c r="P215" s="86">
        <f>+E215/G215</f>
        <v>0.50023221215099645</v>
      </c>
      <c r="Q215" s="86">
        <f>+D215/G215</f>
        <v>3.8212147667747567E-2</v>
      </c>
      <c r="R215" s="83">
        <v>1302</v>
      </c>
      <c r="S215" s="106">
        <f>+E215/R215</f>
        <v>6.1610781521147313</v>
      </c>
      <c r="T215" s="85">
        <f t="shared" si="132"/>
        <v>13.287250384024578</v>
      </c>
      <c r="U215" s="85">
        <f t="shared" si="133"/>
        <v>5.5537540533798948</v>
      </c>
      <c r="V215" s="87">
        <v>44</v>
      </c>
      <c r="W215" s="83"/>
      <c r="X215" s="85"/>
      <c r="Y215" s="83"/>
      <c r="Z215" s="88">
        <f t="shared" si="134"/>
        <v>6.8949976189936271E-2</v>
      </c>
      <c r="AA215" s="109" t="str">
        <f t="shared" si="135"/>
        <v/>
      </c>
      <c r="AB215" s="88">
        <v>0.28670520231213875</v>
      </c>
      <c r="AC215" s="88">
        <v>1.4693641618497111</v>
      </c>
      <c r="AD215" s="88">
        <v>2.4947976878612717</v>
      </c>
      <c r="AE215" s="88">
        <v>0.89710982658959537</v>
      </c>
      <c r="AF215" s="90" t="s">
        <v>81</v>
      </c>
      <c r="AG215" s="91"/>
      <c r="AH215" s="91"/>
      <c r="AI215" s="91"/>
      <c r="AJ215" s="91"/>
      <c r="AK215" s="91">
        <v>17300</v>
      </c>
      <c r="AL215" s="110"/>
      <c r="AM215" s="91"/>
      <c r="AN215" s="92"/>
      <c r="AO215" s="93">
        <f t="shared" si="117"/>
        <v>1</v>
      </c>
      <c r="AP215" s="94" t="s">
        <v>82</v>
      </c>
      <c r="AQ215" s="91"/>
      <c r="AR215" s="83"/>
      <c r="AS215" s="83"/>
      <c r="AT215" s="83"/>
      <c r="AU215" s="83"/>
      <c r="AV215" s="83"/>
      <c r="AW215" s="110"/>
      <c r="AX215" s="83"/>
      <c r="AY215" s="83"/>
      <c r="AZ215" s="83"/>
      <c r="BA215" s="83"/>
      <c r="BB215" s="83"/>
      <c r="BC215" s="83"/>
      <c r="BD215" s="83"/>
      <c r="BE215" s="83"/>
      <c r="BF215" s="83"/>
      <c r="BG215" s="83"/>
      <c r="BH215" s="95"/>
      <c r="BI215" s="96">
        <f t="shared" si="118"/>
        <v>0</v>
      </c>
      <c r="BJ215" s="97">
        <v>3.0339999999999998</v>
      </c>
      <c r="BK215" s="98">
        <v>44</v>
      </c>
      <c r="BL215" s="88">
        <v>4.3999999999999997E-2</v>
      </c>
      <c r="BM215" s="88">
        <v>0.188</v>
      </c>
      <c r="BN215" s="88">
        <v>0</v>
      </c>
      <c r="BO215" s="88">
        <v>0.92100000000000004</v>
      </c>
      <c r="BP215" s="88">
        <v>1.47</v>
      </c>
      <c r="BQ215" s="88">
        <v>2.08</v>
      </c>
      <c r="BR215" s="88">
        <v>2.75</v>
      </c>
      <c r="BS215" s="88">
        <v>3.0339999999999998</v>
      </c>
      <c r="BT215" s="81">
        <v>44</v>
      </c>
      <c r="BU215" s="83">
        <v>4000</v>
      </c>
      <c r="BV215" s="99">
        <v>42057</v>
      </c>
      <c r="BW215" s="84">
        <v>0.70927255909558073</v>
      </c>
      <c r="BX215" s="83">
        <v>15718</v>
      </c>
      <c r="BY215" s="83">
        <v>5032</v>
      </c>
      <c r="BZ215" s="84">
        <v>0.32014251176994529</v>
      </c>
      <c r="CA215" s="83">
        <v>50</v>
      </c>
      <c r="CB215" s="83">
        <v>266</v>
      </c>
      <c r="CC215" s="84">
        <v>3.181066293421555E-3</v>
      </c>
      <c r="CD215" s="84">
        <v>1.6923272681002671E-2</v>
      </c>
    </row>
    <row r="216" spans="1:82" x14ac:dyDescent="0.25">
      <c r="A216" s="79" t="s">
        <v>114</v>
      </c>
      <c r="B216" s="80" t="s">
        <v>115</v>
      </c>
      <c r="C216" s="81">
        <v>657</v>
      </c>
      <c r="D216" s="105">
        <v>1393.05</v>
      </c>
      <c r="E216" s="105">
        <v>15848.71927</v>
      </c>
      <c r="F216" s="83">
        <v>36400</v>
      </c>
      <c r="G216" s="83">
        <v>34374</v>
      </c>
      <c r="H216" s="84">
        <f t="shared" si="128"/>
        <v>5.565934065934066E-2</v>
      </c>
      <c r="I216" s="79"/>
      <c r="J216" s="84">
        <f t="shared" si="129"/>
        <v>0</v>
      </c>
      <c r="K216" s="83">
        <v>92980</v>
      </c>
      <c r="L216" s="83">
        <v>167240</v>
      </c>
      <c r="M216" s="85">
        <f t="shared" si="130"/>
        <v>2.7049514167684876</v>
      </c>
      <c r="N216" s="85">
        <f t="shared" si="131"/>
        <v>1.798666379866638</v>
      </c>
      <c r="O216" s="85">
        <f t="shared" si="136"/>
        <v>1.8318131708205683</v>
      </c>
      <c r="P216" s="86">
        <f t="shared" ref="P216:P222" si="137">IF(G216=0,0,+E216/G216)</f>
        <v>0.46106706435096295</v>
      </c>
      <c r="Q216" s="86">
        <f t="shared" ref="Q216:Q222" si="138">IF(G216=0,0,+D216/G216)</f>
        <v>4.0526269855123059E-2</v>
      </c>
      <c r="R216" s="83">
        <v>2566</v>
      </c>
      <c r="S216" s="86">
        <f t="shared" ref="S216:S222" si="139">IF(R216=0,0,+E216/R216)</f>
        <v>6.176429957131722</v>
      </c>
      <c r="T216" s="85">
        <f t="shared" si="132"/>
        <v>14.185502727981294</v>
      </c>
      <c r="U216" s="85">
        <f t="shared" si="133"/>
        <v>4.8653051725141099</v>
      </c>
      <c r="V216" s="87">
        <v>42.8</v>
      </c>
      <c r="W216" s="83">
        <v>34</v>
      </c>
      <c r="X216" s="85">
        <v>2.0659999999999998</v>
      </c>
      <c r="Y216" s="83">
        <v>8800</v>
      </c>
      <c r="Z216" s="88">
        <f t="shared" si="134"/>
        <v>6.3199799457207662E-2</v>
      </c>
      <c r="AA216" s="107">
        <f t="shared" si="135"/>
        <v>6.0764705882352936E-2</v>
      </c>
      <c r="AB216" s="88">
        <v>0.3</v>
      </c>
      <c r="AC216" s="88">
        <v>1.4571428571428571</v>
      </c>
      <c r="AD216" s="88">
        <v>2.3939560439560439</v>
      </c>
      <c r="AE216" s="88">
        <v>0.44340659340659339</v>
      </c>
      <c r="AF216" s="90" t="s">
        <v>81</v>
      </c>
      <c r="AG216" s="116"/>
      <c r="AH216" s="116"/>
      <c r="AI216" s="116"/>
      <c r="AJ216" s="116"/>
      <c r="AK216" s="116"/>
      <c r="AL216" s="79"/>
      <c r="AM216" s="116"/>
      <c r="AN216" s="117"/>
      <c r="AO216" s="93">
        <f t="shared" si="117"/>
        <v>0</v>
      </c>
      <c r="AP216" s="94" t="s">
        <v>82</v>
      </c>
      <c r="AQ216" s="116"/>
      <c r="AR216" s="79"/>
      <c r="AS216" s="79"/>
      <c r="AT216" s="79"/>
      <c r="AU216" s="79"/>
      <c r="AV216" s="79">
        <v>22900</v>
      </c>
      <c r="AW216" s="79"/>
      <c r="AX216" s="79"/>
      <c r="AY216" s="79"/>
      <c r="AZ216" s="79"/>
      <c r="BA216" s="79"/>
      <c r="BB216" s="79"/>
      <c r="BC216" s="79">
        <v>13500</v>
      </c>
      <c r="BD216" s="79"/>
      <c r="BE216" s="79"/>
      <c r="BF216" s="79"/>
      <c r="BG216" s="79"/>
      <c r="BH216" s="111"/>
      <c r="BI216" s="96">
        <f t="shared" si="118"/>
        <v>1</v>
      </c>
      <c r="BJ216" s="97">
        <v>2.9220000000000002</v>
      </c>
      <c r="BK216" s="98">
        <v>42</v>
      </c>
      <c r="BL216" s="88">
        <v>4.1500000000000002E-2</v>
      </c>
      <c r="BM216" s="88">
        <v>0.191</v>
      </c>
      <c r="BN216" s="88">
        <v>0.47</v>
      </c>
      <c r="BO216" s="88">
        <v>0.92300000000000004</v>
      </c>
      <c r="BP216" s="88">
        <v>1.5049999999999999</v>
      </c>
      <c r="BQ216" s="88">
        <v>2.0649999999999999</v>
      </c>
      <c r="BR216" s="88">
        <v>2.8690000000000002</v>
      </c>
      <c r="BS216" s="88">
        <v>2.9289999999999998</v>
      </c>
      <c r="BT216" s="81">
        <v>44</v>
      </c>
      <c r="BU216" s="83">
        <v>5000</v>
      </c>
      <c r="BV216" s="99">
        <v>42008</v>
      </c>
      <c r="BW216" s="84">
        <v>0.68732058823529418</v>
      </c>
      <c r="BX216" s="79">
        <v>24904</v>
      </c>
      <c r="BY216" s="83">
        <v>7808</v>
      </c>
      <c r="BZ216" s="84">
        <v>0.3135239318984902</v>
      </c>
      <c r="CA216" s="83">
        <v>414</v>
      </c>
      <c r="CB216" s="83">
        <v>208</v>
      </c>
      <c r="CC216" s="84">
        <v>1.6623835528429168E-2</v>
      </c>
      <c r="CD216" s="84">
        <v>8.3520719563122386E-3</v>
      </c>
    </row>
    <row r="217" spans="1:82" x14ac:dyDescent="0.25">
      <c r="A217" s="79" t="s">
        <v>119</v>
      </c>
      <c r="B217" s="80" t="s">
        <v>91</v>
      </c>
      <c r="C217" s="81">
        <v>896</v>
      </c>
      <c r="D217" s="108">
        <v>1406.99</v>
      </c>
      <c r="E217" s="108">
        <v>10377.83562</v>
      </c>
      <c r="F217" s="83">
        <v>25400</v>
      </c>
      <c r="G217" s="83">
        <v>24244</v>
      </c>
      <c r="H217" s="84">
        <f t="shared" si="128"/>
        <v>4.5511811023622048E-2</v>
      </c>
      <c r="I217" s="79">
        <v>145</v>
      </c>
      <c r="J217" s="84">
        <f t="shared" si="129"/>
        <v>5.7086614173228346E-3</v>
      </c>
      <c r="K217" s="83">
        <v>63820</v>
      </c>
      <c r="L217" s="83">
        <v>115780</v>
      </c>
      <c r="M217" s="85">
        <f t="shared" si="130"/>
        <v>2.6324038937469063</v>
      </c>
      <c r="N217" s="85">
        <f t="shared" si="131"/>
        <v>1.8141648386085867</v>
      </c>
      <c r="O217" s="85">
        <f t="shared" si="136"/>
        <v>1.8226601610884994</v>
      </c>
      <c r="P217" s="86">
        <f t="shared" si="137"/>
        <v>0.42805789556178847</v>
      </c>
      <c r="Q217" s="86">
        <f t="shared" si="138"/>
        <v>5.8034565253258535E-2</v>
      </c>
      <c r="R217" s="83">
        <v>1680</v>
      </c>
      <c r="S217" s="86">
        <f t="shared" si="139"/>
        <v>6.1772831071428573</v>
      </c>
      <c r="T217" s="85">
        <f t="shared" si="132"/>
        <v>15.119047619047619</v>
      </c>
      <c r="U217" s="85">
        <f t="shared" si="133"/>
        <v>4.7756145850519713</v>
      </c>
      <c r="V217" s="87">
        <v>43</v>
      </c>
      <c r="W217" s="83">
        <v>31</v>
      </c>
      <c r="X217" s="85">
        <v>2.0840000000000001</v>
      </c>
      <c r="Y217" s="83">
        <v>5000</v>
      </c>
      <c r="Z217" s="88">
        <f t="shared" si="134"/>
        <v>6.1218695203416426E-2</v>
      </c>
      <c r="AA217" s="109">
        <f t="shared" si="135"/>
        <v>6.7225806451612899E-2</v>
      </c>
      <c r="AB217" s="88">
        <v>0.31811023622047246</v>
      </c>
      <c r="AC217" s="88">
        <v>1.4464566929133857</v>
      </c>
      <c r="AD217" s="88">
        <v>2.2842519685039369</v>
      </c>
      <c r="AE217" s="88">
        <v>0.50944881889763782</v>
      </c>
      <c r="AF217" s="90" t="s">
        <v>81</v>
      </c>
      <c r="AG217" s="91"/>
      <c r="AH217" s="83"/>
      <c r="AI217" s="91"/>
      <c r="AJ217" s="91"/>
      <c r="AK217" s="91"/>
      <c r="AL217" s="110"/>
      <c r="AM217" s="91"/>
      <c r="AN217" s="92"/>
      <c r="AO217" s="93">
        <f t="shared" si="117"/>
        <v>0</v>
      </c>
      <c r="AP217" s="94" t="s">
        <v>82</v>
      </c>
      <c r="AQ217" s="91"/>
      <c r="AR217" s="83"/>
      <c r="AS217" s="83"/>
      <c r="AT217" s="83"/>
      <c r="AU217" s="83"/>
      <c r="AV217" s="83"/>
      <c r="AW217" s="110"/>
      <c r="AX217" s="83"/>
      <c r="AY217" s="83"/>
      <c r="AZ217" s="83"/>
      <c r="BA217" s="83"/>
      <c r="BB217" s="83"/>
      <c r="BC217" s="83"/>
      <c r="BD217" s="83"/>
      <c r="BE217" s="83"/>
      <c r="BF217" s="91"/>
      <c r="BG217" s="83">
        <v>25400</v>
      </c>
      <c r="BH217" s="95"/>
      <c r="BI217" s="96">
        <f t="shared" si="118"/>
        <v>1</v>
      </c>
      <c r="BJ217" s="97">
        <v>2.774</v>
      </c>
      <c r="BK217" s="98">
        <v>43</v>
      </c>
      <c r="BL217" s="88">
        <v>3.6999999999999998E-2</v>
      </c>
      <c r="BM217" s="88">
        <v>0.20699999999999999</v>
      </c>
      <c r="BN217" s="88">
        <v>0.505</v>
      </c>
      <c r="BO217" s="88">
        <v>0.96</v>
      </c>
      <c r="BP217" s="88">
        <v>1.6950000000000001</v>
      </c>
      <c r="BQ217" s="88">
        <v>2.085</v>
      </c>
      <c r="BR217" s="88">
        <v>2.633</v>
      </c>
      <c r="BS217" s="88">
        <v>2.774</v>
      </c>
      <c r="BT217" s="81">
        <v>43</v>
      </c>
      <c r="BU217" s="83"/>
      <c r="BV217" s="99">
        <v>42157</v>
      </c>
      <c r="BW217" s="84">
        <v>0.70887434456928833</v>
      </c>
      <c r="BX217" s="83">
        <v>19220</v>
      </c>
      <c r="BY217" s="83">
        <v>9208</v>
      </c>
      <c r="BZ217" s="84">
        <v>0.47908428720083246</v>
      </c>
      <c r="CA217" s="83">
        <v>32</v>
      </c>
      <c r="CB217" s="83">
        <v>81</v>
      </c>
      <c r="CC217" s="84">
        <v>1.6649323621227888E-3</v>
      </c>
      <c r="CD217" s="84">
        <v>4.2143600416233093E-3</v>
      </c>
    </row>
    <row r="218" spans="1:82" x14ac:dyDescent="0.25">
      <c r="A218" s="120" t="s">
        <v>110</v>
      </c>
      <c r="B218" s="121" t="s">
        <v>80</v>
      </c>
      <c r="C218" s="122">
        <v>810</v>
      </c>
      <c r="D218" s="123">
        <v>1312.35</v>
      </c>
      <c r="E218" s="123">
        <v>17687.8</v>
      </c>
      <c r="F218" s="124">
        <v>37400</v>
      </c>
      <c r="G218" s="124">
        <v>35300</v>
      </c>
      <c r="H218" s="125">
        <f t="shared" si="128"/>
        <v>5.6149732620320858E-2</v>
      </c>
      <c r="I218" s="120">
        <v>893</v>
      </c>
      <c r="J218" s="125">
        <f t="shared" si="129"/>
        <v>2.3877005347593582E-2</v>
      </c>
      <c r="K218" s="124">
        <v>99080</v>
      </c>
      <c r="L218" s="124">
        <v>180240</v>
      </c>
      <c r="M218" s="126">
        <f t="shared" si="130"/>
        <v>2.8067988668555239</v>
      </c>
      <c r="N218" s="126">
        <f t="shared" si="131"/>
        <v>1.8191360516754138</v>
      </c>
      <c r="O218" s="126">
        <f t="shared" si="136"/>
        <v>1.8891357561821052</v>
      </c>
      <c r="P218" s="127">
        <f t="shared" si="137"/>
        <v>0.50107082152974503</v>
      </c>
      <c r="Q218" s="127">
        <f t="shared" si="138"/>
        <v>3.7177053824362601E-2</v>
      </c>
      <c r="R218" s="124">
        <v>2856</v>
      </c>
      <c r="S218" s="127">
        <f t="shared" si="139"/>
        <v>6.193207282913165</v>
      </c>
      <c r="T218" s="126">
        <f t="shared" si="132"/>
        <v>13.095238095238095</v>
      </c>
      <c r="U218" s="126">
        <f t="shared" si="133"/>
        <v>5.1059490084985839</v>
      </c>
      <c r="V218" s="128">
        <v>44.27</v>
      </c>
      <c r="W218" s="124"/>
      <c r="X218" s="126"/>
      <c r="Y218" s="124"/>
      <c r="Z218" s="129">
        <f t="shared" si="134"/>
        <v>6.340182667394452E-2</v>
      </c>
      <c r="AA218" s="130" t="str">
        <f t="shared" si="135"/>
        <v/>
      </c>
      <c r="AB218" s="131">
        <v>0.28395721925133688</v>
      </c>
      <c r="AC218" s="131">
        <v>1.4106951871657754</v>
      </c>
      <c r="AD218" s="131">
        <v>2.5288770053475935</v>
      </c>
      <c r="AE218" s="131">
        <v>0.59572192513368982</v>
      </c>
      <c r="AF218" s="132" t="s">
        <v>81</v>
      </c>
      <c r="AG218" s="133"/>
      <c r="AH218" s="133"/>
      <c r="AI218" s="133"/>
      <c r="AJ218" s="133"/>
      <c r="AK218" s="133"/>
      <c r="AL218" s="133">
        <v>10700</v>
      </c>
      <c r="AM218" s="133"/>
      <c r="AN218" s="134"/>
      <c r="AO218" s="135">
        <f t="shared" si="117"/>
        <v>0.28609625668449196</v>
      </c>
      <c r="AP218" s="136" t="s">
        <v>82</v>
      </c>
      <c r="AQ218" s="124"/>
      <c r="AR218" s="124"/>
      <c r="AS218" s="124"/>
      <c r="AT218" s="124"/>
      <c r="AU218" s="124"/>
      <c r="AV218" s="124"/>
      <c r="AW218" s="124">
        <v>26700</v>
      </c>
      <c r="AX218" s="124"/>
      <c r="AY218" s="124"/>
      <c r="AZ218" s="124"/>
      <c r="BA218" s="124"/>
      <c r="BB218" s="124"/>
      <c r="BC218" s="124"/>
      <c r="BD218" s="124"/>
      <c r="BE218" s="124"/>
      <c r="BF218" s="124"/>
      <c r="BG218" s="124"/>
      <c r="BH218" s="137"/>
      <c r="BI218" s="138">
        <f t="shared" si="118"/>
        <v>0.71390374331550799</v>
      </c>
      <c r="BJ218" s="139">
        <v>2.8</v>
      </c>
      <c r="BK218" s="140">
        <v>44</v>
      </c>
      <c r="BL218" s="141">
        <v>3.6999999999999998E-2</v>
      </c>
      <c r="BM218" s="141">
        <v>0.17599999999999999</v>
      </c>
      <c r="BN218" s="141">
        <v>0.46</v>
      </c>
      <c r="BO218" s="141">
        <v>0.87250000000000005</v>
      </c>
      <c r="BP218" s="141">
        <v>1.4350000000000001</v>
      </c>
      <c r="BQ218" s="141">
        <v>2.0579999999999998</v>
      </c>
      <c r="BR218" s="141">
        <v>2.673</v>
      </c>
      <c r="BS218" s="141">
        <v>2.8250000000000002</v>
      </c>
      <c r="BT218" s="122">
        <v>45</v>
      </c>
      <c r="BU218" s="124">
        <v>5300</v>
      </c>
      <c r="BV218" s="142">
        <v>42359</v>
      </c>
      <c r="BW218" s="125">
        <v>0.70185708518368994</v>
      </c>
      <c r="BX218" s="124">
        <v>34687</v>
      </c>
      <c r="BY218" s="124">
        <v>14806</v>
      </c>
      <c r="BZ218" s="125">
        <v>0.42684579237178194</v>
      </c>
      <c r="CA218" s="124">
        <v>299</v>
      </c>
      <c r="CB218" s="124">
        <v>1009</v>
      </c>
      <c r="CC218" s="125">
        <v>8.6199440712658917E-3</v>
      </c>
      <c r="CD218" s="125">
        <v>2.9088707584974199E-2</v>
      </c>
    </row>
    <row r="219" spans="1:82" x14ac:dyDescent="0.25">
      <c r="A219" s="120" t="s">
        <v>96</v>
      </c>
      <c r="B219" s="121" t="s">
        <v>80</v>
      </c>
      <c r="C219" s="122">
        <v>796</v>
      </c>
      <c r="D219" s="123">
        <v>826.06</v>
      </c>
      <c r="E219" s="123">
        <v>13637.71</v>
      </c>
      <c r="F219" s="124">
        <v>25300</v>
      </c>
      <c r="G219" s="124">
        <v>24320</v>
      </c>
      <c r="H219" s="125">
        <f t="shared" si="128"/>
        <v>3.8735177865612647E-2</v>
      </c>
      <c r="I219" s="120">
        <v>300</v>
      </c>
      <c r="J219" s="125">
        <f t="shared" si="129"/>
        <v>1.1857707509881422E-2</v>
      </c>
      <c r="K219" s="124">
        <v>73180</v>
      </c>
      <c r="L219" s="124">
        <v>131660</v>
      </c>
      <c r="M219" s="126">
        <f t="shared" si="130"/>
        <v>3.0090460526315788</v>
      </c>
      <c r="N219" s="126">
        <f t="shared" si="131"/>
        <v>1.7991254441104128</v>
      </c>
      <c r="O219" s="126">
        <f t="shared" si="136"/>
        <v>1.8131415050872386</v>
      </c>
      <c r="P219" s="127">
        <f t="shared" si="137"/>
        <v>0.56076110197368423</v>
      </c>
      <c r="Q219" s="127">
        <f t="shared" si="138"/>
        <v>3.3966282894736841E-2</v>
      </c>
      <c r="R219" s="124">
        <v>2200</v>
      </c>
      <c r="S219" s="127">
        <f t="shared" si="139"/>
        <v>6.1989590909090904</v>
      </c>
      <c r="T219" s="126">
        <f t="shared" si="132"/>
        <v>11.5</v>
      </c>
      <c r="U219" s="126">
        <f t="shared" si="133"/>
        <v>5.4136513157894735</v>
      </c>
      <c r="V219" s="128">
        <v>44.38</v>
      </c>
      <c r="W219" s="124"/>
      <c r="X219" s="126"/>
      <c r="Y219" s="124"/>
      <c r="Z219" s="129">
        <f t="shared" si="134"/>
        <v>6.7801848865064865E-2</v>
      </c>
      <c r="AA219" s="130" t="str">
        <f t="shared" si="135"/>
        <v/>
      </c>
      <c r="AB219" s="131">
        <v>0.31225296442687744</v>
      </c>
      <c r="AC219" s="131">
        <v>1.5596837944664033</v>
      </c>
      <c r="AD219" s="131">
        <v>2.5169960474308302</v>
      </c>
      <c r="AE219" s="131">
        <v>0.81501976284584976</v>
      </c>
      <c r="AF219" s="132" t="s">
        <v>81</v>
      </c>
      <c r="AG219" s="133"/>
      <c r="AH219" s="133"/>
      <c r="AI219" s="133">
        <v>6100</v>
      </c>
      <c r="AJ219" s="133"/>
      <c r="AK219" s="133"/>
      <c r="AL219" s="133"/>
      <c r="AM219" s="133"/>
      <c r="AN219" s="134"/>
      <c r="AO219" s="135">
        <f t="shared" si="117"/>
        <v>0.24110671936758893</v>
      </c>
      <c r="AP219" s="136" t="s">
        <v>82</v>
      </c>
      <c r="AQ219" s="124"/>
      <c r="AR219" s="124"/>
      <c r="AS219" s="124"/>
      <c r="AT219" s="124"/>
      <c r="AU219" s="124"/>
      <c r="AV219" s="124"/>
      <c r="AW219" s="124"/>
      <c r="AX219" s="124"/>
      <c r="AY219" s="124"/>
      <c r="AZ219" s="124"/>
      <c r="BA219" s="124"/>
      <c r="BB219" s="124"/>
      <c r="BC219" s="124"/>
      <c r="BD219" s="124"/>
      <c r="BE219" s="124"/>
      <c r="BF219" s="124">
        <v>19200</v>
      </c>
      <c r="BG219" s="124"/>
      <c r="BH219" s="137"/>
      <c r="BI219" s="138">
        <f t="shared" si="118"/>
        <v>0.75889328063241102</v>
      </c>
      <c r="BJ219" s="139">
        <v>2.89</v>
      </c>
      <c r="BK219" s="140">
        <v>43</v>
      </c>
      <c r="BL219" s="129">
        <v>3.6999999999999998E-2</v>
      </c>
      <c r="BM219" s="129">
        <v>0.19750000000000001</v>
      </c>
      <c r="BN219" s="129">
        <v>0.46</v>
      </c>
      <c r="BO219" s="129">
        <v>0.95499999999999996</v>
      </c>
      <c r="BP219" s="129">
        <v>1.59</v>
      </c>
      <c r="BQ219" s="129">
        <v>2.2250000000000001</v>
      </c>
      <c r="BR219" s="129"/>
      <c r="BS219" s="129">
        <v>3.0489999999999999</v>
      </c>
      <c r="BT219" s="122">
        <v>45</v>
      </c>
      <c r="BU219" s="124">
        <v>3000</v>
      </c>
      <c r="BV219" s="142">
        <v>42288</v>
      </c>
      <c r="BW219" s="125">
        <v>0.6899602350368953</v>
      </c>
      <c r="BX219" s="124">
        <v>23848</v>
      </c>
      <c r="BY219" s="124">
        <v>10896</v>
      </c>
      <c r="BZ219" s="125">
        <v>0.45689365984568936</v>
      </c>
      <c r="CA219" s="124">
        <v>66</v>
      </c>
      <c r="CB219" s="124">
        <v>122</v>
      </c>
      <c r="CC219" s="125">
        <v>2.7138157894736844E-3</v>
      </c>
      <c r="CD219" s="125">
        <v>5.0164473684210526E-3</v>
      </c>
    </row>
    <row r="220" spans="1:82" x14ac:dyDescent="0.25">
      <c r="A220" s="120" t="s">
        <v>85</v>
      </c>
      <c r="B220" s="121" t="s">
        <v>86</v>
      </c>
      <c r="C220" s="122">
        <v>430</v>
      </c>
      <c r="D220" s="123">
        <v>1437.85</v>
      </c>
      <c r="E220" s="123">
        <v>14329.28</v>
      </c>
      <c r="F220" s="124">
        <v>30000</v>
      </c>
      <c r="G220" s="124">
        <v>29185</v>
      </c>
      <c r="H220" s="125">
        <f t="shared" si="128"/>
        <v>2.7166666666666665E-2</v>
      </c>
      <c r="I220" s="120">
        <v>390</v>
      </c>
      <c r="J220" s="125">
        <f t="shared" si="129"/>
        <v>1.2999999999999999E-2</v>
      </c>
      <c r="K220" s="124">
        <v>81270</v>
      </c>
      <c r="L220" s="124">
        <v>146260</v>
      </c>
      <c r="M220" s="126">
        <f t="shared" si="130"/>
        <v>2.7846496487921879</v>
      </c>
      <c r="N220" s="126">
        <f t="shared" si="131"/>
        <v>1.7996800787498461</v>
      </c>
      <c r="O220" s="126">
        <f t="shared" si="136"/>
        <v>1.8170505465410041</v>
      </c>
      <c r="P220" s="127">
        <f t="shared" si="137"/>
        <v>0.49098098338187429</v>
      </c>
      <c r="Q220" s="127">
        <f t="shared" si="138"/>
        <v>4.9266746616412539E-2</v>
      </c>
      <c r="R220" s="124">
        <v>2310</v>
      </c>
      <c r="S220" s="127">
        <f t="shared" si="139"/>
        <v>6.2031515151515153</v>
      </c>
      <c r="T220" s="126">
        <f t="shared" si="132"/>
        <v>12.987012987012987</v>
      </c>
      <c r="U220" s="126">
        <f t="shared" si="133"/>
        <v>5.0114784992290557</v>
      </c>
      <c r="V220" s="128">
        <v>43.39</v>
      </c>
      <c r="W220" s="124"/>
      <c r="X220" s="126"/>
      <c r="Y220" s="124"/>
      <c r="Z220" s="129">
        <f t="shared" si="134"/>
        <v>6.4177221682235261E-2</v>
      </c>
      <c r="AA220" s="130" t="str">
        <f t="shared" si="135"/>
        <v/>
      </c>
      <c r="AB220" s="131">
        <v>0.30199999999999999</v>
      </c>
      <c r="AC220" s="131">
        <v>1.3866666666666667</v>
      </c>
      <c r="AD220" s="131">
        <v>2.5433333333333334</v>
      </c>
      <c r="AE220" s="131">
        <v>0.64333333333333331</v>
      </c>
      <c r="AF220" s="132" t="s">
        <v>81</v>
      </c>
      <c r="AG220" s="133"/>
      <c r="AH220" s="133">
        <v>2900</v>
      </c>
      <c r="AI220" s="133"/>
      <c r="AJ220" s="133"/>
      <c r="AK220" s="133"/>
      <c r="AL220" s="133"/>
      <c r="AM220" s="133"/>
      <c r="AN220" s="143"/>
      <c r="AO220" s="135">
        <f t="shared" si="117"/>
        <v>9.6666666666666665E-2</v>
      </c>
      <c r="AP220" s="136" t="s">
        <v>82</v>
      </c>
      <c r="AQ220" s="133"/>
      <c r="AR220" s="124"/>
      <c r="AS220" s="124"/>
      <c r="AT220" s="124"/>
      <c r="AU220" s="124"/>
      <c r="AV220" s="124"/>
      <c r="AW220" s="124"/>
      <c r="AX220" s="124"/>
      <c r="AY220" s="124">
        <v>27100</v>
      </c>
      <c r="AZ220" s="124"/>
      <c r="BA220" s="124"/>
      <c r="BB220" s="124"/>
      <c r="BC220" s="124"/>
      <c r="BD220" s="124"/>
      <c r="BE220" s="124"/>
      <c r="BF220" s="133"/>
      <c r="BG220" s="124"/>
      <c r="BH220" s="137"/>
      <c r="BI220" s="138">
        <f t="shared" si="118"/>
        <v>0.90333333333333332</v>
      </c>
      <c r="BJ220" s="139">
        <v>2.8050000000000002</v>
      </c>
      <c r="BK220" s="140">
        <v>43</v>
      </c>
      <c r="BL220" s="129">
        <v>3.9E-2</v>
      </c>
      <c r="BM220" s="129">
        <v>0.18</v>
      </c>
      <c r="BN220" s="129">
        <v>0.39200000000000002</v>
      </c>
      <c r="BO220" s="129">
        <v>0.94499999999999995</v>
      </c>
      <c r="BP220" s="129">
        <v>1.5</v>
      </c>
      <c r="BQ220" s="129">
        <v>2.0350000000000001</v>
      </c>
      <c r="BR220" s="129">
        <v>2.665</v>
      </c>
      <c r="BS220" s="129">
        <v>2.754</v>
      </c>
      <c r="BT220" s="122">
        <v>44</v>
      </c>
      <c r="BU220" s="124"/>
      <c r="BV220" s="142">
        <v>42319</v>
      </c>
      <c r="BW220" s="125">
        <v>0.7028929494278332</v>
      </c>
      <c r="BX220" s="124">
        <v>28924</v>
      </c>
      <c r="BY220" s="124">
        <v>12408</v>
      </c>
      <c r="BZ220" s="125">
        <v>0.42898630894758677</v>
      </c>
      <c r="CA220" s="124">
        <v>143</v>
      </c>
      <c r="CB220" s="124">
        <v>136</v>
      </c>
      <c r="CC220" s="125">
        <v>4.9439911492186418E-3</v>
      </c>
      <c r="CD220" s="125">
        <v>4.7019775964596876E-3</v>
      </c>
    </row>
    <row r="221" spans="1:82" x14ac:dyDescent="0.25">
      <c r="A221" s="120" t="s">
        <v>85</v>
      </c>
      <c r="B221" s="121" t="s">
        <v>86</v>
      </c>
      <c r="C221" s="122">
        <v>430</v>
      </c>
      <c r="D221" s="123">
        <v>539.78</v>
      </c>
      <c r="E221" s="123">
        <v>9867.98</v>
      </c>
      <c r="F221" s="124">
        <v>21600</v>
      </c>
      <c r="G221" s="124">
        <v>21310</v>
      </c>
      <c r="H221" s="125">
        <f t="shared" si="128"/>
        <v>1.3425925925925926E-2</v>
      </c>
      <c r="I221" s="120">
        <v>308</v>
      </c>
      <c r="J221" s="125">
        <f t="shared" si="129"/>
        <v>1.425925925925926E-2</v>
      </c>
      <c r="K221" s="124">
        <v>56710</v>
      </c>
      <c r="L221" s="124">
        <v>103030</v>
      </c>
      <c r="M221" s="126">
        <f t="shared" si="130"/>
        <v>2.6611919286719852</v>
      </c>
      <c r="N221" s="126">
        <f t="shared" si="131"/>
        <v>1.8167871627578911</v>
      </c>
      <c r="O221" s="126">
        <f t="shared" si="136"/>
        <v>1.8793133555832557</v>
      </c>
      <c r="P221" s="127">
        <f t="shared" si="137"/>
        <v>0.46306804317221961</v>
      </c>
      <c r="Q221" s="127">
        <f t="shared" si="138"/>
        <v>2.5329892069450962E-2</v>
      </c>
      <c r="R221" s="124">
        <v>1590</v>
      </c>
      <c r="S221" s="127">
        <f t="shared" si="139"/>
        <v>6.2062767295597485</v>
      </c>
      <c r="T221" s="126">
        <f t="shared" si="132"/>
        <v>13.584905660377359</v>
      </c>
      <c r="U221" s="126">
        <f t="shared" si="133"/>
        <v>4.8348193336461751</v>
      </c>
      <c r="V221" s="128">
        <v>42</v>
      </c>
      <c r="W221" s="124"/>
      <c r="X221" s="126"/>
      <c r="Y221" s="124"/>
      <c r="Z221" s="129">
        <f t="shared" si="134"/>
        <v>6.3361712587428218E-2</v>
      </c>
      <c r="AA221" s="130" t="str">
        <f t="shared" si="135"/>
        <v/>
      </c>
      <c r="AB221" s="131">
        <v>0.33796296296296297</v>
      </c>
      <c r="AC221" s="131">
        <v>1.3981481481481481</v>
      </c>
      <c r="AD221" s="131">
        <v>2.386574074074074</v>
      </c>
      <c r="AE221" s="131">
        <v>0.64722222222222225</v>
      </c>
      <c r="AF221" s="132" t="s">
        <v>81</v>
      </c>
      <c r="AG221" s="133"/>
      <c r="AH221" s="133">
        <v>21600</v>
      </c>
      <c r="AI221" s="133"/>
      <c r="AJ221" s="133"/>
      <c r="AK221" s="133"/>
      <c r="AL221" s="133"/>
      <c r="AM221" s="133"/>
      <c r="AN221" s="134"/>
      <c r="AO221" s="135">
        <f t="shared" si="117"/>
        <v>1</v>
      </c>
      <c r="AP221" s="136" t="s">
        <v>82</v>
      </c>
      <c r="AQ221" s="124"/>
      <c r="AR221" s="124"/>
      <c r="AS221" s="124"/>
      <c r="AT221" s="124"/>
      <c r="AU221" s="124"/>
      <c r="AV221" s="124"/>
      <c r="AW221" s="124"/>
      <c r="AX221" s="124"/>
      <c r="AY221" s="124"/>
      <c r="AZ221" s="124"/>
      <c r="BA221" s="124"/>
      <c r="BB221" s="124"/>
      <c r="BC221" s="124"/>
      <c r="BD221" s="124"/>
      <c r="BE221" s="124"/>
      <c r="BF221" s="124"/>
      <c r="BG221" s="124"/>
      <c r="BH221" s="137"/>
      <c r="BI221" s="138">
        <f t="shared" si="118"/>
        <v>0</v>
      </c>
      <c r="BJ221" s="139">
        <v>2.6589999999999998</v>
      </c>
      <c r="BK221" s="140">
        <v>42</v>
      </c>
      <c r="BL221" s="141">
        <v>3.7999999999999999E-2</v>
      </c>
      <c r="BM221" s="141">
        <v>0.17</v>
      </c>
      <c r="BN221" s="141">
        <v>0.42499999999999999</v>
      </c>
      <c r="BO221" s="141">
        <v>0.89</v>
      </c>
      <c r="BP221" s="141">
        <v>1.4</v>
      </c>
      <c r="BQ221" s="141">
        <v>2.1</v>
      </c>
      <c r="BR221" s="141">
        <v>2.661</v>
      </c>
      <c r="BS221" s="141">
        <v>2.6589999999999998</v>
      </c>
      <c r="BT221" s="122">
        <v>42</v>
      </c>
      <c r="BU221" s="124"/>
      <c r="BV221" s="142">
        <v>42348</v>
      </c>
      <c r="BW221" s="125">
        <v>0.68444542408746256</v>
      </c>
      <c r="BX221" s="124">
        <v>21174</v>
      </c>
      <c r="BY221" s="124">
        <v>0</v>
      </c>
      <c r="BZ221" s="125">
        <v>0</v>
      </c>
      <c r="CA221" s="124">
        <v>29</v>
      </c>
      <c r="CB221" s="124">
        <v>680</v>
      </c>
      <c r="CC221" s="125">
        <v>1.3696042316047982E-3</v>
      </c>
      <c r="CD221" s="125">
        <v>3.2114857844526307E-2</v>
      </c>
    </row>
    <row r="222" spans="1:82" x14ac:dyDescent="0.25">
      <c r="A222" s="120" t="s">
        <v>94</v>
      </c>
      <c r="B222" s="121" t="s">
        <v>80</v>
      </c>
      <c r="C222" s="122">
        <v>820</v>
      </c>
      <c r="D222" s="144">
        <v>833.93</v>
      </c>
      <c r="E222" s="144">
        <v>8086.3302749999993</v>
      </c>
      <c r="F222" s="124">
        <v>17500</v>
      </c>
      <c r="G222" s="124">
        <v>15955</v>
      </c>
      <c r="H222" s="125">
        <f t="shared" si="128"/>
        <v>8.8285714285714287E-2</v>
      </c>
      <c r="I222" s="120">
        <v>1202</v>
      </c>
      <c r="J222" s="125">
        <f t="shared" si="129"/>
        <v>6.8685714285714281E-2</v>
      </c>
      <c r="K222" s="124">
        <v>47880</v>
      </c>
      <c r="L222" s="124">
        <v>91120</v>
      </c>
      <c r="M222" s="126">
        <f t="shared" si="130"/>
        <v>3.0009401441554373</v>
      </c>
      <c r="N222" s="126">
        <f t="shared" si="131"/>
        <v>1.9030910609857978</v>
      </c>
      <c r="O222" s="126">
        <f t="shared" si="136"/>
        <v>1.9251723229792292</v>
      </c>
      <c r="P222" s="127">
        <f t="shared" si="137"/>
        <v>0.50682107646505792</v>
      </c>
      <c r="Q222" s="127">
        <f t="shared" si="138"/>
        <v>5.2267627702914446E-2</v>
      </c>
      <c r="R222" s="124">
        <v>1302</v>
      </c>
      <c r="S222" s="127">
        <f t="shared" si="139"/>
        <v>6.2106991359446999</v>
      </c>
      <c r="T222" s="126">
        <f t="shared" si="132"/>
        <v>13.440860215053764</v>
      </c>
      <c r="U222" s="126">
        <f t="shared" si="133"/>
        <v>5.7110623628956443</v>
      </c>
      <c r="V222" s="128">
        <v>45.97</v>
      </c>
      <c r="W222" s="124"/>
      <c r="X222" s="126"/>
      <c r="Y222" s="124"/>
      <c r="Z222" s="129">
        <f t="shared" si="134"/>
        <v>6.5280403396898792E-2</v>
      </c>
      <c r="AA222" s="145" t="str">
        <f t="shared" si="135"/>
        <v/>
      </c>
      <c r="AB222" s="129">
        <v>0.29028571428571426</v>
      </c>
      <c r="AC222" s="129">
        <v>1.72</v>
      </c>
      <c r="AD222" s="129">
        <v>2.1485714285714286</v>
      </c>
      <c r="AE222" s="129">
        <v>1.048</v>
      </c>
      <c r="AF222" s="132" t="s">
        <v>81</v>
      </c>
      <c r="AG222" s="133"/>
      <c r="AH222" s="133"/>
      <c r="AI222" s="133"/>
      <c r="AJ222" s="133"/>
      <c r="AK222" s="133"/>
      <c r="AL222" s="146"/>
      <c r="AM222" s="133"/>
      <c r="AN222" s="134"/>
      <c r="AO222" s="135">
        <f t="shared" si="117"/>
        <v>0</v>
      </c>
      <c r="AP222" s="136" t="s">
        <v>82</v>
      </c>
      <c r="AQ222" s="124"/>
      <c r="AR222" s="124"/>
      <c r="AS222" s="124"/>
      <c r="AT222" s="124"/>
      <c r="AU222" s="124"/>
      <c r="AV222" s="124"/>
      <c r="AW222" s="146"/>
      <c r="AX222" s="124"/>
      <c r="AY222" s="124"/>
      <c r="AZ222" s="124"/>
      <c r="BA222" s="124">
        <v>17500</v>
      </c>
      <c r="BB222" s="124"/>
      <c r="BC222" s="124"/>
      <c r="BD222" s="124"/>
      <c r="BE222" s="124"/>
      <c r="BF222" s="124"/>
      <c r="BG222" s="124"/>
      <c r="BH222" s="137"/>
      <c r="BI222" s="138">
        <f t="shared" si="118"/>
        <v>1</v>
      </c>
      <c r="BJ222" s="139">
        <v>2.6760000000000002</v>
      </c>
      <c r="BK222" s="140">
        <v>42</v>
      </c>
      <c r="BL222" s="129">
        <v>4.4999999999999998E-2</v>
      </c>
      <c r="BM222" s="129">
        <v>0.18</v>
      </c>
      <c r="BN222" s="129"/>
      <c r="BO222" s="129">
        <v>0.996</v>
      </c>
      <c r="BP222" s="129">
        <v>1.57</v>
      </c>
      <c r="BQ222" s="129">
        <v>2.1360000000000001</v>
      </c>
      <c r="BR222" s="129">
        <v>2.6760000000000002</v>
      </c>
      <c r="BS222" s="129">
        <v>3.1659999999999999</v>
      </c>
      <c r="BT222" s="122">
        <v>48</v>
      </c>
      <c r="BU222" s="124"/>
      <c r="BV222" s="147">
        <v>42198</v>
      </c>
      <c r="BW222" s="125">
        <v>0.72361194653299921</v>
      </c>
      <c r="BX222" s="124">
        <v>15748</v>
      </c>
      <c r="BY222" s="124">
        <v>6112</v>
      </c>
      <c r="BZ222" s="125">
        <v>0.38811277622555246</v>
      </c>
      <c r="CA222" s="124">
        <v>16</v>
      </c>
      <c r="CB222" s="124">
        <v>167</v>
      </c>
      <c r="CC222" s="125">
        <v>1.0160020320040639E-3</v>
      </c>
      <c r="CD222" s="125">
        <v>1.0604521209042417E-2</v>
      </c>
    </row>
    <row r="223" spans="1:82" x14ac:dyDescent="0.25">
      <c r="A223" s="120" t="s">
        <v>87</v>
      </c>
      <c r="B223" s="121" t="s">
        <v>80</v>
      </c>
      <c r="C223" s="122">
        <v>790</v>
      </c>
      <c r="D223" s="148">
        <v>582.77</v>
      </c>
      <c r="E223" s="148">
        <v>17875.90295</v>
      </c>
      <c r="F223" s="124">
        <v>35000</v>
      </c>
      <c r="G223" s="124">
        <v>34790</v>
      </c>
      <c r="H223" s="125">
        <f t="shared" si="128"/>
        <v>6.0000000000000001E-3</v>
      </c>
      <c r="I223" s="120">
        <v>141</v>
      </c>
      <c r="J223" s="125">
        <f t="shared" si="129"/>
        <v>4.0285714285714282E-3</v>
      </c>
      <c r="K223" s="124">
        <v>94130</v>
      </c>
      <c r="L223" s="124">
        <v>166480</v>
      </c>
      <c r="M223" s="126">
        <f t="shared" si="130"/>
        <v>2.7056625467088242</v>
      </c>
      <c r="N223" s="126">
        <f t="shared" si="131"/>
        <v>1.7686178689047063</v>
      </c>
      <c r="O223" s="126">
        <f>+L223/((G223-CA217-CB217)*M223)</f>
        <v>1.7743811650141228</v>
      </c>
      <c r="P223" s="127">
        <f>+E223/G223</f>
        <v>0.5138230224202357</v>
      </c>
      <c r="Q223" s="127">
        <f>+D223/G223</f>
        <v>1.6751077895947111E-2</v>
      </c>
      <c r="R223" s="124">
        <v>2870</v>
      </c>
      <c r="S223" s="149">
        <f>+E223/R223</f>
        <v>6.2285376132404178</v>
      </c>
      <c r="T223" s="126">
        <f t="shared" si="132"/>
        <v>12.195121951219512</v>
      </c>
      <c r="U223" s="126">
        <f t="shared" si="133"/>
        <v>4.7852831273354415</v>
      </c>
      <c r="V223" s="128">
        <v>43.16</v>
      </c>
      <c r="W223" s="124"/>
      <c r="X223" s="126"/>
      <c r="Y223" s="124"/>
      <c r="Z223" s="129">
        <f t="shared" si="134"/>
        <v>6.2689122954328644E-2</v>
      </c>
      <c r="AA223" s="150" t="str">
        <f t="shared" si="135"/>
        <v/>
      </c>
      <c r="AB223" s="131">
        <v>0.32490000000000002</v>
      </c>
      <c r="AC223" s="131">
        <v>1.4645999999999999</v>
      </c>
      <c r="AD223" s="131">
        <v>2.3742999999999999</v>
      </c>
      <c r="AE223" s="131">
        <v>0.59289999999999998</v>
      </c>
      <c r="AF223" s="132" t="s">
        <v>81</v>
      </c>
      <c r="AG223" s="133"/>
      <c r="AH223" s="133"/>
      <c r="AI223" s="133"/>
      <c r="AJ223" s="133"/>
      <c r="AK223" s="133"/>
      <c r="AL223" s="133"/>
      <c r="AM223" s="133"/>
      <c r="AN223" s="134"/>
      <c r="AO223" s="135">
        <f t="shared" si="117"/>
        <v>0</v>
      </c>
      <c r="AP223" s="136" t="s">
        <v>82</v>
      </c>
      <c r="AQ223" s="133"/>
      <c r="AR223" s="124"/>
      <c r="AS223" s="124"/>
      <c r="AT223" s="124"/>
      <c r="AU223" s="124"/>
      <c r="AV223" s="124"/>
      <c r="AW223" s="124"/>
      <c r="AX223" s="124"/>
      <c r="AY223" s="124">
        <v>22100</v>
      </c>
      <c r="AZ223" s="124"/>
      <c r="BA223" s="124"/>
      <c r="BB223" s="124"/>
      <c r="BC223" s="124"/>
      <c r="BD223" s="124"/>
      <c r="BE223" s="124">
        <v>12600</v>
      </c>
      <c r="BF223" s="133">
        <v>300</v>
      </c>
      <c r="BG223" s="124"/>
      <c r="BH223" s="137"/>
      <c r="BI223" s="138">
        <f t="shared" si="118"/>
        <v>1</v>
      </c>
      <c r="BJ223" s="139">
        <v>2.7090000000000001</v>
      </c>
      <c r="BK223" s="140">
        <v>43</v>
      </c>
      <c r="BL223" s="129">
        <v>3.6999999999999998E-2</v>
      </c>
      <c r="BM223" s="129">
        <v>0.1545</v>
      </c>
      <c r="BN223" s="129">
        <v>0.41749999999999998</v>
      </c>
      <c r="BO223" s="129">
        <v>0.82499999999999996</v>
      </c>
      <c r="BP223" s="129">
        <v>1.4350000000000001</v>
      </c>
      <c r="BQ223" s="129">
        <v>2.0099999999999998</v>
      </c>
      <c r="BR223" s="129">
        <v>2.65</v>
      </c>
      <c r="BS223" s="129">
        <v>2.6890000000000001</v>
      </c>
      <c r="BT223" s="122">
        <v>44</v>
      </c>
      <c r="BU223" s="124"/>
      <c r="BV223" s="147">
        <v>42270</v>
      </c>
      <c r="BW223" s="125">
        <v>0.71032699458196114</v>
      </c>
      <c r="BX223" s="124">
        <v>34510</v>
      </c>
      <c r="BY223" s="124">
        <v>14048</v>
      </c>
      <c r="BZ223" s="125">
        <v>0.40707041437264563</v>
      </c>
      <c r="CA223" s="124">
        <v>41</v>
      </c>
      <c r="CB223" s="124">
        <v>235</v>
      </c>
      <c r="CC223" s="125">
        <v>1.1880614314691393E-3</v>
      </c>
      <c r="CD223" s="125">
        <v>6.8096203998840917E-3</v>
      </c>
    </row>
    <row r="224" spans="1:82" x14ac:dyDescent="0.25">
      <c r="A224" s="120" t="s">
        <v>107</v>
      </c>
      <c r="B224" s="121" t="s">
        <v>80</v>
      </c>
      <c r="C224" s="122">
        <v>880</v>
      </c>
      <c r="D224" s="148">
        <v>924.75</v>
      </c>
      <c r="E224" s="148">
        <v>14956.54999</v>
      </c>
      <c r="F224" s="124">
        <v>29900</v>
      </c>
      <c r="G224" s="124">
        <v>29238</v>
      </c>
      <c r="H224" s="125">
        <f t="shared" si="128"/>
        <v>2.2140468227424749E-2</v>
      </c>
      <c r="I224" s="120">
        <v>241</v>
      </c>
      <c r="J224" s="125">
        <f t="shared" si="129"/>
        <v>8.0602006688963203E-3</v>
      </c>
      <c r="K224" s="124">
        <v>84960</v>
      </c>
      <c r="L224" s="124">
        <v>156220</v>
      </c>
      <c r="M224" s="126">
        <f t="shared" si="130"/>
        <v>2.9058075107736507</v>
      </c>
      <c r="N224" s="126">
        <f t="shared" si="131"/>
        <v>1.8387476459510357</v>
      </c>
      <c r="O224" s="126">
        <f>+L224/((G224-CA218-CB218)*M224)</f>
        <v>1.9248587064918146</v>
      </c>
      <c r="P224" s="127">
        <f>+E224/G224</f>
        <v>0.51154490697038102</v>
      </c>
      <c r="Q224" s="127">
        <f>+D224/G224</f>
        <v>3.1628360352965318E-2</v>
      </c>
      <c r="R224" s="124">
        <v>2400</v>
      </c>
      <c r="S224" s="149">
        <f>+E224/R224</f>
        <v>6.2318958291666666</v>
      </c>
      <c r="T224" s="126">
        <f t="shared" si="132"/>
        <v>12.458333333333334</v>
      </c>
      <c r="U224" s="126">
        <f t="shared" si="133"/>
        <v>5.3430467200218894</v>
      </c>
      <c r="V224" s="128">
        <v>45.83</v>
      </c>
      <c r="W224" s="124"/>
      <c r="X224" s="126"/>
      <c r="Y224" s="124"/>
      <c r="Z224" s="129">
        <f t="shared" si="134"/>
        <v>6.340404780217436E-2</v>
      </c>
      <c r="AA224" s="150" t="str">
        <f t="shared" si="135"/>
        <v/>
      </c>
      <c r="AB224" s="131">
        <v>0.30033444816053512</v>
      </c>
      <c r="AC224" s="131">
        <v>1.4575250836120401</v>
      </c>
      <c r="AD224" s="131">
        <v>3.0996655518394647</v>
      </c>
      <c r="AE224" s="131">
        <v>0.36722408026755854</v>
      </c>
      <c r="AF224" s="132" t="s">
        <v>81</v>
      </c>
      <c r="AG224" s="133"/>
      <c r="AH224" s="133"/>
      <c r="AI224" s="133">
        <v>29900</v>
      </c>
      <c r="AJ224" s="133"/>
      <c r="AK224" s="133"/>
      <c r="AL224" s="133"/>
      <c r="AM224" s="133"/>
      <c r="AN224" s="134"/>
      <c r="AO224" s="135">
        <f t="shared" si="117"/>
        <v>1</v>
      </c>
      <c r="AP224" s="136" t="s">
        <v>82</v>
      </c>
      <c r="AQ224" s="133"/>
      <c r="AR224" s="124"/>
      <c r="AS224" s="124"/>
      <c r="AT224" s="124"/>
      <c r="AU224" s="124"/>
      <c r="AV224" s="124"/>
      <c r="AW224" s="124"/>
      <c r="AX224" s="124"/>
      <c r="AY224" s="124"/>
      <c r="AZ224" s="124"/>
      <c r="BA224" s="124"/>
      <c r="BB224" s="124"/>
      <c r="BC224" s="124"/>
      <c r="BD224" s="124"/>
      <c r="BE224" s="124"/>
      <c r="BF224" s="133"/>
      <c r="BG224" s="124"/>
      <c r="BH224" s="137"/>
      <c r="BI224" s="138">
        <f t="shared" si="118"/>
        <v>0</v>
      </c>
      <c r="BJ224" s="139">
        <v>2.8559999999999999</v>
      </c>
      <c r="BK224" s="140">
        <v>45</v>
      </c>
      <c r="BL224" s="129">
        <v>4.1000000000000002E-2</v>
      </c>
      <c r="BM224" s="129">
        <v>0.183</v>
      </c>
      <c r="BN224" s="129">
        <v>0.5</v>
      </c>
      <c r="BO224" s="129">
        <v>0.95599999999999996</v>
      </c>
      <c r="BP224" s="129">
        <v>1.4419999999999999</v>
      </c>
      <c r="BQ224" s="129">
        <v>2.0249999999999999</v>
      </c>
      <c r="BR224" s="151" t="s">
        <v>104</v>
      </c>
      <c r="BS224" s="129">
        <v>2.972</v>
      </c>
      <c r="BT224" s="122">
        <v>47</v>
      </c>
      <c r="BU224" s="124"/>
      <c r="BV224" s="147">
        <v>42253</v>
      </c>
      <c r="BW224" s="125">
        <v>0.7669314971751412</v>
      </c>
      <c r="BX224" s="124">
        <v>30446</v>
      </c>
      <c r="BY224" s="124">
        <v>14528</v>
      </c>
      <c r="BZ224" s="125">
        <v>0.4771726992051501</v>
      </c>
      <c r="CA224" s="124">
        <v>84</v>
      </c>
      <c r="CB224" s="124">
        <v>140</v>
      </c>
      <c r="CC224" s="125">
        <v>2.7589831176509229E-3</v>
      </c>
      <c r="CD224" s="125">
        <v>4.5983051960848719E-3</v>
      </c>
    </row>
    <row r="225" spans="1:82" x14ac:dyDescent="0.25">
      <c r="A225" s="120" t="s">
        <v>90</v>
      </c>
      <c r="B225" s="121" t="s">
        <v>91</v>
      </c>
      <c r="C225" s="122">
        <v>870</v>
      </c>
      <c r="D225" s="148">
        <v>744.35</v>
      </c>
      <c r="E225" s="148">
        <v>10752.87736</v>
      </c>
      <c r="F225" s="124">
        <v>23200</v>
      </c>
      <c r="G225" s="124">
        <v>20832</v>
      </c>
      <c r="H225" s="125">
        <f t="shared" si="128"/>
        <v>0.10206896551724139</v>
      </c>
      <c r="I225" s="120"/>
      <c r="J225" s="125">
        <f t="shared" si="129"/>
        <v>0</v>
      </c>
      <c r="K225" s="124">
        <v>64280</v>
      </c>
      <c r="L225" s="124">
        <v>119540</v>
      </c>
      <c r="M225" s="126">
        <f t="shared" si="130"/>
        <v>3.0856374807987712</v>
      </c>
      <c r="N225" s="126">
        <f t="shared" si="131"/>
        <v>1.8596764156813939</v>
      </c>
      <c r="O225" s="126">
        <f>+L225/((G225-CA225-CB225)*M225)</f>
        <v>1.9310526912309238</v>
      </c>
      <c r="P225" s="127">
        <f>IF(G225=0,0,+E225/G225)</f>
        <v>0.51617114823348698</v>
      </c>
      <c r="Q225" s="127">
        <f>IF(G225=0,0,+D225/G225)</f>
        <v>3.5731086789554535E-2</v>
      </c>
      <c r="R225" s="124">
        <v>1725</v>
      </c>
      <c r="S225" s="127">
        <f>IF(R225=0,0,+E225/R225)</f>
        <v>6.233552092753623</v>
      </c>
      <c r="T225" s="126">
        <f t="shared" si="132"/>
        <v>13.44927536231884</v>
      </c>
      <c r="U225" s="126">
        <f t="shared" si="133"/>
        <v>5.7382872503840243</v>
      </c>
      <c r="V225" s="128">
        <v>44</v>
      </c>
      <c r="W225" s="124"/>
      <c r="X225" s="126"/>
      <c r="Y225" s="124"/>
      <c r="Z225" s="129">
        <f t="shared" si="134"/>
        <v>7.0128124563608438E-2</v>
      </c>
      <c r="AA225" s="150" t="str">
        <f t="shared" si="135"/>
        <v/>
      </c>
      <c r="AB225" s="129">
        <v>0.29741379310344829</v>
      </c>
      <c r="AC225" s="129">
        <v>1.4801724137931034</v>
      </c>
      <c r="AD225" s="129">
        <v>2.0008620689655174</v>
      </c>
      <c r="AE225" s="129">
        <v>1.3741379310344828</v>
      </c>
      <c r="AF225" s="132" t="s">
        <v>81</v>
      </c>
      <c r="AG225" s="152"/>
      <c r="AH225" s="152"/>
      <c r="AI225" s="152"/>
      <c r="AJ225" s="152"/>
      <c r="AK225" s="152"/>
      <c r="AL225" s="120"/>
      <c r="AM225" s="152"/>
      <c r="AN225" s="153"/>
      <c r="AO225" s="135">
        <f t="shared" si="117"/>
        <v>0</v>
      </c>
      <c r="AP225" s="136" t="s">
        <v>82</v>
      </c>
      <c r="AQ225" s="152"/>
      <c r="AR225" s="120"/>
      <c r="AS225" s="120"/>
      <c r="AT225" s="120"/>
      <c r="AU225" s="120"/>
      <c r="AV225" s="120">
        <v>4200</v>
      </c>
      <c r="AW225" s="120"/>
      <c r="AX225" s="120"/>
      <c r="AY225" s="120"/>
      <c r="AZ225" s="120"/>
      <c r="BA225" s="120">
        <v>19000</v>
      </c>
      <c r="BB225" s="120"/>
      <c r="BC225" s="120"/>
      <c r="BD225" s="120"/>
      <c r="BE225" s="120"/>
      <c r="BF225" s="120"/>
      <c r="BG225" s="120"/>
      <c r="BH225" s="154"/>
      <c r="BI225" s="138">
        <f t="shared" si="118"/>
        <v>1</v>
      </c>
      <c r="BJ225" s="139">
        <v>3.0859999999999999</v>
      </c>
      <c r="BK225" s="140">
        <v>44</v>
      </c>
      <c r="BL225" s="129">
        <v>3.6999999999999998E-2</v>
      </c>
      <c r="BM225" s="129">
        <v>0.112</v>
      </c>
      <c r="BN225" s="129">
        <v>0.43</v>
      </c>
      <c r="BO225" s="129">
        <v>0.8</v>
      </c>
      <c r="BP225" s="129">
        <v>1.302</v>
      </c>
      <c r="BQ225" s="129">
        <v>2.1</v>
      </c>
      <c r="BR225" s="129">
        <v>2.8</v>
      </c>
      <c r="BS225" s="129">
        <v>3.0859999999999999</v>
      </c>
      <c r="BT225" s="122">
        <v>44</v>
      </c>
      <c r="BU225" s="124"/>
      <c r="BV225" s="147">
        <v>42019</v>
      </c>
      <c r="BW225" s="125">
        <v>0.67753500311138759</v>
      </c>
      <c r="BX225" s="120">
        <v>20078</v>
      </c>
      <c r="BY225" s="124">
        <v>6752</v>
      </c>
      <c r="BZ225" s="125">
        <v>0.33628847494770397</v>
      </c>
      <c r="CA225" s="124">
        <v>246</v>
      </c>
      <c r="CB225" s="124">
        <v>524</v>
      </c>
      <c r="CC225" s="125">
        <v>1.2252216356210778E-2</v>
      </c>
      <c r="CD225" s="125">
        <v>2.6098216953879868E-2</v>
      </c>
    </row>
    <row r="226" spans="1:82" x14ac:dyDescent="0.25">
      <c r="A226" s="120" t="s">
        <v>90</v>
      </c>
      <c r="B226" s="121" t="s">
        <v>91</v>
      </c>
      <c r="C226" s="122">
        <v>870</v>
      </c>
      <c r="D226" s="144">
        <v>1089.49</v>
      </c>
      <c r="E226" s="144">
        <v>10805.235879999998</v>
      </c>
      <c r="F226" s="124">
        <v>24200</v>
      </c>
      <c r="G226" s="124">
        <v>22056</v>
      </c>
      <c r="H226" s="125">
        <f t="shared" si="128"/>
        <v>8.859504132231405E-2</v>
      </c>
      <c r="I226" s="120">
        <v>204</v>
      </c>
      <c r="J226" s="125">
        <f t="shared" si="129"/>
        <v>8.4297520661157019E-3</v>
      </c>
      <c r="K226" s="124">
        <v>68300</v>
      </c>
      <c r="L226" s="124">
        <v>129460</v>
      </c>
      <c r="M226" s="126">
        <f t="shared" si="130"/>
        <v>3.0966630395357271</v>
      </c>
      <c r="N226" s="126">
        <f t="shared" si="131"/>
        <v>1.8954612005856515</v>
      </c>
      <c r="O226" s="126">
        <f>+L226/((G226-CA226-CB226)*M226)</f>
        <v>1.9526526034617997</v>
      </c>
      <c r="P226" s="127">
        <f>+E226/G226</f>
        <v>0.4899000671019223</v>
      </c>
      <c r="Q226" s="127">
        <f>+D226/G226</f>
        <v>4.9396536089952849E-2</v>
      </c>
      <c r="R226" s="124">
        <v>1725</v>
      </c>
      <c r="S226" s="127">
        <f>+E226/R226</f>
        <v>6.2639048579710135</v>
      </c>
      <c r="T226" s="126">
        <f t="shared" si="132"/>
        <v>14.028985507246377</v>
      </c>
      <c r="U226" s="126">
        <f t="shared" si="133"/>
        <v>5.8696046427276025</v>
      </c>
      <c r="V226" s="128">
        <v>43</v>
      </c>
      <c r="W226" s="124"/>
      <c r="X226" s="126"/>
      <c r="Y226" s="124"/>
      <c r="Z226" s="129">
        <f t="shared" si="134"/>
        <v>7.2015419524086674E-2</v>
      </c>
      <c r="AA226" s="145" t="str">
        <f t="shared" si="135"/>
        <v/>
      </c>
      <c r="AB226" s="129">
        <v>0.29799999999999999</v>
      </c>
      <c r="AC226" s="129">
        <v>1.581</v>
      </c>
      <c r="AD226" s="129">
        <v>2.5609999999999999</v>
      </c>
      <c r="AE226" s="129">
        <v>0.90900000000000003</v>
      </c>
      <c r="AF226" s="132" t="s">
        <v>81</v>
      </c>
      <c r="AG226" s="133"/>
      <c r="AH226" s="133"/>
      <c r="AI226" s="133"/>
      <c r="AJ226" s="133"/>
      <c r="AK226" s="133">
        <v>24200</v>
      </c>
      <c r="AL226" s="146"/>
      <c r="AM226" s="124"/>
      <c r="AN226" s="134"/>
      <c r="AO226" s="135">
        <f t="shared" si="117"/>
        <v>1</v>
      </c>
      <c r="AP226" s="136" t="s">
        <v>82</v>
      </c>
      <c r="AQ226" s="133"/>
      <c r="AR226" s="124"/>
      <c r="AS226" s="124"/>
      <c r="AT226" s="124"/>
      <c r="AU226" s="133"/>
      <c r="AV226" s="124"/>
      <c r="AW226" s="146"/>
      <c r="AX226" s="124"/>
      <c r="AY226" s="133"/>
      <c r="AZ226" s="124"/>
      <c r="BA226" s="124"/>
      <c r="BB226" s="124"/>
      <c r="BC226" s="124"/>
      <c r="BD226" s="124"/>
      <c r="BE226" s="124"/>
      <c r="BF226" s="124"/>
      <c r="BG226" s="124"/>
      <c r="BH226" s="137"/>
      <c r="BI226" s="138">
        <f t="shared" si="118"/>
        <v>0</v>
      </c>
      <c r="BJ226" s="139">
        <v>3.097</v>
      </c>
      <c r="BK226" s="140">
        <v>43</v>
      </c>
      <c r="BL226" s="129">
        <v>4.1000000000000002E-2</v>
      </c>
      <c r="BM226" s="129">
        <v>0.2</v>
      </c>
      <c r="BN226" s="129">
        <v>0.497</v>
      </c>
      <c r="BO226" s="129">
        <v>0.89</v>
      </c>
      <c r="BP226" s="129">
        <v>1.4</v>
      </c>
      <c r="BQ226" s="129">
        <v>2.2149999999999999</v>
      </c>
      <c r="BR226" s="129">
        <v>2.93</v>
      </c>
      <c r="BS226" s="129">
        <v>3.097</v>
      </c>
      <c r="BT226" s="122">
        <v>43</v>
      </c>
      <c r="BU226" s="124">
        <v>3000</v>
      </c>
      <c r="BV226" s="147">
        <v>42087</v>
      </c>
      <c r="BW226" s="125">
        <f>46980.51/68300</f>
        <v>0.68785519765739389</v>
      </c>
      <c r="BX226" s="124">
        <v>21394</v>
      </c>
      <c r="BY226" s="124">
        <v>4128</v>
      </c>
      <c r="BZ226" s="125">
        <f>+BY226/BX226</f>
        <v>0.19295129475553893</v>
      </c>
      <c r="CA226" s="124">
        <v>175</v>
      </c>
      <c r="CB226" s="124">
        <v>471</v>
      </c>
      <c r="CC226" s="125">
        <f>+(CA226/25690)</f>
        <v>6.8119891008174387E-3</v>
      </c>
      <c r="CD226" s="125">
        <f>+CB226/25690</f>
        <v>1.8333982094200077E-2</v>
      </c>
    </row>
    <row r="227" spans="1:82" x14ac:dyDescent="0.25">
      <c r="A227" s="120" t="s">
        <v>112</v>
      </c>
      <c r="B227" s="121" t="s">
        <v>80</v>
      </c>
      <c r="C227" s="122">
        <v>820</v>
      </c>
      <c r="D227" s="148">
        <v>1176.7</v>
      </c>
      <c r="E227" s="148">
        <v>13846.1546</v>
      </c>
      <c r="F227" s="124">
        <v>25300</v>
      </c>
      <c r="G227" s="124">
        <v>24520</v>
      </c>
      <c r="H227" s="125">
        <f t="shared" si="128"/>
        <v>3.0830039525691699E-2</v>
      </c>
      <c r="I227" s="120">
        <f>73+118</f>
        <v>191</v>
      </c>
      <c r="J227" s="125">
        <f t="shared" si="129"/>
        <v>7.5494071146245062E-3</v>
      </c>
      <c r="K227" s="124">
        <v>72510</v>
      </c>
      <c r="L227" s="124">
        <v>127420</v>
      </c>
      <c r="M227" s="126">
        <f t="shared" si="130"/>
        <v>2.9571778140293636</v>
      </c>
      <c r="N227" s="126">
        <f t="shared" si="131"/>
        <v>1.7572748586401876</v>
      </c>
      <c r="O227" s="126">
        <f>+L227/((G227-CA227-CB227)*M227)</f>
        <v>1.7771335285761529</v>
      </c>
      <c r="P227" s="127">
        <f>IF(G227=0,0,+E227/G227)</f>
        <v>0.56468819738988585</v>
      </c>
      <c r="Q227" s="127">
        <f>IF(G227=0,0,+D227/G227)</f>
        <v>4.798939641109299E-2</v>
      </c>
      <c r="R227" s="124">
        <v>2200</v>
      </c>
      <c r="S227" s="127">
        <f>IF(R227=0,0,+E227/R227)</f>
        <v>6.2937066363636367</v>
      </c>
      <c r="T227" s="126">
        <f t="shared" si="132"/>
        <v>11.5</v>
      </c>
      <c r="U227" s="126">
        <f t="shared" si="133"/>
        <v>5.1965742251223492</v>
      </c>
      <c r="V227" s="128">
        <v>40.450000000000003</v>
      </c>
      <c r="W227" s="124"/>
      <c r="X227" s="126"/>
      <c r="Y227" s="124"/>
      <c r="Z227" s="129">
        <f t="shared" si="134"/>
        <v>7.3106991694174617E-2</v>
      </c>
      <c r="AA227" s="150" t="str">
        <f t="shared" si="135"/>
        <v/>
      </c>
      <c r="AB227" s="129">
        <v>0.31383399209486168</v>
      </c>
      <c r="AC227" s="129">
        <v>1.3486166007905138</v>
      </c>
      <c r="AD227" s="129">
        <v>2.9770750988142294</v>
      </c>
      <c r="AE227" s="129">
        <v>0.39683794466403161</v>
      </c>
      <c r="AF227" s="132" t="s">
        <v>81</v>
      </c>
      <c r="AG227" s="152"/>
      <c r="AH227" s="152"/>
      <c r="AI227" s="152"/>
      <c r="AJ227" s="152">
        <v>7100</v>
      </c>
      <c r="AK227" s="152"/>
      <c r="AL227" s="120"/>
      <c r="AM227" s="152"/>
      <c r="AN227" s="153"/>
      <c r="AO227" s="135">
        <f t="shared" si="117"/>
        <v>0.28063241106719367</v>
      </c>
      <c r="AP227" s="136" t="s">
        <v>82</v>
      </c>
      <c r="AQ227" s="152"/>
      <c r="AR227" s="120"/>
      <c r="AS227" s="120"/>
      <c r="AT227" s="120">
        <v>18200</v>
      </c>
      <c r="AU227" s="120"/>
      <c r="AV227" s="120"/>
      <c r="AW227" s="120"/>
      <c r="AX227" s="120"/>
      <c r="AY227" s="120"/>
      <c r="AZ227" s="120"/>
      <c r="BA227" s="120"/>
      <c r="BB227" s="120"/>
      <c r="BC227" s="120"/>
      <c r="BD227" s="120"/>
      <c r="BE227" s="120"/>
      <c r="BF227" s="120"/>
      <c r="BG227" s="120"/>
      <c r="BH227" s="154"/>
      <c r="BI227" s="138">
        <f t="shared" si="118"/>
        <v>0.71936758893280628</v>
      </c>
      <c r="BJ227" s="139">
        <v>3.0270000000000001</v>
      </c>
      <c r="BK227" s="140">
        <v>41</v>
      </c>
      <c r="BL227" s="129"/>
      <c r="BM227" s="129"/>
      <c r="BN227" s="129">
        <v>0.50649999999999995</v>
      </c>
      <c r="BO227" s="129">
        <v>0.98150000000000004</v>
      </c>
      <c r="BP227" s="129">
        <v>1.55</v>
      </c>
      <c r="BQ227" s="129">
        <v>2.101</v>
      </c>
      <c r="BR227" s="129">
        <v>2.891</v>
      </c>
      <c r="BS227" s="129">
        <v>2.907</v>
      </c>
      <c r="BT227" s="122">
        <v>39</v>
      </c>
      <c r="BU227" s="124">
        <v>4000</v>
      </c>
      <c r="BV227" s="147">
        <v>42030</v>
      </c>
      <c r="BW227" s="125">
        <v>0.6969769686939733</v>
      </c>
      <c r="BX227" s="120">
        <v>24260</v>
      </c>
      <c r="BY227" s="124">
        <v>10704</v>
      </c>
      <c r="BZ227" s="125">
        <v>0.44122011541632317</v>
      </c>
      <c r="CA227" s="124">
        <v>69</v>
      </c>
      <c r="CB227" s="124">
        <v>205</v>
      </c>
      <c r="CC227" s="125">
        <v>2.8441879637262986E-3</v>
      </c>
      <c r="CD227" s="125">
        <v>8.4501236603462485E-3</v>
      </c>
    </row>
    <row r="228" spans="1:82" x14ac:dyDescent="0.25">
      <c r="A228" s="120" t="s">
        <v>127</v>
      </c>
      <c r="B228" s="121" t="s">
        <v>86</v>
      </c>
      <c r="C228" s="122">
        <v>736</v>
      </c>
      <c r="D228" s="144">
        <v>1357.45</v>
      </c>
      <c r="E228" s="144">
        <v>38187.51657</v>
      </c>
      <c r="F228" s="124">
        <v>85300</v>
      </c>
      <c r="G228" s="124">
        <v>82634</v>
      </c>
      <c r="H228" s="125">
        <f t="shared" si="128"/>
        <v>3.1254396248534586E-2</v>
      </c>
      <c r="I228" s="120">
        <v>830</v>
      </c>
      <c r="J228" s="125">
        <f t="shared" si="129"/>
        <v>9.7303634232121915E-3</v>
      </c>
      <c r="K228" s="124">
        <v>213510</v>
      </c>
      <c r="L228" s="124">
        <v>380660</v>
      </c>
      <c r="M228" s="126">
        <f t="shared" si="130"/>
        <v>2.5838032771014352</v>
      </c>
      <c r="N228" s="126">
        <f t="shared" si="131"/>
        <v>1.7828673130064165</v>
      </c>
      <c r="O228" s="126">
        <f>+L228/((G228-CA228-CB228)*M228)</f>
        <v>1.7992850212869105</v>
      </c>
      <c r="P228" s="127">
        <f>IF(G228=0,0,+E228/G228)</f>
        <v>0.46212838020669456</v>
      </c>
      <c r="Q228" s="127">
        <f>IF(G228=0,0,+D228/G228)</f>
        <v>1.6427257545320328E-2</v>
      </c>
      <c r="R228" s="124">
        <v>6053</v>
      </c>
      <c r="S228" s="127">
        <f>IF(R228=0,0,+E228/R228)</f>
        <v>6.3088578506525685</v>
      </c>
      <c r="T228" s="126">
        <f t="shared" si="132"/>
        <v>14.092185693044771</v>
      </c>
      <c r="U228" s="126">
        <f t="shared" si="133"/>
        <v>4.6065784059830097</v>
      </c>
      <c r="V228" s="128">
        <v>44.29</v>
      </c>
      <c r="W228" s="124">
        <v>33</v>
      </c>
      <c r="X228" s="126">
        <v>1.946</v>
      </c>
      <c r="Y228" s="124">
        <v>15200</v>
      </c>
      <c r="Z228" s="129">
        <f t="shared" si="134"/>
        <v>5.8338299324936449E-2</v>
      </c>
      <c r="AA228" s="145">
        <f t="shared" si="135"/>
        <v>5.8969696969696971E-2</v>
      </c>
      <c r="AB228" s="129">
        <v>0.31512309495896834</v>
      </c>
      <c r="AC228" s="129">
        <v>1.8222743259085581</v>
      </c>
      <c r="AD228" s="129">
        <v>1.6093786635404455</v>
      </c>
      <c r="AE228" s="129">
        <v>0.71582649472450177</v>
      </c>
      <c r="AF228" s="132" t="s">
        <v>81</v>
      </c>
      <c r="AG228" s="133"/>
      <c r="AH228" s="133"/>
      <c r="AI228" s="133">
        <v>26000</v>
      </c>
      <c r="AJ228" s="133"/>
      <c r="AK228" s="120"/>
      <c r="AL228" s="146"/>
      <c r="AM228" s="120"/>
      <c r="AN228" s="154"/>
      <c r="AO228" s="135">
        <f t="shared" si="117"/>
        <v>0.30480656506447829</v>
      </c>
      <c r="AP228" s="136" t="s">
        <v>82</v>
      </c>
      <c r="AQ228" s="120"/>
      <c r="AR228" s="120"/>
      <c r="AS228" s="120"/>
      <c r="AT228" s="120"/>
      <c r="AU228" s="120"/>
      <c r="AV228" s="120"/>
      <c r="AW228" s="146"/>
      <c r="AX228" s="120"/>
      <c r="AY228" s="124"/>
      <c r="AZ228" s="120">
        <v>38600</v>
      </c>
      <c r="BA228" s="124"/>
      <c r="BB228" s="120"/>
      <c r="BC228" s="124"/>
      <c r="BD228" s="124"/>
      <c r="BE228" s="124"/>
      <c r="BF228" s="133">
        <v>20700</v>
      </c>
      <c r="BG228" s="124"/>
      <c r="BH228" s="137"/>
      <c r="BI228" s="138">
        <f t="shared" si="118"/>
        <v>0.69519343493552166</v>
      </c>
      <c r="BJ228" s="139">
        <v>2.7759999999999998</v>
      </c>
      <c r="BK228" s="140">
        <v>44</v>
      </c>
      <c r="BL228" s="129">
        <v>4.1500000000000002E-2</v>
      </c>
      <c r="BM228" s="129">
        <v>0.16900000000000001</v>
      </c>
      <c r="BN228" s="129">
        <v>0.46500000000000002</v>
      </c>
      <c r="BO228" s="129">
        <v>0.92</v>
      </c>
      <c r="BP228" s="129">
        <v>1.5389999999999999</v>
      </c>
      <c r="BQ228" s="129">
        <v>2.1230000000000002</v>
      </c>
      <c r="BR228" s="129">
        <v>2.6760000000000002</v>
      </c>
      <c r="BS228" s="129">
        <v>2.5579999999999998</v>
      </c>
      <c r="BT228" s="122">
        <v>51</v>
      </c>
      <c r="BU228" s="124">
        <v>27300</v>
      </c>
      <c r="BV228" s="147">
        <v>42201</v>
      </c>
      <c r="BW228" s="125">
        <v>0.71812403480152243</v>
      </c>
      <c r="BX228" s="124">
        <v>66488</v>
      </c>
      <c r="BY228" s="124">
        <v>23584</v>
      </c>
      <c r="BZ228" s="125">
        <v>0.3547106244735892</v>
      </c>
      <c r="CA228" s="124">
        <v>211</v>
      </c>
      <c r="CB228" s="124">
        <v>543</v>
      </c>
      <c r="CC228" s="125">
        <v>3.1735049933822646E-3</v>
      </c>
      <c r="CD228" s="125">
        <v>8.1668872578510403E-3</v>
      </c>
    </row>
    <row r="229" spans="1:82" x14ac:dyDescent="0.25">
      <c r="A229" s="120" t="s">
        <v>107</v>
      </c>
      <c r="B229" s="121" t="s">
        <v>80</v>
      </c>
      <c r="C229" s="122">
        <v>880</v>
      </c>
      <c r="D229" s="148">
        <v>828.82</v>
      </c>
      <c r="E229" s="148">
        <v>15188.1333</v>
      </c>
      <c r="F229" s="124">
        <v>32300</v>
      </c>
      <c r="G229" s="124">
        <v>31460</v>
      </c>
      <c r="H229" s="125">
        <v>2.6006191950464396E-2</v>
      </c>
      <c r="I229" s="120">
        <v>545</v>
      </c>
      <c r="J229" s="125">
        <v>1.6873065015479877E-2</v>
      </c>
      <c r="K229" s="124">
        <v>86460</v>
      </c>
      <c r="L229" s="124">
        <v>157140</v>
      </c>
      <c r="M229" s="126">
        <v>2.7482517482517483</v>
      </c>
      <c r="N229" s="126">
        <v>1.8174878556557945</v>
      </c>
      <c r="O229" s="126">
        <f>+L229/((G229-CA229-CB229)*M229)</f>
        <v>1.8333387180624374</v>
      </c>
      <c r="P229" s="127">
        <v>0.48277601080737442</v>
      </c>
      <c r="Q229" s="127">
        <v>2.6345200254291164E-2</v>
      </c>
      <c r="R229" s="124">
        <v>2400</v>
      </c>
      <c r="S229" s="149">
        <v>6.3283888749999999</v>
      </c>
      <c r="T229" s="126">
        <v>13.458333333333334</v>
      </c>
      <c r="U229" s="126">
        <v>4.9949141767323582</v>
      </c>
      <c r="V229" s="128">
        <v>43</v>
      </c>
      <c r="W229" s="124"/>
      <c r="X229" s="126"/>
      <c r="Y229" s="124"/>
      <c r="Z229" s="129">
        <v>6.3912831354691821E-2</v>
      </c>
      <c r="AA229" s="145" t="s">
        <v>84</v>
      </c>
      <c r="AB229" s="129">
        <v>0.3108359133126935</v>
      </c>
      <c r="AC229" s="129">
        <v>1.4247678018575851</v>
      </c>
      <c r="AD229" s="129">
        <v>2.6959752321981423</v>
      </c>
      <c r="AE229" s="129">
        <v>0.43343653250773995</v>
      </c>
      <c r="AF229" s="132" t="s">
        <v>81</v>
      </c>
      <c r="AG229" s="133"/>
      <c r="AH229" s="133"/>
      <c r="AI229" s="133"/>
      <c r="AJ229" s="133"/>
      <c r="AK229" s="133">
        <v>2100</v>
      </c>
      <c r="AL229" s="146"/>
      <c r="AM229" s="133">
        <v>25700</v>
      </c>
      <c r="AN229" s="134"/>
      <c r="AO229" s="135">
        <f t="shared" si="117"/>
        <v>0.86068111455108354</v>
      </c>
      <c r="AP229" s="136" t="s">
        <v>82</v>
      </c>
      <c r="AQ229" s="133"/>
      <c r="AR229" s="124"/>
      <c r="AS229" s="124"/>
      <c r="AT229" s="124"/>
      <c r="AU229" s="124"/>
      <c r="AV229" s="124">
        <v>4500</v>
      </c>
      <c r="AW229" s="146"/>
      <c r="AX229" s="124"/>
      <c r="AY229" s="124"/>
      <c r="AZ229" s="124"/>
      <c r="BA229" s="124"/>
      <c r="BB229" s="124"/>
      <c r="BC229" s="124"/>
      <c r="BD229" s="124"/>
      <c r="BE229" s="124"/>
      <c r="BF229" s="124"/>
      <c r="BG229" s="124"/>
      <c r="BH229" s="137"/>
      <c r="BI229" s="138">
        <f t="shared" si="118"/>
        <v>0.13931888544891641</v>
      </c>
      <c r="BJ229" s="139">
        <v>2.7480000000000002</v>
      </c>
      <c r="BK229" s="140">
        <v>43</v>
      </c>
      <c r="BL229" s="129"/>
      <c r="BM229" s="129">
        <v>0.187</v>
      </c>
      <c r="BN229" s="129">
        <v>0.45400000000000001</v>
      </c>
      <c r="BO229" s="129">
        <v>0.95699999999999996</v>
      </c>
      <c r="BP229" s="129">
        <v>1.45</v>
      </c>
      <c r="BQ229" s="129">
        <v>2.09</v>
      </c>
      <c r="BR229" s="129">
        <v>2.68</v>
      </c>
      <c r="BS229" s="129">
        <v>2.7480000000000002</v>
      </c>
      <c r="BT229" s="122">
        <v>43</v>
      </c>
      <c r="BU229" s="124"/>
      <c r="BV229" s="147">
        <v>42116</v>
      </c>
      <c r="BW229" s="125">
        <v>0.69314746703677999</v>
      </c>
      <c r="BX229" s="124">
        <v>31184</v>
      </c>
      <c r="BY229" s="124">
        <v>14288</v>
      </c>
      <c r="BZ229" s="125">
        <v>0.45818368394048231</v>
      </c>
      <c r="CA229" s="124">
        <v>65</v>
      </c>
      <c r="CB229" s="124">
        <v>207</v>
      </c>
      <c r="CC229" s="125">
        <v>2.0844022575679834E-3</v>
      </c>
      <c r="CD229" s="125">
        <v>6.6380194971780403E-3</v>
      </c>
    </row>
    <row r="230" spans="1:82" x14ac:dyDescent="0.25">
      <c r="A230" s="120" t="s">
        <v>94</v>
      </c>
      <c r="B230" s="121" t="s">
        <v>80</v>
      </c>
      <c r="C230" s="122">
        <v>820</v>
      </c>
      <c r="D230" s="148">
        <v>1097.0999999999999</v>
      </c>
      <c r="E230" s="148">
        <v>8264.66</v>
      </c>
      <c r="F230" s="124">
        <v>16500</v>
      </c>
      <c r="G230" s="124">
        <v>15885</v>
      </c>
      <c r="H230" s="125">
        <f t="shared" ref="H230:H238" si="140">IF(F230=0,0,+((F230-G230)/F230))</f>
        <v>3.727272727272727E-2</v>
      </c>
      <c r="I230" s="120">
        <v>412</v>
      </c>
      <c r="J230" s="125">
        <f t="shared" ref="J230:J238" si="141">+(I230/F230)</f>
        <v>2.4969696969696968E-2</v>
      </c>
      <c r="K230" s="124">
        <v>42220</v>
      </c>
      <c r="L230" s="124">
        <v>70760</v>
      </c>
      <c r="M230" s="126">
        <f t="shared" ref="M230:M238" si="142">IF(G230=0,0,+K230/G230)</f>
        <v>2.6578533207428392</v>
      </c>
      <c r="N230" s="126">
        <f t="shared" ref="N230:N238" si="143">IF(K230=0,0,+L230/K230)</f>
        <v>1.6759829464708669</v>
      </c>
      <c r="O230" s="126">
        <f>+L230/((G230-CA225-CB225)*M230)</f>
        <v>1.7613621637240966</v>
      </c>
      <c r="P230" s="127">
        <f>+E230/G230</f>
        <v>0.52028076802014478</v>
      </c>
      <c r="Q230" s="127">
        <f>+D230/G230</f>
        <v>6.9065155807365428E-2</v>
      </c>
      <c r="R230" s="124">
        <v>1302</v>
      </c>
      <c r="S230" s="149">
        <f>+E230/R230</f>
        <v>6.3476651305683562</v>
      </c>
      <c r="T230" s="126">
        <f t="shared" ref="T230:T238" si="144">IF(R230=0,0,+F230/R230)</f>
        <v>12.672811059907835</v>
      </c>
      <c r="U230" s="126">
        <f t="shared" ref="U230:U238" si="145">IF(L230=0,0,+L230/G230)</f>
        <v>4.4545168397859616</v>
      </c>
      <c r="V230" s="128">
        <v>42</v>
      </c>
      <c r="W230" s="124"/>
      <c r="X230" s="126"/>
      <c r="Y230" s="124"/>
      <c r="Z230" s="129">
        <f t="shared" ref="Z230:Z238" si="146">IF(V230=0,0,+M230/V230)</f>
        <v>6.3282221922448548E-2</v>
      </c>
      <c r="AA230" s="150" t="str">
        <f t="shared" ref="AA230:AA238" si="147">IF(W230=0,"",+X230/W230)</f>
        <v/>
      </c>
      <c r="AB230" s="131">
        <v>0.32</v>
      </c>
      <c r="AC230" s="131">
        <v>1.4861</v>
      </c>
      <c r="AD230" s="131">
        <v>2.3721000000000001</v>
      </c>
      <c r="AE230" s="131">
        <v>0.1103</v>
      </c>
      <c r="AF230" s="132" t="s">
        <v>81</v>
      </c>
      <c r="AG230" s="133"/>
      <c r="AH230" s="133"/>
      <c r="AI230" s="133"/>
      <c r="AJ230" s="133"/>
      <c r="AK230" s="133"/>
      <c r="AL230" s="133"/>
      <c r="AM230" s="133"/>
      <c r="AN230" s="134"/>
      <c r="AO230" s="135">
        <f t="shared" si="117"/>
        <v>0</v>
      </c>
      <c r="AP230" s="136" t="s">
        <v>82</v>
      </c>
      <c r="AQ230" s="124"/>
      <c r="AR230" s="124"/>
      <c r="AS230" s="124"/>
      <c r="AT230" s="124"/>
      <c r="AU230" s="124"/>
      <c r="AV230" s="124"/>
      <c r="AW230" s="124"/>
      <c r="AX230" s="124"/>
      <c r="AY230" s="124"/>
      <c r="AZ230" s="124"/>
      <c r="BA230" s="124"/>
      <c r="BB230" s="124"/>
      <c r="BC230" s="124"/>
      <c r="BD230" s="124"/>
      <c r="BE230" s="124">
        <v>16500</v>
      </c>
      <c r="BF230" s="124"/>
      <c r="BG230" s="124"/>
      <c r="BH230" s="137"/>
      <c r="BI230" s="138">
        <f t="shared" si="118"/>
        <v>1</v>
      </c>
      <c r="BJ230" s="139">
        <v>2.6579999999999999</v>
      </c>
      <c r="BK230" s="140">
        <v>42</v>
      </c>
      <c r="BL230" s="129">
        <v>4.4999999999999998E-2</v>
      </c>
      <c r="BM230" s="129">
        <v>0.182</v>
      </c>
      <c r="BN230" s="129">
        <v>0.54</v>
      </c>
      <c r="BO230" s="129">
        <v>0.93</v>
      </c>
      <c r="BP230" s="129">
        <v>1.5089999999999999</v>
      </c>
      <c r="BQ230" s="129">
        <v>2.04</v>
      </c>
      <c r="BR230" s="129">
        <v>2.657</v>
      </c>
      <c r="BS230" s="129">
        <v>2.6579999999999999</v>
      </c>
      <c r="BT230" s="122">
        <v>42</v>
      </c>
      <c r="BU230" s="124">
        <v>5000</v>
      </c>
      <c r="BV230" s="147">
        <v>42255</v>
      </c>
      <c r="BW230" s="125">
        <v>0.72609592610137375</v>
      </c>
      <c r="BX230" s="124">
        <v>15830</v>
      </c>
      <c r="BY230" s="124">
        <v>7984</v>
      </c>
      <c r="BZ230" s="125">
        <v>0.504358812381554</v>
      </c>
      <c r="CA230" s="124">
        <v>17</v>
      </c>
      <c r="CB230" s="124">
        <v>52</v>
      </c>
      <c r="CC230" s="125">
        <v>1.0739102969046115E-3</v>
      </c>
      <c r="CD230" s="125">
        <v>3.2849020846494E-3</v>
      </c>
    </row>
    <row r="231" spans="1:82" x14ac:dyDescent="0.25">
      <c r="A231" s="120" t="s">
        <v>114</v>
      </c>
      <c r="B231" s="121" t="s">
        <v>115</v>
      </c>
      <c r="C231" s="122">
        <v>657</v>
      </c>
      <c r="D231" s="123">
        <v>343.84</v>
      </c>
      <c r="E231" s="123">
        <v>9398.8799999999992</v>
      </c>
      <c r="F231" s="124">
        <v>18800</v>
      </c>
      <c r="G231" s="124">
        <v>18690</v>
      </c>
      <c r="H231" s="125">
        <f t="shared" si="140"/>
        <v>5.8510638297872338E-3</v>
      </c>
      <c r="I231" s="120">
        <v>232</v>
      </c>
      <c r="J231" s="125">
        <f t="shared" si="141"/>
        <v>1.2340425531914894E-2</v>
      </c>
      <c r="K231" s="124">
        <v>50020</v>
      </c>
      <c r="L231" s="124">
        <v>85920</v>
      </c>
      <c r="M231" s="126">
        <f t="shared" si="142"/>
        <v>2.6762974852862493</v>
      </c>
      <c r="N231" s="126">
        <f t="shared" si="143"/>
        <v>1.7177129148340664</v>
      </c>
      <c r="O231" s="126">
        <f t="shared" ref="O231:O237" si="148">+L231/((G231-CA231-CB231)*M231)</f>
        <v>1.7250042651253938</v>
      </c>
      <c r="P231" s="127">
        <f t="shared" ref="P231:P237" si="149">IF(G231=0,0,+E231/G231)</f>
        <v>0.50288282504012838</v>
      </c>
      <c r="Q231" s="127">
        <f t="shared" ref="Q231:Q237" si="150">IF(G231=0,0,+D231/G231)</f>
        <v>1.8397003745318351E-2</v>
      </c>
      <c r="R231" s="124">
        <v>1476</v>
      </c>
      <c r="S231" s="127">
        <f t="shared" ref="S231:S237" si="151">IF(R231=0,0,+E231/R231)</f>
        <v>6.3678048780487799</v>
      </c>
      <c r="T231" s="126">
        <f t="shared" si="144"/>
        <v>12.737127371273713</v>
      </c>
      <c r="U231" s="126">
        <f t="shared" si="145"/>
        <v>4.5971107544141256</v>
      </c>
      <c r="V231" s="128">
        <v>41</v>
      </c>
      <c r="W231" s="124"/>
      <c r="X231" s="126"/>
      <c r="Y231" s="124"/>
      <c r="Z231" s="129">
        <f t="shared" si="146"/>
        <v>6.5275548421615842E-2</v>
      </c>
      <c r="AA231" s="130" t="str">
        <f t="shared" si="147"/>
        <v/>
      </c>
      <c r="AB231" s="131">
        <v>0.3202127659574468</v>
      </c>
      <c r="AC231" s="131">
        <v>1.4170212765957446</v>
      </c>
      <c r="AD231" s="131">
        <v>2.3510638297872339</v>
      </c>
      <c r="AE231" s="131">
        <v>0.48191489361702128</v>
      </c>
      <c r="AF231" s="132" t="s">
        <v>81</v>
      </c>
      <c r="AG231" s="133"/>
      <c r="AH231" s="133"/>
      <c r="AI231" s="133"/>
      <c r="AJ231" s="133"/>
      <c r="AK231" s="133"/>
      <c r="AL231" s="133"/>
      <c r="AM231" s="133"/>
      <c r="AN231" s="134"/>
      <c r="AO231" s="135">
        <f t="shared" si="117"/>
        <v>0</v>
      </c>
      <c r="AP231" s="136" t="s">
        <v>82</v>
      </c>
      <c r="AQ231" s="133"/>
      <c r="AR231" s="124"/>
      <c r="AS231" s="124"/>
      <c r="AT231" s="124"/>
      <c r="AU231" s="124">
        <v>18800</v>
      </c>
      <c r="AV231" s="124"/>
      <c r="AW231" s="124"/>
      <c r="AX231" s="124"/>
      <c r="AY231" s="124"/>
      <c r="AZ231" s="124"/>
      <c r="BA231" s="124"/>
      <c r="BB231" s="124"/>
      <c r="BC231" s="124"/>
      <c r="BD231" s="124"/>
      <c r="BE231" s="124"/>
      <c r="BF231" s="133"/>
      <c r="BG231" s="124"/>
      <c r="BH231" s="137"/>
      <c r="BI231" s="138">
        <f t="shared" si="118"/>
        <v>1</v>
      </c>
      <c r="BJ231" s="139">
        <v>2.6760000000000002</v>
      </c>
      <c r="BK231" s="140">
        <v>41</v>
      </c>
      <c r="BL231" s="129">
        <v>3.7999999999999999E-2</v>
      </c>
      <c r="BM231" s="129">
        <v>0.158</v>
      </c>
      <c r="BN231" s="129">
        <v>0.44700000000000001</v>
      </c>
      <c r="BO231" s="129">
        <v>0.87</v>
      </c>
      <c r="BP231" s="129">
        <v>1.43</v>
      </c>
      <c r="BQ231" s="129">
        <v>2.1800000000000002</v>
      </c>
      <c r="BR231" s="129"/>
      <c r="BS231" s="129">
        <v>2.6760000000000002</v>
      </c>
      <c r="BT231" s="122">
        <v>41</v>
      </c>
      <c r="BU231" s="124"/>
      <c r="BV231" s="142">
        <v>42306</v>
      </c>
      <c r="BW231" s="125">
        <v>0.70903838464614155</v>
      </c>
      <c r="BX231" s="124">
        <v>18620</v>
      </c>
      <c r="BY231" s="124">
        <v>6720</v>
      </c>
      <c r="BZ231" s="125">
        <v>0.36090225563909772</v>
      </c>
      <c r="CA231" s="124">
        <v>29</v>
      </c>
      <c r="CB231" s="124">
        <v>50</v>
      </c>
      <c r="CC231" s="125">
        <v>1.5574650912996777E-3</v>
      </c>
      <c r="CD231" s="125">
        <v>2.6852846401718583E-3</v>
      </c>
    </row>
    <row r="232" spans="1:82" x14ac:dyDescent="0.25">
      <c r="A232" s="120" t="s">
        <v>129</v>
      </c>
      <c r="B232" s="121" t="s">
        <v>86</v>
      </c>
      <c r="C232" s="122">
        <v>740</v>
      </c>
      <c r="D232" s="144">
        <v>2368.02</v>
      </c>
      <c r="E232" s="144">
        <v>23080.990699999998</v>
      </c>
      <c r="F232" s="124">
        <v>56500</v>
      </c>
      <c r="G232" s="124">
        <v>55340</v>
      </c>
      <c r="H232" s="125">
        <f t="shared" si="140"/>
        <v>2.0530973451327435E-2</v>
      </c>
      <c r="I232" s="120">
        <v>262</v>
      </c>
      <c r="J232" s="125">
        <f t="shared" si="141"/>
        <v>4.6371681415929202E-3</v>
      </c>
      <c r="K232" s="124">
        <v>143140</v>
      </c>
      <c r="L232" s="124">
        <v>262940</v>
      </c>
      <c r="M232" s="126">
        <f t="shared" si="142"/>
        <v>2.5865558366461872</v>
      </c>
      <c r="N232" s="126">
        <f t="shared" si="143"/>
        <v>1.8369428531507614</v>
      </c>
      <c r="O232" s="126">
        <f t="shared" si="148"/>
        <v>1.8458820724390461</v>
      </c>
      <c r="P232" s="127">
        <f t="shared" si="149"/>
        <v>0.41707608782074446</v>
      </c>
      <c r="Q232" s="127">
        <f t="shared" si="150"/>
        <v>4.2790386700397545E-2</v>
      </c>
      <c r="R232" s="124">
        <v>3600</v>
      </c>
      <c r="S232" s="127">
        <f t="shared" si="151"/>
        <v>6.4113863055555553</v>
      </c>
      <c r="T232" s="126">
        <f t="shared" si="144"/>
        <v>15.694444444444445</v>
      </c>
      <c r="U232" s="126">
        <f t="shared" si="145"/>
        <v>4.7513552584026018</v>
      </c>
      <c r="V232" s="128">
        <v>44.59</v>
      </c>
      <c r="W232" s="124">
        <v>32</v>
      </c>
      <c r="X232" s="126">
        <v>1.73</v>
      </c>
      <c r="Y232" s="124">
        <v>8000</v>
      </c>
      <c r="Z232" s="129">
        <f t="shared" si="146"/>
        <v>5.8007531658358084E-2</v>
      </c>
      <c r="AA232" s="155">
        <f t="shared" si="147"/>
        <v>5.4062499999999999E-2</v>
      </c>
      <c r="AB232" s="129">
        <v>0.29203539823008851</v>
      </c>
      <c r="AC232" s="129">
        <v>1.4077876106194691</v>
      </c>
      <c r="AD232" s="129">
        <v>2.3153982300884954</v>
      </c>
      <c r="AE232" s="129">
        <v>0.63858407079646018</v>
      </c>
      <c r="AF232" s="132" t="s">
        <v>81</v>
      </c>
      <c r="AG232" s="133"/>
      <c r="AH232" s="133"/>
      <c r="AI232" s="133"/>
      <c r="AJ232" s="133"/>
      <c r="AK232" s="133"/>
      <c r="AL232" s="146"/>
      <c r="AM232" s="133"/>
      <c r="AN232" s="134"/>
      <c r="AO232" s="135">
        <f t="shared" si="117"/>
        <v>0</v>
      </c>
      <c r="AP232" s="136" t="s">
        <v>82</v>
      </c>
      <c r="AQ232" s="133"/>
      <c r="AR232" s="124"/>
      <c r="AS232" s="124"/>
      <c r="AT232" s="124"/>
      <c r="AU232" s="133"/>
      <c r="AV232" s="124"/>
      <c r="AW232" s="146"/>
      <c r="AX232" s="124"/>
      <c r="AY232" s="133"/>
      <c r="AZ232" s="124"/>
      <c r="BA232" s="124"/>
      <c r="BB232" s="124"/>
      <c r="BC232" s="124"/>
      <c r="BD232" s="124"/>
      <c r="BE232" s="124"/>
      <c r="BF232" s="133"/>
      <c r="BG232" s="124">
        <v>56500</v>
      </c>
      <c r="BH232" s="134"/>
      <c r="BI232" s="138">
        <f t="shared" si="118"/>
        <v>1</v>
      </c>
      <c r="BJ232" s="139">
        <v>2.6339999999999999</v>
      </c>
      <c r="BK232" s="140">
        <v>45</v>
      </c>
      <c r="BL232" s="129">
        <v>0.04</v>
      </c>
      <c r="BM232" s="129">
        <v>0.1925</v>
      </c>
      <c r="BN232" s="129">
        <v>0.46899999999999997</v>
      </c>
      <c r="BO232" s="129">
        <v>0.98599999999999999</v>
      </c>
      <c r="BP232" s="129">
        <v>1.5680000000000001</v>
      </c>
      <c r="BQ232" s="129">
        <v>2.0049999999999999</v>
      </c>
      <c r="BR232" s="129"/>
      <c r="BS232" s="129">
        <v>2.6509999999999998</v>
      </c>
      <c r="BT232" s="122">
        <v>46</v>
      </c>
      <c r="BU232" s="124"/>
      <c r="BV232" s="147">
        <v>42128</v>
      </c>
      <c r="BW232" s="125">
        <v>0.70153410839459729</v>
      </c>
      <c r="BX232" s="124">
        <v>40982</v>
      </c>
      <c r="BY232" s="124">
        <v>20496</v>
      </c>
      <c r="BZ232" s="125">
        <v>0.5001220047825875</v>
      </c>
      <c r="CA232" s="124">
        <v>103</v>
      </c>
      <c r="CB232" s="124">
        <v>165</v>
      </c>
      <c r="CC232" s="125">
        <v>2.5132985213020351E-3</v>
      </c>
      <c r="CD232" s="125">
        <v>4.0261578253867553E-3</v>
      </c>
    </row>
    <row r="233" spans="1:82" x14ac:dyDescent="0.25">
      <c r="A233" s="120" t="s">
        <v>113</v>
      </c>
      <c r="B233" s="121" t="s">
        <v>91</v>
      </c>
      <c r="C233" s="122">
        <v>1002</v>
      </c>
      <c r="D233" s="144">
        <v>789.58</v>
      </c>
      <c r="E233" s="144">
        <v>10795.365</v>
      </c>
      <c r="F233" s="124">
        <v>22000</v>
      </c>
      <c r="G233" s="124">
        <v>21000</v>
      </c>
      <c r="H233" s="125">
        <f t="shared" si="140"/>
        <v>4.5454545454545456E-2</v>
      </c>
      <c r="I233" s="120">
        <v>141</v>
      </c>
      <c r="J233" s="125">
        <f t="shared" si="141"/>
        <v>6.4090909090909094E-3</v>
      </c>
      <c r="K233" s="124">
        <v>60660</v>
      </c>
      <c r="L233" s="124">
        <v>109880</v>
      </c>
      <c r="M233" s="126">
        <f t="shared" si="142"/>
        <v>2.8885714285714288</v>
      </c>
      <c r="N233" s="126">
        <f t="shared" si="143"/>
        <v>1.8114078470161556</v>
      </c>
      <c r="O233" s="126">
        <f t="shared" si="148"/>
        <v>1.8481957432387166</v>
      </c>
      <c r="P233" s="127">
        <f t="shared" si="149"/>
        <v>0.51406499999999999</v>
      </c>
      <c r="Q233" s="127">
        <f t="shared" si="150"/>
        <v>3.7599047619047622E-2</v>
      </c>
      <c r="R233" s="124">
        <v>1680</v>
      </c>
      <c r="S233" s="127">
        <f t="shared" si="151"/>
        <v>6.4258125000000001</v>
      </c>
      <c r="T233" s="126">
        <f t="shared" si="144"/>
        <v>13.095238095238095</v>
      </c>
      <c r="U233" s="126">
        <f t="shared" si="145"/>
        <v>5.2323809523809528</v>
      </c>
      <c r="V233" s="128">
        <v>42.49</v>
      </c>
      <c r="W233" s="124"/>
      <c r="X233" s="126"/>
      <c r="Y233" s="124"/>
      <c r="Z233" s="129">
        <f t="shared" si="146"/>
        <v>6.7982382409306388E-2</v>
      </c>
      <c r="AA233" s="145" t="str">
        <f t="shared" si="147"/>
        <v/>
      </c>
      <c r="AB233" s="129">
        <v>0.31909090909090909</v>
      </c>
      <c r="AC233" s="129">
        <v>1.4609090909090909</v>
      </c>
      <c r="AD233" s="129">
        <v>2.5236363636363635</v>
      </c>
      <c r="AE233" s="129">
        <v>0.69090909090909092</v>
      </c>
      <c r="AF233" s="132" t="s">
        <v>81</v>
      </c>
      <c r="AG233" s="133"/>
      <c r="AH233" s="124"/>
      <c r="AI233" s="133">
        <v>22000</v>
      </c>
      <c r="AJ233" s="133"/>
      <c r="AK233" s="133"/>
      <c r="AL233" s="146"/>
      <c r="AM233" s="133"/>
      <c r="AN233" s="134"/>
      <c r="AO233" s="135">
        <f t="shared" si="117"/>
        <v>1</v>
      </c>
      <c r="AP233" s="136" t="s">
        <v>82</v>
      </c>
      <c r="AQ233" s="133"/>
      <c r="AR233" s="124"/>
      <c r="AS233" s="124"/>
      <c r="AT233" s="124"/>
      <c r="AU233" s="124"/>
      <c r="AV233" s="124"/>
      <c r="AW233" s="146"/>
      <c r="AX233" s="124"/>
      <c r="AY233" s="124"/>
      <c r="AZ233" s="124"/>
      <c r="BA233" s="124"/>
      <c r="BB233" s="124"/>
      <c r="BC233" s="124"/>
      <c r="BD233" s="124"/>
      <c r="BE233" s="124"/>
      <c r="BF233" s="133"/>
      <c r="BG233" s="124"/>
      <c r="BH233" s="137"/>
      <c r="BI233" s="138">
        <f t="shared" si="118"/>
        <v>0</v>
      </c>
      <c r="BJ233" s="139">
        <v>2.8439999999999999</v>
      </c>
      <c r="BK233" s="140">
        <v>42</v>
      </c>
      <c r="BL233" s="129">
        <v>4.1000000000000002E-2</v>
      </c>
      <c r="BM233" s="129">
        <v>0.193</v>
      </c>
      <c r="BN233" s="129">
        <v>0.51600000000000001</v>
      </c>
      <c r="BO233" s="129">
        <v>1.0449999999999999</v>
      </c>
      <c r="BP233" s="129">
        <v>1.641</v>
      </c>
      <c r="BQ233" s="129"/>
      <c r="BR233" s="129">
        <v>2.8450000000000002</v>
      </c>
      <c r="BS233" s="129">
        <v>2.9350000000000001</v>
      </c>
      <c r="BT233" s="122">
        <v>43</v>
      </c>
      <c r="BU233" s="156"/>
      <c r="BV233" s="147">
        <v>42167</v>
      </c>
      <c r="BW233" s="125">
        <v>0.69927678865809428</v>
      </c>
      <c r="BX233" s="124">
        <v>20604</v>
      </c>
      <c r="BY233" s="124">
        <v>7848</v>
      </c>
      <c r="BZ233" s="125">
        <v>0.38089691322073382</v>
      </c>
      <c r="CA233" s="124">
        <v>59</v>
      </c>
      <c r="CB233" s="124">
        <v>359</v>
      </c>
      <c r="CC233" s="125">
        <v>2.8635216462822755E-3</v>
      </c>
      <c r="CD233" s="125">
        <v>1.7423801203649777E-2</v>
      </c>
    </row>
    <row r="234" spans="1:82" x14ac:dyDescent="0.25">
      <c r="A234" s="120" t="s">
        <v>100</v>
      </c>
      <c r="B234" s="121" t="s">
        <v>80</v>
      </c>
      <c r="C234" s="122">
        <v>764</v>
      </c>
      <c r="D234" s="144">
        <v>1346.64</v>
      </c>
      <c r="E234" s="144">
        <v>10040.73</v>
      </c>
      <c r="F234" s="124">
        <v>25500</v>
      </c>
      <c r="G234" s="124">
        <v>25080</v>
      </c>
      <c r="H234" s="125">
        <f t="shared" si="140"/>
        <v>1.6470588235294119E-2</v>
      </c>
      <c r="I234" s="120">
        <v>315</v>
      </c>
      <c r="J234" s="125">
        <f t="shared" si="141"/>
        <v>1.2352941176470587E-2</v>
      </c>
      <c r="K234" s="124">
        <v>62720</v>
      </c>
      <c r="L234" s="124">
        <v>107800</v>
      </c>
      <c r="M234" s="126">
        <f t="shared" si="142"/>
        <v>2.5007974481658692</v>
      </c>
      <c r="N234" s="126">
        <f t="shared" si="143"/>
        <v>1.71875</v>
      </c>
      <c r="O234" s="126">
        <f t="shared" si="148"/>
        <v>1.728606087340097</v>
      </c>
      <c r="P234" s="127">
        <f t="shared" si="149"/>
        <v>0.40034808612440187</v>
      </c>
      <c r="Q234" s="127">
        <f t="shared" si="150"/>
        <v>5.3693779904306224E-2</v>
      </c>
      <c r="R234" s="124">
        <v>1560</v>
      </c>
      <c r="S234" s="127">
        <f t="shared" si="151"/>
        <v>6.4363653846153843</v>
      </c>
      <c r="T234" s="126">
        <f t="shared" si="144"/>
        <v>16.346153846153847</v>
      </c>
      <c r="U234" s="126">
        <f t="shared" si="145"/>
        <v>4.2982456140350873</v>
      </c>
      <c r="V234" s="128">
        <v>41.36</v>
      </c>
      <c r="W234" s="124">
        <v>32</v>
      </c>
      <c r="X234" s="126">
        <v>1.9410000000000001</v>
      </c>
      <c r="Y234" s="124">
        <v>8000</v>
      </c>
      <c r="Z234" s="129">
        <f t="shared" si="146"/>
        <v>6.0464154936312117E-2</v>
      </c>
      <c r="AA234" s="145">
        <f t="shared" si="147"/>
        <v>6.0656250000000002E-2</v>
      </c>
      <c r="AB234" s="129">
        <v>0.32156862745098042</v>
      </c>
      <c r="AC234" s="129">
        <v>1.5443137254901962</v>
      </c>
      <c r="AD234" s="129">
        <v>2.2039215686274511</v>
      </c>
      <c r="AE234" s="129">
        <v>0.15764705882352942</v>
      </c>
      <c r="AF234" s="132" t="s">
        <v>81</v>
      </c>
      <c r="AG234" s="133"/>
      <c r="AH234" s="124"/>
      <c r="AI234" s="133"/>
      <c r="AJ234" s="133"/>
      <c r="AK234" s="133">
        <v>7000</v>
      </c>
      <c r="AL234" s="146"/>
      <c r="AM234" s="133">
        <v>1900</v>
      </c>
      <c r="AN234" s="134"/>
      <c r="AO234" s="135">
        <f t="shared" si="117"/>
        <v>0.34901960784313724</v>
      </c>
      <c r="AP234" s="136" t="s">
        <v>82</v>
      </c>
      <c r="AQ234" s="133"/>
      <c r="AR234" s="124"/>
      <c r="AS234" s="124"/>
      <c r="AT234" s="124">
        <v>16600</v>
      </c>
      <c r="AU234" s="124"/>
      <c r="AV234" s="124"/>
      <c r="AW234" s="146"/>
      <c r="AX234" s="124"/>
      <c r="AY234" s="124"/>
      <c r="AZ234" s="124"/>
      <c r="BA234" s="124"/>
      <c r="BB234" s="124"/>
      <c r="BC234" s="124"/>
      <c r="BD234" s="124"/>
      <c r="BE234" s="124"/>
      <c r="BF234" s="133"/>
      <c r="BG234" s="124"/>
      <c r="BH234" s="137"/>
      <c r="BI234" s="138">
        <f t="shared" si="118"/>
        <v>0.65098039215686276</v>
      </c>
      <c r="BJ234" s="139">
        <v>2.762</v>
      </c>
      <c r="BK234" s="140">
        <v>42</v>
      </c>
      <c r="BL234" s="129">
        <v>0.04</v>
      </c>
      <c r="BM234" s="129">
        <v>0.2</v>
      </c>
      <c r="BN234" s="129">
        <v>0.5</v>
      </c>
      <c r="BO234" s="129">
        <v>1</v>
      </c>
      <c r="BP234" s="129">
        <v>1.6</v>
      </c>
      <c r="BQ234" s="129">
        <v>2.2000000000000002</v>
      </c>
      <c r="BR234" s="129">
        <v>2.7629999999999999</v>
      </c>
      <c r="BS234" s="129">
        <v>2.762</v>
      </c>
      <c r="BT234" s="122">
        <v>42</v>
      </c>
      <c r="BU234" s="124"/>
      <c r="BV234" s="147">
        <v>42159</v>
      </c>
      <c r="BW234" s="125">
        <v>0.71230000000000004</v>
      </c>
      <c r="BX234" s="124">
        <v>16816</v>
      </c>
      <c r="BY234" s="124">
        <v>7472</v>
      </c>
      <c r="BZ234" s="125">
        <v>0.44429999999999997</v>
      </c>
      <c r="CA234" s="124">
        <v>35</v>
      </c>
      <c r="CB234" s="124">
        <v>108</v>
      </c>
      <c r="CC234" s="125">
        <v>2.0999999999999999E-3</v>
      </c>
      <c r="CD234" s="125">
        <v>6.4000000000000003E-3</v>
      </c>
    </row>
    <row r="235" spans="1:82" x14ac:dyDescent="0.25">
      <c r="A235" s="120" t="s">
        <v>97</v>
      </c>
      <c r="B235" s="121" t="s">
        <v>80</v>
      </c>
      <c r="C235" s="122">
        <v>878</v>
      </c>
      <c r="D235" s="123">
        <v>329.7</v>
      </c>
      <c r="E235" s="123">
        <v>9484.7800000000007</v>
      </c>
      <c r="F235" s="124">
        <v>18400</v>
      </c>
      <c r="G235" s="124">
        <v>18045</v>
      </c>
      <c r="H235" s="125">
        <f t="shared" si="140"/>
        <v>1.9293478260869565E-2</v>
      </c>
      <c r="I235" s="120">
        <v>150</v>
      </c>
      <c r="J235" s="125">
        <f t="shared" si="141"/>
        <v>8.152173913043478E-3</v>
      </c>
      <c r="K235" s="124">
        <v>53710</v>
      </c>
      <c r="L235" s="124">
        <v>97060</v>
      </c>
      <c r="M235" s="126">
        <f t="shared" si="142"/>
        <v>2.976447769465226</v>
      </c>
      <c r="N235" s="126">
        <f t="shared" si="143"/>
        <v>1.8071122695959785</v>
      </c>
      <c r="O235" s="126">
        <f t="shared" si="148"/>
        <v>1.8288004545375709</v>
      </c>
      <c r="P235" s="127">
        <f t="shared" si="149"/>
        <v>0.52561817678027156</v>
      </c>
      <c r="Q235" s="127">
        <f t="shared" si="150"/>
        <v>1.827098919368246E-2</v>
      </c>
      <c r="R235" s="124">
        <v>1470</v>
      </c>
      <c r="S235" s="127">
        <f t="shared" si="151"/>
        <v>6.4522312925170073</v>
      </c>
      <c r="T235" s="126">
        <f t="shared" si="144"/>
        <v>12.517006802721088</v>
      </c>
      <c r="U235" s="126">
        <f t="shared" si="145"/>
        <v>5.3787752840121916</v>
      </c>
      <c r="V235" s="128">
        <v>45</v>
      </c>
      <c r="W235" s="124"/>
      <c r="X235" s="126"/>
      <c r="Y235" s="124"/>
      <c r="Z235" s="129">
        <f t="shared" si="146"/>
        <v>6.6143283765893915E-2</v>
      </c>
      <c r="AA235" s="130" t="str">
        <f t="shared" si="147"/>
        <v/>
      </c>
      <c r="AB235" s="131">
        <v>0.3</v>
      </c>
      <c r="AC235" s="131">
        <v>1.5249999999999999</v>
      </c>
      <c r="AD235" s="131">
        <v>2.4510869565217392</v>
      </c>
      <c r="AE235" s="131">
        <v>0.99891304347826082</v>
      </c>
      <c r="AF235" s="132" t="s">
        <v>81</v>
      </c>
      <c r="AG235" s="133"/>
      <c r="AH235" s="133">
        <v>18400</v>
      </c>
      <c r="AI235" s="133"/>
      <c r="AJ235" s="133"/>
      <c r="AK235" s="133"/>
      <c r="AL235" s="133"/>
      <c r="AM235" s="133"/>
      <c r="AN235" s="134"/>
      <c r="AO235" s="135">
        <f t="shared" si="117"/>
        <v>1</v>
      </c>
      <c r="AP235" s="136" t="s">
        <v>82</v>
      </c>
      <c r="AQ235" s="124"/>
      <c r="AR235" s="124"/>
      <c r="AS235" s="124"/>
      <c r="AT235" s="124"/>
      <c r="AU235" s="124"/>
      <c r="AV235" s="124"/>
      <c r="AW235" s="124"/>
      <c r="AX235" s="124"/>
      <c r="AY235" s="124"/>
      <c r="AZ235" s="124"/>
      <c r="BA235" s="124"/>
      <c r="BB235" s="124"/>
      <c r="BC235" s="124"/>
      <c r="BD235" s="124"/>
      <c r="BE235" s="124"/>
      <c r="BF235" s="124"/>
      <c r="BG235" s="124"/>
      <c r="BH235" s="137"/>
      <c r="BI235" s="138">
        <f t="shared" si="118"/>
        <v>0</v>
      </c>
      <c r="BJ235" s="139">
        <v>2.976</v>
      </c>
      <c r="BK235" s="140">
        <v>45</v>
      </c>
      <c r="BL235" s="129">
        <v>0.04</v>
      </c>
      <c r="BM235" s="129">
        <v>0.16600000000000001</v>
      </c>
      <c r="BN235" s="129">
        <v>0.5</v>
      </c>
      <c r="BO235" s="129">
        <v>1.004</v>
      </c>
      <c r="BP235" s="129">
        <v>1.5</v>
      </c>
      <c r="BQ235" s="129">
        <v>2.0499999999999998</v>
      </c>
      <c r="BR235" s="129"/>
      <c r="BS235" s="129">
        <v>2.976</v>
      </c>
      <c r="BT235" s="122">
        <v>45</v>
      </c>
      <c r="BU235" s="124"/>
      <c r="BV235" s="142">
        <v>42303</v>
      </c>
      <c r="BW235" s="125">
        <v>0.71051964252466959</v>
      </c>
      <c r="BX235" s="124">
        <v>17826</v>
      </c>
      <c r="BY235" s="124">
        <v>4720</v>
      </c>
      <c r="BZ235" s="125">
        <v>0.26478177942331427</v>
      </c>
      <c r="CA235" s="124">
        <v>61</v>
      </c>
      <c r="CB235" s="124">
        <v>153</v>
      </c>
      <c r="CC235" s="125">
        <v>3.4219679120385954E-3</v>
      </c>
      <c r="CD235" s="125">
        <v>8.5829686974082803E-3</v>
      </c>
    </row>
    <row r="236" spans="1:82" x14ac:dyDescent="0.25">
      <c r="A236" s="120" t="s">
        <v>100</v>
      </c>
      <c r="B236" s="121" t="s">
        <v>80</v>
      </c>
      <c r="C236" s="122">
        <v>764</v>
      </c>
      <c r="D236" s="144">
        <v>536.20000000000005</v>
      </c>
      <c r="E236" s="144">
        <v>8583.2664449999993</v>
      </c>
      <c r="F236" s="124">
        <v>17500</v>
      </c>
      <c r="G236" s="124">
        <v>16109</v>
      </c>
      <c r="H236" s="125">
        <f t="shared" si="140"/>
        <v>7.9485714285714285E-2</v>
      </c>
      <c r="I236" s="120">
        <v>362</v>
      </c>
      <c r="J236" s="125">
        <f t="shared" si="141"/>
        <v>2.0685714285714286E-2</v>
      </c>
      <c r="K236" s="124">
        <v>43940</v>
      </c>
      <c r="L236" s="124">
        <v>77140</v>
      </c>
      <c r="M236" s="126">
        <f t="shared" si="142"/>
        <v>2.7276677633620956</v>
      </c>
      <c r="N236" s="126">
        <f t="shared" si="143"/>
        <v>1.7555757851615841</v>
      </c>
      <c r="O236" s="126">
        <f t="shared" si="148"/>
        <v>1.7675356451979973</v>
      </c>
      <c r="P236" s="127">
        <f t="shared" si="149"/>
        <v>0.53282428735489473</v>
      </c>
      <c r="Q236" s="127">
        <f t="shared" si="150"/>
        <v>3.3285740890185614E-2</v>
      </c>
      <c r="R236" s="124">
        <v>1330</v>
      </c>
      <c r="S236" s="127">
        <f t="shared" si="151"/>
        <v>6.453583793233082</v>
      </c>
      <c r="T236" s="126">
        <f t="shared" si="144"/>
        <v>13.157894736842104</v>
      </c>
      <c r="U236" s="126">
        <f t="shared" si="145"/>
        <v>4.7886274753243532</v>
      </c>
      <c r="V236" s="128">
        <v>42.3</v>
      </c>
      <c r="W236" s="124"/>
      <c r="X236" s="126"/>
      <c r="Y236" s="124"/>
      <c r="Z236" s="129">
        <f t="shared" si="146"/>
        <v>6.4483871474281224E-2</v>
      </c>
      <c r="AA236" s="145" t="str">
        <f t="shared" si="147"/>
        <v/>
      </c>
      <c r="AB236" s="129">
        <v>0.31771428571428573</v>
      </c>
      <c r="AC236" s="129">
        <v>1.4194285714285715</v>
      </c>
      <c r="AD236" s="129">
        <v>2.448</v>
      </c>
      <c r="AE236" s="129">
        <v>0.22285714285714286</v>
      </c>
      <c r="AF236" s="132" t="s">
        <v>81</v>
      </c>
      <c r="AG236" s="133"/>
      <c r="AH236" s="133"/>
      <c r="AI236" s="133"/>
      <c r="AJ236" s="133"/>
      <c r="AK236" s="133"/>
      <c r="AL236" s="146"/>
      <c r="AM236" s="133"/>
      <c r="AN236" s="134"/>
      <c r="AO236" s="135">
        <f t="shared" si="117"/>
        <v>0</v>
      </c>
      <c r="AP236" s="136" t="s">
        <v>82</v>
      </c>
      <c r="AQ236" s="124"/>
      <c r="AR236" s="124"/>
      <c r="AS236" s="124"/>
      <c r="AT236" s="124"/>
      <c r="AU236" s="124"/>
      <c r="AV236" s="124">
        <v>17500</v>
      </c>
      <c r="AW236" s="146"/>
      <c r="AX236" s="124"/>
      <c r="AY236" s="124"/>
      <c r="AZ236" s="124"/>
      <c r="BA236" s="124"/>
      <c r="BB236" s="124"/>
      <c r="BC236" s="124"/>
      <c r="BD236" s="124"/>
      <c r="BE236" s="124"/>
      <c r="BF236" s="124"/>
      <c r="BG236" s="124"/>
      <c r="BH236" s="137"/>
      <c r="BI236" s="138">
        <f t="shared" si="118"/>
        <v>1</v>
      </c>
      <c r="BJ236" s="139">
        <v>2.6309999999999998</v>
      </c>
      <c r="BK236" s="140">
        <v>41</v>
      </c>
      <c r="BL236" s="129">
        <v>0.04</v>
      </c>
      <c r="BM236" s="129">
        <v>0.2</v>
      </c>
      <c r="BN236" s="129">
        <v>0.52</v>
      </c>
      <c r="BO236" s="129">
        <v>1</v>
      </c>
      <c r="BP236" s="129">
        <v>1.55</v>
      </c>
      <c r="BQ236" s="129"/>
      <c r="BR236" s="129"/>
      <c r="BS236" s="129">
        <v>2.778</v>
      </c>
      <c r="BT236" s="122">
        <v>43</v>
      </c>
      <c r="BU236" s="124"/>
      <c r="BV236" s="147">
        <v>42195</v>
      </c>
      <c r="BW236" s="125">
        <v>0.69488416021847976</v>
      </c>
      <c r="BX236" s="124">
        <v>16048</v>
      </c>
      <c r="BY236" s="124">
        <v>7472</v>
      </c>
      <c r="BZ236" s="125">
        <v>0.46560319042871384</v>
      </c>
      <c r="CA236" s="124">
        <v>22</v>
      </c>
      <c r="CB236" s="124">
        <v>87</v>
      </c>
      <c r="CC236" s="125">
        <v>1.3708873379860418E-3</v>
      </c>
      <c r="CD236" s="125">
        <v>5.4212362911266205E-3</v>
      </c>
    </row>
    <row r="237" spans="1:82" x14ac:dyDescent="0.25">
      <c r="A237" s="120" t="s">
        <v>102</v>
      </c>
      <c r="B237" s="121" t="s">
        <v>86</v>
      </c>
      <c r="C237" s="122">
        <v>444</v>
      </c>
      <c r="D237" s="148">
        <v>266.26</v>
      </c>
      <c r="E237" s="148">
        <v>10909.603999999999</v>
      </c>
      <c r="F237" s="124">
        <v>21000</v>
      </c>
      <c r="G237" s="124">
        <v>20800</v>
      </c>
      <c r="H237" s="125">
        <f t="shared" si="140"/>
        <v>9.5238095238095247E-3</v>
      </c>
      <c r="I237" s="120">
        <v>138</v>
      </c>
      <c r="J237" s="125">
        <f t="shared" si="141"/>
        <v>6.5714285714285718E-3</v>
      </c>
      <c r="K237" s="124">
        <v>59760</v>
      </c>
      <c r="L237" s="124">
        <v>108680</v>
      </c>
      <c r="M237" s="126">
        <f t="shared" si="142"/>
        <v>2.8730769230769231</v>
      </c>
      <c r="N237" s="126">
        <f t="shared" si="143"/>
        <v>1.8186077643908969</v>
      </c>
      <c r="O237" s="126">
        <f t="shared" si="148"/>
        <v>1.8320841526289853</v>
      </c>
      <c r="P237" s="127">
        <f t="shared" si="149"/>
        <v>0.52450019230769229</v>
      </c>
      <c r="Q237" s="127">
        <f t="shared" si="150"/>
        <v>1.2800961538461539E-2</v>
      </c>
      <c r="R237" s="124">
        <v>1680</v>
      </c>
      <c r="S237" s="127">
        <f t="shared" si="151"/>
        <v>6.4938119047619045</v>
      </c>
      <c r="T237" s="126">
        <f t="shared" si="144"/>
        <v>12.5</v>
      </c>
      <c r="U237" s="126">
        <f t="shared" si="145"/>
        <v>5.2249999999999996</v>
      </c>
      <c r="V237" s="128">
        <v>42.5</v>
      </c>
      <c r="W237" s="124"/>
      <c r="X237" s="126"/>
      <c r="Y237" s="124"/>
      <c r="Z237" s="129">
        <f t="shared" si="146"/>
        <v>6.7601809954751138E-2</v>
      </c>
      <c r="AA237" s="150" t="str">
        <f t="shared" si="147"/>
        <v/>
      </c>
      <c r="AB237" s="129">
        <v>0.30952380952380953</v>
      </c>
      <c r="AC237" s="129">
        <v>1.4561904761904763</v>
      </c>
      <c r="AD237" s="129">
        <v>2.4076190476190478</v>
      </c>
      <c r="AE237" s="129">
        <v>1.0019047619047619</v>
      </c>
      <c r="AF237" s="132" t="s">
        <v>81</v>
      </c>
      <c r="AG237" s="152"/>
      <c r="AH237" s="152"/>
      <c r="AI237" s="152"/>
      <c r="AJ237" s="152"/>
      <c r="AK237" s="152"/>
      <c r="AL237" s="120"/>
      <c r="AM237" s="152"/>
      <c r="AN237" s="153"/>
      <c r="AO237" s="135">
        <f t="shared" si="117"/>
        <v>0</v>
      </c>
      <c r="AP237" s="136" t="s">
        <v>82</v>
      </c>
      <c r="AQ237" s="152"/>
      <c r="AR237" s="120"/>
      <c r="AS237" s="120"/>
      <c r="AT237" s="120"/>
      <c r="AU237" s="120"/>
      <c r="AV237" s="120"/>
      <c r="AW237" s="120">
        <v>21000</v>
      </c>
      <c r="AX237" s="120"/>
      <c r="AY237" s="120"/>
      <c r="AZ237" s="120"/>
      <c r="BA237" s="120"/>
      <c r="BB237" s="120"/>
      <c r="BC237" s="120"/>
      <c r="BD237" s="120"/>
      <c r="BE237" s="120"/>
      <c r="BF237" s="120"/>
      <c r="BG237" s="120"/>
      <c r="BH237" s="154"/>
      <c r="BI237" s="138">
        <f t="shared" si="118"/>
        <v>1</v>
      </c>
      <c r="BJ237" s="139">
        <v>2.86</v>
      </c>
      <c r="BK237" s="140">
        <v>42</v>
      </c>
      <c r="BL237" s="129">
        <v>0.05</v>
      </c>
      <c r="BM237" s="129">
        <v>0.16400000000000001</v>
      </c>
      <c r="BN237" s="129">
        <v>0.41599999999999998</v>
      </c>
      <c r="BO237" s="129">
        <v>0.84599999999999997</v>
      </c>
      <c r="BP237" s="129">
        <v>1.45</v>
      </c>
      <c r="BQ237" s="129">
        <v>2.1</v>
      </c>
      <c r="BR237" s="129">
        <v>2.8</v>
      </c>
      <c r="BS237" s="129">
        <v>2.8860000000000001</v>
      </c>
      <c r="BT237" s="122">
        <v>43</v>
      </c>
      <c r="BU237" s="124"/>
      <c r="BV237" s="147">
        <v>42024</v>
      </c>
      <c r="BW237" s="125">
        <v>0.70261077643908976</v>
      </c>
      <c r="BX237" s="120">
        <v>20604</v>
      </c>
      <c r="BY237" s="124">
        <v>8000</v>
      </c>
      <c r="BZ237" s="125">
        <v>0.38827412152980006</v>
      </c>
      <c r="CA237" s="124">
        <v>81</v>
      </c>
      <c r="CB237" s="124">
        <v>72</v>
      </c>
      <c r="CC237" s="125">
        <v>3.9312754804892254E-3</v>
      </c>
      <c r="CD237" s="125">
        <v>3.4944670937682005E-3</v>
      </c>
    </row>
    <row r="238" spans="1:82" x14ac:dyDescent="0.25">
      <c r="A238" s="120" t="s">
        <v>118</v>
      </c>
      <c r="B238" s="121" t="s">
        <v>80</v>
      </c>
      <c r="C238" s="122">
        <v>908</v>
      </c>
      <c r="D238" s="148">
        <v>1811.44</v>
      </c>
      <c r="E238" s="148">
        <v>52903.17</v>
      </c>
      <c r="F238" s="124">
        <v>96100</v>
      </c>
      <c r="G238" s="124">
        <v>95521</v>
      </c>
      <c r="H238" s="125">
        <f t="shared" si="140"/>
        <v>6.0249739854318415E-3</v>
      </c>
      <c r="I238" s="120">
        <v>555</v>
      </c>
      <c r="J238" s="125">
        <f t="shared" si="141"/>
        <v>5.7752341311134237E-3</v>
      </c>
      <c r="K238" s="124">
        <v>261020</v>
      </c>
      <c r="L238" s="124">
        <v>448360</v>
      </c>
      <c r="M238" s="126">
        <f t="shared" si="142"/>
        <v>2.7325928329896043</v>
      </c>
      <c r="N238" s="126">
        <f t="shared" si="143"/>
        <v>1.7177227798636119</v>
      </c>
      <c r="O238" s="126">
        <f>+L238/((G238-CA246-CB246)*M238)</f>
        <v>1.7232250635959512</v>
      </c>
      <c r="P238" s="127">
        <f>+E238/G238</f>
        <v>0.55383810889751994</v>
      </c>
      <c r="Q238" s="127">
        <f>+D238/G238</f>
        <v>1.8963788067545357E-2</v>
      </c>
      <c r="R238" s="124">
        <v>8137</v>
      </c>
      <c r="S238" s="149">
        <f>+E238/R238</f>
        <v>6.5015570849207318</v>
      </c>
      <c r="T238" s="126">
        <f t="shared" si="144"/>
        <v>11.810249477694482</v>
      </c>
      <c r="U238" s="126">
        <f t="shared" si="145"/>
        <v>4.6938369573182861</v>
      </c>
      <c r="V238" s="128">
        <v>41.8</v>
      </c>
      <c r="W238" s="124"/>
      <c r="X238" s="126"/>
      <c r="Y238" s="124"/>
      <c r="Z238" s="129">
        <f t="shared" si="146"/>
        <v>6.5373034282047951E-2</v>
      </c>
      <c r="AA238" s="150" t="str">
        <f t="shared" si="147"/>
        <v/>
      </c>
      <c r="AB238" s="131">
        <v>0.3236</v>
      </c>
      <c r="AC238" s="131">
        <v>1.4004000000000001</v>
      </c>
      <c r="AD238" s="131">
        <v>2.3079999999999998</v>
      </c>
      <c r="AE238" s="131">
        <v>0.63349999999999995</v>
      </c>
      <c r="AF238" s="132" t="s">
        <v>81</v>
      </c>
      <c r="AG238" s="133"/>
      <c r="AH238" s="133">
        <v>2000</v>
      </c>
      <c r="AI238" s="133">
        <v>43500</v>
      </c>
      <c r="AJ238" s="133"/>
      <c r="AK238" s="124"/>
      <c r="AL238" s="124"/>
      <c r="AM238" s="124">
        <v>5800</v>
      </c>
      <c r="AN238" s="137"/>
      <c r="AO238" s="135">
        <f t="shared" si="117"/>
        <v>0.53381893860561913</v>
      </c>
      <c r="AP238" s="136" t="s">
        <v>82</v>
      </c>
      <c r="AQ238" s="124"/>
      <c r="AR238" s="124"/>
      <c r="AS238" s="124"/>
      <c r="AT238" s="124"/>
      <c r="AU238" s="124"/>
      <c r="AV238" s="124"/>
      <c r="AW238" s="124"/>
      <c r="AX238" s="124"/>
      <c r="AY238" s="124">
        <v>44800</v>
      </c>
      <c r="AZ238" s="124"/>
      <c r="BA238" s="124"/>
      <c r="BB238" s="124"/>
      <c r="BC238" s="124"/>
      <c r="BD238" s="124"/>
      <c r="BE238" s="124"/>
      <c r="BF238" s="124"/>
      <c r="BG238" s="124"/>
      <c r="BH238" s="137"/>
      <c r="BI238" s="138">
        <f t="shared" si="118"/>
        <v>0.46618106139438087</v>
      </c>
      <c r="BJ238" s="139">
        <v>2.6589999999999998</v>
      </c>
      <c r="BK238" s="140">
        <v>40</v>
      </c>
      <c r="BL238" s="129">
        <v>4.1500000000000002E-2</v>
      </c>
      <c r="BM238" s="129">
        <v>0.17499999999999999</v>
      </c>
      <c r="BN238" s="129">
        <v>0.498</v>
      </c>
      <c r="BO238" s="129">
        <v>0.94599999999999995</v>
      </c>
      <c r="BP238" s="129">
        <v>1.508</v>
      </c>
      <c r="BQ238" s="129">
        <v>2.2200000000000002</v>
      </c>
      <c r="BR238" s="129">
        <v>2.7850000000000001</v>
      </c>
      <c r="BS238" s="129">
        <v>2.7879999999999998</v>
      </c>
      <c r="BT238" s="122">
        <v>43</v>
      </c>
      <c r="BU238" s="124"/>
      <c r="BV238" s="147">
        <v>42258</v>
      </c>
      <c r="BW238" s="125">
        <v>0.71345555896099921</v>
      </c>
      <c r="BX238" s="124">
        <v>95812</v>
      </c>
      <c r="BY238" s="124">
        <v>46264</v>
      </c>
      <c r="BZ238" s="125">
        <v>0.48286227194923392</v>
      </c>
      <c r="CA238" s="124">
        <v>135</v>
      </c>
      <c r="CB238" s="124">
        <v>515</v>
      </c>
      <c r="CC238" s="125">
        <v>1.4090093098985514E-3</v>
      </c>
      <c r="CD238" s="125">
        <v>5.3751095896129924E-3</v>
      </c>
    </row>
    <row r="239" spans="1:82" x14ac:dyDescent="0.25">
      <c r="A239" s="120" t="s">
        <v>113</v>
      </c>
      <c r="B239" s="121" t="s">
        <v>91</v>
      </c>
      <c r="C239" s="122">
        <v>1002</v>
      </c>
      <c r="D239" s="157">
        <v>551.75</v>
      </c>
      <c r="E239" s="157">
        <v>10938.538050000001</v>
      </c>
      <c r="F239" s="124">
        <v>22000</v>
      </c>
      <c r="G239" s="124">
        <v>21410</v>
      </c>
      <c r="H239" s="125">
        <v>2.6818181818181817E-2</v>
      </c>
      <c r="I239" s="120">
        <v>112</v>
      </c>
      <c r="J239" s="125">
        <v>5.0909090909090913E-3</v>
      </c>
      <c r="K239" s="124">
        <v>58560</v>
      </c>
      <c r="L239" s="124">
        <v>103620</v>
      </c>
      <c r="M239" s="126">
        <v>2.7351704810836059</v>
      </c>
      <c r="N239" s="126">
        <v>1.7694672131147542</v>
      </c>
      <c r="O239" s="126">
        <v>1.8182133342669844</v>
      </c>
      <c r="P239" s="127">
        <v>0.51090789584306406</v>
      </c>
      <c r="Q239" s="127">
        <v>2.5770667912190567E-2</v>
      </c>
      <c r="R239" s="124">
        <v>1680</v>
      </c>
      <c r="S239" s="127">
        <v>6.5110345535714291</v>
      </c>
      <c r="T239" s="126">
        <v>13.095238095238095</v>
      </c>
      <c r="U239" s="126">
        <v>4.8397944885567492</v>
      </c>
      <c r="V239" s="128">
        <v>40.5</v>
      </c>
      <c r="W239" s="124"/>
      <c r="X239" s="126"/>
      <c r="Y239" s="124"/>
      <c r="Z239" s="129">
        <v>6.7535073607002616E-2</v>
      </c>
      <c r="AA239" s="158" t="s">
        <v>84</v>
      </c>
      <c r="AB239" s="129">
        <v>0.31363636363636366</v>
      </c>
      <c r="AC239" s="129">
        <v>1.4218181818181819</v>
      </c>
      <c r="AD239" s="129">
        <v>2.4227272727272728</v>
      </c>
      <c r="AE239" s="129">
        <v>0.55181818181818176</v>
      </c>
      <c r="AF239" s="132" t="s">
        <v>81</v>
      </c>
      <c r="AG239" s="133"/>
      <c r="AH239" s="133"/>
      <c r="AI239" s="133">
        <v>13900</v>
      </c>
      <c r="AJ239" s="133"/>
      <c r="AK239" s="133"/>
      <c r="AL239" s="120"/>
      <c r="AM239" s="133">
        <v>3500</v>
      </c>
      <c r="AN239" s="134"/>
      <c r="AO239" s="135">
        <f t="shared" si="117"/>
        <v>0.79090909090909089</v>
      </c>
      <c r="AP239" s="136" t="s">
        <v>82</v>
      </c>
      <c r="AQ239" s="124"/>
      <c r="AR239" s="124"/>
      <c r="AS239" s="124"/>
      <c r="AT239" s="124"/>
      <c r="AU239" s="124"/>
      <c r="AV239" s="124"/>
      <c r="AW239" s="124"/>
      <c r="AX239" s="124"/>
      <c r="AY239" s="124"/>
      <c r="AZ239" s="124"/>
      <c r="BA239" s="124"/>
      <c r="BB239" s="124"/>
      <c r="BC239" s="124"/>
      <c r="BD239" s="124"/>
      <c r="BE239" s="124"/>
      <c r="BF239" s="124">
        <v>4600</v>
      </c>
      <c r="BG239" s="124"/>
      <c r="BH239" s="137"/>
      <c r="BI239" s="138">
        <f t="shared" si="118"/>
        <v>0.20909090909090908</v>
      </c>
      <c r="BJ239" s="139">
        <v>2.698</v>
      </c>
      <c r="BK239" s="140">
        <v>40</v>
      </c>
      <c r="BL239" s="129">
        <v>4.5999999999999999E-2</v>
      </c>
      <c r="BM239" s="129">
        <v>0.192</v>
      </c>
      <c r="BN239" s="129">
        <v>0.50800000000000001</v>
      </c>
      <c r="BO239" s="129">
        <v>1.0069999999999999</v>
      </c>
      <c r="BP239" s="129">
        <v>1.55</v>
      </c>
      <c r="BQ239" s="129">
        <v>2.044</v>
      </c>
      <c r="BR239" s="129">
        <v>2.7730000000000001</v>
      </c>
      <c r="BS239" s="129">
        <v>2.7719999999999998</v>
      </c>
      <c r="BT239" s="122">
        <v>41</v>
      </c>
      <c r="BU239" s="124"/>
      <c r="BV239" s="147">
        <v>42229</v>
      </c>
      <c r="BW239" s="125">
        <v>0.70199026639344264</v>
      </c>
      <c r="BX239" s="124">
        <v>20990</v>
      </c>
      <c r="BY239" s="124">
        <v>6528</v>
      </c>
      <c r="BZ239" s="125">
        <v>0.31100524059075751</v>
      </c>
      <c r="CA239" s="124">
        <v>29</v>
      </c>
      <c r="CB239" s="124">
        <v>390</v>
      </c>
      <c r="CC239" s="125">
        <v>1.3816102906145783E-3</v>
      </c>
      <c r="CD239" s="125">
        <v>1.8580276322058123E-2</v>
      </c>
    </row>
    <row r="240" spans="1:82" x14ac:dyDescent="0.25">
      <c r="A240" s="120" t="s">
        <v>119</v>
      </c>
      <c r="B240" s="121" t="s">
        <v>91</v>
      </c>
      <c r="C240" s="122">
        <v>896</v>
      </c>
      <c r="D240" s="144">
        <v>772.12</v>
      </c>
      <c r="E240" s="144">
        <v>12822.947</v>
      </c>
      <c r="F240" s="124">
        <v>25200</v>
      </c>
      <c r="G240" s="124">
        <v>23400</v>
      </c>
      <c r="H240" s="125">
        <f t="shared" ref="H240:H246" si="152">IF(F240=0,0,+((F240-G240)/F240))</f>
        <v>7.1428571428571425E-2</v>
      </c>
      <c r="I240" s="120">
        <v>237</v>
      </c>
      <c r="J240" s="125">
        <f t="shared" ref="J240:J246" si="153">+(I240/F240)</f>
        <v>9.4047619047619054E-3</v>
      </c>
      <c r="K240" s="124">
        <v>73340</v>
      </c>
      <c r="L240" s="124">
        <v>135280</v>
      </c>
      <c r="M240" s="126">
        <f t="shared" ref="M240:M246" si="154">IF(G240=0,0,+K240/G240)</f>
        <v>3.1341880341880342</v>
      </c>
      <c r="N240" s="126">
        <f t="shared" ref="N240:N246" si="155">IF(K240=0,0,+L240/K240)</f>
        <v>1.8445595854922279</v>
      </c>
      <c r="O240" s="126">
        <f t="shared" ref="O240:O245" si="156">+L240/((G240-CA240-CB240)*M240)</f>
        <v>1.8851630983804217</v>
      </c>
      <c r="P240" s="127">
        <f>+E240/G240</f>
        <v>0.54798918803418806</v>
      </c>
      <c r="Q240" s="127">
        <f>+D240/G240</f>
        <v>3.29965811965812E-2</v>
      </c>
      <c r="R240" s="124">
        <v>1964</v>
      </c>
      <c r="S240" s="127">
        <f>+E240/R240</f>
        <v>6.5289954175152749</v>
      </c>
      <c r="T240" s="126">
        <f t="shared" ref="T240:T246" si="157">IF(R240=0,0,+F240/R240)</f>
        <v>12.830957230142566</v>
      </c>
      <c r="U240" s="126">
        <f t="shared" ref="U240:U246" si="158">IF(L240=0,0,+L240/G240)</f>
        <v>5.7811965811965811</v>
      </c>
      <c r="V240" s="128">
        <v>42</v>
      </c>
      <c r="W240" s="124"/>
      <c r="X240" s="126"/>
      <c r="Y240" s="124"/>
      <c r="Z240" s="129">
        <f t="shared" ref="Z240:Z246" si="159">IF(V240=0,0,+M240/V240)</f>
        <v>7.4623524623524617E-2</v>
      </c>
      <c r="AA240" s="145" t="str">
        <f t="shared" ref="AA240:AA246" si="160">IF(W240=0,"",+X240/W240)</f>
        <v/>
      </c>
      <c r="AB240" s="129">
        <v>0.3</v>
      </c>
      <c r="AC240" s="129">
        <v>1.534</v>
      </c>
      <c r="AD240" s="129">
        <v>2.8519999999999999</v>
      </c>
      <c r="AE240" s="129">
        <v>0.68200000000000005</v>
      </c>
      <c r="AF240" s="132" t="s">
        <v>81</v>
      </c>
      <c r="AG240" s="133"/>
      <c r="AH240" s="133"/>
      <c r="AI240" s="133"/>
      <c r="AJ240" s="133"/>
      <c r="AK240" s="133">
        <v>6900</v>
      </c>
      <c r="AL240" s="146"/>
      <c r="AM240" s="133"/>
      <c r="AN240" s="134"/>
      <c r="AO240" s="135">
        <f t="shared" si="117"/>
        <v>0.27380952380952384</v>
      </c>
      <c r="AP240" s="136" t="s">
        <v>82</v>
      </c>
      <c r="AQ240" s="133"/>
      <c r="AR240" s="124"/>
      <c r="AS240" s="124"/>
      <c r="AT240" s="124"/>
      <c r="AU240" s="133"/>
      <c r="AV240" s="124"/>
      <c r="AW240" s="146"/>
      <c r="AX240" s="124">
        <v>18300</v>
      </c>
      <c r="AY240" s="133"/>
      <c r="AZ240" s="124"/>
      <c r="BA240" s="124"/>
      <c r="BB240" s="124"/>
      <c r="BC240" s="124"/>
      <c r="BD240" s="124"/>
      <c r="BE240" s="124"/>
      <c r="BF240" s="124"/>
      <c r="BG240" s="124"/>
      <c r="BH240" s="137"/>
      <c r="BI240" s="138">
        <f t="shared" si="118"/>
        <v>0.72619047619047616</v>
      </c>
      <c r="BJ240" s="139">
        <v>3.1339999999999999</v>
      </c>
      <c r="BK240" s="140">
        <v>42</v>
      </c>
      <c r="BL240" s="129">
        <v>4.3999999999999997E-2</v>
      </c>
      <c r="BM240" s="129">
        <v>0.19700000000000001</v>
      </c>
      <c r="BN240" s="129">
        <v>0.46</v>
      </c>
      <c r="BO240" s="129">
        <v>0.92</v>
      </c>
      <c r="BP240" s="129">
        <v>1.48</v>
      </c>
      <c r="BQ240" s="129">
        <v>2.2999999999999998</v>
      </c>
      <c r="BR240" s="129">
        <v>3.1339999999999999</v>
      </c>
      <c r="BS240" s="129"/>
      <c r="BT240" s="122">
        <v>42</v>
      </c>
      <c r="BU240" s="124">
        <v>0</v>
      </c>
      <c r="BV240" s="147">
        <v>42086</v>
      </c>
      <c r="BW240" s="125">
        <f>50691.24/73340</f>
        <v>0.69118134715025903</v>
      </c>
      <c r="BX240" s="124">
        <v>22872</v>
      </c>
      <c r="BY240" s="124">
        <v>5016</v>
      </c>
      <c r="BZ240" s="125">
        <f>+BY240/BX240</f>
        <v>0.21930745015739769</v>
      </c>
      <c r="CA240" s="124">
        <v>179</v>
      </c>
      <c r="CB240" s="124">
        <v>325</v>
      </c>
      <c r="CC240" s="125">
        <f>+(CA240/25690)</f>
        <v>6.9676917088361233E-3</v>
      </c>
      <c r="CD240" s="125">
        <f>+CB240/25690</f>
        <v>1.26508369015181E-2</v>
      </c>
    </row>
    <row r="241" spans="1:82" x14ac:dyDescent="0.25">
      <c r="A241" s="120" t="s">
        <v>128</v>
      </c>
      <c r="B241" s="121" t="s">
        <v>86</v>
      </c>
      <c r="C241" s="122">
        <v>730</v>
      </c>
      <c r="D241" s="144">
        <v>1169.432</v>
      </c>
      <c r="E241" s="144">
        <v>11040.46</v>
      </c>
      <c r="F241" s="124">
        <v>25500</v>
      </c>
      <c r="G241" s="124">
        <v>25270</v>
      </c>
      <c r="H241" s="125">
        <f t="shared" si="152"/>
        <v>9.0196078431372551E-3</v>
      </c>
      <c r="I241" s="120">
        <v>169</v>
      </c>
      <c r="J241" s="125">
        <f t="shared" si="153"/>
        <v>6.6274509803921572E-3</v>
      </c>
      <c r="K241" s="124">
        <v>66750</v>
      </c>
      <c r="L241" s="124">
        <v>118460</v>
      </c>
      <c r="M241" s="126">
        <f t="shared" si="154"/>
        <v>2.6414721013058964</v>
      </c>
      <c r="N241" s="126">
        <f t="shared" si="155"/>
        <v>1.7746816479400749</v>
      </c>
      <c r="O241" s="126">
        <f t="shared" si="156"/>
        <v>1.7879836234529023</v>
      </c>
      <c r="P241" s="127">
        <f>IF(G241=0,0,+E241/G241)</f>
        <v>0.43689988128215274</v>
      </c>
      <c r="Q241" s="127">
        <f>IF(G241=0,0,+D241/G241)</f>
        <v>4.627748318163831E-2</v>
      </c>
      <c r="R241" s="124">
        <v>1680</v>
      </c>
      <c r="S241" s="127">
        <f>IF(R241=0,0,+E241/R241)</f>
        <v>6.57170238095238</v>
      </c>
      <c r="T241" s="126">
        <f t="shared" si="157"/>
        <v>15.178571428571429</v>
      </c>
      <c r="U241" s="126">
        <f t="shared" si="158"/>
        <v>4.6877720617332805</v>
      </c>
      <c r="V241" s="128">
        <v>42</v>
      </c>
      <c r="W241" s="124">
        <v>32</v>
      </c>
      <c r="X241" s="126">
        <v>1.9139999999999999</v>
      </c>
      <c r="Y241" s="124">
        <v>7000</v>
      </c>
      <c r="Z241" s="129">
        <f t="shared" si="159"/>
        <v>6.2892192888235623E-2</v>
      </c>
      <c r="AA241" s="155">
        <f t="shared" si="160"/>
        <v>5.9812499999999998E-2</v>
      </c>
      <c r="AB241" s="129">
        <v>0.30901960784313726</v>
      </c>
      <c r="AC241" s="129">
        <v>1.5772549019607842</v>
      </c>
      <c r="AD241" s="129">
        <v>2.60078431372549</v>
      </c>
      <c r="AE241" s="129">
        <v>0.15843137254901959</v>
      </c>
      <c r="AF241" s="132" t="s">
        <v>81</v>
      </c>
      <c r="AG241" s="133"/>
      <c r="AH241" s="133"/>
      <c r="AI241" s="133"/>
      <c r="AJ241" s="133"/>
      <c r="AK241" s="133"/>
      <c r="AL241" s="146"/>
      <c r="AM241" s="133"/>
      <c r="AN241" s="134"/>
      <c r="AO241" s="135">
        <f t="shared" si="117"/>
        <v>0</v>
      </c>
      <c r="AP241" s="136" t="s">
        <v>82</v>
      </c>
      <c r="AQ241" s="133"/>
      <c r="AR241" s="124"/>
      <c r="AS241" s="124"/>
      <c r="AT241" s="124"/>
      <c r="AU241" s="133"/>
      <c r="AV241" s="124">
        <v>25500</v>
      </c>
      <c r="AW241" s="146"/>
      <c r="AX241" s="124"/>
      <c r="AY241" s="133"/>
      <c r="AZ241" s="124"/>
      <c r="BA241" s="124"/>
      <c r="BB241" s="124"/>
      <c r="BC241" s="124"/>
      <c r="BD241" s="124"/>
      <c r="BE241" s="124"/>
      <c r="BF241" s="133"/>
      <c r="BG241" s="124"/>
      <c r="BH241" s="134"/>
      <c r="BI241" s="138">
        <f t="shared" si="118"/>
        <v>1</v>
      </c>
      <c r="BJ241" s="139">
        <v>2.92</v>
      </c>
      <c r="BK241" s="140">
        <v>41</v>
      </c>
      <c r="BL241" s="129">
        <v>4.2999999999999997E-2</v>
      </c>
      <c r="BM241" s="129">
        <v>0.2</v>
      </c>
      <c r="BN241" s="129">
        <v>0.52</v>
      </c>
      <c r="BO241" s="129">
        <v>1</v>
      </c>
      <c r="BP241" s="129">
        <v>1.6</v>
      </c>
      <c r="BQ241" s="129">
        <v>2.2000000000000002</v>
      </c>
      <c r="BR241" s="129"/>
      <c r="BS241" s="129">
        <v>2.92</v>
      </c>
      <c r="BT241" s="122">
        <v>41</v>
      </c>
      <c r="BU241" s="124">
        <v>5500</v>
      </c>
      <c r="BV241" s="147">
        <v>42148</v>
      </c>
      <c r="BW241" s="125">
        <v>0.68732802249297087</v>
      </c>
      <c r="BX241" s="124">
        <v>18094</v>
      </c>
      <c r="BY241" s="124">
        <v>6752</v>
      </c>
      <c r="BZ241" s="125">
        <v>0.37316237426771304</v>
      </c>
      <c r="CA241" s="124">
        <v>79</v>
      </c>
      <c r="CB241" s="124">
        <v>109</v>
      </c>
      <c r="CC241" s="125">
        <v>4.3660882060351496E-3</v>
      </c>
      <c r="CD241" s="125">
        <v>6.024096385542169E-3</v>
      </c>
    </row>
    <row r="242" spans="1:82" x14ac:dyDescent="0.25">
      <c r="A242" s="120" t="s">
        <v>97</v>
      </c>
      <c r="B242" s="121" t="s">
        <v>80</v>
      </c>
      <c r="C242" s="122">
        <v>870</v>
      </c>
      <c r="D242" s="123">
        <v>47.58</v>
      </c>
      <c r="E242" s="123">
        <v>9214.9701850000001</v>
      </c>
      <c r="F242" s="124">
        <v>15400</v>
      </c>
      <c r="G242" s="124">
        <v>15335</v>
      </c>
      <c r="H242" s="125">
        <f t="shared" si="152"/>
        <v>4.2207792207792205E-3</v>
      </c>
      <c r="I242" s="120">
        <v>48</v>
      </c>
      <c r="J242" s="125">
        <f t="shared" si="153"/>
        <v>3.1168831168831169E-3</v>
      </c>
      <c r="K242" s="124">
        <v>43110</v>
      </c>
      <c r="L242" s="124">
        <v>73200</v>
      </c>
      <c r="M242" s="126">
        <f t="shared" si="154"/>
        <v>2.8112161721552007</v>
      </c>
      <c r="N242" s="126">
        <f t="shared" si="155"/>
        <v>1.697981906750174</v>
      </c>
      <c r="O242" s="126">
        <f t="shared" si="156"/>
        <v>1.7039822354567056</v>
      </c>
      <c r="P242" s="127">
        <f>IF(G242=0,0,+E242/G242)</f>
        <v>0.60091099999999997</v>
      </c>
      <c r="Q242" s="127">
        <f>IF(G242=0,0,+D242/G242)</f>
        <v>3.102706227583958E-3</v>
      </c>
      <c r="R242" s="124">
        <v>1400</v>
      </c>
      <c r="S242" s="127">
        <f>IF(R242=0,0,+E242/R242)</f>
        <v>6.5821215607142856</v>
      </c>
      <c r="T242" s="126">
        <f t="shared" si="157"/>
        <v>11</v>
      </c>
      <c r="U242" s="126">
        <f t="shared" si="158"/>
        <v>4.7733941962830126</v>
      </c>
      <c r="V242" s="128">
        <v>41</v>
      </c>
      <c r="W242" s="124"/>
      <c r="X242" s="126"/>
      <c r="Y242" s="124"/>
      <c r="Z242" s="129">
        <f t="shared" si="159"/>
        <v>6.8566248101346358E-2</v>
      </c>
      <c r="AA242" s="130" t="str">
        <f t="shared" si="160"/>
        <v/>
      </c>
      <c r="AB242" s="131">
        <v>0.31818181818181818</v>
      </c>
      <c r="AC242" s="131">
        <v>1.4623376623376623</v>
      </c>
      <c r="AD242" s="131">
        <v>2.7766233766233768</v>
      </c>
      <c r="AE242" s="131">
        <v>0.19610389610389611</v>
      </c>
      <c r="AF242" s="132" t="s">
        <v>81</v>
      </c>
      <c r="AG242" s="133"/>
      <c r="AH242" s="133"/>
      <c r="AI242" s="133"/>
      <c r="AJ242" s="133"/>
      <c r="AK242" s="133"/>
      <c r="AL242" s="133"/>
      <c r="AM242" s="133"/>
      <c r="AN242" s="134"/>
      <c r="AO242" s="135">
        <f t="shared" si="117"/>
        <v>0</v>
      </c>
      <c r="AP242" s="136" t="s">
        <v>82</v>
      </c>
      <c r="AQ242" s="133"/>
      <c r="AR242" s="124"/>
      <c r="AS242" s="124"/>
      <c r="AT242" s="124"/>
      <c r="AU242" s="124">
        <v>15400</v>
      </c>
      <c r="AV242" s="124"/>
      <c r="AW242" s="124"/>
      <c r="AX242" s="124"/>
      <c r="AY242" s="124"/>
      <c r="AZ242" s="124"/>
      <c r="BA242" s="124"/>
      <c r="BB242" s="124"/>
      <c r="BC242" s="124"/>
      <c r="BD242" s="124"/>
      <c r="BE242" s="124"/>
      <c r="BF242" s="133"/>
      <c r="BG242" s="124"/>
      <c r="BH242" s="137"/>
      <c r="BI242" s="138">
        <f t="shared" si="118"/>
        <v>1</v>
      </c>
      <c r="BJ242" s="139">
        <v>2.8109999999999999</v>
      </c>
      <c r="BK242" s="140">
        <v>41</v>
      </c>
      <c r="BL242" s="129">
        <v>4.4999999999999998E-2</v>
      </c>
      <c r="BM242" s="129">
        <v>0.18</v>
      </c>
      <c r="BN242" s="129">
        <v>0.58299999999999996</v>
      </c>
      <c r="BO242" s="129">
        <v>1.077</v>
      </c>
      <c r="BP242" s="129">
        <v>1.6</v>
      </c>
      <c r="BQ242" s="129">
        <v>2.2000000000000002</v>
      </c>
      <c r="BR242" s="151"/>
      <c r="BS242" s="129">
        <v>2.8109999999999999</v>
      </c>
      <c r="BT242" s="122">
        <v>41</v>
      </c>
      <c r="BU242" s="124"/>
      <c r="BV242" s="142">
        <v>42292</v>
      </c>
      <c r="BW242" s="125">
        <v>0.72146300162375321</v>
      </c>
      <c r="BX242" s="124">
        <v>15240</v>
      </c>
      <c r="BY242" s="124">
        <v>7856</v>
      </c>
      <c r="BZ242" s="125">
        <v>0.51548556430446191</v>
      </c>
      <c r="CA242" s="124">
        <v>15</v>
      </c>
      <c r="CB242" s="124">
        <v>39</v>
      </c>
      <c r="CC242" s="125">
        <v>9.8425196850393699E-4</v>
      </c>
      <c r="CD242" s="125">
        <v>2.5590551181102362E-3</v>
      </c>
    </row>
    <row r="243" spans="1:82" x14ac:dyDescent="0.25">
      <c r="A243" s="120" t="s">
        <v>122</v>
      </c>
      <c r="B243" s="121" t="s">
        <v>86</v>
      </c>
      <c r="C243" s="122">
        <v>630</v>
      </c>
      <c r="D243" s="148">
        <v>707.01</v>
      </c>
      <c r="E243" s="148">
        <v>13886.649539999999</v>
      </c>
      <c r="F243" s="124">
        <v>33200</v>
      </c>
      <c r="G243" s="124">
        <v>30948</v>
      </c>
      <c r="H243" s="125">
        <f t="shared" si="152"/>
        <v>6.7831325301204823E-2</v>
      </c>
      <c r="I243" s="120">
        <v>493</v>
      </c>
      <c r="J243" s="125">
        <f t="shared" si="153"/>
        <v>1.4849397590361446E-2</v>
      </c>
      <c r="K243" s="124">
        <v>82300</v>
      </c>
      <c r="L243" s="124">
        <v>148840</v>
      </c>
      <c r="M243" s="126">
        <f t="shared" si="154"/>
        <v>2.6592994700788419</v>
      </c>
      <c r="N243" s="126">
        <f t="shared" si="155"/>
        <v>1.8085054678007291</v>
      </c>
      <c r="O243" s="126">
        <f t="shared" si="156"/>
        <v>1.8626739622436421</v>
      </c>
      <c r="P243" s="127">
        <f>IF(G243=0,0,+E243/G243)</f>
        <v>0.44870911012020159</v>
      </c>
      <c r="Q243" s="127">
        <f>IF(G243=0,0,+D243/G243)</f>
        <v>2.2845094998061265E-2</v>
      </c>
      <c r="R243" s="124">
        <v>2100</v>
      </c>
      <c r="S243" s="127">
        <f>IF(R243=0,0,+E243/R243)</f>
        <v>6.6126902571428561</v>
      </c>
      <c r="T243" s="126">
        <f t="shared" si="157"/>
        <v>15.80952380952381</v>
      </c>
      <c r="U243" s="126">
        <f t="shared" si="158"/>
        <v>4.8093576321571669</v>
      </c>
      <c r="V243" s="128">
        <v>42.77</v>
      </c>
      <c r="W243" s="124">
        <v>34</v>
      </c>
      <c r="X243" s="126">
        <v>1.982</v>
      </c>
      <c r="Y243" s="124">
        <v>6528</v>
      </c>
      <c r="Z243" s="129">
        <f t="shared" si="159"/>
        <v>6.2176747020781895E-2</v>
      </c>
      <c r="AA243" s="150">
        <f t="shared" si="160"/>
        <v>5.8294117647058823E-2</v>
      </c>
      <c r="AB243" s="129">
        <v>0.31566265060240961</v>
      </c>
      <c r="AC243" s="129">
        <v>1.4548192771084338</v>
      </c>
      <c r="AD243" s="129">
        <v>2.2897590361445781</v>
      </c>
      <c r="AE243" s="129">
        <v>0.42289156626506025</v>
      </c>
      <c r="AF243" s="132" t="s">
        <v>81</v>
      </c>
      <c r="AG243" s="152"/>
      <c r="AH243" s="152"/>
      <c r="AI243" s="152"/>
      <c r="AJ243" s="152"/>
      <c r="AK243" s="152"/>
      <c r="AL243" s="120"/>
      <c r="AM243" s="152"/>
      <c r="AN243" s="153"/>
      <c r="AO243" s="135">
        <f t="shared" si="117"/>
        <v>0</v>
      </c>
      <c r="AP243" s="136" t="s">
        <v>82</v>
      </c>
      <c r="AQ243" s="152"/>
      <c r="AR243" s="120"/>
      <c r="AS243" s="120"/>
      <c r="AT243" s="120"/>
      <c r="AU243" s="120"/>
      <c r="AV243" s="120">
        <v>20900</v>
      </c>
      <c r="AW243" s="120"/>
      <c r="AX243" s="120"/>
      <c r="AY243" s="120"/>
      <c r="AZ243" s="120">
        <v>12300</v>
      </c>
      <c r="BA243" s="120"/>
      <c r="BB243" s="120"/>
      <c r="BC243" s="120"/>
      <c r="BD243" s="120"/>
      <c r="BE243" s="120"/>
      <c r="BF243" s="120"/>
      <c r="BG243" s="120"/>
      <c r="BH243" s="154"/>
      <c r="BI243" s="138">
        <f t="shared" si="118"/>
        <v>1</v>
      </c>
      <c r="BJ243" s="139">
        <v>2.7549999999999999</v>
      </c>
      <c r="BK243" s="140">
        <v>42</v>
      </c>
      <c r="BL243" s="129">
        <v>3.7999999999999999E-2</v>
      </c>
      <c r="BM243" s="129">
        <v>0.18</v>
      </c>
      <c r="BN243" s="129">
        <v>0.47</v>
      </c>
      <c r="BO243" s="129">
        <v>0.9</v>
      </c>
      <c r="BP243" s="129">
        <v>1.5</v>
      </c>
      <c r="BQ243" s="129">
        <v>1.9890000000000001</v>
      </c>
      <c r="BR243" s="129">
        <v>2.75</v>
      </c>
      <c r="BS243" s="129">
        <v>2.9750000000000001</v>
      </c>
      <c r="BT243" s="122">
        <v>44</v>
      </c>
      <c r="BU243" s="124">
        <v>6000</v>
      </c>
      <c r="BV243" s="147">
        <v>42029</v>
      </c>
      <c r="BW243" s="125">
        <v>0.67901701268742798</v>
      </c>
      <c r="BX243" s="120">
        <v>23610</v>
      </c>
      <c r="BY243" s="124">
        <v>9208</v>
      </c>
      <c r="BZ243" s="125">
        <v>0.39000423549343499</v>
      </c>
      <c r="CA243" s="124">
        <v>608</v>
      </c>
      <c r="CB243" s="124">
        <v>292</v>
      </c>
      <c r="CC243" s="125">
        <v>2.5751800084709869E-2</v>
      </c>
      <c r="CD243" s="125">
        <v>1.2367640830156713E-2</v>
      </c>
    </row>
    <row r="244" spans="1:82" x14ac:dyDescent="0.25">
      <c r="A244" s="120" t="s">
        <v>90</v>
      </c>
      <c r="B244" s="121" t="s">
        <v>91</v>
      </c>
      <c r="C244" s="122">
        <v>870</v>
      </c>
      <c r="D244" s="123">
        <v>742.79</v>
      </c>
      <c r="E244" s="123">
        <v>11420.915800000001</v>
      </c>
      <c r="F244" s="124">
        <v>23500</v>
      </c>
      <c r="G244" s="124">
        <v>21960</v>
      </c>
      <c r="H244" s="125">
        <f t="shared" si="152"/>
        <v>6.5531914893617024E-2</v>
      </c>
      <c r="I244" s="120">
        <v>282</v>
      </c>
      <c r="J244" s="125">
        <f t="shared" si="153"/>
        <v>1.2E-2</v>
      </c>
      <c r="K244" s="124">
        <v>64840</v>
      </c>
      <c r="L244" s="124">
        <v>118200</v>
      </c>
      <c r="M244" s="126">
        <f t="shared" si="154"/>
        <v>2.9526411657559199</v>
      </c>
      <c r="N244" s="126">
        <f t="shared" si="155"/>
        <v>1.8229487970388649</v>
      </c>
      <c r="O244" s="126">
        <f t="shared" si="156"/>
        <v>1.8688182429846165</v>
      </c>
      <c r="P244" s="127">
        <f>IF(G244=0,0,+E244/G244)</f>
        <v>0.5200781329690346</v>
      </c>
      <c r="Q244" s="127">
        <f>IF(G244=0,0,+D244/G244)</f>
        <v>3.3824681238615664E-2</v>
      </c>
      <c r="R244" s="124">
        <v>1725</v>
      </c>
      <c r="S244" s="127">
        <f>IF(R244=0,0,+E244/R244)</f>
        <v>6.6208207536231889</v>
      </c>
      <c r="T244" s="126">
        <f t="shared" si="157"/>
        <v>13.623188405797102</v>
      </c>
      <c r="U244" s="126">
        <f t="shared" si="158"/>
        <v>5.3825136612021858</v>
      </c>
      <c r="V244" s="128">
        <v>41.74</v>
      </c>
      <c r="W244" s="124"/>
      <c r="X244" s="126"/>
      <c r="Y244" s="124"/>
      <c r="Z244" s="129">
        <f t="shared" si="159"/>
        <v>7.0738887536078571E-2</v>
      </c>
      <c r="AA244" s="130" t="str">
        <f t="shared" si="160"/>
        <v/>
      </c>
      <c r="AB244" s="131">
        <v>0.30127659574468085</v>
      </c>
      <c r="AC244" s="131">
        <v>1.6297872340425532</v>
      </c>
      <c r="AD244" s="131">
        <v>2.3668085106382977</v>
      </c>
      <c r="AE244" s="131">
        <v>0.73191489361702122</v>
      </c>
      <c r="AF244" s="132" t="s">
        <v>81</v>
      </c>
      <c r="AG244" s="133"/>
      <c r="AH244" s="133"/>
      <c r="AI244" s="133">
        <v>23500</v>
      </c>
      <c r="AJ244" s="133"/>
      <c r="AK244" s="133"/>
      <c r="AL244" s="133"/>
      <c r="AM244" s="133"/>
      <c r="AN244" s="134"/>
      <c r="AO244" s="135">
        <f t="shared" si="117"/>
        <v>1</v>
      </c>
      <c r="AP244" s="136" t="s">
        <v>82</v>
      </c>
      <c r="AQ244" s="124"/>
      <c r="AR244" s="124"/>
      <c r="AS244" s="124"/>
      <c r="AT244" s="124"/>
      <c r="AU244" s="124"/>
      <c r="AV244" s="124"/>
      <c r="AW244" s="124"/>
      <c r="AX244" s="124"/>
      <c r="AY244" s="124"/>
      <c r="AZ244" s="124"/>
      <c r="BA244" s="124"/>
      <c r="BB244" s="124"/>
      <c r="BC244" s="124"/>
      <c r="BD244" s="124"/>
      <c r="BE244" s="124"/>
      <c r="BF244" s="124"/>
      <c r="BG244" s="124"/>
      <c r="BH244" s="137"/>
      <c r="BI244" s="138">
        <f t="shared" si="118"/>
        <v>0</v>
      </c>
      <c r="BJ244" s="139">
        <v>2.923</v>
      </c>
      <c r="BK244" s="140">
        <v>41</v>
      </c>
      <c r="BL244" s="141">
        <v>4.5999999999999999E-2</v>
      </c>
      <c r="BM244" s="141">
        <v>0.158</v>
      </c>
      <c r="BN244" s="141"/>
      <c r="BO244" s="141">
        <v>0.996</v>
      </c>
      <c r="BP244" s="141">
        <v>1.502</v>
      </c>
      <c r="BQ244" s="141"/>
      <c r="BR244" s="141"/>
      <c r="BS244" s="141">
        <v>2.964</v>
      </c>
      <c r="BT244" s="122">
        <v>42</v>
      </c>
      <c r="BU244" s="124">
        <v>14000</v>
      </c>
      <c r="BV244" s="142">
        <v>42355</v>
      </c>
      <c r="BW244" s="125">
        <v>0.6829426280074028</v>
      </c>
      <c r="BX244" s="124">
        <v>21264</v>
      </c>
      <c r="BY244" s="124">
        <v>8901</v>
      </c>
      <c r="BZ244" s="125">
        <v>0.41859480812641081</v>
      </c>
      <c r="CA244" s="124">
        <v>189</v>
      </c>
      <c r="CB244" s="124">
        <v>350</v>
      </c>
      <c r="CC244" s="125">
        <v>8.888261851015801E-3</v>
      </c>
      <c r="CD244" s="125">
        <v>1.6459744168547782E-2</v>
      </c>
    </row>
    <row r="245" spans="1:82" x14ac:dyDescent="0.25">
      <c r="A245" s="120" t="s">
        <v>130</v>
      </c>
      <c r="B245" s="121" t="s">
        <v>80</v>
      </c>
      <c r="C245" s="122">
        <v>870</v>
      </c>
      <c r="D245" s="144">
        <f>523.936+82+404.97</f>
        <v>1010.9060000000001</v>
      </c>
      <c r="E245" s="144">
        <v>29137.653849999999</v>
      </c>
      <c r="F245" s="124">
        <v>59500</v>
      </c>
      <c r="G245" s="124">
        <v>57370</v>
      </c>
      <c r="H245" s="125">
        <f t="shared" si="152"/>
        <v>3.5798319327731094E-2</v>
      </c>
      <c r="I245" s="120">
        <v>518</v>
      </c>
      <c r="J245" s="125">
        <f t="shared" si="153"/>
        <v>8.7058823529411761E-3</v>
      </c>
      <c r="K245" s="124">
        <v>159560</v>
      </c>
      <c r="L245" s="124">
        <v>286820</v>
      </c>
      <c r="M245" s="126">
        <f t="shared" si="154"/>
        <v>2.7812445529022138</v>
      </c>
      <c r="N245" s="126">
        <f t="shared" si="155"/>
        <v>1.7975683128603661</v>
      </c>
      <c r="O245" s="126">
        <f t="shared" si="156"/>
        <v>1.81977226237514</v>
      </c>
      <c r="P245" s="127">
        <f>IF(G245=0,0,+E245/G245)</f>
        <v>0.50789007930974372</v>
      </c>
      <c r="Q245" s="127">
        <f>IF(G245=0,0,+D245/G245)</f>
        <v>1.7620812271221895E-2</v>
      </c>
      <c r="R245" s="124">
        <v>4400</v>
      </c>
      <c r="S245" s="127">
        <f>IF(R245=0,0,+E245/R245)</f>
        <v>6.6221940568181816</v>
      </c>
      <c r="T245" s="126">
        <f t="shared" si="157"/>
        <v>13.522727272727273</v>
      </c>
      <c r="U245" s="126">
        <f t="shared" si="158"/>
        <v>4.9994770786125153</v>
      </c>
      <c r="V245" s="128">
        <v>42.99</v>
      </c>
      <c r="W245" s="124"/>
      <c r="X245" s="126"/>
      <c r="Y245" s="124"/>
      <c r="Z245" s="129">
        <f t="shared" si="159"/>
        <v>6.4695151265462048E-2</v>
      </c>
      <c r="AA245" s="145" t="str">
        <f t="shared" si="160"/>
        <v/>
      </c>
      <c r="AB245" s="129">
        <v>0.31294117647058822</v>
      </c>
      <c r="AC245" s="129">
        <v>1.4356302521008404</v>
      </c>
      <c r="AD245" s="129">
        <v>2.5929411764705881</v>
      </c>
      <c r="AE245" s="129">
        <v>0.49142857142857144</v>
      </c>
      <c r="AF245" s="132" t="s">
        <v>81</v>
      </c>
      <c r="AG245" s="133"/>
      <c r="AH245" s="133"/>
      <c r="AI245" s="133"/>
      <c r="AJ245" s="133"/>
      <c r="AK245" s="133"/>
      <c r="AL245" s="146"/>
      <c r="AM245" s="133"/>
      <c r="AN245" s="134"/>
      <c r="AO245" s="135">
        <f t="shared" si="117"/>
        <v>0</v>
      </c>
      <c r="AP245" s="136" t="s">
        <v>82</v>
      </c>
      <c r="AQ245" s="133"/>
      <c r="AR245" s="124"/>
      <c r="AS245" s="124"/>
      <c r="AT245" s="124"/>
      <c r="AU245" s="124"/>
      <c r="AV245" s="124"/>
      <c r="AW245" s="146"/>
      <c r="AX245" s="124"/>
      <c r="AY245" s="124"/>
      <c r="AZ245" s="124"/>
      <c r="BA245" s="124">
        <v>14400</v>
      </c>
      <c r="BB245" s="124"/>
      <c r="BC245" s="124"/>
      <c r="BD245" s="124"/>
      <c r="BE245" s="124"/>
      <c r="BF245" s="133">
        <v>5000</v>
      </c>
      <c r="BG245" s="124">
        <v>40100</v>
      </c>
      <c r="BH245" s="137"/>
      <c r="BI245" s="138">
        <f t="shared" si="118"/>
        <v>1</v>
      </c>
      <c r="BJ245" s="139">
        <v>2.766</v>
      </c>
      <c r="BK245" s="140">
        <v>42</v>
      </c>
      <c r="BL245" s="129">
        <v>0.4</v>
      </c>
      <c r="BM245" s="129">
        <v>0.18149999999999999</v>
      </c>
      <c r="BN245" s="129">
        <v>0.48299999999999998</v>
      </c>
      <c r="BO245" s="129">
        <v>1.0109999999999999</v>
      </c>
      <c r="BP245" s="129">
        <v>1.5649999999999999</v>
      </c>
      <c r="BQ245" s="129">
        <v>2.101</v>
      </c>
      <c r="BR245" s="129">
        <v>2.766</v>
      </c>
      <c r="BS245" s="129">
        <v>2.8170000000000002</v>
      </c>
      <c r="BT245" s="122">
        <v>44</v>
      </c>
      <c r="BU245" s="124"/>
      <c r="BV245" s="147">
        <v>42215</v>
      </c>
      <c r="BW245" s="125">
        <v>0.69565517673602406</v>
      </c>
      <c r="BX245" s="124">
        <v>56808</v>
      </c>
      <c r="BY245" s="124">
        <v>30136</v>
      </c>
      <c r="BZ245" s="125">
        <v>0.53048866356851143</v>
      </c>
      <c r="CA245" s="124">
        <v>381</v>
      </c>
      <c r="CB245" s="124">
        <v>319</v>
      </c>
      <c r="CC245" s="125">
        <v>6.7068018588931138E-3</v>
      </c>
      <c r="CD245" s="125">
        <v>5.6154062808055202E-3</v>
      </c>
    </row>
    <row r="246" spans="1:82" x14ac:dyDescent="0.25">
      <c r="A246" s="120" t="s">
        <v>116</v>
      </c>
      <c r="B246" s="121" t="s">
        <v>80</v>
      </c>
      <c r="C246" s="122">
        <v>810</v>
      </c>
      <c r="D246" s="148">
        <v>704.7</v>
      </c>
      <c r="E246" s="148">
        <v>13927.627049999999</v>
      </c>
      <c r="F246" s="124">
        <v>28000</v>
      </c>
      <c r="G246" s="124">
        <v>27210</v>
      </c>
      <c r="H246" s="125">
        <f t="shared" si="152"/>
        <v>2.8214285714285713E-2</v>
      </c>
      <c r="I246" s="120">
        <v>242</v>
      </c>
      <c r="J246" s="125">
        <f t="shared" si="153"/>
        <v>8.6428571428571431E-3</v>
      </c>
      <c r="K246" s="124">
        <v>77990</v>
      </c>
      <c r="L246" s="124">
        <v>142160</v>
      </c>
      <c r="M246" s="126">
        <f t="shared" si="154"/>
        <v>2.8662256523337009</v>
      </c>
      <c r="N246" s="126">
        <f t="shared" si="155"/>
        <v>1.8227977945890499</v>
      </c>
      <c r="O246" s="126">
        <f>+L246/((G246-CA238-CB238)*M246)</f>
        <v>1.8674069273632548</v>
      </c>
      <c r="P246" s="127">
        <f>+E246/G246</f>
        <v>0.51185692943770666</v>
      </c>
      <c r="Q246" s="127">
        <f>+D246/G246</f>
        <v>2.5898566703417863E-2</v>
      </c>
      <c r="R246" s="124">
        <v>2100</v>
      </c>
      <c r="S246" s="149">
        <f>+E246/R246</f>
        <v>6.6322033571428571</v>
      </c>
      <c r="T246" s="126">
        <f t="shared" si="157"/>
        <v>13.333333333333334</v>
      </c>
      <c r="U246" s="126">
        <f t="shared" si="158"/>
        <v>5.2245497978684305</v>
      </c>
      <c r="V246" s="128">
        <v>45.19</v>
      </c>
      <c r="W246" s="124"/>
      <c r="X246" s="126"/>
      <c r="Y246" s="124"/>
      <c r="Z246" s="129">
        <f t="shared" si="159"/>
        <v>6.3426104278240789E-2</v>
      </c>
      <c r="AA246" s="150" t="str">
        <f t="shared" si="160"/>
        <v/>
      </c>
      <c r="AB246" s="131">
        <v>0.32069999999999999</v>
      </c>
      <c r="AC246" s="131">
        <v>1.42</v>
      </c>
      <c r="AD246" s="131">
        <v>2.5457000000000001</v>
      </c>
      <c r="AE246" s="131">
        <v>0.79069999999999996</v>
      </c>
      <c r="AF246" s="132" t="s">
        <v>81</v>
      </c>
      <c r="AG246" s="133"/>
      <c r="AH246" s="133">
        <v>2600</v>
      </c>
      <c r="AI246" s="133"/>
      <c r="AJ246" s="133"/>
      <c r="AK246" s="133"/>
      <c r="AL246" s="133"/>
      <c r="AM246" s="133"/>
      <c r="AN246" s="134"/>
      <c r="AO246" s="135">
        <f t="shared" si="117"/>
        <v>9.285714285714286E-2</v>
      </c>
      <c r="AP246" s="136" t="s">
        <v>82</v>
      </c>
      <c r="AQ246" s="133"/>
      <c r="AR246" s="124"/>
      <c r="AS246" s="124"/>
      <c r="AT246" s="124"/>
      <c r="AU246" s="124">
        <v>25400</v>
      </c>
      <c r="AV246" s="124"/>
      <c r="AW246" s="124"/>
      <c r="AX246" s="124"/>
      <c r="AY246" s="124"/>
      <c r="AZ246" s="124"/>
      <c r="BA246" s="124"/>
      <c r="BB246" s="124"/>
      <c r="BC246" s="124"/>
      <c r="BD246" s="124"/>
      <c r="BE246" s="124"/>
      <c r="BF246" s="133"/>
      <c r="BG246" s="124"/>
      <c r="BH246" s="137"/>
      <c r="BI246" s="138">
        <f t="shared" si="118"/>
        <v>0.90714285714285714</v>
      </c>
      <c r="BJ246" s="139">
        <v>2.85</v>
      </c>
      <c r="BK246" s="140">
        <v>45</v>
      </c>
      <c r="BL246" s="129">
        <v>3.5999999999999997E-2</v>
      </c>
      <c r="BM246" s="129">
        <v>0.157</v>
      </c>
      <c r="BN246" s="129">
        <v>0.46500000000000002</v>
      </c>
      <c r="BO246" s="129">
        <v>0.91500000000000004</v>
      </c>
      <c r="BP246" s="129">
        <v>0.47749999999999998</v>
      </c>
      <c r="BQ246" s="129">
        <v>0.03</v>
      </c>
      <c r="BR246" s="129">
        <v>2.5750000000000002</v>
      </c>
      <c r="BS246" s="129">
        <v>2.9329999999999998</v>
      </c>
      <c r="BT246" s="122">
        <v>46</v>
      </c>
      <c r="BU246" s="124"/>
      <c r="BV246" s="147">
        <v>42269</v>
      </c>
      <c r="BW246" s="125">
        <v>0.69947403513270923</v>
      </c>
      <c r="BX246" s="124">
        <v>26902</v>
      </c>
      <c r="BY246" s="124">
        <v>11512</v>
      </c>
      <c r="BZ246" s="125">
        <v>0.42792357445543083</v>
      </c>
      <c r="CA246" s="124">
        <v>63</v>
      </c>
      <c r="CB246" s="124">
        <v>242</v>
      </c>
      <c r="CC246" s="125">
        <v>2.341833320942681E-3</v>
      </c>
      <c r="CD246" s="125">
        <v>8.9956137090179168E-3</v>
      </c>
    </row>
    <row r="247" spans="1:82" x14ac:dyDescent="0.25">
      <c r="A247" s="120" t="s">
        <v>108</v>
      </c>
      <c r="B247" s="121" t="s">
        <v>80</v>
      </c>
      <c r="C247" s="122">
        <v>932</v>
      </c>
      <c r="D247" s="157">
        <v>802.73</v>
      </c>
      <c r="E247" s="157">
        <v>17930.171900000001</v>
      </c>
      <c r="F247" s="124">
        <v>36000</v>
      </c>
      <c r="G247" s="124">
        <v>34780</v>
      </c>
      <c r="H247" s="125">
        <v>3.3888888888888892E-2</v>
      </c>
      <c r="I247" s="120">
        <v>243</v>
      </c>
      <c r="J247" s="125">
        <v>6.7499999999999999E-3</v>
      </c>
      <c r="K247" s="124">
        <v>96050</v>
      </c>
      <c r="L247" s="124">
        <v>170340</v>
      </c>
      <c r="M247" s="126">
        <v>2.7616446233467511</v>
      </c>
      <c r="N247" s="126">
        <v>1.7734513274336283</v>
      </c>
      <c r="O247" s="126">
        <v>1.7829350243717759</v>
      </c>
      <c r="P247" s="127">
        <v>0.51553110695802185</v>
      </c>
      <c r="Q247" s="127">
        <v>2.308021851638873E-2</v>
      </c>
      <c r="R247" s="124">
        <v>2700</v>
      </c>
      <c r="S247" s="127">
        <v>6.6408044074074075</v>
      </c>
      <c r="T247" s="126">
        <v>13.333333333333334</v>
      </c>
      <c r="U247" s="126">
        <v>4.8976423231742379</v>
      </c>
      <c r="V247" s="128">
        <v>44.15</v>
      </c>
      <c r="W247" s="124"/>
      <c r="X247" s="126"/>
      <c r="Y247" s="124"/>
      <c r="Z247" s="129">
        <v>6.2551407097321654E-2</v>
      </c>
      <c r="AA247" s="158" t="s">
        <v>84</v>
      </c>
      <c r="AB247" s="129">
        <v>0.30499999999999999</v>
      </c>
      <c r="AC247" s="129">
        <v>1.4088888888888889</v>
      </c>
      <c r="AD247" s="129">
        <v>2.4372222222222222</v>
      </c>
      <c r="AE247" s="129">
        <v>0.5805555555555556</v>
      </c>
      <c r="AF247" s="132" t="s">
        <v>81</v>
      </c>
      <c r="AG247" s="133"/>
      <c r="AH247" s="133"/>
      <c r="AI247" s="133"/>
      <c r="AJ247" s="133"/>
      <c r="AK247" s="133"/>
      <c r="AL247" s="120"/>
      <c r="AM247" s="133">
        <v>17300</v>
      </c>
      <c r="AN247" s="134"/>
      <c r="AO247" s="135">
        <f t="shared" si="117"/>
        <v>0.48055555555555557</v>
      </c>
      <c r="AP247" s="136" t="s">
        <v>82</v>
      </c>
      <c r="AQ247" s="133"/>
      <c r="AR247" s="124"/>
      <c r="AS247" s="124"/>
      <c r="AT247" s="124"/>
      <c r="AU247" s="124"/>
      <c r="AV247" s="124"/>
      <c r="AW247" s="124"/>
      <c r="AX247" s="124"/>
      <c r="AY247" s="124">
        <v>13000</v>
      </c>
      <c r="AZ247" s="124"/>
      <c r="BA247" s="124"/>
      <c r="BB247" s="124"/>
      <c r="BC247" s="124"/>
      <c r="BD247" s="124"/>
      <c r="BE247" s="124"/>
      <c r="BF247" s="133">
        <v>5700</v>
      </c>
      <c r="BG247" s="124"/>
      <c r="BH247" s="137"/>
      <c r="BI247" s="138">
        <f t="shared" si="118"/>
        <v>0.51944444444444449</v>
      </c>
      <c r="BJ247" s="139">
        <v>2.6680000000000001</v>
      </c>
      <c r="BK247" s="140">
        <v>42</v>
      </c>
      <c r="BL247" s="129">
        <v>4.4499999999999998E-2</v>
      </c>
      <c r="BM247" s="129">
        <v>0.19600000000000001</v>
      </c>
      <c r="BN247" s="129"/>
      <c r="BO247" s="129">
        <v>0.89500000000000002</v>
      </c>
      <c r="BP247" s="129">
        <v>1.41</v>
      </c>
      <c r="BQ247" s="129">
        <v>2.012</v>
      </c>
      <c r="BR247" s="129">
        <v>2.6829999999999998</v>
      </c>
      <c r="BS247" s="129">
        <v>2.81</v>
      </c>
      <c r="BT247" s="122">
        <v>45</v>
      </c>
      <c r="BU247" s="124">
        <v>5000</v>
      </c>
      <c r="BV247" s="147">
        <v>42232</v>
      </c>
      <c r="BW247" s="125">
        <v>0.70445101509630403</v>
      </c>
      <c r="BX247" s="124">
        <v>34280</v>
      </c>
      <c r="BY247" s="124">
        <v>16424</v>
      </c>
      <c r="BZ247" s="125">
        <v>0.4791131855309218</v>
      </c>
      <c r="CA247" s="124">
        <v>123</v>
      </c>
      <c r="CB247" s="124">
        <v>301</v>
      </c>
      <c r="CC247" s="125">
        <v>3.5880980163360558E-3</v>
      </c>
      <c r="CD247" s="125">
        <v>8.7806301050175027E-3</v>
      </c>
    </row>
    <row r="248" spans="1:82" x14ac:dyDescent="0.25">
      <c r="A248" s="120" t="s">
        <v>118</v>
      </c>
      <c r="B248" s="121" t="s">
        <v>80</v>
      </c>
      <c r="C248" s="122">
        <v>908</v>
      </c>
      <c r="D248" s="123">
        <v>1734.3</v>
      </c>
      <c r="E248" s="123">
        <v>54090.92</v>
      </c>
      <c r="F248" s="124">
        <v>99200</v>
      </c>
      <c r="G248" s="124">
        <v>97980</v>
      </c>
      <c r="H248" s="125">
        <f>IF(F248=0,0,+((F248-G248)/F248))</f>
        <v>1.2298387096774194E-2</v>
      </c>
      <c r="I248" s="120">
        <v>858</v>
      </c>
      <c r="J248" s="125">
        <f>+(I248/F248)</f>
        <v>8.6491935483870973E-3</v>
      </c>
      <c r="K248" s="124">
        <v>285900</v>
      </c>
      <c r="L248" s="124">
        <v>515800</v>
      </c>
      <c r="M248" s="126">
        <f>IF(G248=0,0,+K248/G248)</f>
        <v>2.9179424372320883</v>
      </c>
      <c r="N248" s="126">
        <f>IF(K248=0,0,+L248/K248)</f>
        <v>1.8041273172437915</v>
      </c>
      <c r="O248" s="126">
        <f>+L248/((G248-CA248-CB248)*M248)</f>
        <v>1.818623592254516</v>
      </c>
      <c r="P248" s="127">
        <f>IF(G248=0,0,+E248/G248)</f>
        <v>0.55206082874055928</v>
      </c>
      <c r="Q248" s="127">
        <f>IF(G248=0,0,+D248/G248)</f>
        <v>1.7700551132884261E-2</v>
      </c>
      <c r="R248" s="124">
        <v>8137</v>
      </c>
      <c r="S248" s="127">
        <f>IF(R248=0,0,+E248/R248)</f>
        <v>6.6475261152759</v>
      </c>
      <c r="T248" s="126">
        <f>IF(R248=0,0,+F248/R248)</f>
        <v>12.191225267297529</v>
      </c>
      <c r="U248" s="126">
        <f>IF(L248=0,0,+L248/G248)</f>
        <v>5.2643396611553381</v>
      </c>
      <c r="V248" s="128">
        <v>44.63</v>
      </c>
      <c r="W248" s="124"/>
      <c r="X248" s="126"/>
      <c r="Y248" s="124"/>
      <c r="Z248" s="129">
        <f>IF(V248=0,0,+M248/V248)</f>
        <v>6.538074024718997E-2</v>
      </c>
      <c r="AA248" s="130" t="str">
        <f>IF(W248=0,"",+X248/W248)</f>
        <v/>
      </c>
      <c r="AB248" s="131">
        <v>0.31411290322580643</v>
      </c>
      <c r="AC248" s="131">
        <v>1.4338709677419355</v>
      </c>
      <c r="AD248" s="131">
        <v>2.6651209677419354</v>
      </c>
      <c r="AE248" s="131">
        <v>0.78649193548387097</v>
      </c>
      <c r="AF248" s="132" t="s">
        <v>81</v>
      </c>
      <c r="AG248" s="133"/>
      <c r="AH248" s="133"/>
      <c r="AI248" s="133"/>
      <c r="AJ248" s="133"/>
      <c r="AK248" s="133"/>
      <c r="AL248" s="133"/>
      <c r="AM248" s="133"/>
      <c r="AN248" s="143"/>
      <c r="AO248" s="135">
        <f t="shared" si="117"/>
        <v>0</v>
      </c>
      <c r="AP248" s="136" t="s">
        <v>82</v>
      </c>
      <c r="AQ248" s="133"/>
      <c r="AR248" s="124"/>
      <c r="AS248" s="124"/>
      <c r="AT248" s="124"/>
      <c r="AU248" s="124"/>
      <c r="AV248" s="124"/>
      <c r="AW248" s="124"/>
      <c r="AX248" s="124"/>
      <c r="AY248" s="124"/>
      <c r="AZ248" s="124"/>
      <c r="BA248" s="124"/>
      <c r="BB248" s="124"/>
      <c r="BC248" s="124"/>
      <c r="BD248" s="124"/>
      <c r="BE248" s="124"/>
      <c r="BF248" s="133">
        <v>73500</v>
      </c>
      <c r="BG248" s="124">
        <v>25700</v>
      </c>
      <c r="BH248" s="137"/>
      <c r="BI248" s="138">
        <f t="shared" si="118"/>
        <v>1</v>
      </c>
      <c r="BJ248" s="139">
        <v>2.6930000000000001</v>
      </c>
      <c r="BK248" s="140">
        <v>41</v>
      </c>
      <c r="BL248" s="129">
        <v>0.04</v>
      </c>
      <c r="BM248" s="129">
        <v>0.17249999999999999</v>
      </c>
      <c r="BN248" s="129">
        <v>0.47499999999999998</v>
      </c>
      <c r="BO248" s="129">
        <v>0.90900000000000003</v>
      </c>
      <c r="BP248" s="129">
        <v>1.573</v>
      </c>
      <c r="BQ248" s="129">
        <v>2.19</v>
      </c>
      <c r="BR248" s="129">
        <v>2.6859999999999999</v>
      </c>
      <c r="BS248" s="129">
        <v>3.11</v>
      </c>
      <c r="BT248" s="122">
        <v>46</v>
      </c>
      <c r="BU248" s="124"/>
      <c r="BV248" s="142">
        <v>42324</v>
      </c>
      <c r="BW248" s="125">
        <v>0.69840122420426709</v>
      </c>
      <c r="BX248" s="124">
        <v>97278</v>
      </c>
      <c r="BY248" s="124">
        <v>40320</v>
      </c>
      <c r="BZ248" s="125">
        <v>0.41448220563745142</v>
      </c>
      <c r="CA248" s="124">
        <v>259</v>
      </c>
      <c r="CB248" s="124">
        <v>522</v>
      </c>
      <c r="CC248" s="125">
        <v>2.6624725014905734E-3</v>
      </c>
      <c r="CD248" s="125">
        <v>5.3660642694134337E-3</v>
      </c>
    </row>
    <row r="249" spans="1:82" x14ac:dyDescent="0.25">
      <c r="A249" s="120" t="s">
        <v>123</v>
      </c>
      <c r="B249" s="121" t="s">
        <v>80</v>
      </c>
      <c r="C249" s="122">
        <v>830</v>
      </c>
      <c r="D249" s="148">
        <v>536.69000000000005</v>
      </c>
      <c r="E249" s="148">
        <v>11184.167759999998</v>
      </c>
      <c r="F249" s="124">
        <v>23400</v>
      </c>
      <c r="G249" s="124">
        <v>23312</v>
      </c>
      <c r="H249" s="125">
        <f>IF(F249=0,0,+((F249-G249)/F249))</f>
        <v>3.7606837606837607E-3</v>
      </c>
      <c r="I249" s="120">
        <v>151</v>
      </c>
      <c r="J249" s="125">
        <f>+(I249/F249)</f>
        <v>6.4529914529914533E-3</v>
      </c>
      <c r="K249" s="124">
        <v>61360</v>
      </c>
      <c r="L249" s="124">
        <v>109460</v>
      </c>
      <c r="M249" s="126">
        <f>IF(G249=0,0,+K249/G249)</f>
        <v>2.6321207961564861</v>
      </c>
      <c r="N249" s="126">
        <f>IF(K249=0,0,+L249/K249)</f>
        <v>1.7838983050847457</v>
      </c>
      <c r="O249" s="126">
        <f>+L249/((G249-CA248-CB248)*M249)</f>
        <v>1.8457342012398734</v>
      </c>
      <c r="P249" s="127">
        <f>+E249/G249</f>
        <v>0.47976011324639661</v>
      </c>
      <c r="Q249" s="127">
        <f>+D249/G249</f>
        <v>2.3022048730267676E-2</v>
      </c>
      <c r="R249" s="124">
        <v>1680</v>
      </c>
      <c r="S249" s="149">
        <f>+E249/R249</f>
        <v>6.6572427142857133</v>
      </c>
      <c r="T249" s="126">
        <f>IF(R249=0,0,+F249/R249)</f>
        <v>13.928571428571429</v>
      </c>
      <c r="U249" s="126">
        <f>IF(L249=0,0,+L249/G249)</f>
        <v>4.6954358270418668</v>
      </c>
      <c r="V249" s="128">
        <v>43</v>
      </c>
      <c r="W249" s="124">
        <v>31</v>
      </c>
      <c r="X249" s="126">
        <v>1.8779999999999999</v>
      </c>
      <c r="Y249" s="124">
        <v>7562</v>
      </c>
      <c r="Z249" s="129">
        <f>IF(V249=0,0,+M249/V249)</f>
        <v>6.1212111538522934E-2</v>
      </c>
      <c r="AA249" s="150">
        <f>IF(W249=0,"",+X249/W249)</f>
        <v>6.0580645161290317E-2</v>
      </c>
      <c r="AB249" s="131">
        <v>0.34189999999999998</v>
      </c>
      <c r="AC249" s="131">
        <v>1.0543</v>
      </c>
      <c r="AD249" s="131">
        <v>1.6261000000000001</v>
      </c>
      <c r="AE249" s="131">
        <v>1.6556</v>
      </c>
      <c r="AF249" s="132" t="s">
        <v>81</v>
      </c>
      <c r="AG249" s="133"/>
      <c r="AH249" s="133"/>
      <c r="AI249" s="133"/>
      <c r="AJ249" s="133"/>
      <c r="AK249" s="133"/>
      <c r="AL249" s="133"/>
      <c r="AM249" s="133">
        <v>23400</v>
      </c>
      <c r="AN249" s="134"/>
      <c r="AO249" s="135">
        <f t="shared" si="117"/>
        <v>1</v>
      </c>
      <c r="AP249" s="136" t="s">
        <v>82</v>
      </c>
      <c r="AQ249" s="124"/>
      <c r="AR249" s="124"/>
      <c r="AS249" s="124"/>
      <c r="AT249" s="124"/>
      <c r="AU249" s="124"/>
      <c r="AV249" s="124"/>
      <c r="AW249" s="124"/>
      <c r="AX249" s="124"/>
      <c r="AY249" s="124"/>
      <c r="AZ249" s="124"/>
      <c r="BA249" s="124"/>
      <c r="BB249" s="124"/>
      <c r="BC249" s="124"/>
      <c r="BD249" s="124"/>
      <c r="BE249" s="124"/>
      <c r="BF249" s="124"/>
      <c r="BG249" s="124"/>
      <c r="BH249" s="137"/>
      <c r="BI249" s="138">
        <f t="shared" si="118"/>
        <v>0</v>
      </c>
      <c r="BJ249" s="139">
        <v>2.9940000000000002</v>
      </c>
      <c r="BK249" s="140">
        <v>43</v>
      </c>
      <c r="BL249" s="159" t="s">
        <v>104</v>
      </c>
      <c r="BM249" s="129">
        <v>0.2</v>
      </c>
      <c r="BN249" s="129">
        <v>0.5</v>
      </c>
      <c r="BO249" s="129">
        <v>1</v>
      </c>
      <c r="BP249" s="129">
        <v>1.6</v>
      </c>
      <c r="BQ249" s="159" t="s">
        <v>104</v>
      </c>
      <c r="BR249" s="129">
        <v>2.95</v>
      </c>
      <c r="BS249" s="129">
        <v>2.9940000000000002</v>
      </c>
      <c r="BT249" s="122">
        <v>43</v>
      </c>
      <c r="BU249" s="124"/>
      <c r="BV249" s="147">
        <v>42276</v>
      </c>
      <c r="BW249" s="125">
        <v>0.71219189991518239</v>
      </c>
      <c r="BX249" s="124">
        <v>15532</v>
      </c>
      <c r="BY249" s="124">
        <v>3672</v>
      </c>
      <c r="BZ249" s="125">
        <v>0.23641514293072366</v>
      </c>
      <c r="CA249" s="124">
        <v>27</v>
      </c>
      <c r="CB249" s="124">
        <v>277</v>
      </c>
      <c r="CC249" s="125">
        <v>1.7383466391964976E-3</v>
      </c>
      <c r="CD249" s="125">
        <v>1.7834148853978882E-2</v>
      </c>
    </row>
    <row r="250" spans="1:82" x14ac:dyDescent="0.25">
      <c r="A250" s="120" t="s">
        <v>130</v>
      </c>
      <c r="B250" s="121" t="s">
        <v>80</v>
      </c>
      <c r="C250" s="122">
        <v>870</v>
      </c>
      <c r="D250" s="144">
        <v>1090.67</v>
      </c>
      <c r="E250" s="144">
        <v>29352.17</v>
      </c>
      <c r="F250" s="124">
        <v>59600</v>
      </c>
      <c r="G250" s="124">
        <v>58700</v>
      </c>
      <c r="H250" s="125">
        <f>IF(F250=0,0,+((F250-G250)/F250))</f>
        <v>1.5100671140939598E-2</v>
      </c>
      <c r="I250" s="120">
        <v>409</v>
      </c>
      <c r="J250" s="125">
        <f>+(I250/F250)</f>
        <v>6.8624161073825504E-3</v>
      </c>
      <c r="K250" s="124">
        <v>170560</v>
      </c>
      <c r="L250" s="124">
        <v>309820</v>
      </c>
      <c r="M250" s="126">
        <f>IF(G250=0,0,+K250/G250)</f>
        <v>2.9056218057921637</v>
      </c>
      <c r="N250" s="126">
        <f>IF(K250=0,0,+L250/K250)</f>
        <v>1.8164868667917449</v>
      </c>
      <c r="O250" s="126">
        <f>+L250/((G250-CA250-CB250)*M250)</f>
        <v>1.8288871579135437</v>
      </c>
      <c r="P250" s="127">
        <f>IF(G250=0,0,+E250/G250)</f>
        <v>0.50003696763202721</v>
      </c>
      <c r="Q250" s="127">
        <f>IF(G250=0,0,+D250/G250)</f>
        <v>1.8580408858603067E-2</v>
      </c>
      <c r="R250" s="124">
        <v>4400</v>
      </c>
      <c r="S250" s="127">
        <f>IF(R250=0,0,+E250/R250)</f>
        <v>6.6709477272727264</v>
      </c>
      <c r="T250" s="126">
        <f>IF(R250=0,0,+F250/R250)</f>
        <v>13.545454545454545</v>
      </c>
      <c r="U250" s="126">
        <f>IF(L250=0,0,+L250/G250)</f>
        <v>5.2780238500851793</v>
      </c>
      <c r="V250" s="128">
        <v>42.84</v>
      </c>
      <c r="W250" s="124"/>
      <c r="X250" s="126"/>
      <c r="Y250" s="124"/>
      <c r="Z250" s="129">
        <f>IF(V250=0,0,+M250/V250)</f>
        <v>6.7824972124000085E-2</v>
      </c>
      <c r="AA250" s="145" t="str">
        <f>IF(W250=0,"",+X250/W250)</f>
        <v/>
      </c>
      <c r="AB250" s="129">
        <v>0.30469798657718122</v>
      </c>
      <c r="AC250" s="129">
        <v>1.4134228187919462</v>
      </c>
      <c r="AD250" s="129">
        <v>2.5426174496644296</v>
      </c>
      <c r="AE250" s="129">
        <v>0.93758389261744968</v>
      </c>
      <c r="AF250" s="132" t="s">
        <v>81</v>
      </c>
      <c r="AG250" s="133"/>
      <c r="AH250" s="124"/>
      <c r="AI250" s="133"/>
      <c r="AJ250" s="133"/>
      <c r="AK250" s="133"/>
      <c r="AL250" s="146"/>
      <c r="AM250" s="133"/>
      <c r="AN250" s="134"/>
      <c r="AO250" s="135">
        <f t="shared" si="117"/>
        <v>0</v>
      </c>
      <c r="AP250" s="136" t="s">
        <v>82</v>
      </c>
      <c r="AQ250" s="133"/>
      <c r="AR250" s="124"/>
      <c r="AS250" s="124"/>
      <c r="AT250" s="124"/>
      <c r="AU250" s="124"/>
      <c r="AV250" s="124"/>
      <c r="AW250" s="146"/>
      <c r="AX250" s="124"/>
      <c r="AY250" s="124"/>
      <c r="AZ250" s="124"/>
      <c r="BA250" s="124"/>
      <c r="BB250" s="124"/>
      <c r="BC250" s="124"/>
      <c r="BD250" s="124"/>
      <c r="BE250" s="124">
        <v>39800</v>
      </c>
      <c r="BF250" s="133"/>
      <c r="BG250" s="124">
        <v>19800</v>
      </c>
      <c r="BH250" s="137"/>
      <c r="BI250" s="138">
        <f t="shared" si="118"/>
        <v>1</v>
      </c>
      <c r="BJ250" s="139">
        <v>2.8759999999999999</v>
      </c>
      <c r="BK250" s="140">
        <v>41</v>
      </c>
      <c r="BL250" s="129">
        <v>4.2000000000000003E-2</v>
      </c>
      <c r="BM250" s="129">
        <v>0.189</v>
      </c>
      <c r="BN250" s="129">
        <v>0.53400000000000003</v>
      </c>
      <c r="BO250" s="129">
        <v>0.97899999999999998</v>
      </c>
      <c r="BP250" s="129">
        <v>1.49</v>
      </c>
      <c r="BQ250" s="129">
        <v>2.0880000000000001</v>
      </c>
      <c r="BR250" s="129">
        <v>2.9449999999999998</v>
      </c>
      <c r="BS250" s="129">
        <v>2.9329999999999998</v>
      </c>
      <c r="BT250" s="122">
        <v>48</v>
      </c>
      <c r="BU250" s="124"/>
      <c r="BV250" s="147">
        <v>42159</v>
      </c>
      <c r="BW250" s="125">
        <v>0.69018596453749192</v>
      </c>
      <c r="BX250" s="124">
        <v>31560</v>
      </c>
      <c r="BY250" s="124">
        <v>15528</v>
      </c>
      <c r="BZ250" s="125">
        <v>0.49201520912547531</v>
      </c>
      <c r="CA250" s="124">
        <v>206</v>
      </c>
      <c r="CB250" s="124">
        <v>192</v>
      </c>
      <c r="CC250" s="125">
        <v>6.5272496831432197E-3</v>
      </c>
      <c r="CD250" s="125">
        <v>6.0836501901140681E-3</v>
      </c>
    </row>
    <row r="251" spans="1:82" x14ac:dyDescent="0.25">
      <c r="A251" s="120" t="s">
        <v>97</v>
      </c>
      <c r="B251" s="121" t="s">
        <v>80</v>
      </c>
      <c r="C251" s="122">
        <v>880</v>
      </c>
      <c r="D251" s="144">
        <v>2104.67</v>
      </c>
      <c r="E251" s="144">
        <f>32799.13+U251+V251</f>
        <v>32846.488221113883</v>
      </c>
      <c r="F251" s="124">
        <v>62600</v>
      </c>
      <c r="G251" s="124">
        <v>60150</v>
      </c>
      <c r="H251" s="125">
        <f>IF(F251=0,0,+((F251-G251)/F251))</f>
        <v>3.9137380191693293E-2</v>
      </c>
      <c r="I251" s="120">
        <v>1062</v>
      </c>
      <c r="J251" s="125">
        <f>+(I251/F251)</f>
        <v>1.6964856230031949E-2</v>
      </c>
      <c r="K251" s="124">
        <v>181980</v>
      </c>
      <c r="L251" s="124">
        <v>323500</v>
      </c>
      <c r="M251" s="126">
        <f>IF(G251=0,0,+K251/G251)</f>
        <v>3.0254364089775563</v>
      </c>
      <c r="N251" s="126">
        <f>IF(K251=0,0,+L251/K251)</f>
        <v>1.7776678755907243</v>
      </c>
      <c r="O251" s="126">
        <f>+L251/((G251-CA251-CB251)*M251)</f>
        <v>1.812470933414392</v>
      </c>
      <c r="P251" s="127">
        <f>+E251/G251</f>
        <v>0.54607627965276617</v>
      </c>
      <c r="Q251" s="127">
        <f>+D251/G251</f>
        <v>3.4990357439733999E-2</v>
      </c>
      <c r="R251" s="124">
        <v>4914</v>
      </c>
      <c r="S251" s="149">
        <f>+E251/R251</f>
        <v>6.6842670372637123</v>
      </c>
      <c r="T251" s="126">
        <f>IF(R251=0,0,+F251/R251)</f>
        <v>12.739112739112739</v>
      </c>
      <c r="U251" s="126">
        <f>IF(L251=0,0,+L251/G251)</f>
        <v>5.3782211138819616</v>
      </c>
      <c r="V251" s="128">
        <v>41.98</v>
      </c>
      <c r="W251" s="124"/>
      <c r="X251" s="126"/>
      <c r="Y251" s="124"/>
      <c r="Z251" s="129">
        <f>IF(V251=0,0,+M251/V251)</f>
        <v>7.2068518555920835E-2</v>
      </c>
      <c r="AA251" s="145" t="str">
        <f>IF(W251=0,"",+X251/W251)</f>
        <v/>
      </c>
      <c r="AB251" s="129">
        <v>0.32044728434504793</v>
      </c>
      <c r="AC251" s="129">
        <v>1.368370607028754</v>
      </c>
      <c r="AD251" s="129">
        <v>2.6661341853035143</v>
      </c>
      <c r="AE251" s="129">
        <v>0.81277955271565494</v>
      </c>
      <c r="AF251" s="132" t="s">
        <v>81</v>
      </c>
      <c r="AG251" s="133"/>
      <c r="AH251" s="133"/>
      <c r="AI251" s="133"/>
      <c r="AJ251" s="133"/>
      <c r="AK251" s="133"/>
      <c r="AL251" s="146"/>
      <c r="AM251" s="133"/>
      <c r="AN251" s="134"/>
      <c r="AO251" s="135">
        <f t="shared" si="117"/>
        <v>0</v>
      </c>
      <c r="AP251" s="136" t="s">
        <v>82</v>
      </c>
      <c r="AQ251" s="133"/>
      <c r="AR251" s="124"/>
      <c r="AS251" s="124"/>
      <c r="AT251" s="124">
        <v>24500</v>
      </c>
      <c r="AU251" s="124"/>
      <c r="AV251" s="124">
        <v>38100</v>
      </c>
      <c r="AW251" s="146"/>
      <c r="AX251" s="124"/>
      <c r="AY251" s="124"/>
      <c r="AZ251" s="124"/>
      <c r="BA251" s="124"/>
      <c r="BB251" s="124"/>
      <c r="BC251" s="124"/>
      <c r="BD251" s="124"/>
      <c r="BE251" s="124"/>
      <c r="BF251" s="124"/>
      <c r="BG251" s="124"/>
      <c r="BH251" s="137"/>
      <c r="BI251" s="138">
        <f t="shared" si="118"/>
        <v>1</v>
      </c>
      <c r="BJ251" s="139">
        <v>2.9079999999999999</v>
      </c>
      <c r="BK251" s="140">
        <v>41</v>
      </c>
      <c r="BL251" s="129">
        <v>0.04</v>
      </c>
      <c r="BM251" s="129">
        <v>0.19</v>
      </c>
      <c r="BN251" s="129">
        <v>0.48959999999999998</v>
      </c>
      <c r="BO251" s="129">
        <v>1.0529999999999999</v>
      </c>
      <c r="BP251" s="129">
        <v>1.657</v>
      </c>
      <c r="BQ251" s="129">
        <v>2.25</v>
      </c>
      <c r="BR251" s="129">
        <v>3</v>
      </c>
      <c r="BS251" s="129">
        <v>3.028</v>
      </c>
      <c r="BT251" s="122">
        <v>43</v>
      </c>
      <c r="BU251" s="124"/>
      <c r="BV251" s="147">
        <v>42045</v>
      </c>
      <c r="BW251" s="125">
        <v>0.68979646114957693</v>
      </c>
      <c r="BX251" s="124">
        <v>59040</v>
      </c>
      <c r="BY251" s="124">
        <v>25152</v>
      </c>
      <c r="BZ251" s="125">
        <v>0.42601626016260163</v>
      </c>
      <c r="CA251" s="124">
        <v>470</v>
      </c>
      <c r="CB251" s="124">
        <v>685</v>
      </c>
      <c r="CC251" s="125">
        <v>7.9607046070460704E-3</v>
      </c>
      <c r="CD251" s="125">
        <v>1.1602303523035231E-2</v>
      </c>
    </row>
    <row r="252" spans="1:82" x14ac:dyDescent="0.25">
      <c r="A252" s="120" t="s">
        <v>114</v>
      </c>
      <c r="B252" s="121" t="s">
        <v>115</v>
      </c>
      <c r="C252" s="122">
        <v>657</v>
      </c>
      <c r="D252" s="157">
        <v>504.15</v>
      </c>
      <c r="E252" s="157">
        <v>9882.6623999999993</v>
      </c>
      <c r="F252" s="124">
        <v>19100</v>
      </c>
      <c r="G252" s="124">
        <v>18880</v>
      </c>
      <c r="H252" s="125">
        <v>1.1518324607329843E-2</v>
      </c>
      <c r="I252" s="120">
        <v>177</v>
      </c>
      <c r="J252" s="125">
        <v>9.2670157068062819E-3</v>
      </c>
      <c r="K252" s="124">
        <v>49880</v>
      </c>
      <c r="L252" s="124">
        <v>85400</v>
      </c>
      <c r="M252" s="126">
        <v>2.6419491525423728</v>
      </c>
      <c r="N252" s="126">
        <v>1.7121090617481958</v>
      </c>
      <c r="O252" s="126">
        <v>1.7353636702531772</v>
      </c>
      <c r="P252" s="127">
        <v>0.52344610169491523</v>
      </c>
      <c r="Q252" s="127">
        <v>2.6702860169491523E-2</v>
      </c>
      <c r="R252" s="124">
        <v>1476</v>
      </c>
      <c r="S252" s="127">
        <v>6.695570731707317</v>
      </c>
      <c r="T252" s="126">
        <v>12.940379403794038</v>
      </c>
      <c r="U252" s="126">
        <v>4.523305084745763</v>
      </c>
      <c r="V252" s="128">
        <v>44</v>
      </c>
      <c r="W252" s="124"/>
      <c r="X252" s="126"/>
      <c r="Y252" s="124"/>
      <c r="Z252" s="129">
        <v>6.0044298921417563E-2</v>
      </c>
      <c r="AA252" s="158" t="s">
        <v>84</v>
      </c>
      <c r="AB252" s="129">
        <v>0.30941176470588233</v>
      </c>
      <c r="AC252" s="129">
        <v>1.4623529411764706</v>
      </c>
      <c r="AD252" s="129">
        <v>2.196470588235294</v>
      </c>
      <c r="AE252" s="129">
        <v>0.5117647058823529</v>
      </c>
      <c r="AF252" s="132" t="s">
        <v>81</v>
      </c>
      <c r="AG252" s="133"/>
      <c r="AH252" s="133">
        <v>1700</v>
      </c>
      <c r="AI252" s="133">
        <v>13300</v>
      </c>
      <c r="AJ252" s="133"/>
      <c r="AK252" s="133"/>
      <c r="AL252" s="120"/>
      <c r="AM252" s="133"/>
      <c r="AN252" s="134"/>
      <c r="AO252" s="135">
        <f t="shared" si="117"/>
        <v>0.78534031413612571</v>
      </c>
      <c r="AP252" s="136" t="s">
        <v>82</v>
      </c>
      <c r="AQ252" s="124"/>
      <c r="AR252" s="124"/>
      <c r="AS252" s="124"/>
      <c r="AT252" s="124"/>
      <c r="AU252" s="124"/>
      <c r="AV252" s="124"/>
      <c r="AW252" s="124"/>
      <c r="AX252" s="124"/>
      <c r="AY252" s="124"/>
      <c r="AZ252" s="124"/>
      <c r="BA252" s="124"/>
      <c r="BB252" s="124"/>
      <c r="BC252" s="124"/>
      <c r="BD252" s="124"/>
      <c r="BE252" s="124"/>
      <c r="BF252" s="124">
        <v>4100</v>
      </c>
      <c r="BG252" s="124"/>
      <c r="BH252" s="137"/>
      <c r="BI252" s="138">
        <f t="shared" si="118"/>
        <v>0.21465968586387435</v>
      </c>
      <c r="BJ252" s="139">
        <v>2.6419999999999999</v>
      </c>
      <c r="BK252" s="140">
        <v>44</v>
      </c>
      <c r="BL252" s="129"/>
      <c r="BM252" s="129">
        <v>0.158</v>
      </c>
      <c r="BN252" s="129">
        <v>0.42499999999999999</v>
      </c>
      <c r="BO252" s="129">
        <v>0.83</v>
      </c>
      <c r="BP252" s="129">
        <v>1.36</v>
      </c>
      <c r="BQ252" s="129">
        <v>1.9</v>
      </c>
      <c r="BR252" s="129">
        <v>2.59</v>
      </c>
      <c r="BS252" s="129">
        <v>2.6419999999999999</v>
      </c>
      <c r="BT252" s="122">
        <v>44</v>
      </c>
      <c r="BU252" s="124"/>
      <c r="BV252" s="147">
        <v>42246</v>
      </c>
      <c r="BW252" s="125">
        <v>0.72827425821972736</v>
      </c>
      <c r="BX252" s="124">
        <v>18742</v>
      </c>
      <c r="BY252" s="124">
        <v>7984</v>
      </c>
      <c r="BZ252" s="125">
        <v>0.42599509123892859</v>
      </c>
      <c r="CA252" s="124">
        <v>59</v>
      </c>
      <c r="CB252" s="124">
        <v>143</v>
      </c>
      <c r="CC252" s="125">
        <v>3.1480098175221427E-3</v>
      </c>
      <c r="CD252" s="125">
        <v>7.6299221000960408E-3</v>
      </c>
    </row>
    <row r="253" spans="1:82" x14ac:dyDescent="0.25">
      <c r="A253" s="120" t="s">
        <v>128</v>
      </c>
      <c r="B253" s="121" t="s">
        <v>86</v>
      </c>
      <c r="C253" s="122">
        <v>730</v>
      </c>
      <c r="D253" s="123">
        <v>503.87</v>
      </c>
      <c r="E253" s="123">
        <v>11258.15</v>
      </c>
      <c r="F253" s="124">
        <v>25000</v>
      </c>
      <c r="G253" s="124">
        <v>24690</v>
      </c>
      <c r="H253" s="125">
        <f t="shared" ref="H253:H261" si="161">IF(F253=0,0,+((F253-G253)/F253))</f>
        <v>1.24E-2</v>
      </c>
      <c r="I253" s="120">
        <v>195</v>
      </c>
      <c r="J253" s="125">
        <f t="shared" ref="J253:J261" si="162">+(I253/F253)</f>
        <v>7.7999999999999996E-3</v>
      </c>
      <c r="K253" s="124">
        <v>67620</v>
      </c>
      <c r="L253" s="124">
        <v>126700</v>
      </c>
      <c r="M253" s="126">
        <f t="shared" ref="M253:M261" si="163">IF(G253=0,0,+K253/G253)</f>
        <v>2.7387606318347508</v>
      </c>
      <c r="N253" s="126">
        <f t="shared" ref="N253:N261" si="164">IF(K253=0,0,+L253/K253)</f>
        <v>1.8737060041407867</v>
      </c>
      <c r="O253" s="126">
        <f t="shared" ref="O253:O278" si="165">+L253/((G253-CA253-CB253)*M253)</f>
        <v>1.8825507138535049</v>
      </c>
      <c r="P253" s="127">
        <f>IF(G253=0,0,+E253/G253)</f>
        <v>0.45598015390846497</v>
      </c>
      <c r="Q253" s="127">
        <f>IF(G253=0,0,+D253/G253)</f>
        <v>2.0407857432158769E-2</v>
      </c>
      <c r="R253" s="124">
        <v>1680</v>
      </c>
      <c r="S253" s="127">
        <f>IF(R253=0,0,+E253/R253)</f>
        <v>6.7012797619047619</v>
      </c>
      <c r="T253" s="126">
        <f t="shared" ref="T253:T261" si="166">IF(R253=0,0,+F253/R253)</f>
        <v>14.880952380952381</v>
      </c>
      <c r="U253" s="126">
        <f t="shared" ref="U253:U261" si="167">IF(L253=0,0,+L253/G253)</f>
        <v>5.1316322397731877</v>
      </c>
      <c r="V253" s="128">
        <v>45</v>
      </c>
      <c r="W253" s="124"/>
      <c r="X253" s="126"/>
      <c r="Y253" s="124"/>
      <c r="Z253" s="129">
        <f t="shared" ref="Z253:Z261" si="168">IF(V253=0,0,+M253/V253)</f>
        <v>6.0861347374105576E-2</v>
      </c>
      <c r="AA253" s="130" t="str">
        <f t="shared" ref="AA253:AA261" si="169">IF(W253=0,"",+X253/W253)</f>
        <v/>
      </c>
      <c r="AB253" s="131">
        <v>0.31759999999999999</v>
      </c>
      <c r="AC253" s="131">
        <v>1.4512</v>
      </c>
      <c r="AD253" s="131">
        <v>2.1103999999999998</v>
      </c>
      <c r="AE253" s="131">
        <v>1.1888000000000001</v>
      </c>
      <c r="AF253" s="132" t="s">
        <v>81</v>
      </c>
      <c r="AG253" s="133"/>
      <c r="AH253" s="133"/>
      <c r="AI253" s="133"/>
      <c r="AJ253" s="133"/>
      <c r="AK253" s="133"/>
      <c r="AL253" s="133"/>
      <c r="AM253" s="133"/>
      <c r="AN253" s="134"/>
      <c r="AO253" s="135">
        <f t="shared" si="117"/>
        <v>0</v>
      </c>
      <c r="AP253" s="136" t="s">
        <v>82</v>
      </c>
      <c r="AQ253" s="124"/>
      <c r="AR253" s="124"/>
      <c r="AS253" s="124"/>
      <c r="AT253" s="124"/>
      <c r="AU253" s="124">
        <v>25000</v>
      </c>
      <c r="AV253" s="124"/>
      <c r="AW253" s="124"/>
      <c r="AX253" s="124"/>
      <c r="AY253" s="124"/>
      <c r="AZ253" s="124"/>
      <c r="BA253" s="124"/>
      <c r="BB253" s="124"/>
      <c r="BC253" s="124"/>
      <c r="BD253" s="124"/>
      <c r="BE253" s="124"/>
      <c r="BF253" s="124"/>
      <c r="BG253" s="124"/>
      <c r="BH253" s="137"/>
      <c r="BI253" s="138">
        <f t="shared" si="118"/>
        <v>1</v>
      </c>
      <c r="BJ253" s="139">
        <v>2.8809999999999998</v>
      </c>
      <c r="BK253" s="140">
        <v>45</v>
      </c>
      <c r="BL253" s="129">
        <v>3.6999999999999998E-2</v>
      </c>
      <c r="BM253" s="129">
        <v>0.17</v>
      </c>
      <c r="BN253" s="129">
        <v>0.43</v>
      </c>
      <c r="BO253" s="129">
        <v>0.9</v>
      </c>
      <c r="BP253" s="129">
        <v>1.42</v>
      </c>
      <c r="BQ253" s="129">
        <v>1.9790000000000001</v>
      </c>
      <c r="BR253" s="129"/>
      <c r="BS253" s="129">
        <v>2.8809999999999998</v>
      </c>
      <c r="BT253" s="122">
        <v>45</v>
      </c>
      <c r="BU253" s="124"/>
      <c r="BV253" s="142">
        <v>42286</v>
      </c>
      <c r="BW253" s="125">
        <v>0.7170841418534627</v>
      </c>
      <c r="BX253" s="124">
        <v>20878</v>
      </c>
      <c r="BY253" s="124">
        <v>9400</v>
      </c>
      <c r="BZ253" s="125">
        <v>0.4502346968100393</v>
      </c>
      <c r="CA253" s="124">
        <v>50</v>
      </c>
      <c r="CB253" s="124">
        <v>66</v>
      </c>
      <c r="CC253" s="125">
        <v>2.3948654085640389E-3</v>
      </c>
      <c r="CD253" s="125">
        <v>3.1612223393045311E-3</v>
      </c>
    </row>
    <row r="254" spans="1:82" x14ac:dyDescent="0.25">
      <c r="A254" s="120" t="s">
        <v>111</v>
      </c>
      <c r="B254" s="121" t="s">
        <v>86</v>
      </c>
      <c r="C254" s="122">
        <v>428</v>
      </c>
      <c r="D254" s="144">
        <v>428.23</v>
      </c>
      <c r="E254" s="144">
        <v>19448.274450000001</v>
      </c>
      <c r="F254" s="124">
        <v>32800</v>
      </c>
      <c r="G254" s="124">
        <v>31090</v>
      </c>
      <c r="H254" s="125">
        <f t="shared" si="161"/>
        <v>5.2134146341463412E-2</v>
      </c>
      <c r="I254" s="120">
        <f>412+69+30</f>
        <v>511</v>
      </c>
      <c r="J254" s="125">
        <f t="shared" si="162"/>
        <v>1.5579268292682927E-2</v>
      </c>
      <c r="K254" s="124">
        <v>88995</v>
      </c>
      <c r="L254" s="124">
        <v>147460</v>
      </c>
      <c r="M254" s="126">
        <f t="shared" si="163"/>
        <v>2.8624959794146028</v>
      </c>
      <c r="N254" s="126">
        <f t="shared" si="164"/>
        <v>1.6569470194954772</v>
      </c>
      <c r="O254" s="126">
        <f t="shared" si="165"/>
        <v>1.6737980581640313</v>
      </c>
      <c r="P254" s="127">
        <f>+E254/G254</f>
        <v>0.62554758604052751</v>
      </c>
      <c r="Q254" s="127">
        <f>+D254/G254</f>
        <v>1.3773882277259569E-2</v>
      </c>
      <c r="R254" s="124">
        <v>2891</v>
      </c>
      <c r="S254" s="127">
        <f>+E254/R254</f>
        <v>6.7271789865098581</v>
      </c>
      <c r="T254" s="126">
        <f t="shared" si="166"/>
        <v>11.345555171221031</v>
      </c>
      <c r="U254" s="126">
        <f t="shared" si="167"/>
        <v>4.7430041814088133</v>
      </c>
      <c r="V254" s="128">
        <v>40.67</v>
      </c>
      <c r="W254" s="124"/>
      <c r="X254" s="126"/>
      <c r="Y254" s="124"/>
      <c r="Z254" s="129">
        <f t="shared" si="168"/>
        <v>7.0383476258042851E-2</v>
      </c>
      <c r="AA254" s="145" t="str">
        <f t="shared" si="169"/>
        <v/>
      </c>
      <c r="AB254" s="129">
        <v>0.30975609756097561</v>
      </c>
      <c r="AC254" s="129">
        <v>1.4475609756097561</v>
      </c>
      <c r="AD254" s="129">
        <v>2.3786585365853656</v>
      </c>
      <c r="AE254" s="129">
        <v>0.3597560975609756</v>
      </c>
      <c r="AF254" s="132" t="s">
        <v>81</v>
      </c>
      <c r="AG254" s="133"/>
      <c r="AH254" s="133"/>
      <c r="AI254" s="133"/>
      <c r="AJ254" s="133"/>
      <c r="AK254" s="133"/>
      <c r="AL254" s="146"/>
      <c r="AM254" s="124"/>
      <c r="AN254" s="134"/>
      <c r="AO254" s="135">
        <f t="shared" si="117"/>
        <v>0</v>
      </c>
      <c r="AP254" s="136" t="s">
        <v>82</v>
      </c>
      <c r="AQ254" s="133"/>
      <c r="AR254" s="124"/>
      <c r="AS254" s="124">
        <v>23600</v>
      </c>
      <c r="AT254" s="124"/>
      <c r="AU254" s="133"/>
      <c r="AV254" s="124"/>
      <c r="AW254" s="146"/>
      <c r="AX254" s="124"/>
      <c r="AY254" s="133"/>
      <c r="AZ254" s="124">
        <v>9200</v>
      </c>
      <c r="BA254" s="124"/>
      <c r="BB254" s="124"/>
      <c r="BC254" s="124"/>
      <c r="BD254" s="124"/>
      <c r="BE254" s="124"/>
      <c r="BF254" s="124"/>
      <c r="BG254" s="124"/>
      <c r="BH254" s="137"/>
      <c r="BI254" s="138">
        <f t="shared" si="118"/>
        <v>1</v>
      </c>
      <c r="BJ254" s="139">
        <v>2.7850000000000001</v>
      </c>
      <c r="BK254" s="140">
        <v>40</v>
      </c>
      <c r="BL254" s="129">
        <v>0.04</v>
      </c>
      <c r="BM254" s="129">
        <v>0.21</v>
      </c>
      <c r="BN254" s="129">
        <v>0.52300000000000002</v>
      </c>
      <c r="BO254" s="129">
        <v>1.026</v>
      </c>
      <c r="BP254" s="129">
        <v>1.613</v>
      </c>
      <c r="BQ254" s="129">
        <v>2.2170000000000001</v>
      </c>
      <c r="BR254" s="129"/>
      <c r="BS254" s="129">
        <v>2.89</v>
      </c>
      <c r="BT254" s="122">
        <v>41</v>
      </c>
      <c r="BU254" s="124"/>
      <c r="BV254" s="147">
        <v>42068</v>
      </c>
      <c r="BW254" s="125">
        <v>0.70122366425080052</v>
      </c>
      <c r="BX254" s="124">
        <v>30868</v>
      </c>
      <c r="BY254" s="124">
        <v>11392</v>
      </c>
      <c r="BZ254" s="125">
        <v>0.36905533238305038</v>
      </c>
      <c r="CA254" s="124">
        <v>87</v>
      </c>
      <c r="CB254" s="124">
        <v>226</v>
      </c>
      <c r="CC254" s="125">
        <v>2.8184527666191526E-3</v>
      </c>
      <c r="CD254" s="125">
        <v>7.3214979914474534E-3</v>
      </c>
    </row>
    <row r="255" spans="1:82" x14ac:dyDescent="0.25">
      <c r="A255" s="120" t="s">
        <v>119</v>
      </c>
      <c r="B255" s="121" t="s">
        <v>91</v>
      </c>
      <c r="C255" s="122">
        <v>896</v>
      </c>
      <c r="D255" s="144">
        <v>1513.57</v>
      </c>
      <c r="E255" s="144">
        <v>11303.7405</v>
      </c>
      <c r="F255" s="124">
        <v>27300</v>
      </c>
      <c r="G255" s="124">
        <v>24100</v>
      </c>
      <c r="H255" s="125">
        <f t="shared" si="161"/>
        <v>0.11721611721611722</v>
      </c>
      <c r="I255" s="120">
        <v>1203</v>
      </c>
      <c r="J255" s="125">
        <f t="shared" si="162"/>
        <v>4.4065934065934065E-2</v>
      </c>
      <c r="K255" s="124">
        <v>70840</v>
      </c>
      <c r="L255" s="124">
        <v>130000</v>
      </c>
      <c r="M255" s="126">
        <f t="shared" si="163"/>
        <v>2.9394190871369297</v>
      </c>
      <c r="N255" s="126">
        <f t="shared" si="164"/>
        <v>1.8351214003387917</v>
      </c>
      <c r="O255" s="126">
        <f t="shared" si="165"/>
        <v>1.8690117799165311</v>
      </c>
      <c r="P255" s="127">
        <f>+E255/G255</f>
        <v>0.46903487551867218</v>
      </c>
      <c r="Q255" s="127">
        <f>+D255/G255</f>
        <v>6.2803734439834016E-2</v>
      </c>
      <c r="R255" s="124">
        <v>1680</v>
      </c>
      <c r="S255" s="127">
        <f>+E255/R255</f>
        <v>6.7284169642857146</v>
      </c>
      <c r="T255" s="126">
        <f t="shared" si="166"/>
        <v>16.25</v>
      </c>
      <c r="U255" s="126">
        <f t="shared" si="167"/>
        <v>5.394190871369295</v>
      </c>
      <c r="V255" s="128">
        <v>41.73</v>
      </c>
      <c r="W255" s="124"/>
      <c r="X255" s="126"/>
      <c r="Y255" s="124"/>
      <c r="Z255" s="129">
        <f t="shared" si="168"/>
        <v>7.0438990825231959E-2</v>
      </c>
      <c r="AA255" s="145" t="str">
        <f t="shared" si="169"/>
        <v/>
      </c>
      <c r="AB255" s="129">
        <v>0.29699999999999999</v>
      </c>
      <c r="AC255" s="129">
        <v>1.407</v>
      </c>
      <c r="AD255" s="129">
        <v>2.3570000000000002</v>
      </c>
      <c r="AE255" s="129">
        <v>0.70099999999999996</v>
      </c>
      <c r="AF255" s="132" t="s">
        <v>81</v>
      </c>
      <c r="AG255" s="133"/>
      <c r="AH255" s="133"/>
      <c r="AI255" s="133"/>
      <c r="AJ255" s="133"/>
      <c r="AK255" s="133"/>
      <c r="AL255" s="146"/>
      <c r="AM255" s="133"/>
      <c r="AN255" s="134"/>
      <c r="AO255" s="135">
        <f t="shared" si="117"/>
        <v>0</v>
      </c>
      <c r="AP255" s="136" t="s">
        <v>82</v>
      </c>
      <c r="AQ255" s="133"/>
      <c r="AR255" s="124"/>
      <c r="AS255" s="124"/>
      <c r="AT255" s="124"/>
      <c r="AU255" s="133"/>
      <c r="AV255" s="124">
        <v>27300</v>
      </c>
      <c r="AW255" s="146"/>
      <c r="AX255" s="124"/>
      <c r="AY255" s="133"/>
      <c r="AZ255" s="124"/>
      <c r="BA255" s="124"/>
      <c r="BB255" s="124"/>
      <c r="BC255" s="124"/>
      <c r="BD255" s="124"/>
      <c r="BE255" s="124"/>
      <c r="BF255" s="124"/>
      <c r="BG255" s="124"/>
      <c r="BH255" s="137"/>
      <c r="BI255" s="138">
        <f t="shared" si="118"/>
        <v>1</v>
      </c>
      <c r="BJ255" s="139">
        <v>2.673</v>
      </c>
      <c r="BK255" s="140">
        <v>39</v>
      </c>
      <c r="BL255" s="129">
        <v>4.1000000000000002E-2</v>
      </c>
      <c r="BM255" s="129">
        <v>0.2</v>
      </c>
      <c r="BN255" s="129">
        <v>0.52100000000000002</v>
      </c>
      <c r="BO255" s="129">
        <v>1.054</v>
      </c>
      <c r="BP255" s="129">
        <v>1.65</v>
      </c>
      <c r="BQ255" s="129">
        <v>2.3199999999999998</v>
      </c>
      <c r="BR255" s="129"/>
      <c r="BS255" s="129">
        <v>3.0150000000000001</v>
      </c>
      <c r="BT255" s="122">
        <v>43</v>
      </c>
      <c r="BU255" s="124"/>
      <c r="BV255" s="147">
        <v>42087</v>
      </c>
      <c r="BW255" s="125">
        <f>49128.62/70840</f>
        <v>0.69351524562394129</v>
      </c>
      <c r="BX255" s="124">
        <v>23710</v>
      </c>
      <c r="BY255" s="124">
        <v>9240</v>
      </c>
      <c r="BZ255" s="125">
        <f>+BY255/BX255</f>
        <v>0.38970898355124423</v>
      </c>
      <c r="CA255" s="124">
        <v>152</v>
      </c>
      <c r="CB255" s="124">
        <v>285</v>
      </c>
      <c r="CC255" s="125">
        <f>+(CA255/25690)</f>
        <v>5.9166991047100038E-3</v>
      </c>
      <c r="CD255" s="125">
        <f>+CB255/25690</f>
        <v>1.1093810821331257E-2</v>
      </c>
    </row>
    <row r="256" spans="1:82" x14ac:dyDescent="0.25">
      <c r="A256" s="120" t="s">
        <v>122</v>
      </c>
      <c r="B256" s="121" t="s">
        <v>86</v>
      </c>
      <c r="C256" s="122">
        <v>630</v>
      </c>
      <c r="D256" s="144">
        <v>1006.1</v>
      </c>
      <c r="E256" s="144">
        <v>18175.907750000002</v>
      </c>
      <c r="F256" s="124">
        <v>45000</v>
      </c>
      <c r="G256" s="124">
        <v>42550</v>
      </c>
      <c r="H256" s="125">
        <f t="shared" si="161"/>
        <v>5.4444444444444441E-2</v>
      </c>
      <c r="I256" s="120">
        <f>114+124</f>
        <v>238</v>
      </c>
      <c r="J256" s="125">
        <f t="shared" si="162"/>
        <v>5.288888888888889E-3</v>
      </c>
      <c r="K256" s="124">
        <v>104440</v>
      </c>
      <c r="L256" s="124">
        <v>196220</v>
      </c>
      <c r="M256" s="126">
        <f t="shared" si="163"/>
        <v>2.4545240893066982</v>
      </c>
      <c r="N256" s="126">
        <f t="shared" si="164"/>
        <v>1.8787820758330143</v>
      </c>
      <c r="O256" s="126">
        <f t="shared" si="165"/>
        <v>1.9050634446225188</v>
      </c>
      <c r="P256" s="127">
        <f>+E256/G256</f>
        <v>0.42716586956521746</v>
      </c>
      <c r="Q256" s="127">
        <f>+D256/G256</f>
        <v>2.364512338425382E-2</v>
      </c>
      <c r="R256" s="124">
        <v>2700</v>
      </c>
      <c r="S256" s="127">
        <f>+E256/R256</f>
        <v>6.7318176851851863</v>
      </c>
      <c r="T256" s="126">
        <f t="shared" si="166"/>
        <v>16.666666666666668</v>
      </c>
      <c r="U256" s="126">
        <f t="shared" si="167"/>
        <v>4.6115158636897764</v>
      </c>
      <c r="V256" s="128">
        <v>40</v>
      </c>
      <c r="W256" s="124">
        <v>33</v>
      </c>
      <c r="X256" s="126">
        <v>1.96</v>
      </c>
      <c r="Y256" s="124">
        <v>7000</v>
      </c>
      <c r="Z256" s="129">
        <f t="shared" si="168"/>
        <v>6.1363102232667457E-2</v>
      </c>
      <c r="AA256" s="145">
        <f t="shared" si="169"/>
        <v>5.9393939393939395E-2</v>
      </c>
      <c r="AB256" s="129">
        <v>0.30533333333333335</v>
      </c>
      <c r="AC256" s="129">
        <v>1.4155555555555555</v>
      </c>
      <c r="AD256" s="129">
        <v>2.4688888888888889</v>
      </c>
      <c r="AE256" s="129">
        <v>0.17066666666666666</v>
      </c>
      <c r="AF256" s="132" t="s">
        <v>81</v>
      </c>
      <c r="AG256" s="133"/>
      <c r="AH256" s="133"/>
      <c r="AI256" s="133"/>
      <c r="AJ256" s="133"/>
      <c r="AK256" s="133"/>
      <c r="AL256" s="146"/>
      <c r="AM256" s="124">
        <f>23500+21500</f>
        <v>45000</v>
      </c>
      <c r="AN256" s="134"/>
      <c r="AO256" s="135">
        <f t="shared" si="117"/>
        <v>1</v>
      </c>
      <c r="AP256" s="136" t="s">
        <v>82</v>
      </c>
      <c r="AQ256" s="133"/>
      <c r="AR256" s="124"/>
      <c r="AS256" s="124"/>
      <c r="AT256" s="124"/>
      <c r="AU256" s="133"/>
      <c r="AV256" s="124"/>
      <c r="AW256" s="146"/>
      <c r="AX256" s="124"/>
      <c r="AY256" s="133"/>
      <c r="AZ256" s="124"/>
      <c r="BA256" s="124"/>
      <c r="BB256" s="124"/>
      <c r="BC256" s="124"/>
      <c r="BD256" s="124"/>
      <c r="BE256" s="124"/>
      <c r="BF256" s="124"/>
      <c r="BG256" s="124"/>
      <c r="BH256" s="137"/>
      <c r="BI256" s="138">
        <f t="shared" si="118"/>
        <v>0</v>
      </c>
      <c r="BJ256" s="139">
        <v>2.5499999999999998</v>
      </c>
      <c r="BK256" s="140">
        <v>40</v>
      </c>
      <c r="BL256" s="129"/>
      <c r="BM256" s="129">
        <v>0.186</v>
      </c>
      <c r="BN256" s="129">
        <v>0.47799999999999998</v>
      </c>
      <c r="BO256" s="129">
        <v>0.96499999999999997</v>
      </c>
      <c r="BP256" s="129">
        <v>1.57</v>
      </c>
      <c r="BQ256" s="129">
        <v>2.242</v>
      </c>
      <c r="BR256" s="129"/>
      <c r="BS256" s="129">
        <v>2.5499999999999998</v>
      </c>
      <c r="BT256" s="122">
        <v>40</v>
      </c>
      <c r="BU256" s="124"/>
      <c r="BV256" s="147">
        <v>42092</v>
      </c>
      <c r="BW256" s="125">
        <v>0.69511662257495599</v>
      </c>
      <c r="BX256" s="124">
        <v>34982</v>
      </c>
      <c r="BY256" s="124">
        <v>11488</v>
      </c>
      <c r="BZ256" s="125">
        <v>0.32839746155165511</v>
      </c>
      <c r="CA256" s="124">
        <v>170</v>
      </c>
      <c r="CB256" s="124">
        <v>417</v>
      </c>
      <c r="CC256" s="125">
        <v>4.8596421016522786E-3</v>
      </c>
      <c r="CD256" s="125">
        <v>1.1920416214052942E-2</v>
      </c>
    </row>
    <row r="257" spans="1:82" x14ac:dyDescent="0.25">
      <c r="A257" s="120" t="s">
        <v>85</v>
      </c>
      <c r="B257" s="121" t="s">
        <v>86</v>
      </c>
      <c r="C257" s="122">
        <v>430</v>
      </c>
      <c r="D257" s="123">
        <v>393.41</v>
      </c>
      <c r="E257" s="123">
        <v>8105.39</v>
      </c>
      <c r="F257" s="124">
        <v>16000</v>
      </c>
      <c r="G257" s="124">
        <v>15950</v>
      </c>
      <c r="H257" s="125">
        <f t="shared" si="161"/>
        <v>3.1250000000000002E-3</v>
      </c>
      <c r="I257" s="120">
        <v>101</v>
      </c>
      <c r="J257" s="125">
        <f t="shared" si="162"/>
        <v>6.3125000000000004E-3</v>
      </c>
      <c r="K257" s="124">
        <v>44880</v>
      </c>
      <c r="L257" s="124">
        <v>81580</v>
      </c>
      <c r="M257" s="126">
        <f t="shared" si="163"/>
        <v>2.8137931034482757</v>
      </c>
      <c r="N257" s="126">
        <f t="shared" si="164"/>
        <v>1.8177361853832441</v>
      </c>
      <c r="O257" s="126">
        <f t="shared" si="165"/>
        <v>1.8270144405358086</v>
      </c>
      <c r="P257" s="127">
        <f>IF(G257=0,0,+E257/G257)</f>
        <v>0.50817492163009403</v>
      </c>
      <c r="Q257" s="127">
        <f>IF(G257=0,0,+D257/G257)</f>
        <v>2.4665203761755489E-2</v>
      </c>
      <c r="R257" s="124">
        <v>1200</v>
      </c>
      <c r="S257" s="127">
        <f>IF(R257=0,0,+E257/R257)</f>
        <v>6.7544916666666666</v>
      </c>
      <c r="T257" s="126">
        <f t="shared" si="166"/>
        <v>13.333333333333334</v>
      </c>
      <c r="U257" s="126">
        <f t="shared" si="167"/>
        <v>5.1147335423197493</v>
      </c>
      <c r="V257" s="128">
        <v>46</v>
      </c>
      <c r="W257" s="124"/>
      <c r="X257" s="126"/>
      <c r="Y257" s="124"/>
      <c r="Z257" s="129">
        <f t="shared" si="168"/>
        <v>6.116941529235382E-2</v>
      </c>
      <c r="AA257" s="130" t="str">
        <f t="shared" si="169"/>
        <v/>
      </c>
      <c r="AB257" s="131">
        <v>0.3175</v>
      </c>
      <c r="AC257" s="131">
        <v>1.4112499999999999</v>
      </c>
      <c r="AD257" s="131">
        <v>2.3050000000000002</v>
      </c>
      <c r="AE257" s="131">
        <v>1.0649999999999999</v>
      </c>
      <c r="AF257" s="132" t="s">
        <v>81</v>
      </c>
      <c r="AG257" s="133"/>
      <c r="AH257" s="133"/>
      <c r="AI257" s="133"/>
      <c r="AJ257" s="133"/>
      <c r="AK257" s="133"/>
      <c r="AL257" s="133"/>
      <c r="AM257" s="133"/>
      <c r="AN257" s="143"/>
      <c r="AO257" s="135">
        <f t="shared" si="117"/>
        <v>0</v>
      </c>
      <c r="AP257" s="136" t="s">
        <v>82</v>
      </c>
      <c r="AQ257" s="133"/>
      <c r="AR257" s="124"/>
      <c r="AS257" s="124"/>
      <c r="AT257" s="124"/>
      <c r="AU257" s="124"/>
      <c r="AV257" s="124"/>
      <c r="AW257" s="124"/>
      <c r="AX257" s="124"/>
      <c r="AY257" s="124"/>
      <c r="AZ257" s="124"/>
      <c r="BA257" s="124"/>
      <c r="BB257" s="124"/>
      <c r="BC257" s="124"/>
      <c r="BD257" s="124">
        <v>16000</v>
      </c>
      <c r="BE257" s="124"/>
      <c r="BF257" s="133"/>
      <c r="BG257" s="124"/>
      <c r="BH257" s="137"/>
      <c r="BI257" s="138">
        <f t="shared" si="118"/>
        <v>1</v>
      </c>
      <c r="BJ257" s="139">
        <v>2.8140000000000001</v>
      </c>
      <c r="BK257" s="140">
        <v>46</v>
      </c>
      <c r="BL257" s="129">
        <v>3.7999999999999999E-2</v>
      </c>
      <c r="BM257" s="129">
        <v>0.184</v>
      </c>
      <c r="BN257" s="129">
        <v>0.45879999999999999</v>
      </c>
      <c r="BO257" s="129">
        <v>0.83799999999999997</v>
      </c>
      <c r="BP257" s="129">
        <v>1.4059999999999999</v>
      </c>
      <c r="BQ257" s="129">
        <v>1.883</v>
      </c>
      <c r="BR257" s="129">
        <v>2.4500000000000002</v>
      </c>
      <c r="BS257" s="129">
        <v>2.8140000000000001</v>
      </c>
      <c r="BT257" s="122">
        <v>46</v>
      </c>
      <c r="BU257" s="124"/>
      <c r="BV257" s="142">
        <v>42318</v>
      </c>
      <c r="BW257" s="125">
        <v>0.70470164884135467</v>
      </c>
      <c r="BX257" s="124">
        <v>15896</v>
      </c>
      <c r="BY257" s="124">
        <v>8720</v>
      </c>
      <c r="BZ257" s="125">
        <v>0.54856567689984903</v>
      </c>
      <c r="CA257" s="124">
        <v>12</v>
      </c>
      <c r="CB257" s="124">
        <v>69</v>
      </c>
      <c r="CC257" s="125">
        <v>7.5490689481630597E-4</v>
      </c>
      <c r="CD257" s="125">
        <v>4.3407146451937594E-3</v>
      </c>
    </row>
    <row r="258" spans="1:82" x14ac:dyDescent="0.25">
      <c r="A258" s="120" t="s">
        <v>123</v>
      </c>
      <c r="B258" s="121" t="s">
        <v>80</v>
      </c>
      <c r="C258" s="122">
        <v>830</v>
      </c>
      <c r="D258" s="123">
        <v>248.3</v>
      </c>
      <c r="E258" s="123">
        <v>11367.61025</v>
      </c>
      <c r="F258" s="124">
        <v>23400</v>
      </c>
      <c r="G258" s="124">
        <v>23050</v>
      </c>
      <c r="H258" s="125">
        <f t="shared" si="161"/>
        <v>1.4957264957264958E-2</v>
      </c>
      <c r="I258" s="120">
        <v>108</v>
      </c>
      <c r="J258" s="125">
        <f t="shared" si="162"/>
        <v>4.6153846153846158E-3</v>
      </c>
      <c r="K258" s="124">
        <v>64900</v>
      </c>
      <c r="L258" s="124">
        <v>119960</v>
      </c>
      <c r="M258" s="126">
        <f t="shared" si="163"/>
        <v>2.8156182212581347</v>
      </c>
      <c r="N258" s="126">
        <f t="shared" si="164"/>
        <v>1.8483821263482281</v>
      </c>
      <c r="O258" s="126">
        <f t="shared" si="165"/>
        <v>1.8589470750175248</v>
      </c>
      <c r="P258" s="127">
        <f>IF(G258=0,0,+E258/G258)</f>
        <v>0.49317181127982646</v>
      </c>
      <c r="Q258" s="127">
        <f>IF(G258=0,0,+D258/G258)</f>
        <v>1.0772234273318873E-2</v>
      </c>
      <c r="R258" s="124">
        <v>1680</v>
      </c>
      <c r="S258" s="127">
        <f>IF(R258=0,0,+E258/R258)</f>
        <v>6.7664346726190479</v>
      </c>
      <c r="T258" s="126">
        <f t="shared" si="166"/>
        <v>13.928571428571429</v>
      </c>
      <c r="U258" s="126">
        <f t="shared" si="167"/>
        <v>5.2043383947939263</v>
      </c>
      <c r="V258" s="128">
        <v>42.73</v>
      </c>
      <c r="W258" s="124">
        <v>31</v>
      </c>
      <c r="X258" s="126">
        <v>1.9530000000000001</v>
      </c>
      <c r="Y258" s="124">
        <v>3000</v>
      </c>
      <c r="Z258" s="129">
        <f t="shared" si="168"/>
        <v>6.5893241779970399E-2</v>
      </c>
      <c r="AA258" s="130">
        <f t="shared" si="169"/>
        <v>6.3E-2</v>
      </c>
      <c r="AB258" s="131">
        <v>0.3247863247863248</v>
      </c>
      <c r="AC258" s="131">
        <v>1.4538461538461538</v>
      </c>
      <c r="AD258" s="131">
        <v>2.5692307692307694</v>
      </c>
      <c r="AE258" s="131">
        <v>0.77863247863247864</v>
      </c>
      <c r="AF258" s="132" t="s">
        <v>81</v>
      </c>
      <c r="AG258" s="133"/>
      <c r="AH258" s="133"/>
      <c r="AI258" s="133"/>
      <c r="AJ258" s="133"/>
      <c r="AK258" s="133"/>
      <c r="AL258" s="133"/>
      <c r="AM258" s="133"/>
      <c r="AN258" s="134"/>
      <c r="AO258" s="135">
        <f t="shared" ref="AO258:AO321" si="170">+(AN258+AM258+AL258+AK258+AJ258+AI258+AH258+AG258)/F258</f>
        <v>0</v>
      </c>
      <c r="AP258" s="136" t="s">
        <v>82</v>
      </c>
      <c r="AQ258" s="133"/>
      <c r="AR258" s="124"/>
      <c r="AS258" s="124"/>
      <c r="AT258" s="124"/>
      <c r="AU258" s="124"/>
      <c r="AV258" s="124"/>
      <c r="AW258" s="124"/>
      <c r="AX258" s="124"/>
      <c r="AY258" s="124">
        <v>23400</v>
      </c>
      <c r="AZ258" s="124"/>
      <c r="BA258" s="124"/>
      <c r="BB258" s="124"/>
      <c r="BC258" s="124"/>
      <c r="BD258" s="124"/>
      <c r="BE258" s="124"/>
      <c r="BF258" s="133"/>
      <c r="BG258" s="124"/>
      <c r="BH258" s="137"/>
      <c r="BI258" s="138">
        <f t="shared" ref="BI258:BI321" si="171">+(BH258+BG258+BF258+BE258+BD258+BC258+BB258+BA258+AZ258+AY258+AX258+AW258+AV258+AU258+AT258+AS258+AR258+AQ258)/F258</f>
        <v>1</v>
      </c>
      <c r="BJ258" s="139">
        <v>2.911</v>
      </c>
      <c r="BK258" s="140">
        <v>42</v>
      </c>
      <c r="BL258" s="141">
        <v>4.2999999999999997E-2</v>
      </c>
      <c r="BM258" s="141">
        <v>0.22</v>
      </c>
      <c r="BN258" s="141"/>
      <c r="BO258" s="141">
        <v>1</v>
      </c>
      <c r="BP258" s="141">
        <v>1.7</v>
      </c>
      <c r="BQ258" s="141">
        <v>2.36</v>
      </c>
      <c r="BR258" s="141">
        <v>2.911</v>
      </c>
      <c r="BS258" s="141">
        <v>2.9569999999999999</v>
      </c>
      <c r="BT258" s="122">
        <v>43</v>
      </c>
      <c r="BU258" s="124"/>
      <c r="BV258" s="142">
        <v>42339</v>
      </c>
      <c r="BW258" s="125">
        <v>0.6805331978319783</v>
      </c>
      <c r="BX258" s="124">
        <v>19746</v>
      </c>
      <c r="BY258" s="124">
        <v>10544</v>
      </c>
      <c r="BZ258" s="125">
        <v>0.53398156588676182</v>
      </c>
      <c r="CA258" s="124">
        <v>17</v>
      </c>
      <c r="CB258" s="124">
        <v>114</v>
      </c>
      <c r="CC258" s="125">
        <v>8.6093386002228302E-4</v>
      </c>
      <c r="CD258" s="125">
        <v>5.7733211789729568E-3</v>
      </c>
    </row>
    <row r="259" spans="1:82" x14ac:dyDescent="0.25">
      <c r="A259" s="120" t="s">
        <v>118</v>
      </c>
      <c r="B259" s="121" t="s">
        <v>80</v>
      </c>
      <c r="C259" s="122">
        <v>908</v>
      </c>
      <c r="D259" s="144">
        <v>3062.81</v>
      </c>
      <c r="E259" s="144">
        <v>55149.506114999996</v>
      </c>
      <c r="F259" s="124">
        <v>96500</v>
      </c>
      <c r="G259" s="124">
        <v>94963</v>
      </c>
      <c r="H259" s="125">
        <f t="shared" si="161"/>
        <v>1.5927461139896373E-2</v>
      </c>
      <c r="I259" s="120">
        <v>824</v>
      </c>
      <c r="J259" s="125">
        <f t="shared" si="162"/>
        <v>8.5388601036269426E-3</v>
      </c>
      <c r="K259" s="124">
        <v>267250</v>
      </c>
      <c r="L259" s="124">
        <v>467860</v>
      </c>
      <c r="M259" s="126">
        <f t="shared" si="163"/>
        <v>2.8142539725998548</v>
      </c>
      <c r="N259" s="126">
        <f t="shared" si="164"/>
        <v>1.7506454630495791</v>
      </c>
      <c r="O259" s="126">
        <f t="shared" si="165"/>
        <v>1.7698229087186446</v>
      </c>
      <c r="P259" s="127">
        <f>IF(G259=0,0,+E259/G259)</f>
        <v>0.58074730279161357</v>
      </c>
      <c r="Q259" s="127">
        <f>IF(G259=0,0,+D259/G259)</f>
        <v>3.2252666828133061E-2</v>
      </c>
      <c r="R259" s="124">
        <v>8137</v>
      </c>
      <c r="S259" s="127">
        <f>IF(R259=0,0,+E259/R259)</f>
        <v>6.7776214962516894</v>
      </c>
      <c r="T259" s="126">
        <f t="shared" si="166"/>
        <v>11.859407644094876</v>
      </c>
      <c r="U259" s="126">
        <f t="shared" si="167"/>
        <v>4.9267609490011903</v>
      </c>
      <c r="V259" s="128">
        <v>45.86</v>
      </c>
      <c r="W259" s="124"/>
      <c r="X259" s="126"/>
      <c r="Y259" s="124"/>
      <c r="Z259" s="129">
        <f t="shared" si="168"/>
        <v>6.1366200885299933E-2</v>
      </c>
      <c r="AA259" s="145" t="str">
        <f t="shared" si="169"/>
        <v/>
      </c>
      <c r="AB259" s="129">
        <v>0.31119170984455957</v>
      </c>
      <c r="AC259" s="129">
        <v>1.4378238341968912</v>
      </c>
      <c r="AD259" s="129">
        <v>2.6748186528497411</v>
      </c>
      <c r="AE259" s="129">
        <v>0.4244559585492228</v>
      </c>
      <c r="AF259" s="132" t="s">
        <v>81</v>
      </c>
      <c r="AG259" s="133"/>
      <c r="AH259" s="133"/>
      <c r="AI259" s="133">
        <v>15400</v>
      </c>
      <c r="AJ259" s="133"/>
      <c r="AK259" s="133"/>
      <c r="AL259" s="146"/>
      <c r="AM259" s="133"/>
      <c r="AN259" s="134"/>
      <c r="AO259" s="135">
        <f t="shared" si="170"/>
        <v>0.15958549222797927</v>
      </c>
      <c r="AP259" s="136" t="s">
        <v>82</v>
      </c>
      <c r="AQ259" s="124"/>
      <c r="AR259" s="124"/>
      <c r="AS259" s="124"/>
      <c r="AT259" s="124"/>
      <c r="AU259" s="124"/>
      <c r="AV259" s="124"/>
      <c r="AW259" s="146"/>
      <c r="AX259" s="124"/>
      <c r="AY259" s="124"/>
      <c r="AZ259" s="124">
        <v>34000</v>
      </c>
      <c r="BA259" s="124"/>
      <c r="BB259" s="124"/>
      <c r="BC259" s="124"/>
      <c r="BD259" s="124"/>
      <c r="BE259" s="124"/>
      <c r="BF259" s="124">
        <v>47100</v>
      </c>
      <c r="BG259" s="124"/>
      <c r="BH259" s="137"/>
      <c r="BI259" s="138">
        <f t="shared" si="171"/>
        <v>0.84041450777202076</v>
      </c>
      <c r="BJ259" s="139">
        <v>2.9239999999999999</v>
      </c>
      <c r="BK259" s="140">
        <v>46</v>
      </c>
      <c r="BL259" s="129">
        <v>4.1300000000000003E-2</v>
      </c>
      <c r="BM259" s="129">
        <v>1.5249999999999999</v>
      </c>
      <c r="BN259" s="129">
        <v>0.42899999999999999</v>
      </c>
      <c r="BO259" s="129">
        <v>0.96</v>
      </c>
      <c r="BP259" s="129">
        <v>1.508</v>
      </c>
      <c r="BQ259" s="129">
        <v>2.15</v>
      </c>
      <c r="BR259" s="129">
        <v>2.6549999999999998</v>
      </c>
      <c r="BS259" s="129">
        <v>2.7949999999999999</v>
      </c>
      <c r="BT259" s="122">
        <v>48</v>
      </c>
      <c r="BU259" s="124">
        <v>6000</v>
      </c>
      <c r="BV259" s="147">
        <v>42197</v>
      </c>
      <c r="BW259" s="125">
        <v>0.70275826067432545</v>
      </c>
      <c r="BX259" s="124">
        <v>93898</v>
      </c>
      <c r="BY259" s="124">
        <v>41520</v>
      </c>
      <c r="BZ259" s="125">
        <v>0.44218194210739314</v>
      </c>
      <c r="CA259" s="124">
        <v>468</v>
      </c>
      <c r="CB259" s="124">
        <v>561</v>
      </c>
      <c r="CC259" s="125">
        <v>4.9841317173954713E-3</v>
      </c>
      <c r="CD259" s="125">
        <v>5.9745681484163664E-3</v>
      </c>
    </row>
    <row r="260" spans="1:82" x14ac:dyDescent="0.25">
      <c r="A260" s="120" t="s">
        <v>128</v>
      </c>
      <c r="B260" s="121" t="s">
        <v>86</v>
      </c>
      <c r="C260" s="122">
        <v>730</v>
      </c>
      <c r="D260" s="144">
        <v>539.85</v>
      </c>
      <c r="E260" s="144">
        <v>11411.340999999999</v>
      </c>
      <c r="F260" s="124">
        <v>24500</v>
      </c>
      <c r="G260" s="124">
        <v>24200</v>
      </c>
      <c r="H260" s="125">
        <f t="shared" si="161"/>
        <v>1.2244897959183673E-2</v>
      </c>
      <c r="I260" s="120">
        <v>159</v>
      </c>
      <c r="J260" s="125">
        <f t="shared" si="162"/>
        <v>6.489795918367347E-3</v>
      </c>
      <c r="K260" s="124">
        <v>57920</v>
      </c>
      <c r="L260" s="124">
        <v>97040</v>
      </c>
      <c r="M260" s="126">
        <f t="shared" si="163"/>
        <v>2.3933884297520662</v>
      </c>
      <c r="N260" s="126">
        <f t="shared" si="164"/>
        <v>1.6754143646408839</v>
      </c>
      <c r="O260" s="126">
        <f t="shared" si="165"/>
        <v>1.6867757051341428</v>
      </c>
      <c r="P260" s="127">
        <f>IF(G260=0,0,+E260/G260)</f>
        <v>0.47154301652892555</v>
      </c>
      <c r="Q260" s="127">
        <f>IF(G260=0,0,+D260/G260)</f>
        <v>2.2307851239669423E-2</v>
      </c>
      <c r="R260" s="124">
        <v>1680</v>
      </c>
      <c r="S260" s="127">
        <f>IF(R260=0,0,+E260/R260)</f>
        <v>6.7924648809523802</v>
      </c>
      <c r="T260" s="126">
        <f t="shared" si="166"/>
        <v>14.583333333333334</v>
      </c>
      <c r="U260" s="126">
        <f t="shared" si="167"/>
        <v>4.0099173553719005</v>
      </c>
      <c r="V260" s="128">
        <v>42</v>
      </c>
      <c r="W260" s="124">
        <v>32</v>
      </c>
      <c r="X260" s="126">
        <v>1.986</v>
      </c>
      <c r="Y260" s="124">
        <v>8000</v>
      </c>
      <c r="Z260" s="129">
        <f t="shared" si="168"/>
        <v>5.6985438803620628E-2</v>
      </c>
      <c r="AA260" s="145">
        <f t="shared" si="169"/>
        <v>6.20625E-2</v>
      </c>
      <c r="AB260" s="129">
        <v>0.33551020408163268</v>
      </c>
      <c r="AC260" s="129">
        <v>1.4261224489795918</v>
      </c>
      <c r="AD260" s="129">
        <v>1.9583673469387755</v>
      </c>
      <c r="AE260" s="129">
        <v>0.24081632653061225</v>
      </c>
      <c r="AF260" s="132" t="s">
        <v>81</v>
      </c>
      <c r="AG260" s="133"/>
      <c r="AH260" s="133"/>
      <c r="AI260" s="133">
        <v>4400</v>
      </c>
      <c r="AJ260" s="133"/>
      <c r="AK260" s="133"/>
      <c r="AL260" s="146"/>
      <c r="AM260" s="133"/>
      <c r="AN260" s="134"/>
      <c r="AO260" s="135">
        <f t="shared" si="170"/>
        <v>0.17959183673469387</v>
      </c>
      <c r="AP260" s="136" t="s">
        <v>82</v>
      </c>
      <c r="AQ260" s="124"/>
      <c r="AR260" s="124"/>
      <c r="AS260" s="124"/>
      <c r="AT260" s="124"/>
      <c r="AU260" s="124"/>
      <c r="AV260" s="124"/>
      <c r="AW260" s="146"/>
      <c r="AX260" s="124"/>
      <c r="AY260" s="124"/>
      <c r="AZ260" s="124"/>
      <c r="BA260" s="124"/>
      <c r="BB260" s="124"/>
      <c r="BC260" s="124"/>
      <c r="BD260" s="124"/>
      <c r="BE260" s="124"/>
      <c r="BF260" s="124">
        <v>20100</v>
      </c>
      <c r="BG260" s="124"/>
      <c r="BH260" s="137"/>
      <c r="BI260" s="138">
        <f t="shared" si="171"/>
        <v>0.82040816326530608</v>
      </c>
      <c r="BJ260" s="139">
        <v>2.5939999999999999</v>
      </c>
      <c r="BK260" s="140">
        <v>42</v>
      </c>
      <c r="BL260" s="129">
        <v>4.2999999999999997E-2</v>
      </c>
      <c r="BM260" s="129">
        <v>0.19</v>
      </c>
      <c r="BN260" s="129">
        <v>0.47</v>
      </c>
      <c r="BO260" s="129">
        <v>0.92</v>
      </c>
      <c r="BP260" s="129"/>
      <c r="BQ260" s="129">
        <v>2.25</v>
      </c>
      <c r="BR260" s="129"/>
      <c r="BS260" s="129">
        <v>2.5939999999999999</v>
      </c>
      <c r="BT260" s="122">
        <v>42</v>
      </c>
      <c r="BU260" s="124">
        <v>9000</v>
      </c>
      <c r="BV260" s="147">
        <v>42216</v>
      </c>
      <c r="BW260" s="125">
        <v>0.69172234118486797</v>
      </c>
      <c r="BX260" s="124">
        <v>15948</v>
      </c>
      <c r="BY260" s="124">
        <v>7008</v>
      </c>
      <c r="BZ260" s="125">
        <v>0.43942814145974418</v>
      </c>
      <c r="CA260" s="124">
        <v>85</v>
      </c>
      <c r="CB260" s="124">
        <v>78</v>
      </c>
      <c r="CC260" s="125">
        <v>5.3298219212440431E-3</v>
      </c>
      <c r="CD260" s="125">
        <v>4.8908954100827691E-3</v>
      </c>
    </row>
    <row r="261" spans="1:82" x14ac:dyDescent="0.25">
      <c r="A261" s="120" t="s">
        <v>130</v>
      </c>
      <c r="B261" s="121" t="s">
        <v>80</v>
      </c>
      <c r="C261" s="122">
        <v>870</v>
      </c>
      <c r="D261" s="123">
        <v>325.42</v>
      </c>
      <c r="E261" s="123">
        <v>29914.71</v>
      </c>
      <c r="F261" s="124">
        <v>59300</v>
      </c>
      <c r="G261" s="124">
        <v>58425</v>
      </c>
      <c r="H261" s="125">
        <f t="shared" si="161"/>
        <v>1.475548060708263E-2</v>
      </c>
      <c r="I261" s="120">
        <v>290</v>
      </c>
      <c r="J261" s="125">
        <f t="shared" si="162"/>
        <v>4.8903878583473866E-3</v>
      </c>
      <c r="K261" s="124">
        <v>161420</v>
      </c>
      <c r="L261" s="124">
        <v>291080</v>
      </c>
      <c r="M261" s="126">
        <f t="shared" si="163"/>
        <v>2.7628583654257595</v>
      </c>
      <c r="N261" s="126">
        <f t="shared" si="164"/>
        <v>1.8032461900631891</v>
      </c>
      <c r="O261" s="126">
        <f t="shared" si="165"/>
        <v>1.8165849136913206</v>
      </c>
      <c r="P261" s="127">
        <f>IF(G261=0,0,+E261/G261)</f>
        <v>0.51201899871630296</v>
      </c>
      <c r="Q261" s="127">
        <f>IF(G261=0,0,+D261/G261)</f>
        <v>5.5698759092854093E-3</v>
      </c>
      <c r="R261" s="124">
        <v>4400</v>
      </c>
      <c r="S261" s="127">
        <f>IF(R261=0,0,+E261/R261)</f>
        <v>6.7987977272727269</v>
      </c>
      <c r="T261" s="126">
        <f t="shared" si="166"/>
        <v>13.477272727272727</v>
      </c>
      <c r="U261" s="126">
        <f t="shared" si="167"/>
        <v>4.9821138211382117</v>
      </c>
      <c r="V261" s="128">
        <v>43.54</v>
      </c>
      <c r="W261" s="124"/>
      <c r="X261" s="126"/>
      <c r="Y261" s="124"/>
      <c r="Z261" s="129">
        <f t="shared" si="168"/>
        <v>6.3455635402520888E-2</v>
      </c>
      <c r="AA261" s="130" t="str">
        <f t="shared" si="169"/>
        <v/>
      </c>
      <c r="AB261" s="131">
        <v>0.30420000000000003</v>
      </c>
      <c r="AC261" s="131">
        <v>1.4450000000000001</v>
      </c>
      <c r="AD261" s="131">
        <v>2.4744999999999999</v>
      </c>
      <c r="AE261" s="131">
        <v>0.68530000000000002</v>
      </c>
      <c r="AF261" s="132" t="s">
        <v>81</v>
      </c>
      <c r="AG261" s="133"/>
      <c r="AH261" s="133">
        <v>6700</v>
      </c>
      <c r="AI261" s="133"/>
      <c r="AJ261" s="133"/>
      <c r="AK261" s="133"/>
      <c r="AL261" s="133"/>
      <c r="AM261" s="133"/>
      <c r="AN261" s="134"/>
      <c r="AO261" s="135">
        <f t="shared" si="170"/>
        <v>0.11298482293423272</v>
      </c>
      <c r="AP261" s="136" t="s">
        <v>82</v>
      </c>
      <c r="AQ261" s="124"/>
      <c r="AR261" s="124"/>
      <c r="AS261" s="124"/>
      <c r="AT261" s="124"/>
      <c r="AU261" s="124">
        <v>52600</v>
      </c>
      <c r="AV261" s="124"/>
      <c r="AW261" s="124"/>
      <c r="AX261" s="124"/>
      <c r="AY261" s="124"/>
      <c r="AZ261" s="124"/>
      <c r="BA261" s="124"/>
      <c r="BB261" s="124"/>
      <c r="BC261" s="124"/>
      <c r="BD261" s="124"/>
      <c r="BE261" s="124"/>
      <c r="BF261" s="124"/>
      <c r="BG261" s="124"/>
      <c r="BH261" s="137"/>
      <c r="BI261" s="138">
        <f t="shared" si="171"/>
        <v>0.88701517706576727</v>
      </c>
      <c r="BJ261" s="139">
        <v>2.8069999999999999</v>
      </c>
      <c r="BK261" s="140">
        <v>43</v>
      </c>
      <c r="BL261" s="129">
        <v>3.7999999999999999E-2</v>
      </c>
      <c r="BM261" s="129">
        <v>1.72</v>
      </c>
      <c r="BN261" s="129">
        <v>0.438</v>
      </c>
      <c r="BO261" s="129">
        <v>0.96099999999999997</v>
      </c>
      <c r="BP261" s="129">
        <v>1.48</v>
      </c>
      <c r="BQ261" s="129">
        <v>2.0499999999999998</v>
      </c>
      <c r="BR261" s="129">
        <v>2.7250000000000001</v>
      </c>
      <c r="BS261" s="129">
        <v>2.7240000000000002</v>
      </c>
      <c r="BT261" s="122">
        <v>44</v>
      </c>
      <c r="BU261" s="124"/>
      <c r="BV261" s="142">
        <v>42278</v>
      </c>
      <c r="BW261" s="125">
        <v>0.70433453103704613</v>
      </c>
      <c r="BX261" s="124">
        <v>57960</v>
      </c>
      <c r="BY261" s="124">
        <v>30400</v>
      </c>
      <c r="BZ261" s="125">
        <v>0.52449965493443751</v>
      </c>
      <c r="CA261" s="124">
        <v>107</v>
      </c>
      <c r="CB261" s="124">
        <v>322</v>
      </c>
      <c r="CC261" s="125">
        <v>1.8461007591442373E-3</v>
      </c>
      <c r="CD261" s="125">
        <v>5.5555555555555558E-3</v>
      </c>
    </row>
    <row r="262" spans="1:82" x14ac:dyDescent="0.25">
      <c r="A262" s="120" t="s">
        <v>125</v>
      </c>
      <c r="B262" s="121" t="s">
        <v>91</v>
      </c>
      <c r="C262" s="122">
        <v>830</v>
      </c>
      <c r="D262" s="148">
        <v>854.32</v>
      </c>
      <c r="E262" s="148">
        <v>20078.679</v>
      </c>
      <c r="F262" s="124">
        <v>38700</v>
      </c>
      <c r="G262" s="124">
        <v>37800</v>
      </c>
      <c r="H262" s="125">
        <v>2.3255813953488372E-2</v>
      </c>
      <c r="I262" s="120">
        <v>448</v>
      </c>
      <c r="J262" s="125">
        <v>1.1576227390180879E-2</v>
      </c>
      <c r="K262" s="124">
        <v>103980</v>
      </c>
      <c r="L262" s="124">
        <v>182260</v>
      </c>
      <c r="M262" s="126">
        <v>2.7507936507936508</v>
      </c>
      <c r="N262" s="126">
        <v>1.7528370840546259</v>
      </c>
      <c r="O262" s="126">
        <f t="shared" si="165"/>
        <v>1.7693132284037827</v>
      </c>
      <c r="P262" s="127">
        <v>0.53118198412698414</v>
      </c>
      <c r="Q262" s="127">
        <v>2.2601058201058202E-2</v>
      </c>
      <c r="R262" s="124">
        <v>2940</v>
      </c>
      <c r="S262" s="149">
        <v>6.8294826530612243</v>
      </c>
      <c r="T262" s="126">
        <v>13.163265306122449</v>
      </c>
      <c r="U262" s="126">
        <v>4.821693121693122</v>
      </c>
      <c r="V262" s="128">
        <v>39.71</v>
      </c>
      <c r="W262" s="124"/>
      <c r="X262" s="126"/>
      <c r="Y262" s="124"/>
      <c r="Z262" s="129">
        <v>6.9272063731897524E-2</v>
      </c>
      <c r="AA262" s="145" t="s">
        <v>84</v>
      </c>
      <c r="AB262" s="129">
        <v>0.30697674418604654</v>
      </c>
      <c r="AC262" s="129">
        <v>1.3839793281653747</v>
      </c>
      <c r="AD262" s="129">
        <v>2.3602067183462534</v>
      </c>
      <c r="AE262" s="129">
        <v>0.65839793281653747</v>
      </c>
      <c r="AF262" s="132" t="s">
        <v>81</v>
      </c>
      <c r="AG262" s="133"/>
      <c r="AH262" s="133"/>
      <c r="AI262" s="133"/>
      <c r="AJ262" s="133"/>
      <c r="AK262" s="133"/>
      <c r="AL262" s="146"/>
      <c r="AM262" s="133"/>
      <c r="AN262" s="134">
        <v>38700</v>
      </c>
      <c r="AO262" s="135">
        <f t="shared" si="170"/>
        <v>1</v>
      </c>
      <c r="AP262" s="136" t="s">
        <v>82</v>
      </c>
      <c r="AQ262" s="133"/>
      <c r="AR262" s="124"/>
      <c r="AS262" s="124"/>
      <c r="AT262" s="124"/>
      <c r="AU262" s="124"/>
      <c r="AV262" s="124"/>
      <c r="AW262" s="146"/>
      <c r="AX262" s="124"/>
      <c r="AY262" s="124"/>
      <c r="AZ262" s="124"/>
      <c r="BA262" s="124"/>
      <c r="BB262" s="124"/>
      <c r="BC262" s="124"/>
      <c r="BD262" s="124"/>
      <c r="BE262" s="124"/>
      <c r="BF262" s="124"/>
      <c r="BG262" s="124"/>
      <c r="BH262" s="137"/>
      <c r="BI262" s="138">
        <f t="shared" si="171"/>
        <v>0</v>
      </c>
      <c r="BJ262" s="139">
        <v>2.7440000000000002</v>
      </c>
      <c r="BK262" s="140">
        <v>39</v>
      </c>
      <c r="BL262" s="129">
        <v>0.04</v>
      </c>
      <c r="BM262" s="129">
        <v>0.16700000000000001</v>
      </c>
      <c r="BN262" s="129">
        <v>0.44500000000000001</v>
      </c>
      <c r="BO262" s="129">
        <v>0.90500000000000003</v>
      </c>
      <c r="BP262" s="129">
        <v>1.59</v>
      </c>
      <c r="BQ262" s="129">
        <v>2.1850000000000001</v>
      </c>
      <c r="BR262" s="129"/>
      <c r="BS262" s="129">
        <v>2.7549999999999999</v>
      </c>
      <c r="BT262" s="122">
        <v>40</v>
      </c>
      <c r="BU262" s="124">
        <v>11000</v>
      </c>
      <c r="BV262" s="147">
        <v>42108</v>
      </c>
      <c r="BW262" s="125">
        <v>0.69163607473035427</v>
      </c>
      <c r="BX262" s="124">
        <v>37558</v>
      </c>
      <c r="BY262" s="124">
        <v>17584</v>
      </c>
      <c r="BZ262" s="125">
        <v>0.46818254433143403</v>
      </c>
      <c r="CA262" s="124">
        <v>27</v>
      </c>
      <c r="CB262" s="124">
        <v>325</v>
      </c>
      <c r="CC262" s="125">
        <v>7.1888811970818465E-4</v>
      </c>
      <c r="CD262" s="125">
        <v>8.6532829224133332E-3</v>
      </c>
    </row>
    <row r="263" spans="1:82" x14ac:dyDescent="0.25">
      <c r="A263" s="120" t="s">
        <v>114</v>
      </c>
      <c r="B263" s="121" t="s">
        <v>115</v>
      </c>
      <c r="C263" s="122">
        <v>657</v>
      </c>
      <c r="D263" s="144">
        <v>569.58000000000004</v>
      </c>
      <c r="E263" s="144">
        <f>10042.1+U263+V263</f>
        <v>10089.607116481131</v>
      </c>
      <c r="F263" s="124">
        <v>18800</v>
      </c>
      <c r="G263" s="124">
        <v>18415</v>
      </c>
      <c r="H263" s="125">
        <f t="shared" ref="H263:H281" si="172">IF(F263=0,0,+((F263-G263)/F263))</f>
        <v>2.0478723404255317E-2</v>
      </c>
      <c r="I263" s="120">
        <v>475</v>
      </c>
      <c r="J263" s="125">
        <f t="shared" ref="J263:J281" si="173">+(I263/F263)</f>
        <v>2.5265957446808509E-2</v>
      </c>
      <c r="K263" s="124">
        <v>54020</v>
      </c>
      <c r="L263" s="124">
        <v>94600</v>
      </c>
      <c r="M263" s="126">
        <f t="shared" ref="M263:M281" si="174">IF(G263=0,0,+K263/G263)</f>
        <v>2.9334781428183545</v>
      </c>
      <c r="N263" s="126">
        <f t="shared" ref="N263:N281" si="175">IF(K263=0,0,+L263/K263)</f>
        <v>1.7512032580525732</v>
      </c>
      <c r="O263" s="126">
        <f t="shared" si="165"/>
        <v>1.7636537050608772</v>
      </c>
      <c r="P263" s="127">
        <f>+E263/G263</f>
        <v>0.54790155397671092</v>
      </c>
      <c r="Q263" s="127">
        <f>+D263/G263</f>
        <v>3.0930219929405377E-2</v>
      </c>
      <c r="R263" s="124">
        <v>1476</v>
      </c>
      <c r="S263" s="149">
        <f>+E263/R263</f>
        <v>6.8357771791877582</v>
      </c>
      <c r="T263" s="126">
        <f t="shared" ref="T263:T268" si="176">IF(R263=0,0,+F263/R263)</f>
        <v>12.737127371273713</v>
      </c>
      <c r="U263" s="126">
        <f t="shared" ref="U263:U268" si="177">IF(L263=0,0,+L263/G263)</f>
        <v>5.1371164811295138</v>
      </c>
      <c r="V263" s="128">
        <v>42.37</v>
      </c>
      <c r="W263" s="124"/>
      <c r="X263" s="126"/>
      <c r="Y263" s="124"/>
      <c r="Z263" s="129">
        <f t="shared" ref="Z263:Z281" si="178">IF(V263=0,0,+M263/V263)</f>
        <v>6.923479213637844E-2</v>
      </c>
      <c r="AA263" s="145" t="str">
        <f t="shared" ref="AA263:AA281" si="179">IF(W263=0,"",+X263/W263)</f>
        <v/>
      </c>
      <c r="AB263" s="129">
        <v>0.31702127659574469</v>
      </c>
      <c r="AC263" s="129">
        <v>1.5042553191489361</v>
      </c>
      <c r="AD263" s="129">
        <v>2.3255319148936171</v>
      </c>
      <c r="AE263" s="129">
        <v>0.88510638297872335</v>
      </c>
      <c r="AF263" s="132" t="s">
        <v>81</v>
      </c>
      <c r="AG263" s="133"/>
      <c r="AH263" s="133"/>
      <c r="AI263" s="133"/>
      <c r="AJ263" s="133"/>
      <c r="AK263" s="133"/>
      <c r="AL263" s="146"/>
      <c r="AM263" s="133"/>
      <c r="AN263" s="134"/>
      <c r="AO263" s="135">
        <f t="shared" si="170"/>
        <v>0</v>
      </c>
      <c r="AP263" s="136" t="s">
        <v>82</v>
      </c>
      <c r="AQ263" s="133"/>
      <c r="AR263" s="124"/>
      <c r="AS263" s="124"/>
      <c r="AT263" s="124"/>
      <c r="AU263" s="124"/>
      <c r="AV263" s="124">
        <v>4100</v>
      </c>
      <c r="AW263" s="146"/>
      <c r="AX263" s="124"/>
      <c r="AY263" s="124"/>
      <c r="AZ263" s="124"/>
      <c r="BA263" s="124"/>
      <c r="BB263" s="124"/>
      <c r="BC263" s="124">
        <v>14700</v>
      </c>
      <c r="BD263" s="124"/>
      <c r="BE263" s="124"/>
      <c r="BF263" s="124"/>
      <c r="BG263" s="124"/>
      <c r="BH263" s="137"/>
      <c r="BI263" s="138">
        <f t="shared" si="171"/>
        <v>1</v>
      </c>
      <c r="BJ263" s="139">
        <v>2.8479999999999999</v>
      </c>
      <c r="BK263" s="140">
        <v>41</v>
      </c>
      <c r="BL263" s="129">
        <v>4.4999999999999998E-2</v>
      </c>
      <c r="BM263" s="129">
        <v>0.18</v>
      </c>
      <c r="BN263" s="129">
        <v>0.49</v>
      </c>
      <c r="BO263" s="129">
        <v>0.94599999999999995</v>
      </c>
      <c r="BP263" s="129">
        <v>1.506</v>
      </c>
      <c r="BQ263" s="129">
        <v>2.06</v>
      </c>
      <c r="BR263" s="129">
        <v>2.8479999999999999</v>
      </c>
      <c r="BS263" s="129">
        <v>2.9849999999999999</v>
      </c>
      <c r="BT263" s="122">
        <v>43</v>
      </c>
      <c r="BU263" s="124"/>
      <c r="BV263" s="147">
        <v>42043</v>
      </c>
      <c r="BW263" s="125">
        <v>0.70660514624213255</v>
      </c>
      <c r="BX263" s="124">
        <v>18122</v>
      </c>
      <c r="BY263" s="124">
        <v>9080</v>
      </c>
      <c r="BZ263" s="125">
        <v>0.50104844939852111</v>
      </c>
      <c r="CA263" s="124">
        <v>73</v>
      </c>
      <c r="CB263" s="124">
        <v>57</v>
      </c>
      <c r="CC263" s="125">
        <v>4.0282529522127804E-3</v>
      </c>
      <c r="CD263" s="125">
        <v>3.1453481955634036E-3</v>
      </c>
    </row>
    <row r="264" spans="1:82" x14ac:dyDescent="0.25">
      <c r="A264" s="120" t="s">
        <v>125</v>
      </c>
      <c r="B264" s="121" t="s">
        <v>91</v>
      </c>
      <c r="C264" s="122">
        <v>830</v>
      </c>
      <c r="D264" s="148">
        <v>1026.05</v>
      </c>
      <c r="E264" s="148">
        <v>20100.41905</v>
      </c>
      <c r="F264" s="124">
        <v>36600</v>
      </c>
      <c r="G264" s="124">
        <v>35610</v>
      </c>
      <c r="H264" s="125">
        <f t="shared" si="172"/>
        <v>2.7049180327868853E-2</v>
      </c>
      <c r="I264" s="120">
        <v>394</v>
      </c>
      <c r="J264" s="125">
        <f t="shared" si="173"/>
        <v>1.0765027322404372E-2</v>
      </c>
      <c r="K264" s="124">
        <v>106500</v>
      </c>
      <c r="L264" s="124">
        <v>191500</v>
      </c>
      <c r="M264" s="126">
        <f t="shared" si="174"/>
        <v>2.9907329401853411</v>
      </c>
      <c r="N264" s="126">
        <f t="shared" si="175"/>
        <v>1.7981220657276995</v>
      </c>
      <c r="O264" s="126">
        <f t="shared" si="165"/>
        <v>1.8084823691058969</v>
      </c>
      <c r="P264" s="127">
        <f>+E264/G264</f>
        <v>0.56445995647290093</v>
      </c>
      <c r="Q264" s="127">
        <f>+D264/G264</f>
        <v>2.8813535523729287E-2</v>
      </c>
      <c r="R264" s="124">
        <v>2940</v>
      </c>
      <c r="S264" s="149">
        <f>+E264/R264</f>
        <v>6.8368772278911569</v>
      </c>
      <c r="T264" s="126">
        <f t="shared" si="176"/>
        <v>12.448979591836734</v>
      </c>
      <c r="U264" s="126">
        <f t="shared" si="177"/>
        <v>5.3777028924459422</v>
      </c>
      <c r="V264" s="128">
        <v>43.72</v>
      </c>
      <c r="W264" s="124"/>
      <c r="X264" s="126"/>
      <c r="Y264" s="124"/>
      <c r="Z264" s="129">
        <f t="shared" si="178"/>
        <v>6.8406517387587865E-2</v>
      </c>
      <c r="AA264" s="150" t="str">
        <f t="shared" si="179"/>
        <v/>
      </c>
      <c r="AB264" s="131">
        <v>0.3256830601092896</v>
      </c>
      <c r="AC264" s="131">
        <v>1.4218579234972677</v>
      </c>
      <c r="AD264" s="131">
        <v>2.3256830601092897</v>
      </c>
      <c r="AE264" s="131">
        <v>1.159016393442623</v>
      </c>
      <c r="AF264" s="132" t="s">
        <v>81</v>
      </c>
      <c r="AG264" s="133"/>
      <c r="AH264" s="133"/>
      <c r="AI264" s="133"/>
      <c r="AJ264" s="133"/>
      <c r="AK264" s="133"/>
      <c r="AL264" s="133"/>
      <c r="AM264" s="133"/>
      <c r="AN264" s="134"/>
      <c r="AO264" s="135">
        <f t="shared" si="170"/>
        <v>0</v>
      </c>
      <c r="AP264" s="136" t="s">
        <v>82</v>
      </c>
      <c r="AQ264" s="124"/>
      <c r="AR264" s="124"/>
      <c r="AS264" s="124"/>
      <c r="AT264" s="124"/>
      <c r="AU264" s="124"/>
      <c r="AV264" s="124"/>
      <c r="AW264" s="124"/>
      <c r="AX264" s="124"/>
      <c r="AY264" s="124"/>
      <c r="AZ264" s="124">
        <v>34100</v>
      </c>
      <c r="BA264" s="124"/>
      <c r="BB264" s="124"/>
      <c r="BC264" s="124"/>
      <c r="BD264" s="124"/>
      <c r="BE264" s="124">
        <v>2500</v>
      </c>
      <c r="BF264" s="124"/>
      <c r="BG264" s="124"/>
      <c r="BH264" s="137"/>
      <c r="BI264" s="138">
        <f t="shared" si="171"/>
        <v>1</v>
      </c>
      <c r="BJ264" s="139">
        <v>2.87</v>
      </c>
      <c r="BK264" s="140">
        <v>42</v>
      </c>
      <c r="BL264" s="159">
        <v>0.04</v>
      </c>
      <c r="BM264" s="129">
        <v>0.1845</v>
      </c>
      <c r="BN264" s="129">
        <v>0.4325</v>
      </c>
      <c r="BO264" s="129">
        <v>9.0499999999999997E-2</v>
      </c>
      <c r="BP264" s="129">
        <v>1.4530000000000001</v>
      </c>
      <c r="BQ264" s="159">
        <v>2.1749999999999998</v>
      </c>
      <c r="BR264" s="129">
        <v>2.68</v>
      </c>
      <c r="BS264" s="129">
        <v>3.0840000000000001</v>
      </c>
      <c r="BT264" s="122">
        <v>46</v>
      </c>
      <c r="BU264" s="124"/>
      <c r="BV264" s="147">
        <v>42262</v>
      </c>
      <c r="BW264" s="125">
        <v>0.71515483568075122</v>
      </c>
      <c r="BX264" s="124">
        <v>35468</v>
      </c>
      <c r="BY264" s="124">
        <v>17592</v>
      </c>
      <c r="BZ264" s="125">
        <v>0.49599639111311605</v>
      </c>
      <c r="CA264" s="124">
        <v>60</v>
      </c>
      <c r="CB264" s="124">
        <v>144</v>
      </c>
      <c r="CC264" s="125">
        <v>1.691665726852374E-3</v>
      </c>
      <c r="CD264" s="125">
        <v>4.0599977444456979E-3</v>
      </c>
    </row>
    <row r="265" spans="1:82" x14ac:dyDescent="0.25">
      <c r="A265" s="120" t="s">
        <v>97</v>
      </c>
      <c r="B265" s="121" t="s">
        <v>80</v>
      </c>
      <c r="C265" s="122">
        <v>880</v>
      </c>
      <c r="D265" s="123">
        <v>2680.24</v>
      </c>
      <c r="E265" s="123">
        <v>33627.478800000004</v>
      </c>
      <c r="F265" s="124">
        <v>63000</v>
      </c>
      <c r="G265" s="124">
        <v>62560</v>
      </c>
      <c r="H265" s="125">
        <f t="shared" si="172"/>
        <v>6.9841269841269841E-3</v>
      </c>
      <c r="I265" s="120">
        <v>544</v>
      </c>
      <c r="J265" s="125">
        <f t="shared" si="173"/>
        <v>8.6349206349206342E-3</v>
      </c>
      <c r="K265" s="124">
        <v>174020</v>
      </c>
      <c r="L265" s="124">
        <v>303620</v>
      </c>
      <c r="M265" s="126">
        <f t="shared" si="174"/>
        <v>2.7816496163682864</v>
      </c>
      <c r="N265" s="126">
        <f t="shared" si="175"/>
        <v>1.7447419836800369</v>
      </c>
      <c r="O265" s="126">
        <f t="shared" si="165"/>
        <v>1.7652557452981921</v>
      </c>
      <c r="P265" s="127">
        <f t="shared" ref="P265:P278" si="180">IF(G265=0,0,+E265/G265)</f>
        <v>0.53752363810741699</v>
      </c>
      <c r="Q265" s="127">
        <f t="shared" ref="Q265:Q278" si="181">IF(G265=0,0,+D265/G265)</f>
        <v>4.2842710997442454E-2</v>
      </c>
      <c r="R265" s="124">
        <v>4914</v>
      </c>
      <c r="S265" s="127">
        <f t="shared" ref="S265:S278" si="182">IF(R265=0,0,+E265/R265)</f>
        <v>6.8431987789987803</v>
      </c>
      <c r="T265" s="126">
        <f t="shared" si="176"/>
        <v>12.820512820512821</v>
      </c>
      <c r="U265" s="126">
        <f t="shared" si="177"/>
        <v>4.8532608695652177</v>
      </c>
      <c r="V265" s="128">
        <v>44.9</v>
      </c>
      <c r="W265" s="124"/>
      <c r="X265" s="126"/>
      <c r="Y265" s="124"/>
      <c r="Z265" s="129">
        <f t="shared" si="178"/>
        <v>6.1952107268781434E-2</v>
      </c>
      <c r="AA265" s="130" t="str">
        <f t="shared" si="179"/>
        <v/>
      </c>
      <c r="AB265" s="131">
        <v>0.27873015873015872</v>
      </c>
      <c r="AC265" s="131">
        <v>1.4514285714285715</v>
      </c>
      <c r="AD265" s="131">
        <v>2.2466666666666666</v>
      </c>
      <c r="AE265" s="131">
        <v>0.84253968253968259</v>
      </c>
      <c r="AF265" s="132" t="s">
        <v>81</v>
      </c>
      <c r="AG265" s="133"/>
      <c r="AH265" s="133"/>
      <c r="AI265" s="133"/>
      <c r="AJ265" s="133"/>
      <c r="AK265" s="133"/>
      <c r="AL265" s="133"/>
      <c r="AM265" s="133"/>
      <c r="AN265" s="143"/>
      <c r="AO265" s="135">
        <f t="shared" si="170"/>
        <v>0</v>
      </c>
      <c r="AP265" s="136" t="s">
        <v>82</v>
      </c>
      <c r="AQ265" s="133"/>
      <c r="AR265" s="124"/>
      <c r="AS265" s="124"/>
      <c r="AT265" s="124"/>
      <c r="AU265" s="124"/>
      <c r="AV265" s="124"/>
      <c r="AW265" s="124"/>
      <c r="AX265" s="124"/>
      <c r="AY265" s="124"/>
      <c r="AZ265" s="124"/>
      <c r="BA265" s="124"/>
      <c r="BB265" s="124">
        <v>34600</v>
      </c>
      <c r="BC265" s="124"/>
      <c r="BD265" s="124">
        <v>28400</v>
      </c>
      <c r="BE265" s="124"/>
      <c r="BF265" s="133"/>
      <c r="BG265" s="124"/>
      <c r="BH265" s="137"/>
      <c r="BI265" s="138">
        <f t="shared" si="171"/>
        <v>1</v>
      </c>
      <c r="BJ265" s="139">
        <v>2.7320000000000002</v>
      </c>
      <c r="BK265" s="140">
        <v>44</v>
      </c>
      <c r="BL265" s="129">
        <v>4.0500000000000001E-2</v>
      </c>
      <c r="BM265" s="129">
        <v>0.16400000000000001</v>
      </c>
      <c r="BN265" s="129">
        <v>0.40200000000000002</v>
      </c>
      <c r="BO265" s="129">
        <v>0.86099999999999999</v>
      </c>
      <c r="BP265" s="129">
        <v>1.4239999999999999</v>
      </c>
      <c r="BQ265" s="129">
        <v>2.0230000000000001</v>
      </c>
      <c r="BR265" s="129">
        <v>2.5670000000000002</v>
      </c>
      <c r="BS265" s="129">
        <v>2.798</v>
      </c>
      <c r="BT265" s="122">
        <v>46</v>
      </c>
      <c r="BU265" s="124"/>
      <c r="BV265" s="142">
        <v>42318</v>
      </c>
      <c r="BW265" s="125">
        <v>0.67909659809217326</v>
      </c>
      <c r="BX265" s="124">
        <v>61438</v>
      </c>
      <c r="BY265" s="124">
        <v>30168</v>
      </c>
      <c r="BZ265" s="125">
        <v>0.49103160910185878</v>
      </c>
      <c r="CA265" s="124">
        <v>258</v>
      </c>
      <c r="CB265" s="124">
        <v>469</v>
      </c>
      <c r="CC265" s="125">
        <v>4.1993554477684821E-3</v>
      </c>
      <c r="CD265" s="125">
        <v>7.633712034896969E-3</v>
      </c>
    </row>
    <row r="266" spans="1:82" x14ac:dyDescent="0.25">
      <c r="A266" s="120" t="s">
        <v>123</v>
      </c>
      <c r="B266" s="121" t="s">
        <v>80</v>
      </c>
      <c r="C266" s="122">
        <v>830</v>
      </c>
      <c r="D266" s="148">
        <v>605.88</v>
      </c>
      <c r="E266" s="148">
        <v>11520.85742</v>
      </c>
      <c r="F266" s="124">
        <v>24000</v>
      </c>
      <c r="G266" s="124">
        <v>23404</v>
      </c>
      <c r="H266" s="125">
        <f t="shared" si="172"/>
        <v>2.4833333333333332E-2</v>
      </c>
      <c r="I266" s="120"/>
      <c r="J266" s="125">
        <f t="shared" si="173"/>
        <v>0</v>
      </c>
      <c r="K266" s="124">
        <v>62460</v>
      </c>
      <c r="L266" s="124">
        <v>110020</v>
      </c>
      <c r="M266" s="126">
        <f t="shared" si="174"/>
        <v>2.6687745684498378</v>
      </c>
      <c r="N266" s="126">
        <f t="shared" si="175"/>
        <v>1.7614473262888248</v>
      </c>
      <c r="O266" s="126">
        <f t="shared" si="165"/>
        <v>1.7975457061334112</v>
      </c>
      <c r="P266" s="127">
        <f t="shared" si="180"/>
        <v>0.49226018714749614</v>
      </c>
      <c r="Q266" s="127">
        <f t="shared" si="181"/>
        <v>2.5887882413262689E-2</v>
      </c>
      <c r="R266" s="124">
        <v>1680</v>
      </c>
      <c r="S266" s="127">
        <f t="shared" si="182"/>
        <v>6.8576532261904761</v>
      </c>
      <c r="T266" s="126">
        <f t="shared" si="176"/>
        <v>14.285714285714286</v>
      </c>
      <c r="U266" s="126">
        <f t="shared" si="177"/>
        <v>4.7009058280635792</v>
      </c>
      <c r="V266" s="128">
        <v>43</v>
      </c>
      <c r="W266" s="124"/>
      <c r="X266" s="126"/>
      <c r="Y266" s="124"/>
      <c r="Z266" s="129">
        <f t="shared" si="178"/>
        <v>6.2064524847670645E-2</v>
      </c>
      <c r="AA266" s="150" t="str">
        <f t="shared" si="179"/>
        <v/>
      </c>
      <c r="AB266" s="129">
        <v>0.31416666666666665</v>
      </c>
      <c r="AC266" s="129">
        <v>1.3833333333333333</v>
      </c>
      <c r="AD266" s="129">
        <v>2.3833333333333333</v>
      </c>
      <c r="AE266" s="129">
        <v>0.5033333333333333</v>
      </c>
      <c r="AF266" s="132" t="s">
        <v>81</v>
      </c>
      <c r="AG266" s="152"/>
      <c r="AH266" s="152"/>
      <c r="AI266" s="152"/>
      <c r="AJ266" s="152"/>
      <c r="AK266" s="152"/>
      <c r="AL266" s="120"/>
      <c r="AM266" s="152"/>
      <c r="AN266" s="153"/>
      <c r="AO266" s="135">
        <f t="shared" si="170"/>
        <v>0</v>
      </c>
      <c r="AP266" s="136" t="s">
        <v>82</v>
      </c>
      <c r="AQ266" s="152"/>
      <c r="AR266" s="120"/>
      <c r="AS266" s="120"/>
      <c r="AT266" s="120"/>
      <c r="AU266" s="120"/>
      <c r="AV266" s="120"/>
      <c r="AW266" s="120"/>
      <c r="AX266" s="120"/>
      <c r="AY266" s="120"/>
      <c r="AZ266" s="120"/>
      <c r="BA266" s="120">
        <v>24000</v>
      </c>
      <c r="BB266" s="120"/>
      <c r="BC266" s="120"/>
      <c r="BD266" s="120"/>
      <c r="BE266" s="120"/>
      <c r="BF266" s="120"/>
      <c r="BG266" s="120"/>
      <c r="BH266" s="154"/>
      <c r="BI266" s="138">
        <f t="shared" si="171"/>
        <v>1</v>
      </c>
      <c r="BJ266" s="139">
        <v>2.9860000000000002</v>
      </c>
      <c r="BK266" s="140">
        <v>43</v>
      </c>
      <c r="BL266" s="129">
        <v>0.04</v>
      </c>
      <c r="BM266" s="129">
        <v>0.2</v>
      </c>
      <c r="BN266" s="129">
        <v>0.5</v>
      </c>
      <c r="BO266" s="129">
        <v>0.8</v>
      </c>
      <c r="BP266" s="129">
        <v>1.38</v>
      </c>
      <c r="BQ266" s="129">
        <v>2.0579999999999998</v>
      </c>
      <c r="BR266" s="129">
        <v>2.98</v>
      </c>
      <c r="BS266" s="129">
        <v>2.9860000000000002</v>
      </c>
      <c r="BT266" s="122">
        <v>43</v>
      </c>
      <c r="BU266" s="124"/>
      <c r="BV266" s="147">
        <v>42011</v>
      </c>
      <c r="BW266" s="125">
        <v>0.67746173913043484</v>
      </c>
      <c r="BX266" s="120">
        <v>14950</v>
      </c>
      <c r="BY266" s="124">
        <v>5736</v>
      </c>
      <c r="BZ266" s="125">
        <v>0.3836789297658863</v>
      </c>
      <c r="CA266" s="124">
        <v>331</v>
      </c>
      <c r="CB266" s="124">
        <v>139</v>
      </c>
      <c r="CC266" s="125">
        <v>2.2140468227424749E-2</v>
      </c>
      <c r="CD266" s="125">
        <v>9.2976588628762534E-3</v>
      </c>
    </row>
    <row r="267" spans="1:82" x14ac:dyDescent="0.25">
      <c r="A267" s="120" t="s">
        <v>108</v>
      </c>
      <c r="B267" s="121" t="s">
        <v>80</v>
      </c>
      <c r="C267" s="122">
        <v>932</v>
      </c>
      <c r="D267" s="123">
        <v>1111.5899999999999</v>
      </c>
      <c r="E267" s="123">
        <v>18519.32</v>
      </c>
      <c r="F267" s="124">
        <v>34700</v>
      </c>
      <c r="G267" s="124">
        <v>34104</v>
      </c>
      <c r="H267" s="125">
        <f t="shared" si="172"/>
        <v>1.717579250720461E-2</v>
      </c>
      <c r="I267" s="120">
        <v>514</v>
      </c>
      <c r="J267" s="125">
        <f t="shared" si="173"/>
        <v>1.4812680115273775E-2</v>
      </c>
      <c r="K267" s="124">
        <v>105320</v>
      </c>
      <c r="L267" s="124">
        <v>191180</v>
      </c>
      <c r="M267" s="126">
        <f t="shared" si="174"/>
        <v>3.0882007975604036</v>
      </c>
      <c r="N267" s="126">
        <f t="shared" si="175"/>
        <v>1.8152297759210028</v>
      </c>
      <c r="O267" s="126">
        <f t="shared" si="165"/>
        <v>1.8229805435380864</v>
      </c>
      <c r="P267" s="127">
        <f t="shared" si="180"/>
        <v>0.54302486511846115</v>
      </c>
      <c r="Q267" s="127">
        <f t="shared" si="181"/>
        <v>3.2594123856439124E-2</v>
      </c>
      <c r="R267" s="124">
        <v>2700</v>
      </c>
      <c r="S267" s="127">
        <f t="shared" si="182"/>
        <v>6.8590074074074074</v>
      </c>
      <c r="T267" s="126">
        <f t="shared" si="176"/>
        <v>12.851851851851851</v>
      </c>
      <c r="U267" s="126">
        <f t="shared" si="177"/>
        <v>5.605794041754633</v>
      </c>
      <c r="V267" s="128">
        <v>47.16</v>
      </c>
      <c r="W267" s="124"/>
      <c r="X267" s="126"/>
      <c r="Y267" s="124"/>
      <c r="Z267" s="129">
        <f t="shared" si="178"/>
        <v>6.548347747159465E-2</v>
      </c>
      <c r="AA267" s="130" t="str">
        <f t="shared" si="179"/>
        <v/>
      </c>
      <c r="AB267" s="131">
        <v>0.31930835734870316</v>
      </c>
      <c r="AC267" s="131">
        <v>1.4628242074927953</v>
      </c>
      <c r="AD267" s="131">
        <v>2.3694524495677234</v>
      </c>
      <c r="AE267" s="131">
        <v>1.3579250720461096</v>
      </c>
      <c r="AF267" s="132" t="s">
        <v>81</v>
      </c>
      <c r="AG267" s="133"/>
      <c r="AH267" s="133">
        <v>8600</v>
      </c>
      <c r="AI267" s="133"/>
      <c r="AJ267" s="133"/>
      <c r="AK267" s="124"/>
      <c r="AL267" s="124"/>
      <c r="AM267" s="124"/>
      <c r="AN267" s="137"/>
      <c r="AO267" s="135">
        <f t="shared" si="170"/>
        <v>0.2478386167146974</v>
      </c>
      <c r="AP267" s="136" t="s">
        <v>82</v>
      </c>
      <c r="AQ267" s="124"/>
      <c r="AR267" s="124"/>
      <c r="AS267" s="124"/>
      <c r="AT267" s="124"/>
      <c r="AU267" s="124">
        <v>3000</v>
      </c>
      <c r="AV267" s="124"/>
      <c r="AW267" s="124"/>
      <c r="AX267" s="124"/>
      <c r="AY267" s="124"/>
      <c r="AZ267" s="124"/>
      <c r="BA267" s="124"/>
      <c r="BB267" s="124"/>
      <c r="BC267" s="124"/>
      <c r="BD267" s="124">
        <v>23100</v>
      </c>
      <c r="BE267" s="124"/>
      <c r="BF267" s="124"/>
      <c r="BG267" s="124"/>
      <c r="BH267" s="137"/>
      <c r="BI267" s="138">
        <f t="shared" si="171"/>
        <v>0.75216138328530258</v>
      </c>
      <c r="BJ267" s="139">
        <v>3.081</v>
      </c>
      <c r="BK267" s="140">
        <v>47</v>
      </c>
      <c r="BL267" s="129">
        <v>3.6999999999999998E-2</v>
      </c>
      <c r="BM267" s="129">
        <v>0.17199999999999999</v>
      </c>
      <c r="BN267" s="129">
        <v>0.45850000000000002</v>
      </c>
      <c r="BO267" s="129">
        <v>0.92</v>
      </c>
      <c r="BP267" s="129">
        <v>1.488</v>
      </c>
      <c r="BQ267" s="129">
        <v>1.845</v>
      </c>
      <c r="BR267" s="129">
        <v>2.5590000000000002</v>
      </c>
      <c r="BS267" s="129">
        <v>3.1259999999999999</v>
      </c>
      <c r="BT267" s="122">
        <v>48</v>
      </c>
      <c r="BU267" s="124"/>
      <c r="BV267" s="142">
        <v>42296</v>
      </c>
      <c r="BW267" s="125">
        <v>0.71247949107481956</v>
      </c>
      <c r="BX267" s="124">
        <v>34038</v>
      </c>
      <c r="BY267" s="124">
        <v>12464</v>
      </c>
      <c r="BZ267" s="125">
        <v>0.3661789764380986</v>
      </c>
      <c r="CA267" s="124">
        <v>50</v>
      </c>
      <c r="CB267" s="124">
        <v>95</v>
      </c>
      <c r="CC267" s="125">
        <v>1.4689464715905752E-3</v>
      </c>
      <c r="CD267" s="125">
        <v>2.790998296022093E-3</v>
      </c>
    </row>
    <row r="268" spans="1:82" x14ac:dyDescent="0.25">
      <c r="A268" s="120" t="s">
        <v>116</v>
      </c>
      <c r="B268" s="121" t="s">
        <v>80</v>
      </c>
      <c r="C268" s="122">
        <v>810</v>
      </c>
      <c r="D268" s="123">
        <v>450.04</v>
      </c>
      <c r="E268" s="123">
        <v>14436.986800000001</v>
      </c>
      <c r="F268" s="124">
        <v>29300</v>
      </c>
      <c r="G268" s="124">
        <v>28160</v>
      </c>
      <c r="H268" s="125">
        <f t="shared" si="172"/>
        <v>3.8907849829351533E-2</v>
      </c>
      <c r="I268" s="120">
        <v>194</v>
      </c>
      <c r="J268" s="125">
        <f t="shared" si="173"/>
        <v>6.6211604095563143E-3</v>
      </c>
      <c r="K268" s="124">
        <v>84140</v>
      </c>
      <c r="L268" s="124">
        <v>157600</v>
      </c>
      <c r="M268" s="126">
        <f t="shared" si="174"/>
        <v>2.9879261363636362</v>
      </c>
      <c r="N268" s="126">
        <f t="shared" si="175"/>
        <v>1.8730686950320894</v>
      </c>
      <c r="O268" s="126">
        <f t="shared" si="165"/>
        <v>1.8904560572059654</v>
      </c>
      <c r="P268" s="127">
        <f t="shared" si="180"/>
        <v>0.5126770880681818</v>
      </c>
      <c r="Q268" s="127">
        <f t="shared" si="181"/>
        <v>1.5981534090909091E-2</v>
      </c>
      <c r="R268" s="124">
        <v>2100</v>
      </c>
      <c r="S268" s="127">
        <f t="shared" si="182"/>
        <v>6.8747556190476189</v>
      </c>
      <c r="T268" s="126">
        <f t="shared" si="176"/>
        <v>13.952380952380953</v>
      </c>
      <c r="U268" s="126">
        <f t="shared" si="177"/>
        <v>5.5965909090909092</v>
      </c>
      <c r="V268" s="128">
        <v>45</v>
      </c>
      <c r="W268" s="124"/>
      <c r="X268" s="126"/>
      <c r="Y268" s="124"/>
      <c r="Z268" s="129">
        <f t="shared" si="178"/>
        <v>6.6398358585858588E-2</v>
      </c>
      <c r="AA268" s="130" t="str">
        <f t="shared" si="179"/>
        <v/>
      </c>
      <c r="AB268" s="131">
        <v>0.31194539249146758</v>
      </c>
      <c r="AC268" s="131">
        <v>1.3802047781569966</v>
      </c>
      <c r="AD268" s="131">
        <v>2.5228668941979522</v>
      </c>
      <c r="AE268" s="131">
        <v>1.1638225255972696</v>
      </c>
      <c r="AF268" s="132" t="s">
        <v>81</v>
      </c>
      <c r="AG268" s="133"/>
      <c r="AH268" s="133"/>
      <c r="AI268" s="133"/>
      <c r="AJ268" s="133"/>
      <c r="AK268" s="133"/>
      <c r="AL268" s="133"/>
      <c r="AM268" s="133"/>
      <c r="AN268" s="143"/>
      <c r="AO268" s="135">
        <f t="shared" si="170"/>
        <v>0</v>
      </c>
      <c r="AP268" s="136" t="s">
        <v>82</v>
      </c>
      <c r="AQ268" s="133"/>
      <c r="AR268" s="124"/>
      <c r="AS268" s="124"/>
      <c r="AT268" s="124"/>
      <c r="AU268" s="124"/>
      <c r="AV268" s="124"/>
      <c r="AW268" s="124"/>
      <c r="AX268" s="124"/>
      <c r="AY268" s="124"/>
      <c r="AZ268" s="124"/>
      <c r="BA268" s="124"/>
      <c r="BB268" s="124"/>
      <c r="BC268" s="124"/>
      <c r="BD268" s="124"/>
      <c r="BE268" s="124"/>
      <c r="BF268" s="133">
        <v>29300</v>
      </c>
      <c r="BG268" s="124"/>
      <c r="BH268" s="137"/>
      <c r="BI268" s="138">
        <f t="shared" si="171"/>
        <v>1</v>
      </c>
      <c r="BJ268" s="139">
        <v>2.988</v>
      </c>
      <c r="BK268" s="140">
        <v>45</v>
      </c>
      <c r="BL268" s="129">
        <v>0.04</v>
      </c>
      <c r="BM268" s="129">
        <v>0.19650000000000001</v>
      </c>
      <c r="BN268" s="129">
        <v>0.48499999999999999</v>
      </c>
      <c r="BO268" s="129">
        <v>0.98499999999999999</v>
      </c>
      <c r="BP268" s="129">
        <v>1.5249999999999999</v>
      </c>
      <c r="BQ268" s="129">
        <v>2.11</v>
      </c>
      <c r="BR268" s="129">
        <v>2.69</v>
      </c>
      <c r="BS268" s="129">
        <v>2.988</v>
      </c>
      <c r="BT268" s="122">
        <v>45</v>
      </c>
      <c r="BU268" s="124"/>
      <c r="BV268" s="142">
        <v>42327</v>
      </c>
      <c r="BW268" s="125">
        <v>0.70650855716662697</v>
      </c>
      <c r="BX268" s="124">
        <v>27866</v>
      </c>
      <c r="BY268" s="124">
        <v>11928</v>
      </c>
      <c r="BZ268" s="125">
        <v>0.42804851790712695</v>
      </c>
      <c r="CA268" s="124">
        <v>82</v>
      </c>
      <c r="CB268" s="124">
        <v>177</v>
      </c>
      <c r="CC268" s="125">
        <v>2.9426541304815907E-3</v>
      </c>
      <c r="CD268" s="125">
        <v>6.3518265987224575E-3</v>
      </c>
    </row>
    <row r="269" spans="1:82" x14ac:dyDescent="0.25">
      <c r="A269" s="120" t="s">
        <v>103</v>
      </c>
      <c r="B269" s="121" t="s">
        <v>80</v>
      </c>
      <c r="C269" s="122">
        <v>1018</v>
      </c>
      <c r="D269" s="144">
        <v>957.42</v>
      </c>
      <c r="E269" s="144">
        <v>13752.629499999999</v>
      </c>
      <c r="F269" s="124">
        <v>24700</v>
      </c>
      <c r="G269" s="124">
        <v>23900</v>
      </c>
      <c r="H269" s="125">
        <f t="shared" si="172"/>
        <v>3.2388663967611336E-2</v>
      </c>
      <c r="I269" s="120">
        <v>106</v>
      </c>
      <c r="J269" s="125">
        <f t="shared" si="173"/>
        <v>4.2914979757085019E-3</v>
      </c>
      <c r="K269" s="124">
        <v>67680</v>
      </c>
      <c r="L269" s="124">
        <v>115120</v>
      </c>
      <c r="M269" s="126">
        <f t="shared" si="174"/>
        <v>2.8317991631799164</v>
      </c>
      <c r="N269" s="126">
        <f t="shared" si="175"/>
        <v>1.7009456264775413</v>
      </c>
      <c r="O269" s="126">
        <f t="shared" si="165"/>
        <v>1.7195076758655461</v>
      </c>
      <c r="P269" s="127">
        <f t="shared" si="180"/>
        <v>0.57542382845188278</v>
      </c>
      <c r="Q269" s="127">
        <f t="shared" si="181"/>
        <v>4.005941422594142E-2</v>
      </c>
      <c r="R269" s="124">
        <v>2000</v>
      </c>
      <c r="S269" s="127">
        <f t="shared" si="182"/>
        <v>6.8763147499999997</v>
      </c>
      <c r="T269" s="126">
        <f>IF(R269=0,0,+F254/R269)</f>
        <v>16.399999999999999</v>
      </c>
      <c r="U269" s="126">
        <f>IF(L254=0,0,+L254/G254)</f>
        <v>4.7430041814088133</v>
      </c>
      <c r="V269" s="128">
        <v>44</v>
      </c>
      <c r="W269" s="124"/>
      <c r="X269" s="126"/>
      <c r="Y269" s="124"/>
      <c r="Z269" s="129">
        <f t="shared" si="178"/>
        <v>6.4359071890452646E-2</v>
      </c>
      <c r="AA269" s="155" t="str">
        <f t="shared" si="179"/>
        <v/>
      </c>
      <c r="AB269" s="129">
        <v>0.30202429149797572</v>
      </c>
      <c r="AC269" s="129">
        <v>1.454251012145749</v>
      </c>
      <c r="AD269" s="129">
        <v>2.1668016194331985</v>
      </c>
      <c r="AE269" s="129">
        <v>0.73765182186234812</v>
      </c>
      <c r="AF269" s="132" t="s">
        <v>81</v>
      </c>
      <c r="AG269" s="133"/>
      <c r="AH269" s="133"/>
      <c r="AI269" s="133"/>
      <c r="AJ269" s="133"/>
      <c r="AK269" s="133"/>
      <c r="AL269" s="146"/>
      <c r="AM269" s="133"/>
      <c r="AN269" s="134"/>
      <c r="AO269" s="135">
        <f t="shared" si="170"/>
        <v>0</v>
      </c>
      <c r="AP269" s="136" t="s">
        <v>82</v>
      </c>
      <c r="AQ269" s="133"/>
      <c r="AR269" s="124"/>
      <c r="AS269" s="124"/>
      <c r="AT269" s="124"/>
      <c r="AU269" s="133"/>
      <c r="AV269" s="124"/>
      <c r="AW269" s="146"/>
      <c r="AX269" s="124"/>
      <c r="AY269" s="133"/>
      <c r="AZ269" s="124"/>
      <c r="BA269" s="124"/>
      <c r="BB269" s="124"/>
      <c r="BC269" s="124"/>
      <c r="BD269" s="124"/>
      <c r="BE269" s="124">
        <v>19900</v>
      </c>
      <c r="BF269" s="133"/>
      <c r="BG269" s="124">
        <v>4800</v>
      </c>
      <c r="BH269" s="134"/>
      <c r="BI269" s="138">
        <f t="shared" si="171"/>
        <v>1</v>
      </c>
      <c r="BJ269" s="139">
        <v>2.8319999999999999</v>
      </c>
      <c r="BK269" s="140">
        <v>44</v>
      </c>
      <c r="BL269" s="129">
        <v>3.5999999999999997E-2</v>
      </c>
      <c r="BM269" s="129">
        <v>0.16</v>
      </c>
      <c r="BN269" s="129">
        <v>0.41</v>
      </c>
      <c r="BO269" s="129">
        <v>0.85</v>
      </c>
      <c r="BP269" s="129">
        <v>1.43</v>
      </c>
      <c r="BQ269" s="129"/>
      <c r="BR269" s="129">
        <v>2.5499999999999998</v>
      </c>
      <c r="BS269" s="129">
        <v>2.8319999999999999</v>
      </c>
      <c r="BT269" s="122">
        <v>44</v>
      </c>
      <c r="BU269" s="124"/>
      <c r="BV269" s="147">
        <v>42134</v>
      </c>
      <c r="BW269" s="125">
        <v>0.69803605200945629</v>
      </c>
      <c r="BX269" s="124">
        <v>23616</v>
      </c>
      <c r="BY269" s="124">
        <v>10448</v>
      </c>
      <c r="BZ269" s="125">
        <v>0.44241192411924118</v>
      </c>
      <c r="CA269" s="124">
        <v>102</v>
      </c>
      <c r="CB269" s="124">
        <v>156</v>
      </c>
      <c r="CC269" s="125">
        <v>4.3191056910569106E-3</v>
      </c>
      <c r="CD269" s="125">
        <v>6.6056910569105695E-3</v>
      </c>
    </row>
    <row r="270" spans="1:82" x14ac:dyDescent="0.25">
      <c r="A270" s="120" t="s">
        <v>114</v>
      </c>
      <c r="B270" s="121" t="s">
        <v>115</v>
      </c>
      <c r="C270" s="122">
        <v>657</v>
      </c>
      <c r="D270" s="123">
        <v>206.02</v>
      </c>
      <c r="E270" s="123">
        <v>10400.75</v>
      </c>
      <c r="F270" s="124">
        <v>18800</v>
      </c>
      <c r="G270" s="124">
        <v>18425</v>
      </c>
      <c r="H270" s="125">
        <f t="shared" si="172"/>
        <v>1.9946808510638299E-2</v>
      </c>
      <c r="I270" s="120">
        <v>272</v>
      </c>
      <c r="J270" s="125">
        <f t="shared" si="173"/>
        <v>1.4468085106382979E-2</v>
      </c>
      <c r="K270" s="124">
        <v>50300</v>
      </c>
      <c r="L270" s="124">
        <v>82920</v>
      </c>
      <c r="M270" s="126">
        <f t="shared" si="174"/>
        <v>2.7299864314789688</v>
      </c>
      <c r="N270" s="126">
        <f t="shared" si="175"/>
        <v>1.6485089463220677</v>
      </c>
      <c r="O270" s="126">
        <f t="shared" si="165"/>
        <v>1.6643165663552928</v>
      </c>
      <c r="P270" s="127">
        <f t="shared" si="180"/>
        <v>0.56449118046132973</v>
      </c>
      <c r="Q270" s="127">
        <f t="shared" si="181"/>
        <v>1.1181546811397559E-2</v>
      </c>
      <c r="R270" s="124">
        <v>1512</v>
      </c>
      <c r="S270" s="127">
        <f t="shared" si="182"/>
        <v>6.8788029100529098</v>
      </c>
      <c r="T270" s="126">
        <f t="shared" ref="T270:T281" si="183">IF(R270=0,0,+F270/R270)</f>
        <v>12.433862433862434</v>
      </c>
      <c r="U270" s="126">
        <f t="shared" ref="U270:U281" si="184">IF(L270=0,0,+L270/G270)</f>
        <v>4.5004070556309363</v>
      </c>
      <c r="V270" s="128">
        <v>40</v>
      </c>
      <c r="W270" s="124"/>
      <c r="X270" s="126"/>
      <c r="Y270" s="124"/>
      <c r="Z270" s="129">
        <f t="shared" si="178"/>
        <v>6.8249660786974226E-2</v>
      </c>
      <c r="AA270" s="130" t="str">
        <f t="shared" si="179"/>
        <v/>
      </c>
      <c r="AB270" s="131">
        <v>0.31170212765957445</v>
      </c>
      <c r="AC270" s="131">
        <v>1.4234042553191488</v>
      </c>
      <c r="AD270" s="131">
        <v>2.4500000000000002</v>
      </c>
      <c r="AE270" s="131">
        <v>0.22553191489361701</v>
      </c>
      <c r="AF270" s="132" t="s">
        <v>81</v>
      </c>
      <c r="AG270" s="133"/>
      <c r="AH270" s="133"/>
      <c r="AI270" s="133"/>
      <c r="AJ270" s="133"/>
      <c r="AK270" s="133"/>
      <c r="AL270" s="133"/>
      <c r="AM270" s="133"/>
      <c r="AN270" s="134"/>
      <c r="AO270" s="135">
        <f t="shared" si="170"/>
        <v>0</v>
      </c>
      <c r="AP270" s="136" t="s">
        <v>82</v>
      </c>
      <c r="AQ270" s="133"/>
      <c r="AR270" s="124"/>
      <c r="AS270" s="124"/>
      <c r="AT270" s="124"/>
      <c r="AU270" s="124">
        <v>3000</v>
      </c>
      <c r="AV270" s="124"/>
      <c r="AW270" s="124"/>
      <c r="AX270" s="124"/>
      <c r="AY270" s="124"/>
      <c r="AZ270" s="124"/>
      <c r="BA270" s="124"/>
      <c r="BB270" s="124"/>
      <c r="BC270" s="124"/>
      <c r="BD270" s="124">
        <v>15800</v>
      </c>
      <c r="BE270" s="124"/>
      <c r="BF270" s="133"/>
      <c r="BG270" s="124"/>
      <c r="BH270" s="137"/>
      <c r="BI270" s="138">
        <f t="shared" si="171"/>
        <v>1</v>
      </c>
      <c r="BJ270" s="139">
        <v>2.73</v>
      </c>
      <c r="BK270" s="140">
        <v>40</v>
      </c>
      <c r="BL270" s="129">
        <v>3.5999999999999997E-2</v>
      </c>
      <c r="BM270" s="129">
        <v>0.17</v>
      </c>
      <c r="BN270" s="129">
        <v>0.48699999999999999</v>
      </c>
      <c r="BO270" s="129">
        <v>0.91700000000000004</v>
      </c>
      <c r="BP270" s="129">
        <v>1.68</v>
      </c>
      <c r="BQ270" s="129">
        <v>2.27</v>
      </c>
      <c r="BR270" s="129"/>
      <c r="BS270" s="129">
        <v>2.73</v>
      </c>
      <c r="BT270" s="122">
        <v>40</v>
      </c>
      <c r="BU270" s="124"/>
      <c r="BV270" s="142">
        <v>42305</v>
      </c>
      <c r="BW270" s="125">
        <v>0.7037005964214712</v>
      </c>
      <c r="BX270" s="124">
        <v>18260</v>
      </c>
      <c r="BY270" s="124">
        <v>6560</v>
      </c>
      <c r="BZ270" s="125">
        <v>0.35925520262869659</v>
      </c>
      <c r="CA270" s="124">
        <v>72</v>
      </c>
      <c r="CB270" s="124">
        <v>103</v>
      </c>
      <c r="CC270" s="125">
        <v>3.9430449069003289E-3</v>
      </c>
      <c r="CD270" s="125">
        <v>5.6407447973713032E-3</v>
      </c>
    </row>
    <row r="271" spans="1:82" x14ac:dyDescent="0.25">
      <c r="A271" s="120" t="s">
        <v>109</v>
      </c>
      <c r="B271" s="121" t="s">
        <v>80</v>
      </c>
      <c r="C271" s="122">
        <v>872</v>
      </c>
      <c r="D271" s="123">
        <v>179.04</v>
      </c>
      <c r="E271" s="123">
        <v>9664.7199999999993</v>
      </c>
      <c r="F271" s="124">
        <v>17600</v>
      </c>
      <c r="G271" s="124">
        <v>17260</v>
      </c>
      <c r="H271" s="125">
        <f t="shared" si="172"/>
        <v>1.9318181818181818E-2</v>
      </c>
      <c r="I271" s="120">
        <v>205</v>
      </c>
      <c r="J271" s="125">
        <f t="shared" si="173"/>
        <v>1.1647727272727273E-2</v>
      </c>
      <c r="K271" s="124">
        <v>49600</v>
      </c>
      <c r="L271" s="124">
        <v>85440</v>
      </c>
      <c r="M271" s="126">
        <f t="shared" si="174"/>
        <v>2.87369640787949</v>
      </c>
      <c r="N271" s="126">
        <f t="shared" si="175"/>
        <v>1.7225806451612904</v>
      </c>
      <c r="O271" s="126">
        <f t="shared" si="165"/>
        <v>1.7465629992060079</v>
      </c>
      <c r="P271" s="127">
        <f t="shared" si="180"/>
        <v>0.55994901506373118</v>
      </c>
      <c r="Q271" s="127">
        <f t="shared" si="181"/>
        <v>1.0373117033603708E-2</v>
      </c>
      <c r="R271" s="124">
        <v>1400</v>
      </c>
      <c r="S271" s="127">
        <f t="shared" si="182"/>
        <v>6.903371428571428</v>
      </c>
      <c r="T271" s="126">
        <f t="shared" si="183"/>
        <v>12.571428571428571</v>
      </c>
      <c r="U271" s="126">
        <f t="shared" si="184"/>
        <v>4.9501738122827348</v>
      </c>
      <c r="V271" s="128">
        <v>40.33</v>
      </c>
      <c r="W271" s="124"/>
      <c r="X271" s="126"/>
      <c r="Y271" s="124"/>
      <c r="Z271" s="129">
        <f t="shared" si="178"/>
        <v>7.1254560076357304E-2</v>
      </c>
      <c r="AA271" s="130" t="str">
        <f t="shared" si="179"/>
        <v/>
      </c>
      <c r="AB271" s="131">
        <v>0.32159090909090909</v>
      </c>
      <c r="AC271" s="131">
        <v>1.4943181818181819</v>
      </c>
      <c r="AD271" s="131">
        <v>2.8113636363636365</v>
      </c>
      <c r="AE271" s="131">
        <v>0.22727272727272727</v>
      </c>
      <c r="AF271" s="132" t="s">
        <v>81</v>
      </c>
      <c r="AG271" s="133"/>
      <c r="AH271" s="133"/>
      <c r="AI271" s="133"/>
      <c r="AJ271" s="133"/>
      <c r="AK271" s="133"/>
      <c r="AL271" s="133"/>
      <c r="AM271" s="133"/>
      <c r="AN271" s="134"/>
      <c r="AO271" s="135">
        <f t="shared" si="170"/>
        <v>0</v>
      </c>
      <c r="AP271" s="136" t="s">
        <v>82</v>
      </c>
      <c r="AQ271" s="124"/>
      <c r="AR271" s="124"/>
      <c r="AS271" s="124"/>
      <c r="AT271" s="124"/>
      <c r="AU271" s="124"/>
      <c r="AV271" s="124"/>
      <c r="AW271" s="124"/>
      <c r="AX271" s="124"/>
      <c r="AY271" s="124"/>
      <c r="AZ271" s="124"/>
      <c r="BA271" s="124"/>
      <c r="BB271" s="124"/>
      <c r="BC271" s="124"/>
      <c r="BD271" s="124"/>
      <c r="BE271" s="124"/>
      <c r="BF271" s="124"/>
      <c r="BG271" s="124">
        <v>17600</v>
      </c>
      <c r="BH271" s="137"/>
      <c r="BI271" s="138">
        <f t="shared" si="171"/>
        <v>1</v>
      </c>
      <c r="BJ271" s="139">
        <v>2.8540000000000001</v>
      </c>
      <c r="BK271" s="140">
        <v>40</v>
      </c>
      <c r="BL271" s="129">
        <v>4.2999999999999997E-2</v>
      </c>
      <c r="BM271" s="129">
        <v>0.187</v>
      </c>
      <c r="BN271" s="129">
        <v>0.47899999999999998</v>
      </c>
      <c r="BO271" s="129">
        <v>0.93</v>
      </c>
      <c r="BP271" s="129">
        <v>1.6319999999999999</v>
      </c>
      <c r="BQ271" s="129">
        <v>2.4140000000000001</v>
      </c>
      <c r="BR271" s="129"/>
      <c r="BS271" s="129">
        <v>2.9129999999999998</v>
      </c>
      <c r="BT271" s="122">
        <v>41</v>
      </c>
      <c r="BU271" s="124"/>
      <c r="BV271" s="142">
        <v>42298</v>
      </c>
      <c r="BW271" s="125">
        <v>0.70906491935483862</v>
      </c>
      <c r="BX271" s="124">
        <v>17070</v>
      </c>
      <c r="BY271" s="124">
        <v>6000</v>
      </c>
      <c r="BZ271" s="125">
        <v>0.35149384885764501</v>
      </c>
      <c r="CA271" s="124">
        <v>25</v>
      </c>
      <c r="CB271" s="124">
        <v>212</v>
      </c>
      <c r="CC271" s="125">
        <v>1.4645577035735209E-3</v>
      </c>
      <c r="CD271" s="125">
        <v>1.2419449326303456E-2</v>
      </c>
    </row>
    <row r="272" spans="1:82" x14ac:dyDescent="0.25">
      <c r="A272" s="120" t="s">
        <v>121</v>
      </c>
      <c r="B272" s="121" t="s">
        <v>97</v>
      </c>
      <c r="C272" s="122">
        <v>870</v>
      </c>
      <c r="D272" s="144">
        <v>895.96</v>
      </c>
      <c r="E272" s="144">
        <v>27573.105390000001</v>
      </c>
      <c r="F272" s="124">
        <v>47500</v>
      </c>
      <c r="G272" s="124">
        <v>46718</v>
      </c>
      <c r="H272" s="125">
        <f t="shared" si="172"/>
        <v>1.6463157894736843E-2</v>
      </c>
      <c r="I272" s="120">
        <v>257</v>
      </c>
      <c r="J272" s="125">
        <f t="shared" si="173"/>
        <v>5.4105263157894733E-3</v>
      </c>
      <c r="K272" s="124">
        <v>133950</v>
      </c>
      <c r="L272" s="124">
        <v>230420</v>
      </c>
      <c r="M272" s="126">
        <f t="shared" si="174"/>
        <v>2.8672032193158952</v>
      </c>
      <c r="N272" s="126">
        <f t="shared" si="175"/>
        <v>1.7201941022769691</v>
      </c>
      <c r="O272" s="126">
        <f t="shared" si="165"/>
        <v>1.7319087123437662</v>
      </c>
      <c r="P272" s="127">
        <f t="shared" si="180"/>
        <v>0.59020303501862237</v>
      </c>
      <c r="Q272" s="127">
        <f t="shared" si="181"/>
        <v>1.9178047005436877E-2</v>
      </c>
      <c r="R272" s="124">
        <v>3990</v>
      </c>
      <c r="S272" s="127">
        <f t="shared" si="182"/>
        <v>6.9105527293233084</v>
      </c>
      <c r="T272" s="126">
        <f t="shared" si="183"/>
        <v>11.904761904761905</v>
      </c>
      <c r="U272" s="126">
        <f t="shared" si="184"/>
        <v>4.9321460678967419</v>
      </c>
      <c r="V272" s="128">
        <v>41.75</v>
      </c>
      <c r="W272" s="124"/>
      <c r="X272" s="126"/>
      <c r="Y272" s="124"/>
      <c r="Z272" s="129">
        <f t="shared" si="178"/>
        <v>6.867552621115916E-2</v>
      </c>
      <c r="AA272" s="145" t="str">
        <f t="shared" si="179"/>
        <v/>
      </c>
      <c r="AB272" s="129">
        <v>0.31536842105263158</v>
      </c>
      <c r="AC272" s="129">
        <v>1.4538947368421054</v>
      </c>
      <c r="AD272" s="129">
        <v>2.4749473684210526</v>
      </c>
      <c r="AE272" s="129">
        <v>0.60673684210526313</v>
      </c>
      <c r="AF272" s="132" t="s">
        <v>81</v>
      </c>
      <c r="AG272" s="133"/>
      <c r="AH272" s="124"/>
      <c r="AI272" s="133"/>
      <c r="AJ272" s="133"/>
      <c r="AK272" s="133"/>
      <c r="AL272" s="146"/>
      <c r="AM272" s="133">
        <v>47500</v>
      </c>
      <c r="AN272" s="134"/>
      <c r="AO272" s="135">
        <f t="shared" si="170"/>
        <v>1</v>
      </c>
      <c r="AP272" s="136" t="s">
        <v>82</v>
      </c>
      <c r="AQ272" s="133"/>
      <c r="AR272" s="124"/>
      <c r="AS272" s="124"/>
      <c r="AT272" s="124"/>
      <c r="AU272" s="124"/>
      <c r="AV272" s="124"/>
      <c r="AW272" s="146"/>
      <c r="AX272" s="124"/>
      <c r="AY272" s="124"/>
      <c r="AZ272" s="124"/>
      <c r="BA272" s="124"/>
      <c r="BB272" s="124"/>
      <c r="BC272" s="124"/>
      <c r="BD272" s="124"/>
      <c r="BE272" s="124"/>
      <c r="BF272" s="133"/>
      <c r="BG272" s="124"/>
      <c r="BH272" s="137"/>
      <c r="BI272" s="138">
        <f t="shared" si="171"/>
        <v>0</v>
      </c>
      <c r="BJ272" s="139">
        <v>2.867</v>
      </c>
      <c r="BK272" s="140">
        <v>41</v>
      </c>
      <c r="BL272" s="129">
        <v>4.4999999999999998E-2</v>
      </c>
      <c r="BM272" s="129">
        <v>4.4999999999999998E-2</v>
      </c>
      <c r="BN272" s="129">
        <v>0.51500000000000001</v>
      </c>
      <c r="BO272" s="129"/>
      <c r="BP272" s="129"/>
      <c r="BQ272" s="129"/>
      <c r="BR272" s="129">
        <v>2.9470000000000001</v>
      </c>
      <c r="BS272" s="129">
        <v>2.8679999999999999</v>
      </c>
      <c r="BT272" s="122">
        <v>42</v>
      </c>
      <c r="BU272" s="124">
        <v>5000</v>
      </c>
      <c r="BV272" s="147">
        <v>42184</v>
      </c>
      <c r="BW272" s="125">
        <v>0.71051153415453527</v>
      </c>
      <c r="BX272" s="124">
        <v>46448</v>
      </c>
      <c r="BY272" s="124">
        <v>14800</v>
      </c>
      <c r="BZ272" s="125">
        <v>0.31863589390285912</v>
      </c>
      <c r="CA272" s="124">
        <v>75</v>
      </c>
      <c r="CB272" s="124">
        <v>241</v>
      </c>
      <c r="CC272" s="125">
        <v>1.6147089218050293E-3</v>
      </c>
      <c r="CD272" s="125">
        <v>5.1885980020668276E-3</v>
      </c>
    </row>
    <row r="273" spans="1:82" x14ac:dyDescent="0.25">
      <c r="A273" s="120" t="s">
        <v>97</v>
      </c>
      <c r="B273" s="121" t="s">
        <v>80</v>
      </c>
      <c r="C273" s="122">
        <v>880</v>
      </c>
      <c r="D273" s="144">
        <v>2751.5839999999998</v>
      </c>
      <c r="E273" s="144">
        <v>33975.024425000003</v>
      </c>
      <c r="F273" s="124">
        <v>63100</v>
      </c>
      <c r="G273" s="124">
        <v>62185</v>
      </c>
      <c r="H273" s="125">
        <f t="shared" si="172"/>
        <v>1.4500792393026941E-2</v>
      </c>
      <c r="I273" s="120">
        <v>405</v>
      </c>
      <c r="J273" s="125">
        <f t="shared" si="173"/>
        <v>6.4183835182250399E-3</v>
      </c>
      <c r="K273" s="124">
        <v>190700</v>
      </c>
      <c r="L273" s="124">
        <v>351080</v>
      </c>
      <c r="M273" s="126">
        <f t="shared" si="174"/>
        <v>3.066655945967677</v>
      </c>
      <c r="N273" s="126">
        <f t="shared" si="175"/>
        <v>1.8410068169900367</v>
      </c>
      <c r="O273" s="126">
        <f t="shared" si="165"/>
        <v>1.8640887228612786</v>
      </c>
      <c r="P273" s="127">
        <f t="shared" si="180"/>
        <v>0.5463540150357804</v>
      </c>
      <c r="Q273" s="127">
        <f t="shared" si="181"/>
        <v>4.4248355712792474E-2</v>
      </c>
      <c r="R273" s="124">
        <v>4914</v>
      </c>
      <c r="S273" s="127">
        <f t="shared" si="182"/>
        <v>6.9139243844118852</v>
      </c>
      <c r="T273" s="126">
        <f t="shared" si="183"/>
        <v>12.84086284086284</v>
      </c>
      <c r="U273" s="126">
        <f t="shared" si="184"/>
        <v>5.6457345018895229</v>
      </c>
      <c r="V273" s="128">
        <v>44.91</v>
      </c>
      <c r="W273" s="124"/>
      <c r="X273" s="126"/>
      <c r="Y273" s="124"/>
      <c r="Z273" s="129">
        <f t="shared" si="178"/>
        <v>6.8284478868129092E-2</v>
      </c>
      <c r="AA273" s="145" t="str">
        <f t="shared" si="179"/>
        <v/>
      </c>
      <c r="AB273" s="129">
        <v>0.30015847860538825</v>
      </c>
      <c r="AC273" s="129">
        <v>1.4110935023771791</v>
      </c>
      <c r="AD273" s="129">
        <v>2.8057052297939777</v>
      </c>
      <c r="AE273" s="129">
        <v>1.0469096671949287</v>
      </c>
      <c r="AF273" s="132" t="s">
        <v>81</v>
      </c>
      <c r="AG273" s="133"/>
      <c r="AH273" s="133"/>
      <c r="AI273" s="133"/>
      <c r="AJ273" s="133"/>
      <c r="AK273" s="133"/>
      <c r="AL273" s="146"/>
      <c r="AM273" s="133">
        <v>23500</v>
      </c>
      <c r="AN273" s="134"/>
      <c r="AO273" s="135">
        <f t="shared" si="170"/>
        <v>0.37242472266244059</v>
      </c>
      <c r="AP273" s="136" t="s">
        <v>82</v>
      </c>
      <c r="AQ273" s="124"/>
      <c r="AR273" s="124"/>
      <c r="AS273" s="124"/>
      <c r="AT273" s="124"/>
      <c r="AU273" s="124"/>
      <c r="AV273" s="124"/>
      <c r="AW273" s="146"/>
      <c r="AX273" s="124"/>
      <c r="AY273" s="124">
        <v>18600</v>
      </c>
      <c r="AZ273" s="124"/>
      <c r="BA273" s="124">
        <v>21000</v>
      </c>
      <c r="BB273" s="124"/>
      <c r="BC273" s="124"/>
      <c r="BD273" s="124"/>
      <c r="BE273" s="124"/>
      <c r="BF273" s="124"/>
      <c r="BG273" s="124"/>
      <c r="BH273" s="137"/>
      <c r="BI273" s="138">
        <f t="shared" si="171"/>
        <v>0.62757527733755947</v>
      </c>
      <c r="BJ273" s="139">
        <v>2.9870000000000001</v>
      </c>
      <c r="BK273" s="140">
        <v>43</v>
      </c>
      <c r="BL273" s="129">
        <v>4.2999999999999997E-2</v>
      </c>
      <c r="BM273" s="129">
        <v>0.1943</v>
      </c>
      <c r="BN273" s="129">
        <v>0.51500000000000001</v>
      </c>
      <c r="BO273" s="129">
        <v>0.96899999999999997</v>
      </c>
      <c r="BP273" s="129">
        <v>1.552</v>
      </c>
      <c r="BQ273" s="129">
        <v>2.0470000000000002</v>
      </c>
      <c r="BR273" s="129">
        <v>2.7749999999999999</v>
      </c>
      <c r="BS273" s="129">
        <v>3.0609999999999999</v>
      </c>
      <c r="BT273" s="122">
        <v>46</v>
      </c>
      <c r="BU273" s="124"/>
      <c r="BV273" s="147">
        <v>42191</v>
      </c>
      <c r="BW273" s="125">
        <v>0.70456099327470245</v>
      </c>
      <c r="BX273" s="124">
        <v>62354</v>
      </c>
      <c r="BY273" s="124">
        <v>23160</v>
      </c>
      <c r="BZ273" s="125">
        <v>0.37142765500208486</v>
      </c>
      <c r="CA273" s="124">
        <v>304</v>
      </c>
      <c r="CB273" s="124">
        <v>466</v>
      </c>
      <c r="CC273" s="125">
        <v>4.8753889084902332E-3</v>
      </c>
      <c r="CD273" s="125">
        <v>7.473457997883055E-3</v>
      </c>
    </row>
    <row r="274" spans="1:82" x14ac:dyDescent="0.25">
      <c r="A274" s="120" t="s">
        <v>130</v>
      </c>
      <c r="B274" s="121" t="s">
        <v>80</v>
      </c>
      <c r="C274" s="122">
        <v>870</v>
      </c>
      <c r="D274" s="123">
        <v>613.14</v>
      </c>
      <c r="E274" s="123">
        <v>30456.67</v>
      </c>
      <c r="F274" s="124">
        <v>60800</v>
      </c>
      <c r="G274" s="124">
        <v>60260</v>
      </c>
      <c r="H274" s="125">
        <f t="shared" si="172"/>
        <v>8.8815789473684209E-3</v>
      </c>
      <c r="I274" s="120">
        <v>515</v>
      </c>
      <c r="J274" s="125">
        <f t="shared" si="173"/>
        <v>8.4703947368421056E-3</v>
      </c>
      <c r="K274" s="124">
        <v>173600</v>
      </c>
      <c r="L274" s="124">
        <v>323520</v>
      </c>
      <c r="M274" s="126">
        <f t="shared" si="174"/>
        <v>2.8808496515101227</v>
      </c>
      <c r="N274" s="126">
        <f t="shared" si="175"/>
        <v>1.8635944700460829</v>
      </c>
      <c r="O274" s="126">
        <f t="shared" si="165"/>
        <v>1.934442712090279</v>
      </c>
      <c r="P274" s="127">
        <f t="shared" si="180"/>
        <v>0.50542100896116826</v>
      </c>
      <c r="Q274" s="127">
        <f t="shared" si="181"/>
        <v>1.0174908728841687E-2</v>
      </c>
      <c r="R274" s="124">
        <v>4400</v>
      </c>
      <c r="S274" s="127">
        <f t="shared" si="182"/>
        <v>6.9219704545454546</v>
      </c>
      <c r="T274" s="126">
        <f t="shared" si="183"/>
        <v>13.818181818181818</v>
      </c>
      <c r="U274" s="126">
        <f t="shared" si="184"/>
        <v>5.3687354795884499</v>
      </c>
      <c r="V274" s="128">
        <v>46.36</v>
      </c>
      <c r="W274" s="124"/>
      <c r="X274" s="126"/>
      <c r="Y274" s="124"/>
      <c r="Z274" s="129">
        <f t="shared" si="178"/>
        <v>6.2140846667604027E-2</v>
      </c>
      <c r="AA274" s="130" t="str">
        <f t="shared" si="179"/>
        <v/>
      </c>
      <c r="AB274" s="131">
        <v>0.29276315789473684</v>
      </c>
      <c r="AC274" s="131">
        <v>1.3993421052631578</v>
      </c>
      <c r="AD274" s="131">
        <v>2.362828947368421</v>
      </c>
      <c r="AE274" s="131">
        <v>1.2661184210526315</v>
      </c>
      <c r="AF274" s="132" t="s">
        <v>81</v>
      </c>
      <c r="AG274" s="133"/>
      <c r="AH274" s="133"/>
      <c r="AI274" s="133"/>
      <c r="AJ274" s="133"/>
      <c r="AK274" s="133"/>
      <c r="AL274" s="133"/>
      <c r="AM274" s="133"/>
      <c r="AN274" s="134"/>
      <c r="AO274" s="135">
        <f t="shared" si="170"/>
        <v>0</v>
      </c>
      <c r="AP274" s="136" t="s">
        <v>82</v>
      </c>
      <c r="AQ274" s="133"/>
      <c r="AR274" s="124"/>
      <c r="AS274" s="124"/>
      <c r="AT274" s="124"/>
      <c r="AU274" s="124"/>
      <c r="AV274" s="124"/>
      <c r="AW274" s="124"/>
      <c r="AX274" s="124"/>
      <c r="AY274" s="124"/>
      <c r="AZ274" s="124"/>
      <c r="BA274" s="124"/>
      <c r="BB274" s="124">
        <v>25600</v>
      </c>
      <c r="BC274" s="124"/>
      <c r="BD274" s="124">
        <v>35200</v>
      </c>
      <c r="BE274" s="124"/>
      <c r="BF274" s="133"/>
      <c r="BG274" s="124"/>
      <c r="BH274" s="137"/>
      <c r="BI274" s="138">
        <f t="shared" si="171"/>
        <v>1</v>
      </c>
      <c r="BJ274" s="139">
        <v>2.8380000000000001</v>
      </c>
      <c r="BK274" s="140">
        <v>46</v>
      </c>
      <c r="BL274" s="141">
        <v>3.7499999999999999E-2</v>
      </c>
      <c r="BM274" s="141">
        <v>0.184</v>
      </c>
      <c r="BN274" s="141">
        <v>0.48349999999999999</v>
      </c>
      <c r="BO274" s="141">
        <v>0.97750000000000004</v>
      </c>
      <c r="BP274" s="141">
        <v>1.5085</v>
      </c>
      <c r="BQ274" s="141">
        <v>1.964</v>
      </c>
      <c r="BR274" s="141">
        <v>2.4249999999999998</v>
      </c>
      <c r="BS274" s="141">
        <v>2.956</v>
      </c>
      <c r="BT274" s="122">
        <v>47</v>
      </c>
      <c r="BU274" s="124"/>
      <c r="BV274" s="142">
        <v>42347</v>
      </c>
      <c r="BW274" s="125">
        <v>0.69055846774193552</v>
      </c>
      <c r="BX274" s="124">
        <v>59911</v>
      </c>
      <c r="BY274" s="124">
        <v>0</v>
      </c>
      <c r="BZ274" s="125">
        <v>0</v>
      </c>
      <c r="CA274" s="124">
        <v>124</v>
      </c>
      <c r="CB274" s="124">
        <v>2083</v>
      </c>
      <c r="CC274" s="125">
        <v>2.0697367762180568E-3</v>
      </c>
      <c r="CD274" s="125">
        <v>3.4768239555340419E-2</v>
      </c>
    </row>
    <row r="275" spans="1:82" x14ac:dyDescent="0.25">
      <c r="A275" s="120" t="s">
        <v>119</v>
      </c>
      <c r="B275" s="121" t="s">
        <v>91</v>
      </c>
      <c r="C275" s="122">
        <v>896</v>
      </c>
      <c r="D275" s="123">
        <v>84.46</v>
      </c>
      <c r="E275" s="123">
        <v>11639.89</v>
      </c>
      <c r="F275" s="124">
        <v>25400</v>
      </c>
      <c r="G275" s="124">
        <v>24820</v>
      </c>
      <c r="H275" s="125">
        <f t="shared" si="172"/>
        <v>2.2834645669291338E-2</v>
      </c>
      <c r="I275" s="120">
        <v>140</v>
      </c>
      <c r="J275" s="125">
        <f t="shared" si="173"/>
        <v>5.5118110236220472E-3</v>
      </c>
      <c r="K275" s="124">
        <v>64660</v>
      </c>
      <c r="L275" s="124">
        <v>112710</v>
      </c>
      <c r="M275" s="126">
        <f t="shared" si="174"/>
        <v>2.6051571313456892</v>
      </c>
      <c r="N275" s="126">
        <f t="shared" si="175"/>
        <v>1.7431178472007423</v>
      </c>
      <c r="O275" s="126">
        <f t="shared" si="165"/>
        <v>1.7588497019075706</v>
      </c>
      <c r="P275" s="127">
        <f t="shared" si="180"/>
        <v>0.46897219983883964</v>
      </c>
      <c r="Q275" s="127">
        <f t="shared" si="181"/>
        <v>3.40290088638195E-3</v>
      </c>
      <c r="R275" s="124">
        <v>1680</v>
      </c>
      <c r="S275" s="127">
        <f t="shared" si="182"/>
        <v>6.9285059523809522</v>
      </c>
      <c r="T275" s="126">
        <f t="shared" si="183"/>
        <v>15.119047619047619</v>
      </c>
      <c r="U275" s="126">
        <f t="shared" si="184"/>
        <v>4.5410958904109586</v>
      </c>
      <c r="V275" s="128">
        <v>42</v>
      </c>
      <c r="W275" s="124"/>
      <c r="X275" s="126"/>
      <c r="Y275" s="124"/>
      <c r="Z275" s="129">
        <f t="shared" si="178"/>
        <v>6.2027550746325932E-2</v>
      </c>
      <c r="AA275" s="130" t="str">
        <f t="shared" si="179"/>
        <v/>
      </c>
      <c r="AB275" s="131">
        <v>0.31496062992125984</v>
      </c>
      <c r="AC275" s="131">
        <v>1.4141732283464568</v>
      </c>
      <c r="AD275" s="131">
        <v>2.1846456692913385</v>
      </c>
      <c r="AE275" s="131">
        <v>0.52362204724409445</v>
      </c>
      <c r="AF275" s="132" t="s">
        <v>81</v>
      </c>
      <c r="AG275" s="133"/>
      <c r="AH275" s="133"/>
      <c r="AI275" s="133"/>
      <c r="AJ275" s="133"/>
      <c r="AK275" s="133"/>
      <c r="AL275" s="133"/>
      <c r="AM275" s="133"/>
      <c r="AN275" s="134"/>
      <c r="AO275" s="135">
        <f t="shared" si="170"/>
        <v>0</v>
      </c>
      <c r="AP275" s="136" t="s">
        <v>82</v>
      </c>
      <c r="AQ275" s="124"/>
      <c r="AR275" s="124"/>
      <c r="AS275" s="124"/>
      <c r="AT275" s="124"/>
      <c r="AU275" s="124"/>
      <c r="AV275" s="124"/>
      <c r="AW275" s="124"/>
      <c r="AX275" s="124"/>
      <c r="AY275" s="124"/>
      <c r="AZ275" s="124"/>
      <c r="BA275" s="124"/>
      <c r="BB275" s="124"/>
      <c r="BC275" s="124"/>
      <c r="BD275" s="124"/>
      <c r="BE275" s="124"/>
      <c r="BF275" s="124"/>
      <c r="BG275" s="124">
        <v>25400</v>
      </c>
      <c r="BH275" s="137"/>
      <c r="BI275" s="138">
        <f t="shared" si="171"/>
        <v>1</v>
      </c>
      <c r="BJ275" s="139">
        <v>2.9359999999999999</v>
      </c>
      <c r="BK275" s="140">
        <v>42</v>
      </c>
      <c r="BL275" s="129">
        <v>4.4999999999999998E-2</v>
      </c>
      <c r="BM275" s="129">
        <v>0.19600000000000001</v>
      </c>
      <c r="BN275" s="129">
        <v>0.56999999999999995</v>
      </c>
      <c r="BO275" s="129">
        <v>1.06</v>
      </c>
      <c r="BP275" s="129">
        <v>1.71</v>
      </c>
      <c r="BQ275" s="129"/>
      <c r="BR275" s="129">
        <v>2.9359999999999999</v>
      </c>
      <c r="BS275" s="129">
        <v>2.9359999999999999</v>
      </c>
      <c r="BT275" s="122">
        <v>42</v>
      </c>
      <c r="BU275" s="124"/>
      <c r="BV275" s="142">
        <v>42297</v>
      </c>
      <c r="BW275" s="125">
        <v>0.69410809682804686</v>
      </c>
      <c r="BX275" s="124">
        <v>16160</v>
      </c>
      <c r="BY275" s="124">
        <v>6496</v>
      </c>
      <c r="BZ275" s="125">
        <v>0.401980198019802</v>
      </c>
      <c r="CA275" s="124">
        <v>44</v>
      </c>
      <c r="CB275" s="124">
        <v>178</v>
      </c>
      <c r="CC275" s="125">
        <v>2.7227722772277226E-3</v>
      </c>
      <c r="CD275" s="125">
        <v>1.1014851485148514E-2</v>
      </c>
    </row>
    <row r="276" spans="1:82" x14ac:dyDescent="0.25">
      <c r="A276" s="120" t="s">
        <v>111</v>
      </c>
      <c r="B276" s="121" t="s">
        <v>86</v>
      </c>
      <c r="C276" s="122">
        <v>428</v>
      </c>
      <c r="D276" s="123">
        <v>676.89</v>
      </c>
      <c r="E276" s="123">
        <v>20038.559999999998</v>
      </c>
      <c r="F276" s="124">
        <v>34000</v>
      </c>
      <c r="G276" s="124">
        <v>33200</v>
      </c>
      <c r="H276" s="125">
        <f t="shared" si="172"/>
        <v>2.3529411764705882E-2</v>
      </c>
      <c r="I276" s="120">
        <v>277</v>
      </c>
      <c r="J276" s="125">
        <f t="shared" si="173"/>
        <v>8.1470588235294118E-3</v>
      </c>
      <c r="K276" s="124">
        <v>93920</v>
      </c>
      <c r="L276" s="124">
        <v>159040</v>
      </c>
      <c r="M276" s="126">
        <f t="shared" si="174"/>
        <v>2.8289156626506022</v>
      </c>
      <c r="N276" s="126">
        <f t="shared" si="175"/>
        <v>1.6933560477001703</v>
      </c>
      <c r="O276" s="126">
        <f t="shared" si="165"/>
        <v>1.71139789295725</v>
      </c>
      <c r="P276" s="127">
        <f t="shared" si="180"/>
        <v>0.6035710843373493</v>
      </c>
      <c r="Q276" s="127">
        <f t="shared" si="181"/>
        <v>2.0388253012048191E-2</v>
      </c>
      <c r="R276" s="124">
        <v>2891</v>
      </c>
      <c r="S276" s="127">
        <f t="shared" si="182"/>
        <v>6.9313593912141123</v>
      </c>
      <c r="T276" s="126">
        <f t="shared" si="183"/>
        <v>11.760636457973019</v>
      </c>
      <c r="U276" s="126">
        <f t="shared" si="184"/>
        <v>4.7903614457831329</v>
      </c>
      <c r="V276" s="128">
        <v>43</v>
      </c>
      <c r="W276" s="124"/>
      <c r="X276" s="126"/>
      <c r="Y276" s="124"/>
      <c r="Z276" s="129">
        <f t="shared" si="178"/>
        <v>6.5788736340711682E-2</v>
      </c>
      <c r="AA276" s="130" t="str">
        <f t="shared" si="179"/>
        <v/>
      </c>
      <c r="AB276" s="131">
        <v>0.30705882352941177</v>
      </c>
      <c r="AC276" s="131">
        <v>1.4664705882352942</v>
      </c>
      <c r="AD276" s="131">
        <v>2.2641176470588236</v>
      </c>
      <c r="AE276" s="131">
        <v>0.64</v>
      </c>
      <c r="AF276" s="132" t="s">
        <v>81</v>
      </c>
      <c r="AG276" s="133"/>
      <c r="AH276" s="133"/>
      <c r="AI276" s="133"/>
      <c r="AJ276" s="133"/>
      <c r="AK276" s="133"/>
      <c r="AL276" s="133">
        <v>30300</v>
      </c>
      <c r="AM276" s="133"/>
      <c r="AN276" s="134"/>
      <c r="AO276" s="135">
        <f t="shared" si="170"/>
        <v>0.89117647058823535</v>
      </c>
      <c r="AP276" s="136" t="s">
        <v>82</v>
      </c>
      <c r="AQ276" s="124"/>
      <c r="AR276" s="124"/>
      <c r="AS276" s="124"/>
      <c r="AT276" s="124"/>
      <c r="AU276" s="124"/>
      <c r="AV276" s="124"/>
      <c r="AW276" s="124"/>
      <c r="AX276" s="124"/>
      <c r="AY276" s="124"/>
      <c r="AZ276" s="124"/>
      <c r="BA276" s="124"/>
      <c r="BB276" s="124">
        <v>3700</v>
      </c>
      <c r="BC276" s="124"/>
      <c r="BD276" s="124"/>
      <c r="BE276" s="124"/>
      <c r="BF276" s="124"/>
      <c r="BG276" s="124"/>
      <c r="BH276" s="137"/>
      <c r="BI276" s="138">
        <f t="shared" si="171"/>
        <v>0.10882352941176471</v>
      </c>
      <c r="BJ276" s="139">
        <v>2.8290000000000002</v>
      </c>
      <c r="BK276" s="140">
        <v>43</v>
      </c>
      <c r="BL276" s="141">
        <v>3.5999999999999997E-2</v>
      </c>
      <c r="BM276" s="141">
        <v>0.17499999999999999</v>
      </c>
      <c r="BN276" s="141">
        <v>0.47499999999999998</v>
      </c>
      <c r="BO276" s="141">
        <v>0.88800000000000001</v>
      </c>
      <c r="BP276" s="141">
        <v>1.4570000000000001</v>
      </c>
      <c r="BQ276" s="141">
        <v>2.117</v>
      </c>
      <c r="BR276" s="141"/>
      <c r="BS276" s="141">
        <v>2.8290000000000002</v>
      </c>
      <c r="BT276" s="122">
        <v>43</v>
      </c>
      <c r="BU276" s="124"/>
      <c r="BV276" s="142">
        <v>42340</v>
      </c>
      <c r="BW276" s="125">
        <v>0.68837947189097104</v>
      </c>
      <c r="BX276" s="124">
        <v>32924</v>
      </c>
      <c r="BY276" s="124">
        <v>14616</v>
      </c>
      <c r="BZ276" s="125">
        <v>0.44393147855667597</v>
      </c>
      <c r="CA276" s="124">
        <v>134</v>
      </c>
      <c r="CB276" s="124">
        <v>216</v>
      </c>
      <c r="CC276" s="125">
        <v>4.069979346373466E-3</v>
      </c>
      <c r="CD276" s="125">
        <v>6.5605637225124528E-3</v>
      </c>
    </row>
    <row r="277" spans="1:82" x14ac:dyDescent="0.25">
      <c r="A277" s="120" t="s">
        <v>107</v>
      </c>
      <c r="B277" s="121" t="s">
        <v>80</v>
      </c>
      <c r="C277" s="122">
        <v>880</v>
      </c>
      <c r="D277" s="144">
        <v>878.54</v>
      </c>
      <c r="E277" s="144">
        <v>16701.025799999999</v>
      </c>
      <c r="F277" s="124">
        <v>30600</v>
      </c>
      <c r="G277" s="124">
        <v>29960</v>
      </c>
      <c r="H277" s="125">
        <f t="shared" si="172"/>
        <v>2.0915032679738561E-2</v>
      </c>
      <c r="I277" s="120">
        <v>382</v>
      </c>
      <c r="J277" s="125">
        <f t="shared" si="173"/>
        <v>1.2483660130718954E-2</v>
      </c>
      <c r="K277" s="124">
        <v>85040</v>
      </c>
      <c r="L277" s="124">
        <v>148340</v>
      </c>
      <c r="M277" s="126">
        <f t="shared" si="174"/>
        <v>2.8384512683578103</v>
      </c>
      <c r="N277" s="126">
        <f t="shared" si="175"/>
        <v>1.7443555973659455</v>
      </c>
      <c r="O277" s="126">
        <f t="shared" si="165"/>
        <v>1.758205278464666</v>
      </c>
      <c r="P277" s="127">
        <f t="shared" si="180"/>
        <v>0.55744411882510014</v>
      </c>
      <c r="Q277" s="127">
        <f t="shared" si="181"/>
        <v>2.9323765020026701E-2</v>
      </c>
      <c r="R277" s="124">
        <v>2400</v>
      </c>
      <c r="S277" s="127">
        <f t="shared" si="182"/>
        <v>6.9587607499999997</v>
      </c>
      <c r="T277" s="126">
        <f t="shared" si="183"/>
        <v>12.75</v>
      </c>
      <c r="U277" s="126">
        <f t="shared" si="184"/>
        <v>4.951268357810414</v>
      </c>
      <c r="V277" s="128">
        <v>42.22</v>
      </c>
      <c r="W277" s="124"/>
      <c r="X277" s="126"/>
      <c r="Y277" s="124"/>
      <c r="Z277" s="129">
        <f t="shared" si="178"/>
        <v>6.7230015830360257E-2</v>
      </c>
      <c r="AA277" s="145" t="str">
        <f t="shared" si="179"/>
        <v/>
      </c>
      <c r="AB277" s="129">
        <v>0.30392156862745096</v>
      </c>
      <c r="AC277" s="129">
        <v>1.384313725490196</v>
      </c>
      <c r="AD277" s="129">
        <v>2.8058823529411763</v>
      </c>
      <c r="AE277" s="129">
        <v>0.35359477124183009</v>
      </c>
      <c r="AF277" s="132" t="s">
        <v>81</v>
      </c>
      <c r="AG277" s="133"/>
      <c r="AH277" s="133"/>
      <c r="AI277" s="133">
        <v>12100</v>
      </c>
      <c r="AJ277" s="133"/>
      <c r="AK277" s="133"/>
      <c r="AL277" s="146"/>
      <c r="AM277" s="133"/>
      <c r="AN277" s="134"/>
      <c r="AO277" s="135">
        <f t="shared" si="170"/>
        <v>0.39542483660130717</v>
      </c>
      <c r="AP277" s="136" t="s">
        <v>82</v>
      </c>
      <c r="AQ277" s="124"/>
      <c r="AR277" s="124"/>
      <c r="AS277" s="124"/>
      <c r="AT277" s="124"/>
      <c r="AU277" s="124"/>
      <c r="AV277" s="124">
        <v>16500</v>
      </c>
      <c r="AW277" s="146"/>
      <c r="AX277" s="124"/>
      <c r="AY277" s="124"/>
      <c r="AZ277" s="124"/>
      <c r="BA277" s="124"/>
      <c r="BB277" s="124"/>
      <c r="BC277" s="124"/>
      <c r="BD277" s="124"/>
      <c r="BE277" s="124"/>
      <c r="BF277" s="124">
        <v>200</v>
      </c>
      <c r="BG277" s="124">
        <v>1800</v>
      </c>
      <c r="BH277" s="137"/>
      <c r="BI277" s="138">
        <f t="shared" si="171"/>
        <v>0.60457516339869277</v>
      </c>
      <c r="BJ277" s="139">
        <v>2.71</v>
      </c>
      <c r="BK277" s="140">
        <v>41</v>
      </c>
      <c r="BL277" s="129">
        <v>4.4999999999999998E-2</v>
      </c>
      <c r="BM277" s="129">
        <v>0.19500000000000001</v>
      </c>
      <c r="BN277" s="129">
        <v>0.53400000000000003</v>
      </c>
      <c r="BO277" s="129">
        <v>0.96699999999999997</v>
      </c>
      <c r="BP277" s="129">
        <v>1.55</v>
      </c>
      <c r="BQ277" s="129">
        <v>2.1619999999999999</v>
      </c>
      <c r="BR277" s="129"/>
      <c r="BS277" s="129">
        <v>3.4209999999999998</v>
      </c>
      <c r="BT277" s="122">
        <v>45</v>
      </c>
      <c r="BU277" s="124"/>
      <c r="BV277" s="147">
        <v>42187</v>
      </c>
      <c r="BW277" s="125">
        <v>0.69942806889859299</v>
      </c>
      <c r="BX277" s="124">
        <v>28984</v>
      </c>
      <c r="BY277" s="124">
        <v>10512</v>
      </c>
      <c r="BZ277" s="125">
        <v>0.36268285950869444</v>
      </c>
      <c r="CA277" s="124">
        <v>138</v>
      </c>
      <c r="CB277" s="124">
        <v>98</v>
      </c>
      <c r="CC277" s="125">
        <v>4.7612475848744134E-3</v>
      </c>
      <c r="CD277" s="125">
        <v>3.3811758211426996E-3</v>
      </c>
    </row>
    <row r="278" spans="1:82" x14ac:dyDescent="0.25">
      <c r="A278" s="120" t="s">
        <v>94</v>
      </c>
      <c r="B278" s="121" t="s">
        <v>80</v>
      </c>
      <c r="C278" s="122">
        <v>820</v>
      </c>
      <c r="D278" s="123">
        <v>437.64</v>
      </c>
      <c r="E278" s="123">
        <v>9097.32</v>
      </c>
      <c r="F278" s="124">
        <v>17200</v>
      </c>
      <c r="G278" s="124">
        <v>16575</v>
      </c>
      <c r="H278" s="125">
        <f t="shared" si="172"/>
        <v>3.6337209302325583E-2</v>
      </c>
      <c r="I278" s="120">
        <v>490</v>
      </c>
      <c r="J278" s="125">
        <f t="shared" si="173"/>
        <v>2.8488372093023257E-2</v>
      </c>
      <c r="K278" s="124">
        <v>47210</v>
      </c>
      <c r="L278" s="124">
        <v>82980</v>
      </c>
      <c r="M278" s="126">
        <f t="shared" si="174"/>
        <v>2.848265460030166</v>
      </c>
      <c r="N278" s="126">
        <f t="shared" si="175"/>
        <v>1.7576784579538234</v>
      </c>
      <c r="O278" s="126">
        <f t="shared" si="165"/>
        <v>1.7725432246644328</v>
      </c>
      <c r="P278" s="127">
        <f t="shared" si="180"/>
        <v>0.54885791855203614</v>
      </c>
      <c r="Q278" s="127">
        <f t="shared" si="181"/>
        <v>2.6403619909502261E-2</v>
      </c>
      <c r="R278" s="124">
        <v>1302</v>
      </c>
      <c r="S278" s="127">
        <f t="shared" si="182"/>
        <v>6.9871889400921656</v>
      </c>
      <c r="T278" s="126">
        <f t="shared" si="183"/>
        <v>13.210445468509985</v>
      </c>
      <c r="U278" s="126">
        <f t="shared" si="184"/>
        <v>5.0063348416289593</v>
      </c>
      <c r="V278" s="128">
        <v>41.97</v>
      </c>
      <c r="W278" s="124"/>
      <c r="X278" s="126"/>
      <c r="Y278" s="124"/>
      <c r="Z278" s="129">
        <f t="shared" si="178"/>
        <v>6.7864318799861004E-2</v>
      </c>
      <c r="AA278" s="130" t="str">
        <f t="shared" si="179"/>
        <v/>
      </c>
      <c r="AB278" s="131">
        <v>0.28255813953488373</v>
      </c>
      <c r="AC278" s="131">
        <v>1.4023255813953488</v>
      </c>
      <c r="AD278" s="131">
        <v>2.4011627906976742</v>
      </c>
      <c r="AE278" s="131">
        <v>0.73837209302325579</v>
      </c>
      <c r="AF278" s="132" t="s">
        <v>81</v>
      </c>
      <c r="AG278" s="133"/>
      <c r="AH278" s="133"/>
      <c r="AI278" s="133"/>
      <c r="AJ278" s="133"/>
      <c r="AK278" s="133"/>
      <c r="AL278" s="133"/>
      <c r="AM278" s="133"/>
      <c r="AN278" s="143"/>
      <c r="AO278" s="135">
        <f t="shared" si="170"/>
        <v>0</v>
      </c>
      <c r="AP278" s="136" t="s">
        <v>82</v>
      </c>
      <c r="AQ278" s="133"/>
      <c r="AR278" s="124"/>
      <c r="AS278" s="124"/>
      <c r="AT278" s="124"/>
      <c r="AU278" s="124"/>
      <c r="AV278" s="124"/>
      <c r="AW278" s="124"/>
      <c r="AX278" s="124"/>
      <c r="AY278" s="124"/>
      <c r="AZ278" s="124"/>
      <c r="BA278" s="124"/>
      <c r="BB278" s="124"/>
      <c r="BC278" s="124"/>
      <c r="BD278" s="124"/>
      <c r="BE278" s="124"/>
      <c r="BF278" s="133">
        <v>2200</v>
      </c>
      <c r="BG278" s="124">
        <v>15000</v>
      </c>
      <c r="BH278" s="137"/>
      <c r="BI278" s="138">
        <f t="shared" si="171"/>
        <v>1</v>
      </c>
      <c r="BJ278" s="139">
        <v>2.7709999999999999</v>
      </c>
      <c r="BK278" s="140">
        <v>41</v>
      </c>
      <c r="BL278" s="129">
        <v>4.3999999999999997E-2</v>
      </c>
      <c r="BM278" s="129">
        <v>0.188</v>
      </c>
      <c r="BN278" s="129">
        <v>0.496</v>
      </c>
      <c r="BO278" s="129">
        <v>1.02</v>
      </c>
      <c r="BP278" s="129">
        <v>1.5680000000000001</v>
      </c>
      <c r="BQ278" s="129">
        <v>2.2000000000000002</v>
      </c>
      <c r="BR278" s="129"/>
      <c r="BS278" s="129">
        <v>3.008</v>
      </c>
      <c r="BT278" s="122">
        <v>44</v>
      </c>
      <c r="BU278" s="124"/>
      <c r="BV278" s="142">
        <v>42323</v>
      </c>
      <c r="BW278" s="125">
        <v>0.70399533997034536</v>
      </c>
      <c r="BX278" s="124">
        <v>16414</v>
      </c>
      <c r="BY278" s="124">
        <v>7256</v>
      </c>
      <c r="BZ278" s="125">
        <v>0.44206165468502495</v>
      </c>
      <c r="CA278" s="124">
        <v>52</v>
      </c>
      <c r="CB278" s="124">
        <v>87</v>
      </c>
      <c r="CC278" s="125">
        <v>3.1680272937736078E-3</v>
      </c>
      <c r="CD278" s="125">
        <v>5.3003533568904597E-3</v>
      </c>
    </row>
    <row r="279" spans="1:82" x14ac:dyDescent="0.25">
      <c r="A279" s="120" t="s">
        <v>103</v>
      </c>
      <c r="B279" s="121" t="s">
        <v>80</v>
      </c>
      <c r="C279" s="122">
        <v>1018</v>
      </c>
      <c r="D279" s="148">
        <v>349.16</v>
      </c>
      <c r="E279" s="148">
        <v>13988.2243</v>
      </c>
      <c r="F279" s="124">
        <v>22100</v>
      </c>
      <c r="G279" s="124">
        <v>21660</v>
      </c>
      <c r="H279" s="125">
        <f t="shared" si="172"/>
        <v>1.9909502262443438E-2</v>
      </c>
      <c r="I279" s="120">
        <v>180</v>
      </c>
      <c r="J279" s="125">
        <f t="shared" si="173"/>
        <v>8.1447963800904983E-3</v>
      </c>
      <c r="K279" s="124">
        <v>64060</v>
      </c>
      <c r="L279" s="124">
        <v>107720</v>
      </c>
      <c r="M279" s="126">
        <f t="shared" si="174"/>
        <v>2.9575253924284395</v>
      </c>
      <c r="N279" s="126">
        <f t="shared" si="175"/>
        <v>1.6815485482360286</v>
      </c>
      <c r="O279" s="126">
        <f>+L279/((G279-CA263-CB263)*M279)</f>
        <v>1.6917018836410767</v>
      </c>
      <c r="P279" s="127">
        <f>+E279/G279</f>
        <v>0.64580906278855033</v>
      </c>
      <c r="Q279" s="127">
        <f>+D279/G279</f>
        <v>1.6120036934441369E-2</v>
      </c>
      <c r="R279" s="124">
        <v>2000</v>
      </c>
      <c r="S279" s="149">
        <f>+E279/R279</f>
        <v>6.9941121500000003</v>
      </c>
      <c r="T279" s="126">
        <f t="shared" si="183"/>
        <v>11.05</v>
      </c>
      <c r="U279" s="126">
        <f t="shared" si="184"/>
        <v>4.9732225300092336</v>
      </c>
      <c r="V279" s="128">
        <v>45</v>
      </c>
      <c r="W279" s="124"/>
      <c r="X279" s="126"/>
      <c r="Y279" s="124"/>
      <c r="Z279" s="129">
        <f t="shared" si="178"/>
        <v>6.5722786498409763E-2</v>
      </c>
      <c r="AA279" s="160" t="str">
        <f t="shared" si="179"/>
        <v/>
      </c>
      <c r="AB279" s="131">
        <v>0.31583710407239818</v>
      </c>
      <c r="AC279" s="131">
        <v>1.3909502262443438</v>
      </c>
      <c r="AD279" s="131">
        <v>2.3294117647058825</v>
      </c>
      <c r="AE279" s="131">
        <v>0.83800904977375568</v>
      </c>
      <c r="AF279" s="132" t="s">
        <v>81</v>
      </c>
      <c r="AG279" s="133"/>
      <c r="AH279" s="133"/>
      <c r="AI279" s="133"/>
      <c r="AJ279" s="133"/>
      <c r="AK279" s="133"/>
      <c r="AL279" s="133"/>
      <c r="AM279" s="133"/>
      <c r="AN279" s="134"/>
      <c r="AO279" s="135">
        <f t="shared" si="170"/>
        <v>0</v>
      </c>
      <c r="AP279" s="136" t="s">
        <v>82</v>
      </c>
      <c r="AQ279" s="133"/>
      <c r="AR279" s="124"/>
      <c r="AS279" s="124"/>
      <c r="AT279" s="124"/>
      <c r="AU279" s="124"/>
      <c r="AV279" s="124"/>
      <c r="AW279" s="124"/>
      <c r="AX279" s="124"/>
      <c r="AY279" s="124"/>
      <c r="AZ279" s="124"/>
      <c r="BA279" s="124"/>
      <c r="BB279" s="124"/>
      <c r="BC279" s="124"/>
      <c r="BD279" s="124"/>
      <c r="BE279" s="124">
        <v>22100</v>
      </c>
      <c r="BF279" s="133"/>
      <c r="BG279" s="124"/>
      <c r="BH279" s="137"/>
      <c r="BI279" s="138">
        <f t="shared" si="171"/>
        <v>1</v>
      </c>
      <c r="BJ279" s="139">
        <v>2.9580000000000002</v>
      </c>
      <c r="BK279" s="140">
        <v>45</v>
      </c>
      <c r="BL279" s="129">
        <v>3.7999999999999999E-2</v>
      </c>
      <c r="BM279" s="129">
        <v>0.191</v>
      </c>
      <c r="BN279" s="129">
        <v>0.48</v>
      </c>
      <c r="BO279" s="129">
        <v>0.9</v>
      </c>
      <c r="BP279" s="129">
        <v>1.58</v>
      </c>
      <c r="BQ279" s="129">
        <v>2.21</v>
      </c>
      <c r="BR279" s="129">
        <v>2.7</v>
      </c>
      <c r="BS279" s="129">
        <v>2.9580000000000002</v>
      </c>
      <c r="BT279" s="122">
        <v>45</v>
      </c>
      <c r="BU279" s="124"/>
      <c r="BV279" s="147">
        <v>42261</v>
      </c>
      <c r="BW279" s="125">
        <v>0.70882922260380887</v>
      </c>
      <c r="BX279" s="124">
        <v>21448</v>
      </c>
      <c r="BY279" s="124">
        <v>12176</v>
      </c>
      <c r="BZ279" s="125">
        <v>0.56769861991794102</v>
      </c>
      <c r="CA279" s="124">
        <v>31</v>
      </c>
      <c r="CB279" s="124">
        <v>118</v>
      </c>
      <c r="CC279" s="125">
        <v>1.4453562103692653E-3</v>
      </c>
      <c r="CD279" s="125">
        <v>5.5016784781797834E-3</v>
      </c>
    </row>
    <row r="280" spans="1:82" x14ac:dyDescent="0.25">
      <c r="A280" s="120" t="s">
        <v>119</v>
      </c>
      <c r="B280" s="121" t="s">
        <v>91</v>
      </c>
      <c r="C280" s="122">
        <v>896</v>
      </c>
      <c r="D280" s="148">
        <v>330.75</v>
      </c>
      <c r="E280" s="148">
        <v>13816.113300000001</v>
      </c>
      <c r="F280" s="124">
        <v>24500</v>
      </c>
      <c r="G280" s="124">
        <v>23460</v>
      </c>
      <c r="H280" s="125">
        <f t="shared" si="172"/>
        <v>4.2448979591836737E-2</v>
      </c>
      <c r="I280" s="120">
        <v>261</v>
      </c>
      <c r="J280" s="125">
        <f t="shared" si="173"/>
        <v>1.0653061224489797E-2</v>
      </c>
      <c r="K280" s="124">
        <v>70280</v>
      </c>
      <c r="L280" s="124">
        <v>123900</v>
      </c>
      <c r="M280" s="126">
        <f t="shared" si="174"/>
        <v>2.9957374254049447</v>
      </c>
      <c r="N280" s="126">
        <f t="shared" si="175"/>
        <v>1.7629482071713147</v>
      </c>
      <c r="O280" s="126">
        <f>+L280/((G280-CA280-CB280)*M280)</f>
        <v>1.8206887189751295</v>
      </c>
      <c r="P280" s="127">
        <f>IF(G280=0,0,+E280/G280)</f>
        <v>0.58892213554987216</v>
      </c>
      <c r="Q280" s="127">
        <f>IF(G280=0,0,+D280/G280)</f>
        <v>1.409846547314578E-2</v>
      </c>
      <c r="R280" s="124">
        <v>1964</v>
      </c>
      <c r="S280" s="127">
        <f>IF(R280=0,0,+E280/R280)</f>
        <v>7.0346809063136462</v>
      </c>
      <c r="T280" s="126">
        <f t="shared" si="183"/>
        <v>12.474541751527495</v>
      </c>
      <c r="U280" s="126">
        <f t="shared" si="184"/>
        <v>5.281329923273657</v>
      </c>
      <c r="V280" s="128">
        <v>41.49</v>
      </c>
      <c r="W280" s="124"/>
      <c r="X280" s="126"/>
      <c r="Y280" s="124"/>
      <c r="Z280" s="129">
        <f t="shared" si="178"/>
        <v>7.2203842501926838E-2</v>
      </c>
      <c r="AA280" s="150" t="str">
        <f t="shared" si="179"/>
        <v/>
      </c>
      <c r="AB280" s="129">
        <v>0.29551020408163264</v>
      </c>
      <c r="AC280" s="129">
        <v>1.6481632653061224</v>
      </c>
      <c r="AD280" s="129">
        <v>2.4171428571428573</v>
      </c>
      <c r="AE280" s="129">
        <v>0.69632653061224492</v>
      </c>
      <c r="AF280" s="132" t="s">
        <v>81</v>
      </c>
      <c r="AG280" s="152"/>
      <c r="AH280" s="152"/>
      <c r="AI280" s="152"/>
      <c r="AJ280" s="152"/>
      <c r="AK280" s="152"/>
      <c r="AL280" s="120"/>
      <c r="AM280" s="152"/>
      <c r="AN280" s="153"/>
      <c r="AO280" s="135">
        <f t="shared" si="170"/>
        <v>0</v>
      </c>
      <c r="AP280" s="136" t="s">
        <v>82</v>
      </c>
      <c r="AQ280" s="152"/>
      <c r="AR280" s="120"/>
      <c r="AS280" s="120"/>
      <c r="AT280" s="120"/>
      <c r="AU280" s="120"/>
      <c r="AV280" s="120"/>
      <c r="AW280" s="120">
        <v>24500</v>
      </c>
      <c r="AX280" s="120"/>
      <c r="AY280" s="120"/>
      <c r="AZ280" s="120"/>
      <c r="BA280" s="120"/>
      <c r="BB280" s="120"/>
      <c r="BC280" s="120"/>
      <c r="BD280" s="120"/>
      <c r="BE280" s="120"/>
      <c r="BF280" s="120"/>
      <c r="BG280" s="120"/>
      <c r="BH280" s="154"/>
      <c r="BI280" s="138">
        <f t="shared" si="171"/>
        <v>1</v>
      </c>
      <c r="BJ280" s="139">
        <v>2.923</v>
      </c>
      <c r="BK280" s="140">
        <v>40</v>
      </c>
      <c r="BL280" s="129">
        <v>4.2000000000000003E-2</v>
      </c>
      <c r="BM280" s="129">
        <v>0.17</v>
      </c>
      <c r="BN280" s="129">
        <v>0.44</v>
      </c>
      <c r="BO280" s="129">
        <v>0.85</v>
      </c>
      <c r="BP280" s="129">
        <v>1.44</v>
      </c>
      <c r="BQ280" s="129">
        <v>2.2949999999999999</v>
      </c>
      <c r="BR280" s="129">
        <v>2.923</v>
      </c>
      <c r="BS280" s="129">
        <v>3.0169999999999999</v>
      </c>
      <c r="BT280" s="122">
        <v>42</v>
      </c>
      <c r="BU280" s="124"/>
      <c r="BV280" s="147">
        <v>42020</v>
      </c>
      <c r="BW280" s="125">
        <v>0.6782602447353443</v>
      </c>
      <c r="BX280" s="120">
        <v>22646</v>
      </c>
      <c r="BY280" s="124">
        <v>9400</v>
      </c>
      <c r="BZ280" s="125">
        <v>0.41508434160558155</v>
      </c>
      <c r="CA280" s="124">
        <v>437</v>
      </c>
      <c r="CB280" s="124">
        <v>307</v>
      </c>
      <c r="CC280" s="125">
        <v>1.9297006093791397E-2</v>
      </c>
      <c r="CD280" s="125">
        <v>1.3556477965203567E-2</v>
      </c>
    </row>
    <row r="281" spans="1:82" x14ac:dyDescent="0.25">
      <c r="A281" s="120" t="s">
        <v>101</v>
      </c>
      <c r="B281" s="121" t="s">
        <v>91</v>
      </c>
      <c r="C281" s="122">
        <v>840</v>
      </c>
      <c r="D281" s="123">
        <v>410.63</v>
      </c>
      <c r="E281" s="123">
        <v>14079.76125</v>
      </c>
      <c r="F281" s="124">
        <v>24000</v>
      </c>
      <c r="G281" s="124">
        <v>23250</v>
      </c>
      <c r="H281" s="125">
        <f t="shared" si="172"/>
        <v>3.125E-2</v>
      </c>
      <c r="I281" s="120">
        <v>263</v>
      </c>
      <c r="J281" s="125">
        <f t="shared" si="173"/>
        <v>1.0958333333333334E-2</v>
      </c>
      <c r="K281" s="124">
        <v>74670</v>
      </c>
      <c r="L281" s="124">
        <v>136740</v>
      </c>
      <c r="M281" s="126">
        <f t="shared" si="174"/>
        <v>3.2116129032258063</v>
      </c>
      <c r="N281" s="126">
        <f t="shared" si="175"/>
        <v>1.8312575331458416</v>
      </c>
      <c r="O281" s="126">
        <f>+L281/((G281-CA281-CB281)*M281)</f>
        <v>1.8528542428147798</v>
      </c>
      <c r="P281" s="127">
        <f>IF(G281=0,0,+E281/G281)</f>
        <v>0.60558112903225803</v>
      </c>
      <c r="Q281" s="127">
        <f>IF(G281=0,0,+D281/G281)</f>
        <v>1.7661505376344085E-2</v>
      </c>
      <c r="R281" s="124">
        <v>2000</v>
      </c>
      <c r="S281" s="127">
        <f>IF(R281=0,0,+E281/R281)</f>
        <v>7.0398806249999994</v>
      </c>
      <c r="T281" s="126">
        <f t="shared" si="183"/>
        <v>12</v>
      </c>
      <c r="U281" s="126">
        <f t="shared" si="184"/>
        <v>5.8812903225806448</v>
      </c>
      <c r="V281" s="128">
        <v>45.39</v>
      </c>
      <c r="W281" s="124"/>
      <c r="X281" s="126"/>
      <c r="Y281" s="124"/>
      <c r="Z281" s="129">
        <f t="shared" si="178"/>
        <v>7.0755957330376873E-2</v>
      </c>
      <c r="AA281" s="130" t="str">
        <f t="shared" si="179"/>
        <v/>
      </c>
      <c r="AB281" s="131">
        <v>0.32833333333333331</v>
      </c>
      <c r="AC281" s="131">
        <v>1.4875</v>
      </c>
      <c r="AD281" s="131">
        <v>2.4808333333333334</v>
      </c>
      <c r="AE281" s="131">
        <v>1.4008333333333334</v>
      </c>
      <c r="AF281" s="132" t="s">
        <v>81</v>
      </c>
      <c r="AG281" s="133"/>
      <c r="AH281" s="133"/>
      <c r="AI281" s="133"/>
      <c r="AJ281" s="133"/>
      <c r="AK281" s="133"/>
      <c r="AL281" s="133"/>
      <c r="AM281" s="133"/>
      <c r="AN281" s="143"/>
      <c r="AO281" s="135">
        <f t="shared" si="170"/>
        <v>0</v>
      </c>
      <c r="AP281" s="136" t="s">
        <v>82</v>
      </c>
      <c r="AQ281" s="133"/>
      <c r="AR281" s="124"/>
      <c r="AS281" s="124"/>
      <c r="AT281" s="124"/>
      <c r="AU281" s="124">
        <v>1600</v>
      </c>
      <c r="AV281" s="124"/>
      <c r="AW281" s="124"/>
      <c r="AX281" s="124"/>
      <c r="AY281" s="124">
        <v>22400</v>
      </c>
      <c r="AZ281" s="124"/>
      <c r="BA281" s="124"/>
      <c r="BB281" s="124"/>
      <c r="BC281" s="124"/>
      <c r="BD281" s="124"/>
      <c r="BE281" s="124"/>
      <c r="BF281" s="133"/>
      <c r="BG281" s="124"/>
      <c r="BH281" s="137"/>
      <c r="BI281" s="138">
        <f t="shared" si="171"/>
        <v>1</v>
      </c>
      <c r="BJ281" s="139">
        <v>3.2</v>
      </c>
      <c r="BK281" s="140">
        <v>45</v>
      </c>
      <c r="BL281" s="129">
        <v>4.4499999999999998E-2</v>
      </c>
      <c r="BM281" s="129">
        <v>0.215</v>
      </c>
      <c r="BN281" s="129">
        <v>0.49</v>
      </c>
      <c r="BO281" s="129">
        <v>1.0549999999999999</v>
      </c>
      <c r="BP281" s="129">
        <v>1.706</v>
      </c>
      <c r="BQ281" s="129">
        <v>2.1640000000000001</v>
      </c>
      <c r="BR281" s="129"/>
      <c r="BS281" s="129">
        <v>3.2290000000000001</v>
      </c>
      <c r="BT281" s="122">
        <v>46</v>
      </c>
      <c r="BU281" s="124"/>
      <c r="BV281" s="142">
        <v>42338</v>
      </c>
      <c r="BW281" s="125">
        <v>0.68198781304406053</v>
      </c>
      <c r="BX281" s="124">
        <v>22884</v>
      </c>
      <c r="BY281" s="124">
        <v>9696</v>
      </c>
      <c r="BZ281" s="125">
        <v>0.42370214997378081</v>
      </c>
      <c r="CA281" s="124">
        <v>92</v>
      </c>
      <c r="CB281" s="124">
        <v>179</v>
      </c>
      <c r="CC281" s="125">
        <v>4.0202761754937946E-3</v>
      </c>
      <c r="CD281" s="125">
        <v>7.8220590805803177E-3</v>
      </c>
    </row>
    <row r="282" spans="1:82" x14ac:dyDescent="0.25">
      <c r="A282" s="120" t="s">
        <v>100</v>
      </c>
      <c r="B282" s="121" t="s">
        <v>80</v>
      </c>
      <c r="C282" s="122">
        <v>764</v>
      </c>
      <c r="D282" s="157">
        <v>1179.19</v>
      </c>
      <c r="E282" s="157">
        <v>11041.38</v>
      </c>
      <c r="F282" s="124">
        <v>25500</v>
      </c>
      <c r="G282" s="124">
        <v>24925</v>
      </c>
      <c r="H282" s="125">
        <v>2.2549019607843137E-2</v>
      </c>
      <c r="I282" s="120">
        <v>303</v>
      </c>
      <c r="J282" s="125">
        <v>1.1882352941176471E-2</v>
      </c>
      <c r="K282" s="124">
        <v>60240</v>
      </c>
      <c r="L282" s="124">
        <v>102810</v>
      </c>
      <c r="M282" s="126">
        <v>2.416850551654965</v>
      </c>
      <c r="N282" s="126">
        <v>1.7066733067729083</v>
      </c>
      <c r="O282" s="126">
        <v>1.7358537570927421</v>
      </c>
      <c r="P282" s="127">
        <v>0.4429841524573721</v>
      </c>
      <c r="Q282" s="127">
        <v>4.7309528585757273E-2</v>
      </c>
      <c r="R282" s="124">
        <v>1560</v>
      </c>
      <c r="S282" s="127">
        <v>7.077807692307692</v>
      </c>
      <c r="T282" s="126">
        <v>16.346153846153847</v>
      </c>
      <c r="U282" s="126">
        <v>4.1247743229689071</v>
      </c>
      <c r="V282" s="128">
        <v>41.36</v>
      </c>
      <c r="W282" s="124">
        <v>32</v>
      </c>
      <c r="X282" s="126">
        <v>1.833</v>
      </c>
      <c r="Y282" s="124">
        <v>8000</v>
      </c>
      <c r="Z282" s="129">
        <v>5.8434491094172265E-2</v>
      </c>
      <c r="AA282" s="158">
        <v>5.7281249999999999E-2</v>
      </c>
      <c r="AB282" s="129">
        <v>0.30588235294117649</v>
      </c>
      <c r="AC282" s="129">
        <v>1.4290196078431372</v>
      </c>
      <c r="AD282" s="129">
        <v>1.9968627450980392</v>
      </c>
      <c r="AE282" s="129">
        <v>0.3</v>
      </c>
      <c r="AF282" s="132" t="s">
        <v>81</v>
      </c>
      <c r="AG282" s="133"/>
      <c r="AH282" s="133"/>
      <c r="AI282" s="133"/>
      <c r="AJ282" s="133"/>
      <c r="AK282" s="133"/>
      <c r="AL282" s="120"/>
      <c r="AM282" s="133"/>
      <c r="AN282" s="134"/>
      <c r="AO282" s="135">
        <f t="shared" si="170"/>
        <v>0</v>
      </c>
      <c r="AP282" s="136" t="s">
        <v>82</v>
      </c>
      <c r="AQ282" s="133"/>
      <c r="AR282" s="124"/>
      <c r="AS282" s="124"/>
      <c r="AT282" s="124"/>
      <c r="AU282" s="124"/>
      <c r="AV282" s="124"/>
      <c r="AW282" s="124"/>
      <c r="AX282" s="124"/>
      <c r="AY282" s="124"/>
      <c r="AZ282" s="124"/>
      <c r="BA282" s="124"/>
      <c r="BB282" s="124"/>
      <c r="BC282" s="124"/>
      <c r="BD282" s="124"/>
      <c r="BE282" s="124">
        <v>25500</v>
      </c>
      <c r="BF282" s="133"/>
      <c r="BG282" s="124"/>
      <c r="BH282" s="137"/>
      <c r="BI282" s="138">
        <f t="shared" si="171"/>
        <v>1</v>
      </c>
      <c r="BJ282" s="139">
        <v>2.6930000000000001</v>
      </c>
      <c r="BK282" s="140">
        <v>43</v>
      </c>
      <c r="BL282" s="129">
        <v>0.04</v>
      </c>
      <c r="BM282" s="129">
        <v>0.185</v>
      </c>
      <c r="BN282" s="129">
        <v>0.5</v>
      </c>
      <c r="BO282" s="129">
        <v>1</v>
      </c>
      <c r="BP282" s="129">
        <v>1.6</v>
      </c>
      <c r="BQ282" s="129">
        <v>2.1</v>
      </c>
      <c r="BR282" s="129"/>
      <c r="BS282" s="129">
        <v>2.6930000000000001</v>
      </c>
      <c r="BT282" s="122">
        <v>43</v>
      </c>
      <c r="BU282" s="124"/>
      <c r="BV282" s="147">
        <v>42223</v>
      </c>
      <c r="BW282" s="125">
        <v>0.70310640631856081</v>
      </c>
      <c r="BX282" s="124">
        <v>16702</v>
      </c>
      <c r="BY282" s="124">
        <v>9696</v>
      </c>
      <c r="BZ282" s="125">
        <v>0.58052927793078668</v>
      </c>
      <c r="CA282" s="124">
        <v>190</v>
      </c>
      <c r="CB282" s="124">
        <v>56</v>
      </c>
      <c r="CC282" s="125">
        <v>1.137588312776913E-2</v>
      </c>
      <c r="CD282" s="125">
        <v>3.3528918692372171E-3</v>
      </c>
    </row>
    <row r="283" spans="1:82" x14ac:dyDescent="0.25">
      <c r="A283" s="120" t="s">
        <v>111</v>
      </c>
      <c r="B283" s="121" t="s">
        <v>86</v>
      </c>
      <c r="C283" s="122">
        <v>428</v>
      </c>
      <c r="D283" s="148">
        <v>650.14</v>
      </c>
      <c r="E283" s="148">
        <v>20470.59</v>
      </c>
      <c r="F283" s="124">
        <v>34400</v>
      </c>
      <c r="G283" s="124">
        <v>33950</v>
      </c>
      <c r="H283" s="125">
        <f t="shared" ref="H283:H289" si="185">IF(F283=0,0,+((F283-G283)/F283))</f>
        <v>1.308139534883721E-2</v>
      </c>
      <c r="I283" s="120">
        <v>239</v>
      </c>
      <c r="J283" s="125">
        <f t="shared" ref="J283:J289" si="186">+(I283/F283)</f>
        <v>6.947674418604651E-3</v>
      </c>
      <c r="K283" s="124">
        <v>98400</v>
      </c>
      <c r="L283" s="124">
        <v>168940</v>
      </c>
      <c r="M283" s="126">
        <f t="shared" ref="M283:M289" si="187">IF(G283=0,0,+K283/G283)</f>
        <v>2.8983799705449189</v>
      </c>
      <c r="N283" s="126">
        <f t="shared" ref="N283:N289" si="188">IF(K283=0,0,+L283/K283)</f>
        <v>1.7168699186991869</v>
      </c>
      <c r="O283" s="126">
        <f>+L283/((G283-CA272-CB272)*M283)</f>
        <v>1.7330003490467205</v>
      </c>
      <c r="P283" s="127">
        <f>+E283/G283</f>
        <v>0.60296288659793817</v>
      </c>
      <c r="Q283" s="127">
        <f>+D283/G283</f>
        <v>1.9149926362297495E-2</v>
      </c>
      <c r="R283" s="124">
        <v>2891</v>
      </c>
      <c r="S283" s="149">
        <f>+E283/R283</f>
        <v>7.0807990314769977</v>
      </c>
      <c r="T283" s="126">
        <f t="shared" ref="T283:T289" si="189">IF(R283=0,0,+F283/R283)</f>
        <v>11.89899688689035</v>
      </c>
      <c r="U283" s="126">
        <f t="shared" ref="U283:U289" si="190">IF(L283=0,0,+L283/G283)</f>
        <v>4.9761413843888072</v>
      </c>
      <c r="V283" s="128">
        <v>42.83</v>
      </c>
      <c r="W283" s="124"/>
      <c r="X283" s="126"/>
      <c r="Y283" s="124"/>
      <c r="Z283" s="129">
        <f t="shared" ref="Z283:Z289" si="191">IF(V283=0,0,+M283/V283)</f>
        <v>6.7671724738382413E-2</v>
      </c>
      <c r="AA283" s="160" t="str">
        <f t="shared" ref="AA283:AA289" si="192">IF(W283=0,"",+X283/W283)</f>
        <v/>
      </c>
      <c r="AB283" s="131">
        <v>0.43020000000000003</v>
      </c>
      <c r="AC283" s="131">
        <v>1.2797000000000001</v>
      </c>
      <c r="AD283" s="131">
        <v>2.5093000000000001</v>
      </c>
      <c r="AE283" s="131">
        <v>0.69189999999999996</v>
      </c>
      <c r="AF283" s="132" t="s">
        <v>81</v>
      </c>
      <c r="AG283" s="133"/>
      <c r="AH283" s="133"/>
      <c r="AI283" s="133">
        <v>5500</v>
      </c>
      <c r="AJ283" s="133"/>
      <c r="AK283" s="133"/>
      <c r="AL283" s="133"/>
      <c r="AM283" s="133">
        <v>28900</v>
      </c>
      <c r="AN283" s="134"/>
      <c r="AO283" s="135">
        <f t="shared" si="170"/>
        <v>1</v>
      </c>
      <c r="AP283" s="136" t="s">
        <v>82</v>
      </c>
      <c r="AQ283" s="133"/>
      <c r="AR283" s="124"/>
      <c r="AS283" s="124"/>
      <c r="AT283" s="124"/>
      <c r="AU283" s="124"/>
      <c r="AV283" s="124"/>
      <c r="AW283" s="124"/>
      <c r="AX283" s="124"/>
      <c r="AY283" s="124"/>
      <c r="AZ283" s="124"/>
      <c r="BA283" s="124"/>
      <c r="BB283" s="124"/>
      <c r="BC283" s="124"/>
      <c r="BD283" s="124"/>
      <c r="BE283" s="124"/>
      <c r="BF283" s="133"/>
      <c r="BG283" s="124"/>
      <c r="BH283" s="137"/>
      <c r="BI283" s="138">
        <f t="shared" si="171"/>
        <v>0</v>
      </c>
      <c r="BJ283" s="139">
        <v>2.8279999999999998</v>
      </c>
      <c r="BK283" s="140">
        <v>42</v>
      </c>
      <c r="BL283" s="129">
        <v>4.3999999999999997E-2</v>
      </c>
      <c r="BM283" s="129">
        <v>0.2</v>
      </c>
      <c r="BN283" s="129">
        <v>0.5</v>
      </c>
      <c r="BO283" s="129">
        <v>0.97</v>
      </c>
      <c r="BP283" s="129">
        <v>1.61</v>
      </c>
      <c r="BQ283" s="129">
        <v>2.2370000000000001</v>
      </c>
      <c r="BR283" s="129">
        <v>2.827</v>
      </c>
      <c r="BS283" s="129">
        <v>2.9119999999999999</v>
      </c>
      <c r="BT283" s="122">
        <v>43</v>
      </c>
      <c r="BU283" s="124"/>
      <c r="BV283" s="147">
        <v>42272</v>
      </c>
      <c r="BW283" s="125">
        <v>0.72164735772357724</v>
      </c>
      <c r="BX283" s="124">
        <v>33540</v>
      </c>
      <c r="BY283" s="124">
        <v>9648</v>
      </c>
      <c r="BZ283" s="125">
        <v>0.28765652951699461</v>
      </c>
      <c r="CA283" s="124">
        <v>51</v>
      </c>
      <c r="CB283" s="124">
        <v>348</v>
      </c>
      <c r="CC283" s="125">
        <v>1.520572450805009E-3</v>
      </c>
      <c r="CD283" s="125">
        <v>1.0375670840787121E-2</v>
      </c>
    </row>
    <row r="284" spans="1:82" x14ac:dyDescent="0.25">
      <c r="A284" s="120" t="s">
        <v>118</v>
      </c>
      <c r="B284" s="121" t="s">
        <v>80</v>
      </c>
      <c r="C284" s="122">
        <v>908</v>
      </c>
      <c r="D284" s="144">
        <v>2462.61</v>
      </c>
      <c r="E284" s="144">
        <f>57921.25+U284+V284</f>
        <v>57969.714797034132</v>
      </c>
      <c r="F284" s="124">
        <v>98200</v>
      </c>
      <c r="G284" s="124">
        <v>96026</v>
      </c>
      <c r="H284" s="125">
        <f t="shared" si="185"/>
        <v>2.2138492871690427E-2</v>
      </c>
      <c r="I284" s="120">
        <v>613</v>
      </c>
      <c r="J284" s="125">
        <f t="shared" si="186"/>
        <v>6.2423625254582485E-3</v>
      </c>
      <c r="K284" s="124">
        <v>289780</v>
      </c>
      <c r="L284" s="124">
        <v>515160</v>
      </c>
      <c r="M284" s="126">
        <f t="shared" si="187"/>
        <v>3.0177243663174558</v>
      </c>
      <c r="N284" s="126">
        <f t="shared" si="188"/>
        <v>1.7777624404720822</v>
      </c>
      <c r="O284" s="126">
        <f>+L284/((G284-CA284-CB284)*M284)</f>
        <v>1.8024835665963337</v>
      </c>
      <c r="P284" s="127">
        <f>+E284/G284</f>
        <v>0.60368769705115422</v>
      </c>
      <c r="Q284" s="127">
        <f>+D284/G284</f>
        <v>2.5645241913648389E-2</v>
      </c>
      <c r="R284" s="124">
        <v>8137</v>
      </c>
      <c r="S284" s="149">
        <f>+E284/R284</f>
        <v>7.1242122154398588</v>
      </c>
      <c r="T284" s="126">
        <f t="shared" si="189"/>
        <v>12.068329851296546</v>
      </c>
      <c r="U284" s="126">
        <f t="shared" si="190"/>
        <v>5.364797034136588</v>
      </c>
      <c r="V284" s="128">
        <v>43.1</v>
      </c>
      <c r="W284" s="124"/>
      <c r="X284" s="126"/>
      <c r="Y284" s="124"/>
      <c r="Z284" s="129">
        <f t="shared" si="191"/>
        <v>7.0016806643096424E-2</v>
      </c>
      <c r="AA284" s="145" t="str">
        <f t="shared" si="192"/>
        <v/>
      </c>
      <c r="AB284" s="129">
        <v>0.31038696537678206</v>
      </c>
      <c r="AC284" s="129">
        <v>1.4061099796334011</v>
      </c>
      <c r="AD284" s="129">
        <v>2.6871690427698574</v>
      </c>
      <c r="AE284" s="129">
        <v>0.84236252545824852</v>
      </c>
      <c r="AF284" s="132" t="s">
        <v>81</v>
      </c>
      <c r="AG284" s="133"/>
      <c r="AH284" s="133"/>
      <c r="AI284" s="133"/>
      <c r="AJ284" s="133">
        <v>21200</v>
      </c>
      <c r="AK284" s="124">
        <v>9300</v>
      </c>
      <c r="AL284" s="146"/>
      <c r="AM284" s="133"/>
      <c r="AN284" s="134"/>
      <c r="AO284" s="135">
        <f t="shared" si="170"/>
        <v>0.31059063136456211</v>
      </c>
      <c r="AP284" s="136" t="s">
        <v>82</v>
      </c>
      <c r="AQ284" s="133"/>
      <c r="AR284" s="124"/>
      <c r="AS284" s="124">
        <v>29700</v>
      </c>
      <c r="AT284" s="124">
        <v>36000</v>
      </c>
      <c r="AU284" s="124"/>
      <c r="AV284" s="124"/>
      <c r="AW284" s="146"/>
      <c r="AX284" s="124">
        <v>2000</v>
      </c>
      <c r="AY284" s="124"/>
      <c r="AZ284" s="124"/>
      <c r="BA284" s="124"/>
      <c r="BB284" s="124"/>
      <c r="BC284" s="124"/>
      <c r="BD284" s="124"/>
      <c r="BE284" s="124"/>
      <c r="BF284" s="124"/>
      <c r="BG284" s="124"/>
      <c r="BH284" s="137"/>
      <c r="BI284" s="138">
        <f t="shared" si="171"/>
        <v>0.68940936863543789</v>
      </c>
      <c r="BJ284" s="139">
        <v>3.0430000000000001</v>
      </c>
      <c r="BK284" s="140">
        <v>42</v>
      </c>
      <c r="BL284" s="129">
        <v>4.2500000000000003E-2</v>
      </c>
      <c r="BM284" s="129">
        <v>0.19</v>
      </c>
      <c r="BN284" s="129">
        <v>0.495</v>
      </c>
      <c r="BO284" s="129">
        <v>1.0075000000000001</v>
      </c>
      <c r="BP284" s="129">
        <v>1.5</v>
      </c>
      <c r="BQ284" s="129">
        <v>2.238</v>
      </c>
      <c r="BR284" s="129">
        <v>3.0219999999999998</v>
      </c>
      <c r="BS284" s="129">
        <v>3.03</v>
      </c>
      <c r="BT284" s="122">
        <v>44</v>
      </c>
      <c r="BU284" s="124"/>
      <c r="BV284" s="147">
        <v>42060</v>
      </c>
      <c r="BW284" s="125">
        <v>0.69842056042515011</v>
      </c>
      <c r="BX284" s="124">
        <v>94752</v>
      </c>
      <c r="BY284" s="124">
        <v>39240</v>
      </c>
      <c r="BZ284" s="125">
        <v>0.41413373860182373</v>
      </c>
      <c r="CA284" s="124">
        <v>367</v>
      </c>
      <c r="CB284" s="124">
        <v>950</v>
      </c>
      <c r="CC284" s="125">
        <v>3.8732691658223575E-3</v>
      </c>
      <c r="CD284" s="125">
        <v>1.0026173590003377E-2</v>
      </c>
    </row>
    <row r="285" spans="1:82" x14ac:dyDescent="0.25">
      <c r="A285" s="120" t="s">
        <v>103</v>
      </c>
      <c r="B285" s="121" t="s">
        <v>80</v>
      </c>
      <c r="C285" s="122">
        <v>1018</v>
      </c>
      <c r="D285" s="123">
        <v>394.63</v>
      </c>
      <c r="E285" s="123">
        <v>14293.23425</v>
      </c>
      <c r="F285" s="124">
        <v>23900</v>
      </c>
      <c r="G285" s="124">
        <v>23850</v>
      </c>
      <c r="H285" s="125">
        <f t="shared" si="185"/>
        <v>2.0920502092050207E-3</v>
      </c>
      <c r="I285" s="120">
        <v>159</v>
      </c>
      <c r="J285" s="125">
        <f t="shared" si="186"/>
        <v>6.6527196652719665E-3</v>
      </c>
      <c r="K285" s="124">
        <v>70260</v>
      </c>
      <c r="L285" s="124">
        <v>122860</v>
      </c>
      <c r="M285" s="126">
        <f t="shared" si="187"/>
        <v>2.9459119496855344</v>
      </c>
      <c r="N285" s="126">
        <f t="shared" si="188"/>
        <v>1.748647879305437</v>
      </c>
      <c r="O285" s="126">
        <f>+L285/((G285-CA285-CB285)*M285)</f>
        <v>1.7589730882089698</v>
      </c>
      <c r="P285" s="127">
        <f>IF(G285=0,0,+E285/G285)</f>
        <v>0.59929703354297692</v>
      </c>
      <c r="Q285" s="127">
        <f>IF(G285=0,0,+D285/G285)</f>
        <v>1.6546331236897274E-2</v>
      </c>
      <c r="R285" s="124">
        <v>2000</v>
      </c>
      <c r="S285" s="127">
        <f>IF(R285=0,0,+E285/R285)</f>
        <v>7.1466171249999997</v>
      </c>
      <c r="T285" s="126">
        <f t="shared" si="189"/>
        <v>11.95</v>
      </c>
      <c r="U285" s="126">
        <f t="shared" si="190"/>
        <v>5.1513626834381547</v>
      </c>
      <c r="V285" s="128">
        <v>46</v>
      </c>
      <c r="W285" s="124"/>
      <c r="X285" s="126"/>
      <c r="Y285" s="124"/>
      <c r="Z285" s="129">
        <f t="shared" si="191"/>
        <v>6.4041564123598571E-2</v>
      </c>
      <c r="AA285" s="130" t="str">
        <f t="shared" si="192"/>
        <v/>
      </c>
      <c r="AB285" s="131">
        <v>0.30962343096234307</v>
      </c>
      <c r="AC285" s="131">
        <v>1.3581589958158995</v>
      </c>
      <c r="AD285" s="131">
        <v>2.3807531380753137</v>
      </c>
      <c r="AE285" s="131">
        <v>1.0920502092050208</v>
      </c>
      <c r="AF285" s="132" t="s">
        <v>81</v>
      </c>
      <c r="AG285" s="133"/>
      <c r="AH285" s="133"/>
      <c r="AI285" s="133"/>
      <c r="AJ285" s="133"/>
      <c r="AK285" s="133"/>
      <c r="AL285" s="133"/>
      <c r="AM285" s="133"/>
      <c r="AN285" s="143"/>
      <c r="AO285" s="135">
        <f t="shared" si="170"/>
        <v>0</v>
      </c>
      <c r="AP285" s="136" t="s">
        <v>82</v>
      </c>
      <c r="AQ285" s="133"/>
      <c r="AR285" s="124"/>
      <c r="AS285" s="124"/>
      <c r="AT285" s="124"/>
      <c r="AU285" s="124"/>
      <c r="AV285" s="124"/>
      <c r="AW285" s="124"/>
      <c r="AX285" s="124"/>
      <c r="AY285" s="124"/>
      <c r="AZ285" s="124"/>
      <c r="BA285" s="124"/>
      <c r="BB285" s="124">
        <v>23900</v>
      </c>
      <c r="BC285" s="124"/>
      <c r="BD285" s="124"/>
      <c r="BE285" s="124"/>
      <c r="BF285" s="133"/>
      <c r="BG285" s="124"/>
      <c r="BH285" s="137"/>
      <c r="BI285" s="138">
        <f t="shared" si="171"/>
        <v>1</v>
      </c>
      <c r="BJ285" s="139">
        <v>2.9460000000000002</v>
      </c>
      <c r="BK285" s="140">
        <v>46</v>
      </c>
      <c r="BL285" s="129">
        <v>3.6999999999999998E-2</v>
      </c>
      <c r="BM285" s="129">
        <v>0.182</v>
      </c>
      <c r="BN285" s="129">
        <v>0.47799999999999998</v>
      </c>
      <c r="BO285" s="129">
        <v>0.91</v>
      </c>
      <c r="BP285" s="129">
        <v>1.56</v>
      </c>
      <c r="BQ285" s="129">
        <v>2.12</v>
      </c>
      <c r="BR285" s="129">
        <v>2.58</v>
      </c>
      <c r="BS285" s="129">
        <v>2.9460000000000002</v>
      </c>
      <c r="BT285" s="122">
        <v>46</v>
      </c>
      <c r="BU285" s="124"/>
      <c r="BV285" s="142">
        <v>42325</v>
      </c>
      <c r="BW285" s="125">
        <v>0.70107828067179057</v>
      </c>
      <c r="BX285" s="124">
        <v>23692</v>
      </c>
      <c r="BY285" s="124">
        <v>11064</v>
      </c>
      <c r="BZ285" s="125">
        <v>0.46699307783217964</v>
      </c>
      <c r="CA285" s="124">
        <v>40</v>
      </c>
      <c r="CB285" s="124">
        <v>100</v>
      </c>
      <c r="CC285" s="125">
        <v>1.6883336147222692E-3</v>
      </c>
      <c r="CD285" s="125">
        <v>4.2208340368056728E-3</v>
      </c>
    </row>
    <row r="286" spans="1:82" x14ac:dyDescent="0.25">
      <c r="A286" s="120" t="s">
        <v>114</v>
      </c>
      <c r="B286" s="121" t="s">
        <v>115</v>
      </c>
      <c r="C286" s="122">
        <v>657</v>
      </c>
      <c r="D286" s="123">
        <v>606.82000000000005</v>
      </c>
      <c r="E286" s="123">
        <v>18354.905050000001</v>
      </c>
      <c r="F286" s="124">
        <v>31800</v>
      </c>
      <c r="G286" s="124">
        <v>30810</v>
      </c>
      <c r="H286" s="125">
        <f t="shared" si="185"/>
        <v>3.1132075471698113E-2</v>
      </c>
      <c r="I286" s="120">
        <v>385</v>
      </c>
      <c r="J286" s="125">
        <f t="shared" si="186"/>
        <v>1.2106918238993711E-2</v>
      </c>
      <c r="K286" s="124">
        <v>91520</v>
      </c>
      <c r="L286" s="124">
        <v>160180</v>
      </c>
      <c r="M286" s="126">
        <f t="shared" si="187"/>
        <v>2.9704641350210972</v>
      </c>
      <c r="N286" s="126">
        <f t="shared" si="188"/>
        <v>1.7502185314685315</v>
      </c>
      <c r="O286" s="126">
        <f>+L286/((G286-CA286-CB286)*M286)</f>
        <v>1.766791158695503</v>
      </c>
      <c r="P286" s="127">
        <f>IF(G286=0,0,+E286/G286)</f>
        <v>0.59574505193119121</v>
      </c>
      <c r="Q286" s="127">
        <f>IF(G286=0,0,+D286/G286)</f>
        <v>1.9695553391755924E-2</v>
      </c>
      <c r="R286" s="124">
        <v>2566</v>
      </c>
      <c r="S286" s="127">
        <f>IF(R286=0,0,+E286/R286)</f>
        <v>7.1531196609508969</v>
      </c>
      <c r="T286" s="126">
        <f t="shared" si="189"/>
        <v>12.392829306313327</v>
      </c>
      <c r="U286" s="126">
        <f t="shared" si="190"/>
        <v>5.1989613761765661</v>
      </c>
      <c r="V286" s="128">
        <v>43</v>
      </c>
      <c r="W286" s="124"/>
      <c r="X286" s="126"/>
      <c r="Y286" s="124"/>
      <c r="Z286" s="129">
        <f t="shared" si="191"/>
        <v>6.9080561279560401E-2</v>
      </c>
      <c r="AA286" s="130" t="str">
        <f t="shared" si="192"/>
        <v/>
      </c>
      <c r="AB286" s="131">
        <v>0.28867924528301886</v>
      </c>
      <c r="AC286" s="131">
        <v>1.3968553459119497</v>
      </c>
      <c r="AD286" s="131">
        <v>2.4584905660377356</v>
      </c>
      <c r="AE286" s="131">
        <v>0.89308176100628933</v>
      </c>
      <c r="AF286" s="132" t="s">
        <v>81</v>
      </c>
      <c r="AG286" s="133"/>
      <c r="AH286" s="133">
        <v>2300</v>
      </c>
      <c r="AI286" s="133"/>
      <c r="AJ286" s="133"/>
      <c r="AK286" s="133"/>
      <c r="AL286" s="133">
        <v>10900</v>
      </c>
      <c r="AM286" s="133"/>
      <c r="AN286" s="143"/>
      <c r="AO286" s="135">
        <f t="shared" si="170"/>
        <v>0.41509433962264153</v>
      </c>
      <c r="AP286" s="136" t="s">
        <v>82</v>
      </c>
      <c r="AQ286" s="133"/>
      <c r="AR286" s="124"/>
      <c r="AS286" s="124"/>
      <c r="AT286" s="124"/>
      <c r="AU286" s="124"/>
      <c r="AV286" s="124"/>
      <c r="AW286" s="124"/>
      <c r="AX286" s="124"/>
      <c r="AY286" s="124"/>
      <c r="AZ286" s="124"/>
      <c r="BA286" s="124"/>
      <c r="BB286" s="124">
        <v>18600</v>
      </c>
      <c r="BC286" s="124"/>
      <c r="BD286" s="124"/>
      <c r="BE286" s="124"/>
      <c r="BF286" s="133"/>
      <c r="BG286" s="124"/>
      <c r="BH286" s="137"/>
      <c r="BI286" s="138">
        <f t="shared" si="171"/>
        <v>0.58490566037735847</v>
      </c>
      <c r="BJ286" s="139">
        <v>2.9969999999999999</v>
      </c>
      <c r="BK286" s="140">
        <v>43</v>
      </c>
      <c r="BL286" s="129">
        <v>3.7999999999999999E-2</v>
      </c>
      <c r="BM286" s="129">
        <v>0.17749999999999999</v>
      </c>
      <c r="BN286" s="129">
        <v>0.46850000000000003</v>
      </c>
      <c r="BO286" s="129">
        <v>0.94399999999999995</v>
      </c>
      <c r="BP286" s="129">
        <v>1.5089999999999999</v>
      </c>
      <c r="BQ286" s="129"/>
      <c r="BR286" s="129"/>
      <c r="BS286" s="129">
        <v>2.9140000000000001</v>
      </c>
      <c r="BT286" s="122">
        <v>44</v>
      </c>
      <c r="BU286" s="124"/>
      <c r="BV286" s="142">
        <v>42334</v>
      </c>
      <c r="BW286" s="125">
        <v>0.70146918706293715</v>
      </c>
      <c r="BX286" s="124">
        <v>30504</v>
      </c>
      <c r="BY286" s="124">
        <v>10800</v>
      </c>
      <c r="BZ286" s="125">
        <v>0.35405192761605037</v>
      </c>
      <c r="CA286" s="124">
        <v>102</v>
      </c>
      <c r="CB286" s="124">
        <v>187</v>
      </c>
      <c r="CC286" s="125">
        <v>3.3438237608182536E-3</v>
      </c>
      <c r="CD286" s="125">
        <v>6.130343561500131E-3</v>
      </c>
    </row>
    <row r="287" spans="1:82" x14ac:dyDescent="0.25">
      <c r="A287" s="120" t="s">
        <v>114</v>
      </c>
      <c r="B287" s="121" t="s">
        <v>115</v>
      </c>
      <c r="C287" s="122">
        <v>657</v>
      </c>
      <c r="D287" s="148">
        <v>968.16</v>
      </c>
      <c r="E287" s="148">
        <v>18410.163849999997</v>
      </c>
      <c r="F287" s="124">
        <v>34000</v>
      </c>
      <c r="G287" s="124">
        <v>33370</v>
      </c>
      <c r="H287" s="125">
        <f t="shared" si="185"/>
        <v>1.8529411764705881E-2</v>
      </c>
      <c r="I287" s="120">
        <v>266</v>
      </c>
      <c r="J287" s="125">
        <f t="shared" si="186"/>
        <v>7.8235294117647066E-3</v>
      </c>
      <c r="K287" s="124">
        <v>91000</v>
      </c>
      <c r="L287" s="124">
        <v>155080</v>
      </c>
      <c r="M287" s="126">
        <f t="shared" si="187"/>
        <v>2.7270002996703626</v>
      </c>
      <c r="N287" s="126">
        <f t="shared" si="188"/>
        <v>1.7041758241758242</v>
      </c>
      <c r="O287" s="126">
        <f>+L287/((G287-CA268-CB268)*M287)</f>
        <v>1.7175061838285541</v>
      </c>
      <c r="P287" s="127">
        <f>+E287/G287</f>
        <v>0.55169804764758756</v>
      </c>
      <c r="Q287" s="127">
        <f>+D287/G287</f>
        <v>2.9012885825591847E-2</v>
      </c>
      <c r="R287" s="124">
        <v>2566</v>
      </c>
      <c r="S287" s="149">
        <f>+E287/R287</f>
        <v>7.1746546570537788</v>
      </c>
      <c r="T287" s="126">
        <f t="shared" si="189"/>
        <v>13.250194855806702</v>
      </c>
      <c r="U287" s="126">
        <f t="shared" si="190"/>
        <v>4.6472879832184599</v>
      </c>
      <c r="V287" s="128">
        <v>43</v>
      </c>
      <c r="W287" s="124">
        <v>33</v>
      </c>
      <c r="X287" s="126">
        <v>2.0680000000000001</v>
      </c>
      <c r="Y287" s="124">
        <v>8000</v>
      </c>
      <c r="Z287" s="129">
        <f t="shared" si="191"/>
        <v>6.3418611620240997E-2</v>
      </c>
      <c r="AA287" s="150">
        <f t="shared" si="192"/>
        <v>6.2666666666666662E-2</v>
      </c>
      <c r="AB287" s="131">
        <v>0.2994</v>
      </c>
      <c r="AC287" s="131">
        <v>1.4076</v>
      </c>
      <c r="AD287" s="131">
        <v>2.3740999999999999</v>
      </c>
      <c r="AE287" s="131">
        <v>0.48</v>
      </c>
      <c r="AF287" s="132" t="s">
        <v>81</v>
      </c>
      <c r="AG287" s="133"/>
      <c r="AH287" s="133">
        <v>30300</v>
      </c>
      <c r="AI287" s="133"/>
      <c r="AJ287" s="133"/>
      <c r="AK287" s="133"/>
      <c r="AL287" s="133"/>
      <c r="AM287" s="133"/>
      <c r="AN287" s="134"/>
      <c r="AO287" s="135">
        <f t="shared" si="170"/>
        <v>0.89117647058823535</v>
      </c>
      <c r="AP287" s="136" t="s">
        <v>82</v>
      </c>
      <c r="AQ287" s="124"/>
      <c r="AR287" s="124"/>
      <c r="AS287" s="124"/>
      <c r="AT287" s="124"/>
      <c r="AU287" s="124">
        <v>2300</v>
      </c>
      <c r="AV287" s="124"/>
      <c r="AW287" s="124"/>
      <c r="AX287" s="124"/>
      <c r="AY287" s="124"/>
      <c r="AZ287" s="124"/>
      <c r="BA287" s="124"/>
      <c r="BB287" s="124"/>
      <c r="BC287" s="124"/>
      <c r="BD287" s="124"/>
      <c r="BE287" s="124"/>
      <c r="BF287" s="124">
        <v>1400</v>
      </c>
      <c r="BG287" s="124"/>
      <c r="BH287" s="137"/>
      <c r="BI287" s="138">
        <f t="shared" si="171"/>
        <v>0.10882352941176471</v>
      </c>
      <c r="BJ287" s="139">
        <v>2.9350000000000001</v>
      </c>
      <c r="BK287" s="140">
        <v>43</v>
      </c>
      <c r="BL287" s="159" t="s">
        <v>104</v>
      </c>
      <c r="BM287" s="129">
        <v>0.17799999999999999</v>
      </c>
      <c r="BN287" s="129">
        <v>0.46</v>
      </c>
      <c r="BO287" s="129">
        <v>0.91600000000000004</v>
      </c>
      <c r="BP287" s="129">
        <v>1.5529999999999999</v>
      </c>
      <c r="BQ287" s="159" t="s">
        <v>104</v>
      </c>
      <c r="BR287" s="159" t="s">
        <v>104</v>
      </c>
      <c r="BS287" s="129">
        <v>2.9350000000000001</v>
      </c>
      <c r="BT287" s="122">
        <v>43</v>
      </c>
      <c r="BU287" s="124"/>
      <c r="BV287" s="147">
        <v>42270</v>
      </c>
      <c r="BW287" s="125">
        <v>0.70620306204673644</v>
      </c>
      <c r="BX287" s="124">
        <v>24908</v>
      </c>
      <c r="BY287" s="124">
        <v>7768</v>
      </c>
      <c r="BZ287" s="125">
        <v>0.31186767303677532</v>
      </c>
      <c r="CA287" s="124">
        <v>89</v>
      </c>
      <c r="CB287" s="124">
        <v>368</v>
      </c>
      <c r="CC287" s="125">
        <v>3.5731491890155774E-3</v>
      </c>
      <c r="CD287" s="125">
        <v>1.4774369680423961E-2</v>
      </c>
    </row>
    <row r="288" spans="1:82" x14ac:dyDescent="0.25">
      <c r="A288" s="120" t="s">
        <v>100</v>
      </c>
      <c r="B288" s="121" t="s">
        <v>80</v>
      </c>
      <c r="C288" s="122">
        <v>764</v>
      </c>
      <c r="D288" s="148">
        <v>654.08000000000004</v>
      </c>
      <c r="E288" s="148">
        <v>9547.119999999999</v>
      </c>
      <c r="F288" s="124">
        <v>17300</v>
      </c>
      <c r="G288" s="124">
        <v>17020</v>
      </c>
      <c r="H288" s="125">
        <f t="shared" si="185"/>
        <v>1.6184971098265895E-2</v>
      </c>
      <c r="I288" s="120">
        <v>114</v>
      </c>
      <c r="J288" s="125">
        <f t="shared" si="186"/>
        <v>6.5895953757225435E-3</v>
      </c>
      <c r="K288" s="124">
        <v>47150</v>
      </c>
      <c r="L288" s="124">
        <v>80280</v>
      </c>
      <c r="M288" s="126">
        <f t="shared" si="187"/>
        <v>2.7702702702702702</v>
      </c>
      <c r="N288" s="126">
        <f t="shared" si="188"/>
        <v>1.7026511134676565</v>
      </c>
      <c r="O288" s="126">
        <f>+L288/((G288-CA279-CB279)*M288)</f>
        <v>1.7176884565953123</v>
      </c>
      <c r="P288" s="127">
        <f>+E288/G288</f>
        <v>0.5609353701527614</v>
      </c>
      <c r="Q288" s="127">
        <f>+D288/G288</f>
        <v>3.8430082256169215E-2</v>
      </c>
      <c r="R288" s="124">
        <v>1330</v>
      </c>
      <c r="S288" s="149">
        <f>+E288/R288</f>
        <v>7.1782857142857139</v>
      </c>
      <c r="T288" s="126">
        <f t="shared" si="189"/>
        <v>13.007518796992482</v>
      </c>
      <c r="U288" s="126">
        <f t="shared" si="190"/>
        <v>4.716803760282021</v>
      </c>
      <c r="V288" s="128">
        <v>43</v>
      </c>
      <c r="W288" s="124"/>
      <c r="X288" s="126"/>
      <c r="Y288" s="124"/>
      <c r="Z288" s="129">
        <f t="shared" si="191"/>
        <v>6.442489000628536E-2</v>
      </c>
      <c r="AA288" s="160" t="str">
        <f t="shared" si="192"/>
        <v/>
      </c>
      <c r="AB288" s="131">
        <v>0.3029</v>
      </c>
      <c r="AC288" s="131">
        <v>1.4277</v>
      </c>
      <c r="AD288" s="131">
        <v>1.5827</v>
      </c>
      <c r="AE288" s="131">
        <v>1.3271999999999999</v>
      </c>
      <c r="AF288" s="132" t="s">
        <v>81</v>
      </c>
      <c r="AG288" s="133"/>
      <c r="AH288" s="133"/>
      <c r="AI288" s="133"/>
      <c r="AJ288" s="133"/>
      <c r="AK288" s="133"/>
      <c r="AL288" s="133"/>
      <c r="AM288" s="133">
        <v>600</v>
      </c>
      <c r="AN288" s="134"/>
      <c r="AO288" s="135">
        <f t="shared" si="170"/>
        <v>3.4682080924855488E-2</v>
      </c>
      <c r="AP288" s="136" t="s">
        <v>82</v>
      </c>
      <c r="AQ288" s="133"/>
      <c r="AR288" s="124"/>
      <c r="AS288" s="124"/>
      <c r="AT288" s="124"/>
      <c r="AU288" s="124"/>
      <c r="AV288" s="124"/>
      <c r="AW288" s="124"/>
      <c r="AX288" s="124"/>
      <c r="AY288" s="124">
        <v>7900</v>
      </c>
      <c r="AZ288" s="124"/>
      <c r="BA288" s="124"/>
      <c r="BB288" s="124"/>
      <c r="BC288" s="124"/>
      <c r="BD288" s="124"/>
      <c r="BE288" s="124"/>
      <c r="BF288" s="133">
        <v>8800</v>
      </c>
      <c r="BG288" s="124"/>
      <c r="BH288" s="137"/>
      <c r="BI288" s="138">
        <f t="shared" si="171"/>
        <v>0.96531791907514453</v>
      </c>
      <c r="BJ288" s="139">
        <v>2.77</v>
      </c>
      <c r="BK288" s="140">
        <v>43</v>
      </c>
      <c r="BL288" s="129">
        <v>4.2000000000000003E-2</v>
      </c>
      <c r="BM288" s="129">
        <v>0.2</v>
      </c>
      <c r="BN288" s="129">
        <v>0.51</v>
      </c>
      <c r="BO288" s="129">
        <v>0.96</v>
      </c>
      <c r="BP288" s="129">
        <v>1.48</v>
      </c>
      <c r="BQ288" s="129">
        <v>2.19</v>
      </c>
      <c r="BR288" s="129">
        <v>2.7</v>
      </c>
      <c r="BS288" s="129">
        <v>2.77</v>
      </c>
      <c r="BT288" s="122">
        <v>43</v>
      </c>
      <c r="BU288" s="124">
        <v>5000</v>
      </c>
      <c r="BV288" s="147">
        <v>42258</v>
      </c>
      <c r="BW288" s="125">
        <v>0.71316182396606576</v>
      </c>
      <c r="BX288" s="124">
        <v>16850</v>
      </c>
      <c r="BY288" s="124">
        <v>6832</v>
      </c>
      <c r="BZ288" s="125">
        <v>0.40545994065281898</v>
      </c>
      <c r="CA288" s="124">
        <v>27</v>
      </c>
      <c r="CB288" s="124">
        <v>78</v>
      </c>
      <c r="CC288" s="125">
        <v>1.6023738872403561E-3</v>
      </c>
      <c r="CD288" s="125">
        <v>4.6290801186943623E-3</v>
      </c>
    </row>
    <row r="289" spans="1:82" x14ac:dyDescent="0.25">
      <c r="A289" s="120" t="s">
        <v>107</v>
      </c>
      <c r="B289" s="121" t="s">
        <v>80</v>
      </c>
      <c r="C289" s="122">
        <v>880</v>
      </c>
      <c r="D289" s="123">
        <v>612.35</v>
      </c>
      <c r="E289" s="123">
        <v>17231.1217</v>
      </c>
      <c r="F289" s="124">
        <v>29800</v>
      </c>
      <c r="G289" s="124">
        <v>29540</v>
      </c>
      <c r="H289" s="125">
        <f t="shared" si="185"/>
        <v>8.7248322147650999E-3</v>
      </c>
      <c r="I289" s="120">
        <v>258</v>
      </c>
      <c r="J289" s="125">
        <f t="shared" si="186"/>
        <v>8.6577181208053692E-3</v>
      </c>
      <c r="K289" s="124">
        <v>83360</v>
      </c>
      <c r="L289" s="124">
        <v>142880</v>
      </c>
      <c r="M289" s="126">
        <f t="shared" si="187"/>
        <v>2.8219363574813814</v>
      </c>
      <c r="N289" s="126">
        <f t="shared" si="188"/>
        <v>1.7140115163147793</v>
      </c>
      <c r="O289" s="126">
        <f>+L289/((G289-CA289-CB289)*M289)</f>
        <v>1.7527573023137943</v>
      </c>
      <c r="P289" s="127">
        <f>IF(G289=0,0,+E289/G289)</f>
        <v>0.58331488490182803</v>
      </c>
      <c r="Q289" s="127">
        <f>IF(G289=0,0,+D289/G289)</f>
        <v>2.0729519295870007E-2</v>
      </c>
      <c r="R289" s="124">
        <v>2400</v>
      </c>
      <c r="S289" s="127">
        <f>IF(R289=0,0,+E289/R289)</f>
        <v>7.1796340416666666</v>
      </c>
      <c r="T289" s="126">
        <f t="shared" si="189"/>
        <v>12.416666666666666</v>
      </c>
      <c r="U289" s="126">
        <f t="shared" si="190"/>
        <v>4.836831415030467</v>
      </c>
      <c r="V289" s="128">
        <v>42.05</v>
      </c>
      <c r="W289" s="124"/>
      <c r="X289" s="126"/>
      <c r="Y289" s="124"/>
      <c r="Z289" s="129">
        <f t="shared" si="191"/>
        <v>6.7109069143433564E-2</v>
      </c>
      <c r="AA289" s="130" t="str">
        <f t="shared" si="192"/>
        <v/>
      </c>
      <c r="AB289" s="131">
        <v>0.32617449664429532</v>
      </c>
      <c r="AC289" s="131">
        <v>1.4691275167785234</v>
      </c>
      <c r="AD289" s="131">
        <v>2.6664429530201343</v>
      </c>
      <c r="AE289" s="131">
        <v>0.33288590604026846</v>
      </c>
      <c r="AF289" s="132" t="s">
        <v>81</v>
      </c>
      <c r="AG289" s="133"/>
      <c r="AH289" s="133"/>
      <c r="AI289" s="133">
        <v>8900</v>
      </c>
      <c r="AJ289" s="133"/>
      <c r="AK289" s="133"/>
      <c r="AL289" s="133"/>
      <c r="AM289" s="133"/>
      <c r="AN289" s="143"/>
      <c r="AO289" s="135">
        <f t="shared" si="170"/>
        <v>0.29865771812080538</v>
      </c>
      <c r="AP289" s="136" t="s">
        <v>82</v>
      </c>
      <c r="AQ289" s="124"/>
      <c r="AR289" s="124"/>
      <c r="AS289" s="124"/>
      <c r="AT289" s="124"/>
      <c r="AU289" s="124"/>
      <c r="AV289" s="124"/>
      <c r="AW289" s="124"/>
      <c r="AX289" s="124"/>
      <c r="AY289" s="124"/>
      <c r="AZ289" s="124"/>
      <c r="BA289" s="124"/>
      <c r="BB289" s="124"/>
      <c r="BC289" s="124"/>
      <c r="BD289" s="124"/>
      <c r="BE289" s="124"/>
      <c r="BF289" s="124">
        <v>20900</v>
      </c>
      <c r="BG289" s="124"/>
      <c r="BH289" s="137"/>
      <c r="BI289" s="138">
        <f t="shared" si="171"/>
        <v>0.70134228187919467</v>
      </c>
      <c r="BJ289" s="139">
        <v>2.819</v>
      </c>
      <c r="BK289" s="140">
        <v>42</v>
      </c>
      <c r="BL289" s="129">
        <v>4.2999999999999997E-2</v>
      </c>
      <c r="BM289" s="129">
        <v>0.17299999999999999</v>
      </c>
      <c r="BN289" s="129">
        <v>0.47399999999999998</v>
      </c>
      <c r="BO289" s="129">
        <v>0.93</v>
      </c>
      <c r="BP289" s="129">
        <v>1.6</v>
      </c>
      <c r="BQ289" s="129"/>
      <c r="BR289" s="129">
        <v>2.819</v>
      </c>
      <c r="BS289" s="129">
        <v>2.9630000000000001</v>
      </c>
      <c r="BT289" s="122">
        <v>45</v>
      </c>
      <c r="BU289" s="124"/>
      <c r="BV289" s="142">
        <v>42316</v>
      </c>
      <c r="BW289" s="125">
        <v>0.70060424664107479</v>
      </c>
      <c r="BX289" s="124">
        <v>29290</v>
      </c>
      <c r="BY289" s="124">
        <v>15544</v>
      </c>
      <c r="BZ289" s="125">
        <v>0.53069306930693072</v>
      </c>
      <c r="CA289" s="124">
        <v>64</v>
      </c>
      <c r="CB289" s="124">
        <v>589</v>
      </c>
      <c r="CC289" s="125">
        <v>2.185046090815978E-3</v>
      </c>
      <c r="CD289" s="125">
        <v>2.01092523045408E-2</v>
      </c>
    </row>
    <row r="290" spans="1:82" x14ac:dyDescent="0.25">
      <c r="A290" s="120" t="s">
        <v>119</v>
      </c>
      <c r="B290" s="121" t="s">
        <v>91</v>
      </c>
      <c r="C290" s="122">
        <v>896</v>
      </c>
      <c r="D290" s="157">
        <v>384.54</v>
      </c>
      <c r="E290" s="157">
        <v>12156.715899999999</v>
      </c>
      <c r="F290" s="124">
        <v>26000</v>
      </c>
      <c r="G290" s="124">
        <v>25580</v>
      </c>
      <c r="H290" s="125">
        <v>1.6153846153846154E-2</v>
      </c>
      <c r="I290" s="120">
        <v>180</v>
      </c>
      <c r="J290" s="125">
        <v>6.9230769230769233E-3</v>
      </c>
      <c r="K290" s="124">
        <v>64940</v>
      </c>
      <c r="L290" s="124">
        <v>113610</v>
      </c>
      <c r="M290" s="126">
        <v>2.5387021110242376</v>
      </c>
      <c r="N290" s="126">
        <v>1.7494610409608871</v>
      </c>
      <c r="O290" s="126">
        <v>1.7789479022014427</v>
      </c>
      <c r="P290" s="127">
        <v>0.47524299843627832</v>
      </c>
      <c r="Q290" s="127">
        <v>1.5032838154808445E-2</v>
      </c>
      <c r="R290" s="124">
        <v>1680</v>
      </c>
      <c r="S290" s="127">
        <v>7.2361404166666663</v>
      </c>
      <c r="T290" s="126">
        <v>15.476190476190476</v>
      </c>
      <c r="U290" s="126">
        <v>4.4413604378420644</v>
      </c>
      <c r="V290" s="128">
        <v>40</v>
      </c>
      <c r="W290" s="124">
        <v>33</v>
      </c>
      <c r="X290" s="126">
        <v>2.0830000000000002</v>
      </c>
      <c r="Y290" s="124">
        <v>8000</v>
      </c>
      <c r="Z290" s="129">
        <v>6.3467552775605937E-2</v>
      </c>
      <c r="AA290" s="158">
        <v>6.3121212121212134E-2</v>
      </c>
      <c r="AB290" s="129">
        <v>0.30692307692307691</v>
      </c>
      <c r="AC290" s="129">
        <v>1.3838461538461539</v>
      </c>
      <c r="AD290" s="129">
        <v>2.0996153846153844</v>
      </c>
      <c r="AE290" s="129">
        <v>0.57923076923076922</v>
      </c>
      <c r="AF290" s="132" t="s">
        <v>81</v>
      </c>
      <c r="AG290" s="133"/>
      <c r="AH290" s="133"/>
      <c r="AI290" s="133"/>
      <c r="AJ290" s="133"/>
      <c r="AK290" s="133"/>
      <c r="AL290" s="120"/>
      <c r="AM290" s="133">
        <v>26000</v>
      </c>
      <c r="AN290" s="134"/>
      <c r="AO290" s="135">
        <f t="shared" si="170"/>
        <v>1</v>
      </c>
      <c r="AP290" s="136" t="s">
        <v>82</v>
      </c>
      <c r="AQ290" s="133"/>
      <c r="AR290" s="124"/>
      <c r="AS290" s="124"/>
      <c r="AT290" s="124"/>
      <c r="AU290" s="124"/>
      <c r="AV290" s="124"/>
      <c r="AW290" s="124"/>
      <c r="AX290" s="124"/>
      <c r="AY290" s="124"/>
      <c r="AZ290" s="124"/>
      <c r="BA290" s="124"/>
      <c r="BB290" s="124"/>
      <c r="BC290" s="124"/>
      <c r="BD290" s="124"/>
      <c r="BE290" s="124"/>
      <c r="BF290" s="133"/>
      <c r="BG290" s="124"/>
      <c r="BH290" s="137"/>
      <c r="BI290" s="138">
        <f t="shared" si="171"/>
        <v>0</v>
      </c>
      <c r="BJ290" s="139">
        <v>2.746</v>
      </c>
      <c r="BK290" s="140">
        <v>40</v>
      </c>
      <c r="BL290" s="129">
        <v>4.3999999999999997E-2</v>
      </c>
      <c r="BM290" s="129">
        <v>0.23</v>
      </c>
      <c r="BN290" s="129">
        <v>0.47899999999999998</v>
      </c>
      <c r="BO290" s="129">
        <v>1.05</v>
      </c>
      <c r="BP290" s="129">
        <v>1.625</v>
      </c>
      <c r="BQ290" s="129">
        <v>2.25</v>
      </c>
      <c r="BR290" s="129"/>
      <c r="BS290" s="129">
        <v>2.746</v>
      </c>
      <c r="BT290" s="122">
        <v>40</v>
      </c>
      <c r="BU290" s="124"/>
      <c r="BV290" s="147">
        <v>42228</v>
      </c>
      <c r="BW290" s="125">
        <v>0.70275186412593205</v>
      </c>
      <c r="BX290" s="124">
        <v>17100</v>
      </c>
      <c r="BY290" s="124">
        <v>6800</v>
      </c>
      <c r="BZ290" s="125">
        <v>0.39766081871345027</v>
      </c>
      <c r="CA290" s="124">
        <v>25</v>
      </c>
      <c r="CB290" s="124">
        <v>335</v>
      </c>
      <c r="CC290" s="125">
        <v>1.4619883040935672E-3</v>
      </c>
      <c r="CD290" s="125">
        <v>1.9590643274853801E-2</v>
      </c>
    </row>
    <row r="291" spans="1:82" x14ac:dyDescent="0.25">
      <c r="A291" s="120" t="s">
        <v>129</v>
      </c>
      <c r="B291" s="121" t="s">
        <v>86</v>
      </c>
      <c r="C291" s="122">
        <v>740</v>
      </c>
      <c r="D291" s="144">
        <v>1898.45</v>
      </c>
      <c r="E291" s="144">
        <f>26246.32+U291+V291</f>
        <v>26294.799510086454</v>
      </c>
      <c r="F291" s="124">
        <v>55100</v>
      </c>
      <c r="G291" s="124">
        <v>52050</v>
      </c>
      <c r="H291" s="125">
        <f t="shared" ref="H291:H307" si="193">IF(F291=0,0,+((F291-G291)/F291))</f>
        <v>5.5353901996370233E-2</v>
      </c>
      <c r="I291" s="120">
        <v>1025</v>
      </c>
      <c r="J291" s="125">
        <f t="shared" ref="J291:J307" si="194">+(I291/F291)</f>
        <v>1.8602540834845735E-2</v>
      </c>
      <c r="K291" s="124">
        <v>146720</v>
      </c>
      <c r="L291" s="124">
        <v>255540</v>
      </c>
      <c r="M291" s="126">
        <f t="shared" ref="M291:M307" si="195">IF(G291=0,0,+K291/G291)</f>
        <v>2.8188280499519691</v>
      </c>
      <c r="N291" s="126">
        <f t="shared" ref="N291:N307" si="196">IF(K291=0,0,+L291/K291)</f>
        <v>1.7416848418756816</v>
      </c>
      <c r="O291" s="126">
        <f t="shared" ref="O291:O303" si="197">+L291/((G291-CA291-CB291)*M291)</f>
        <v>1.7655992992429492</v>
      </c>
      <c r="P291" s="127">
        <f>+E291/G291</f>
        <v>0.50518346801318836</v>
      </c>
      <c r="Q291" s="127">
        <f>+D291/G291</f>
        <v>3.6473583093179635E-2</v>
      </c>
      <c r="R291" s="124">
        <v>3600</v>
      </c>
      <c r="S291" s="149">
        <f>+E291/R291</f>
        <v>7.304110975024015</v>
      </c>
      <c r="T291" s="126">
        <f t="shared" ref="T291:T307" si="198">IF(R291=0,0,+F291/R291)</f>
        <v>15.305555555555555</v>
      </c>
      <c r="U291" s="126">
        <f t="shared" ref="U291:U307" si="199">IF(L291=0,0,+L291/G291)</f>
        <v>4.9095100864553318</v>
      </c>
      <c r="V291" s="128">
        <v>43.57</v>
      </c>
      <c r="W291" s="124">
        <v>32</v>
      </c>
      <c r="X291" s="126">
        <v>2.0339999999999998</v>
      </c>
      <c r="Y291" s="124">
        <v>14000</v>
      </c>
      <c r="Z291" s="129">
        <f t="shared" ref="Z291:Z307" si="200">IF(V291=0,0,+M291/V291)</f>
        <v>6.4696535459076637E-2</v>
      </c>
      <c r="AA291" s="145">
        <f t="shared" ref="AA291:AA307" si="201">IF(W291=0,"",+X291/W291)</f>
        <v>6.3562499999999994E-2</v>
      </c>
      <c r="AB291" s="129">
        <v>0.30127041742286753</v>
      </c>
      <c r="AC291" s="129">
        <v>1.3651542649727768</v>
      </c>
      <c r="AD291" s="129">
        <v>2.5016333938294011</v>
      </c>
      <c r="AE291" s="129">
        <v>0.46969147005444645</v>
      </c>
      <c r="AF291" s="132" t="s">
        <v>81</v>
      </c>
      <c r="AG291" s="133"/>
      <c r="AH291" s="133"/>
      <c r="AI291" s="133"/>
      <c r="AJ291" s="133"/>
      <c r="AK291" s="133"/>
      <c r="AL291" s="146"/>
      <c r="AM291" s="133"/>
      <c r="AN291" s="134"/>
      <c r="AO291" s="135">
        <f t="shared" si="170"/>
        <v>0</v>
      </c>
      <c r="AP291" s="136" t="s">
        <v>82</v>
      </c>
      <c r="AQ291" s="133"/>
      <c r="AR291" s="124"/>
      <c r="AS291" s="124"/>
      <c r="AT291" s="124"/>
      <c r="AU291" s="124"/>
      <c r="AV291" s="124">
        <v>30600</v>
      </c>
      <c r="AW291" s="146"/>
      <c r="AX291" s="124"/>
      <c r="AY291" s="124"/>
      <c r="AZ291" s="124"/>
      <c r="BA291" s="124">
        <v>24500</v>
      </c>
      <c r="BB291" s="124"/>
      <c r="BC291" s="124"/>
      <c r="BD291" s="124"/>
      <c r="BE291" s="124"/>
      <c r="BF291" s="124"/>
      <c r="BG291" s="124"/>
      <c r="BH291" s="137"/>
      <c r="BI291" s="138">
        <f t="shared" si="171"/>
        <v>1</v>
      </c>
      <c r="BJ291" s="139">
        <v>3.0049999999999999</v>
      </c>
      <c r="BK291" s="140">
        <v>43</v>
      </c>
      <c r="BL291" s="129">
        <v>4.1000000000000002E-2</v>
      </c>
      <c r="BM291" s="129">
        <v>0.19650000000000001</v>
      </c>
      <c r="BN291" s="129">
        <v>0.47749999999999998</v>
      </c>
      <c r="BO291" s="129">
        <v>0.98499999999999999</v>
      </c>
      <c r="BP291" s="129">
        <v>0</v>
      </c>
      <c r="BQ291" s="129">
        <v>2.2000000000000002</v>
      </c>
      <c r="BR291" s="129">
        <v>2.895</v>
      </c>
      <c r="BS291" s="129">
        <v>3.2519999999999998</v>
      </c>
      <c r="BT291" s="122">
        <v>45</v>
      </c>
      <c r="BU291" s="124"/>
      <c r="BV291" s="147">
        <v>42054</v>
      </c>
      <c r="BW291" s="125">
        <v>0.70258267050262313</v>
      </c>
      <c r="BX291" s="124">
        <v>37256</v>
      </c>
      <c r="BY291" s="124">
        <v>11264</v>
      </c>
      <c r="BZ291" s="125">
        <v>0.3023405625939446</v>
      </c>
      <c r="CA291" s="124">
        <v>378</v>
      </c>
      <c r="CB291" s="124">
        <v>327</v>
      </c>
      <c r="CC291" s="125">
        <v>1.014601674898003E-2</v>
      </c>
      <c r="CD291" s="125">
        <v>8.7771097272922489E-3</v>
      </c>
    </row>
    <row r="292" spans="1:82" x14ac:dyDescent="0.25">
      <c r="A292" s="120" t="s">
        <v>113</v>
      </c>
      <c r="B292" s="121" t="s">
        <v>91</v>
      </c>
      <c r="C292" s="122">
        <v>1002</v>
      </c>
      <c r="D292" s="148">
        <v>226.32</v>
      </c>
      <c r="E292" s="148">
        <v>12386.9118</v>
      </c>
      <c r="F292" s="124">
        <v>22000</v>
      </c>
      <c r="G292" s="124">
        <v>21160</v>
      </c>
      <c r="H292" s="125">
        <f t="shared" si="193"/>
        <v>3.8181818181818185E-2</v>
      </c>
      <c r="I292" s="120">
        <v>90</v>
      </c>
      <c r="J292" s="125">
        <f t="shared" si="194"/>
        <v>4.0909090909090912E-3</v>
      </c>
      <c r="K292" s="124">
        <v>67760</v>
      </c>
      <c r="L292" s="124">
        <v>125380</v>
      </c>
      <c r="M292" s="126">
        <f t="shared" si="195"/>
        <v>3.2022684310018903</v>
      </c>
      <c r="N292" s="126">
        <f t="shared" si="196"/>
        <v>1.8503541912632822</v>
      </c>
      <c r="O292" s="126">
        <f t="shared" si="197"/>
        <v>1.8872792194703101</v>
      </c>
      <c r="P292" s="127">
        <f>IF(G292=0,0,+E292/G292)</f>
        <v>0.58539280718336484</v>
      </c>
      <c r="Q292" s="127">
        <f>IF(G292=0,0,+D292/G292)</f>
        <v>1.0695652173913044E-2</v>
      </c>
      <c r="R292" s="124">
        <v>1680</v>
      </c>
      <c r="S292" s="127">
        <f>IF(R292=0,0,+E292/R292)</f>
        <v>7.3731617857142853</v>
      </c>
      <c r="T292" s="126">
        <f t="shared" si="198"/>
        <v>13.095238095238095</v>
      </c>
      <c r="U292" s="126">
        <f t="shared" si="199"/>
        <v>5.9253308128544422</v>
      </c>
      <c r="V292" s="128">
        <v>43.29</v>
      </c>
      <c r="W292" s="124"/>
      <c r="X292" s="126"/>
      <c r="Y292" s="124"/>
      <c r="Z292" s="129">
        <f t="shared" si="200"/>
        <v>7.3972474728618398E-2</v>
      </c>
      <c r="AA292" s="150" t="str">
        <f t="shared" si="201"/>
        <v/>
      </c>
      <c r="AB292" s="129">
        <v>0.31909090909090909</v>
      </c>
      <c r="AC292" s="129">
        <v>1.489090909090909</v>
      </c>
      <c r="AD292" s="129">
        <v>2.4009090909090909</v>
      </c>
      <c r="AE292" s="129">
        <v>1.49</v>
      </c>
      <c r="AF292" s="132" t="s">
        <v>81</v>
      </c>
      <c r="AG292" s="152"/>
      <c r="AH292" s="152"/>
      <c r="AI292" s="152"/>
      <c r="AJ292" s="152"/>
      <c r="AK292" s="152"/>
      <c r="AL292" s="120"/>
      <c r="AM292" s="152"/>
      <c r="AN292" s="153"/>
      <c r="AO292" s="135">
        <f t="shared" si="170"/>
        <v>0</v>
      </c>
      <c r="AP292" s="136" t="s">
        <v>82</v>
      </c>
      <c r="AQ292" s="152"/>
      <c r="AR292" s="120"/>
      <c r="AS292" s="120"/>
      <c r="AT292" s="120">
        <v>19300</v>
      </c>
      <c r="AU292" s="120"/>
      <c r="AV292" s="120"/>
      <c r="AW292" s="120">
        <v>2700</v>
      </c>
      <c r="AX292" s="120"/>
      <c r="AY292" s="120"/>
      <c r="AZ292" s="120"/>
      <c r="BA292" s="120"/>
      <c r="BB292" s="120"/>
      <c r="BC292" s="120"/>
      <c r="BD292" s="120"/>
      <c r="BE292" s="120"/>
      <c r="BF292" s="120"/>
      <c r="BG292" s="120"/>
      <c r="BH292" s="154"/>
      <c r="BI292" s="138">
        <f t="shared" si="171"/>
        <v>1</v>
      </c>
      <c r="BJ292" s="139">
        <v>3.07</v>
      </c>
      <c r="BK292" s="140">
        <v>42</v>
      </c>
      <c r="BL292" s="129">
        <v>4.4999999999999998E-2</v>
      </c>
      <c r="BM292" s="129">
        <v>0.20699999999999999</v>
      </c>
      <c r="BN292" s="129">
        <v>0.53400000000000003</v>
      </c>
      <c r="BO292" s="129">
        <v>1.0129999999999999</v>
      </c>
      <c r="BP292" s="129">
        <v>1.665</v>
      </c>
      <c r="BQ292" s="129">
        <v>2.2599999999999998</v>
      </c>
      <c r="BR292" s="129"/>
      <c r="BS292" s="129">
        <v>3.2909999999999999</v>
      </c>
      <c r="BT292" s="122">
        <v>44</v>
      </c>
      <c r="BU292" s="124"/>
      <c r="BV292" s="147">
        <v>42022</v>
      </c>
      <c r="BW292" s="125">
        <v>0.69372771546635192</v>
      </c>
      <c r="BX292" s="120">
        <v>20598</v>
      </c>
      <c r="BY292" s="124">
        <v>6408</v>
      </c>
      <c r="BZ292" s="125">
        <v>0.43540000000000001</v>
      </c>
      <c r="CA292" s="124">
        <v>185</v>
      </c>
      <c r="CB292" s="124">
        <v>229</v>
      </c>
      <c r="CC292" s="125">
        <v>8.9814545101466157E-3</v>
      </c>
      <c r="CD292" s="125">
        <v>1.1117584231478784E-2</v>
      </c>
    </row>
    <row r="293" spans="1:82" x14ac:dyDescent="0.25">
      <c r="A293" s="120" t="s">
        <v>127</v>
      </c>
      <c r="B293" s="121" t="s">
        <v>86</v>
      </c>
      <c r="C293" s="122">
        <v>736</v>
      </c>
      <c r="D293" s="148">
        <v>866.22</v>
      </c>
      <c r="E293" s="148">
        <v>44691.8</v>
      </c>
      <c r="F293" s="124">
        <v>88600</v>
      </c>
      <c r="G293" s="124">
        <v>87685</v>
      </c>
      <c r="H293" s="125">
        <f t="shared" si="193"/>
        <v>1.0327313769751692E-2</v>
      </c>
      <c r="I293" s="120">
        <v>601</v>
      </c>
      <c r="J293" s="125">
        <f t="shared" si="194"/>
        <v>6.7832957110609479E-3</v>
      </c>
      <c r="K293" s="124">
        <v>222566</v>
      </c>
      <c r="L293" s="124">
        <v>389920</v>
      </c>
      <c r="M293" s="126">
        <f t="shared" si="195"/>
        <v>2.5382448537378113</v>
      </c>
      <c r="N293" s="126">
        <f t="shared" si="196"/>
        <v>1.7519297646540801</v>
      </c>
      <c r="O293" s="126">
        <f t="shared" si="197"/>
        <v>1.7604827171259472</v>
      </c>
      <c r="P293" s="127">
        <f>+E293/G293</f>
        <v>0.50968580715059597</v>
      </c>
      <c r="Q293" s="127">
        <f>+D293/G293</f>
        <v>9.8787705993043286E-3</v>
      </c>
      <c r="R293" s="124">
        <v>6053</v>
      </c>
      <c r="S293" s="149">
        <f>+E293/R293</f>
        <v>7.3834131835453496</v>
      </c>
      <c r="T293" s="126">
        <f t="shared" si="198"/>
        <v>14.637369899223525</v>
      </c>
      <c r="U293" s="126">
        <f t="shared" si="199"/>
        <v>4.4468267092433145</v>
      </c>
      <c r="V293" s="128">
        <v>47.81</v>
      </c>
      <c r="W293" s="124">
        <v>33</v>
      </c>
      <c r="X293" s="126">
        <v>1.887</v>
      </c>
      <c r="Y293" s="124">
        <v>16000</v>
      </c>
      <c r="Z293" s="129">
        <f t="shared" si="200"/>
        <v>5.3090250025890212E-2</v>
      </c>
      <c r="AA293" s="150">
        <f t="shared" si="201"/>
        <v>5.7181818181818181E-2</v>
      </c>
      <c r="AB293" s="131">
        <v>0.3142212189616253</v>
      </c>
      <c r="AC293" s="131">
        <v>1.8378103837471784</v>
      </c>
      <c r="AD293" s="131">
        <v>1.6294582392776524</v>
      </c>
      <c r="AE293" s="131">
        <v>0.61941309255079002</v>
      </c>
      <c r="AF293" s="132" t="s">
        <v>81</v>
      </c>
      <c r="AG293" s="133"/>
      <c r="AH293" s="133">
        <v>48700</v>
      </c>
      <c r="AI293" s="133"/>
      <c r="AJ293" s="133"/>
      <c r="AK293" s="124"/>
      <c r="AL293" s="124"/>
      <c r="AM293" s="124"/>
      <c r="AN293" s="137"/>
      <c r="AO293" s="135">
        <f t="shared" si="170"/>
        <v>0.54966139954853277</v>
      </c>
      <c r="AP293" s="136" t="s">
        <v>82</v>
      </c>
      <c r="AQ293" s="124"/>
      <c r="AR293" s="124"/>
      <c r="AS293" s="124"/>
      <c r="AT293" s="124"/>
      <c r="AU293" s="124">
        <v>39900</v>
      </c>
      <c r="AV293" s="124"/>
      <c r="AW293" s="124"/>
      <c r="AX293" s="124"/>
      <c r="AY293" s="124"/>
      <c r="AZ293" s="124"/>
      <c r="BA293" s="124"/>
      <c r="BB293" s="124"/>
      <c r="BC293" s="124"/>
      <c r="BD293" s="124"/>
      <c r="BE293" s="124"/>
      <c r="BF293" s="124"/>
      <c r="BG293" s="124"/>
      <c r="BH293" s="137"/>
      <c r="BI293" s="138">
        <f t="shared" si="171"/>
        <v>0.45033860045146729</v>
      </c>
      <c r="BJ293" s="139">
        <v>2.6520000000000001</v>
      </c>
      <c r="BK293" s="140">
        <v>42</v>
      </c>
      <c r="BL293" s="129">
        <v>3.8600000000000002E-2</v>
      </c>
      <c r="BM293" s="129">
        <v>0.16420000000000001</v>
      </c>
      <c r="BN293" s="129">
        <v>0.44</v>
      </c>
      <c r="BO293" s="129">
        <v>0.87</v>
      </c>
      <c r="BP293" s="129">
        <v>1.4810000000000001</v>
      </c>
      <c r="BQ293" s="129">
        <v>2.0710000000000002</v>
      </c>
      <c r="BR293" s="129">
        <v>2.6240000000000001</v>
      </c>
      <c r="BS293" s="129">
        <v>2.8</v>
      </c>
      <c r="BT293" s="122">
        <v>45</v>
      </c>
      <c r="BU293" s="124">
        <v>12400</v>
      </c>
      <c r="BV293" s="147">
        <v>42265</v>
      </c>
      <c r="BW293" s="125">
        <v>0.70832500780518282</v>
      </c>
      <c r="BX293" s="124">
        <v>70520</v>
      </c>
      <c r="BY293" s="124">
        <v>34760</v>
      </c>
      <c r="BZ293" s="125">
        <v>0.49290981281905843</v>
      </c>
      <c r="CA293" s="124">
        <v>113</v>
      </c>
      <c r="CB293" s="124">
        <v>313</v>
      </c>
      <c r="CC293" s="125">
        <v>1.6023823028927964E-3</v>
      </c>
      <c r="CD293" s="125">
        <v>4.4384571752694273E-3</v>
      </c>
    </row>
    <row r="294" spans="1:82" x14ac:dyDescent="0.25">
      <c r="A294" s="120" t="s">
        <v>113</v>
      </c>
      <c r="B294" s="121" t="s">
        <v>91</v>
      </c>
      <c r="C294" s="122">
        <v>1002</v>
      </c>
      <c r="D294" s="123">
        <v>258.48</v>
      </c>
      <c r="E294" s="123">
        <v>12481.081275</v>
      </c>
      <c r="F294" s="124">
        <v>22500</v>
      </c>
      <c r="G294" s="124">
        <v>22155</v>
      </c>
      <c r="H294" s="125">
        <f t="shared" si="193"/>
        <v>1.5333333333333332E-2</v>
      </c>
      <c r="I294" s="120">
        <v>57</v>
      </c>
      <c r="J294" s="125">
        <f t="shared" si="194"/>
        <v>2.5333333333333332E-3</v>
      </c>
      <c r="K294" s="124">
        <v>63720</v>
      </c>
      <c r="L294" s="124">
        <v>112760</v>
      </c>
      <c r="M294" s="126">
        <f t="shared" si="195"/>
        <v>2.8761002031144209</v>
      </c>
      <c r="N294" s="126">
        <f t="shared" si="196"/>
        <v>1.7696170747018205</v>
      </c>
      <c r="O294" s="126">
        <f t="shared" si="197"/>
        <v>1.8638396144529992</v>
      </c>
      <c r="P294" s="127">
        <f>IF(G294=0,0,+E294/G294)</f>
        <v>0.56335279959377116</v>
      </c>
      <c r="Q294" s="127">
        <f>IF(G294=0,0,+D294/G294)</f>
        <v>1.1666892349356806E-2</v>
      </c>
      <c r="R294" s="124">
        <v>1680</v>
      </c>
      <c r="S294" s="127">
        <f>IF(R294=0,0,+E294/R294)</f>
        <v>7.4292150446428575</v>
      </c>
      <c r="T294" s="126">
        <f t="shared" si="198"/>
        <v>13.392857142857142</v>
      </c>
      <c r="U294" s="126">
        <f t="shared" si="199"/>
        <v>5.0895960279846539</v>
      </c>
      <c r="V294" s="128">
        <v>41.23</v>
      </c>
      <c r="W294" s="124"/>
      <c r="X294" s="126"/>
      <c r="Y294" s="124"/>
      <c r="Z294" s="129">
        <f t="shared" si="200"/>
        <v>6.9757463087907381E-2</v>
      </c>
      <c r="AA294" s="130" t="str">
        <f t="shared" si="201"/>
        <v/>
      </c>
      <c r="AB294" s="131">
        <v>0.31288888888888888</v>
      </c>
      <c r="AC294" s="131">
        <v>1.4595555555555555</v>
      </c>
      <c r="AD294" s="131">
        <v>2.3555555555555556</v>
      </c>
      <c r="AE294" s="131">
        <v>0.88355555555555554</v>
      </c>
      <c r="AF294" s="132" t="s">
        <v>81</v>
      </c>
      <c r="AG294" s="133"/>
      <c r="AH294" s="133"/>
      <c r="AI294" s="133"/>
      <c r="AJ294" s="133"/>
      <c r="AK294" s="133"/>
      <c r="AL294" s="133"/>
      <c r="AM294" s="133"/>
      <c r="AN294" s="134"/>
      <c r="AO294" s="135">
        <f t="shared" si="170"/>
        <v>0</v>
      </c>
      <c r="AP294" s="136" t="s">
        <v>82</v>
      </c>
      <c r="AQ294" s="124"/>
      <c r="AR294" s="124"/>
      <c r="AS294" s="124"/>
      <c r="AT294" s="124"/>
      <c r="AU294" s="124"/>
      <c r="AV294" s="124"/>
      <c r="AW294" s="124"/>
      <c r="AX294" s="124"/>
      <c r="AY294" s="124"/>
      <c r="AZ294" s="124"/>
      <c r="BA294" s="124"/>
      <c r="BB294" s="124"/>
      <c r="BC294" s="124"/>
      <c r="BD294" s="124">
        <v>22500</v>
      </c>
      <c r="BE294" s="124"/>
      <c r="BF294" s="124"/>
      <c r="BG294" s="124"/>
      <c r="BH294" s="137"/>
      <c r="BI294" s="138">
        <f t="shared" si="171"/>
        <v>1</v>
      </c>
      <c r="BJ294" s="139">
        <v>2.8769999999999998</v>
      </c>
      <c r="BK294" s="140">
        <v>41</v>
      </c>
      <c r="BL294" s="141">
        <v>4.2000000000000003E-2</v>
      </c>
      <c r="BM294" s="141">
        <v>0.19700000000000001</v>
      </c>
      <c r="BN294" s="141">
        <v>0.499</v>
      </c>
      <c r="BO294" s="141">
        <v>1.052</v>
      </c>
      <c r="BP294" s="141">
        <v>1.675</v>
      </c>
      <c r="BQ294" s="141">
        <v>2.2810000000000001</v>
      </c>
      <c r="BR294" s="141">
        <v>2.875</v>
      </c>
      <c r="BS294" s="141">
        <v>2.8740000000000001</v>
      </c>
      <c r="BT294" s="122">
        <v>42</v>
      </c>
      <c r="BU294" s="124"/>
      <c r="BV294" s="142">
        <v>42360</v>
      </c>
      <c r="BW294" s="125">
        <v>0.700376647834275</v>
      </c>
      <c r="BX294" s="124">
        <v>21883</v>
      </c>
      <c r="BY294" s="124">
        <v>10778</v>
      </c>
      <c r="BZ294" s="125">
        <v>0.49252844673947815</v>
      </c>
      <c r="CA294" s="124">
        <v>75</v>
      </c>
      <c r="CB294" s="124">
        <v>1045</v>
      </c>
      <c r="CC294" s="125">
        <v>3.4273180094137002E-3</v>
      </c>
      <c r="CD294" s="125">
        <v>4.7753964264497552E-2</v>
      </c>
    </row>
    <row r="295" spans="1:82" x14ac:dyDescent="0.25">
      <c r="A295" s="120" t="s">
        <v>129</v>
      </c>
      <c r="B295" s="121" t="s">
        <v>86</v>
      </c>
      <c r="C295" s="122">
        <v>740</v>
      </c>
      <c r="D295" s="144">
        <v>1023.99</v>
      </c>
      <c r="E295" s="144">
        <v>26850.6685</v>
      </c>
      <c r="F295" s="124">
        <v>47400</v>
      </c>
      <c r="G295" s="124">
        <v>45700</v>
      </c>
      <c r="H295" s="125">
        <f t="shared" si="193"/>
        <v>3.5864978902953586E-2</v>
      </c>
      <c r="I295" s="120">
        <v>625</v>
      </c>
      <c r="J295" s="125">
        <f t="shared" si="194"/>
        <v>1.3185654008438819E-2</v>
      </c>
      <c r="K295" s="124">
        <v>122820</v>
      </c>
      <c r="L295" s="124">
        <v>200000</v>
      </c>
      <c r="M295" s="126">
        <f t="shared" si="195"/>
        <v>2.6875273522975931</v>
      </c>
      <c r="N295" s="126">
        <f t="shared" si="196"/>
        <v>1.6283992835043153</v>
      </c>
      <c r="O295" s="126">
        <f t="shared" si="197"/>
        <v>1.6475425016304812</v>
      </c>
      <c r="P295" s="127">
        <f>IF(G295=0,0,+E295/G295)</f>
        <v>0.58754198030634575</v>
      </c>
      <c r="Q295" s="127">
        <f>IF(G295=0,0,+D295/G295)</f>
        <v>2.2406783369803063E-2</v>
      </c>
      <c r="R295" s="124">
        <v>3600</v>
      </c>
      <c r="S295" s="127">
        <f>IF(R295=0,0,+E295/R295)</f>
        <v>7.4585190277777773</v>
      </c>
      <c r="T295" s="126">
        <f t="shared" si="198"/>
        <v>13.166666666666666</v>
      </c>
      <c r="U295" s="126">
        <f t="shared" si="199"/>
        <v>4.3763676148796495</v>
      </c>
      <c r="V295" s="128">
        <v>40.700000000000003</v>
      </c>
      <c r="W295" s="124">
        <v>33</v>
      </c>
      <c r="X295" s="126">
        <v>2.15</v>
      </c>
      <c r="Y295" s="124">
        <v>8000</v>
      </c>
      <c r="Z295" s="129">
        <f t="shared" si="200"/>
        <v>6.6032613078564936E-2</v>
      </c>
      <c r="AA295" s="145">
        <f t="shared" si="201"/>
        <v>6.5151515151515155E-2</v>
      </c>
      <c r="AB295" s="129">
        <v>0.30780590717299577</v>
      </c>
      <c r="AC295" s="129">
        <v>1.4592827004219409</v>
      </c>
      <c r="AD295" s="129">
        <v>2.4523206751054851</v>
      </c>
      <c r="AE295" s="129">
        <v>0</v>
      </c>
      <c r="AF295" s="132" t="s">
        <v>81</v>
      </c>
      <c r="AG295" s="133"/>
      <c r="AH295" s="133"/>
      <c r="AI295" s="133">
        <v>18900</v>
      </c>
      <c r="AJ295" s="133"/>
      <c r="AK295" s="133"/>
      <c r="AL295" s="146"/>
      <c r="AM295" s="133">
        <v>1100</v>
      </c>
      <c r="AN295" s="134"/>
      <c r="AO295" s="135">
        <f t="shared" si="170"/>
        <v>0.4219409282700422</v>
      </c>
      <c r="AP295" s="136" t="s">
        <v>82</v>
      </c>
      <c r="AQ295" s="133"/>
      <c r="AR295" s="124"/>
      <c r="AS295" s="124"/>
      <c r="AT295" s="124"/>
      <c r="AU295" s="124"/>
      <c r="AV295" s="124"/>
      <c r="AW295" s="146"/>
      <c r="AX295" s="124"/>
      <c r="AY295" s="124"/>
      <c r="AZ295" s="124"/>
      <c r="BA295" s="124"/>
      <c r="BB295" s="124"/>
      <c r="BC295" s="124"/>
      <c r="BD295" s="124"/>
      <c r="BE295" s="124"/>
      <c r="BF295" s="133">
        <v>27400</v>
      </c>
      <c r="BG295" s="124"/>
      <c r="BH295" s="137"/>
      <c r="BI295" s="138">
        <f t="shared" si="171"/>
        <v>0.57805907172995785</v>
      </c>
      <c r="BJ295" s="139">
        <v>2.8340000000000001</v>
      </c>
      <c r="BK295" s="140">
        <v>40</v>
      </c>
      <c r="BL295" s="129"/>
      <c r="BM295" s="129">
        <v>0.191</v>
      </c>
      <c r="BN295" s="129">
        <v>0.54200000000000004</v>
      </c>
      <c r="BO295" s="129">
        <v>0.96799999999999997</v>
      </c>
      <c r="BP295" s="129"/>
      <c r="BQ295" s="129">
        <v>2.4</v>
      </c>
      <c r="BR295" s="129"/>
      <c r="BS295" s="129">
        <v>2.7879999999999998</v>
      </c>
      <c r="BT295" s="122">
        <v>41</v>
      </c>
      <c r="BU295" s="124">
        <v>14340</v>
      </c>
      <c r="BV295" s="147">
        <v>42193</v>
      </c>
      <c r="BW295" s="125">
        <v>0.70128299564476415</v>
      </c>
      <c r="BX295" s="124">
        <v>37100</v>
      </c>
      <c r="BY295" s="124">
        <v>10864</v>
      </c>
      <c r="BZ295" s="125">
        <v>0.29283018867924526</v>
      </c>
      <c r="CA295" s="124">
        <v>287</v>
      </c>
      <c r="CB295" s="124">
        <v>244</v>
      </c>
      <c r="CC295" s="125">
        <v>7.7358490566037733E-3</v>
      </c>
      <c r="CD295" s="125">
        <v>6.5768194070080863E-3</v>
      </c>
    </row>
    <row r="296" spans="1:82" x14ac:dyDescent="0.25">
      <c r="A296" s="120" t="s">
        <v>107</v>
      </c>
      <c r="B296" s="121" t="s">
        <v>80</v>
      </c>
      <c r="C296" s="122">
        <v>880</v>
      </c>
      <c r="D296" s="144">
        <v>1195.155</v>
      </c>
      <c r="E296" s="144">
        <f>17861.37+U296+V296</f>
        <v>17910.12811352254</v>
      </c>
      <c r="F296" s="124">
        <v>32200</v>
      </c>
      <c r="G296" s="124">
        <v>29950</v>
      </c>
      <c r="H296" s="125">
        <f t="shared" si="193"/>
        <v>6.9875776397515521E-2</v>
      </c>
      <c r="I296" s="120">
        <v>2009</v>
      </c>
      <c r="J296" s="125">
        <f t="shared" si="194"/>
        <v>6.2391304347826089E-2</v>
      </c>
      <c r="K296" s="124">
        <v>91640</v>
      </c>
      <c r="L296" s="124">
        <v>157780</v>
      </c>
      <c r="M296" s="126">
        <f t="shared" si="195"/>
        <v>3.0597662771285474</v>
      </c>
      <c r="N296" s="126">
        <f t="shared" si="196"/>
        <v>1.721737232649498</v>
      </c>
      <c r="O296" s="126">
        <f t="shared" si="197"/>
        <v>1.7436271765014022</v>
      </c>
      <c r="P296" s="127">
        <f>+E296/G296</f>
        <v>0.59800093868188786</v>
      </c>
      <c r="Q296" s="127">
        <f>+D296/G296</f>
        <v>3.9905008347245405E-2</v>
      </c>
      <c r="R296" s="124">
        <v>2400</v>
      </c>
      <c r="S296" s="149">
        <f>+E296/R296</f>
        <v>7.4625533806343913</v>
      </c>
      <c r="T296" s="126">
        <f t="shared" si="198"/>
        <v>13.416666666666666</v>
      </c>
      <c r="U296" s="126">
        <f t="shared" si="199"/>
        <v>5.268113522537563</v>
      </c>
      <c r="V296" s="128">
        <v>43.49</v>
      </c>
      <c r="W296" s="124"/>
      <c r="X296" s="126"/>
      <c r="Y296" s="124"/>
      <c r="Z296" s="129">
        <f t="shared" si="200"/>
        <v>7.0355628354300925E-2</v>
      </c>
      <c r="AA296" s="145" t="str">
        <f t="shared" si="201"/>
        <v/>
      </c>
      <c r="AB296" s="129">
        <v>0.30745341614906835</v>
      </c>
      <c r="AC296" s="129">
        <v>1.3894409937888199</v>
      </c>
      <c r="AD296" s="129">
        <v>2.6993788819875775</v>
      </c>
      <c r="AE296" s="129">
        <v>0.50372670807453412</v>
      </c>
      <c r="AF296" s="132" t="s">
        <v>81</v>
      </c>
      <c r="AG296" s="133"/>
      <c r="AH296" s="133"/>
      <c r="AI296" s="133"/>
      <c r="AJ296" s="133"/>
      <c r="AK296" s="133"/>
      <c r="AL296" s="146"/>
      <c r="AM296" s="133"/>
      <c r="AN296" s="134"/>
      <c r="AO296" s="135">
        <f t="shared" si="170"/>
        <v>0</v>
      </c>
      <c r="AP296" s="136" t="s">
        <v>82</v>
      </c>
      <c r="AQ296" s="133"/>
      <c r="AR296" s="124"/>
      <c r="AS296" s="124"/>
      <c r="AT296" s="124"/>
      <c r="AU296" s="124"/>
      <c r="AV296" s="124">
        <v>29100</v>
      </c>
      <c r="AW296" s="146"/>
      <c r="AX296" s="124"/>
      <c r="AY296" s="124"/>
      <c r="AZ296" s="124"/>
      <c r="BA296" s="124">
        <v>3100</v>
      </c>
      <c r="BB296" s="124"/>
      <c r="BC296" s="124"/>
      <c r="BD296" s="124"/>
      <c r="BE296" s="124"/>
      <c r="BF296" s="124"/>
      <c r="BG296" s="124"/>
      <c r="BH296" s="137"/>
      <c r="BI296" s="138">
        <f t="shared" si="171"/>
        <v>1</v>
      </c>
      <c r="BJ296" s="139">
        <v>2.97</v>
      </c>
      <c r="BK296" s="140">
        <v>43</v>
      </c>
      <c r="BL296" s="129">
        <v>3.6999999999999998E-2</v>
      </c>
      <c r="BM296" s="129">
        <v>0.16600000000000001</v>
      </c>
      <c r="BN296" s="129">
        <v>0.46500000000000002</v>
      </c>
      <c r="BO296" s="129">
        <v>0.89500000000000002</v>
      </c>
      <c r="BP296" s="129">
        <v>1.526</v>
      </c>
      <c r="BQ296" s="129">
        <v>2.0259999999999998</v>
      </c>
      <c r="BR296" s="129">
        <v>2.98</v>
      </c>
      <c r="BS296" s="129">
        <v>3.1520000000000001</v>
      </c>
      <c r="BT296" s="122">
        <v>44</v>
      </c>
      <c r="BU296" s="124"/>
      <c r="BV296" s="147">
        <v>42051</v>
      </c>
      <c r="BW296" s="125">
        <v>0.69743179834133573</v>
      </c>
      <c r="BX296" s="124">
        <v>29640</v>
      </c>
      <c r="BY296" s="124">
        <v>11456</v>
      </c>
      <c r="BZ296" s="125">
        <v>0.38650472334682862</v>
      </c>
      <c r="CA296" s="124">
        <v>94</v>
      </c>
      <c r="CB296" s="124">
        <v>282</v>
      </c>
      <c r="CC296" s="125">
        <v>3.1713900134952766E-3</v>
      </c>
      <c r="CD296" s="125">
        <v>9.5141700404858306E-3</v>
      </c>
    </row>
    <row r="297" spans="1:82" x14ac:dyDescent="0.25">
      <c r="A297" s="120" t="s">
        <v>121</v>
      </c>
      <c r="B297" s="121" t="s">
        <v>97</v>
      </c>
      <c r="C297" s="122">
        <v>870</v>
      </c>
      <c r="D297" s="123">
        <v>530.87</v>
      </c>
      <c r="E297" s="123">
        <v>30061.013715000001</v>
      </c>
      <c r="F297" s="124">
        <v>49200</v>
      </c>
      <c r="G297" s="124">
        <v>48083</v>
      </c>
      <c r="H297" s="125">
        <f t="shared" si="193"/>
        <v>2.2703252032520327E-2</v>
      </c>
      <c r="I297" s="120">
        <v>278</v>
      </c>
      <c r="J297" s="125">
        <f t="shared" si="194"/>
        <v>5.6504065040650408E-3</v>
      </c>
      <c r="K297" s="124">
        <v>144100</v>
      </c>
      <c r="L297" s="124">
        <v>248660</v>
      </c>
      <c r="M297" s="126">
        <f t="shared" si="195"/>
        <v>2.9969011916893704</v>
      </c>
      <c r="N297" s="126">
        <f t="shared" si="196"/>
        <v>1.7256072172102705</v>
      </c>
      <c r="O297" s="126">
        <f t="shared" si="197"/>
        <v>1.7353880160863684</v>
      </c>
      <c r="P297" s="127">
        <f>IF(G297=0,0,+E297/G297)</f>
        <v>0.62519006124825827</v>
      </c>
      <c r="Q297" s="127">
        <f>IF(G297=0,0,+D297/G297)</f>
        <v>1.104070045546243E-2</v>
      </c>
      <c r="R297" s="124">
        <v>3990</v>
      </c>
      <c r="S297" s="127">
        <f>IF(R297=0,0,+E297/R297)</f>
        <v>7.5340886503759403</v>
      </c>
      <c r="T297" s="126">
        <f t="shared" si="198"/>
        <v>12.330827067669173</v>
      </c>
      <c r="U297" s="126">
        <f t="shared" si="199"/>
        <v>5.1714743256452387</v>
      </c>
      <c r="V297" s="128">
        <v>37.53</v>
      </c>
      <c r="W297" s="124"/>
      <c r="X297" s="126"/>
      <c r="Y297" s="124"/>
      <c r="Z297" s="129">
        <f t="shared" si="200"/>
        <v>7.985348232585586E-2</v>
      </c>
      <c r="AA297" s="130" t="str">
        <f t="shared" si="201"/>
        <v/>
      </c>
      <c r="AB297" s="131">
        <v>0.30081300813008133</v>
      </c>
      <c r="AC297" s="131">
        <v>1.4447154471544716</v>
      </c>
      <c r="AD297" s="131">
        <v>2.4918699186991868</v>
      </c>
      <c r="AE297" s="131">
        <v>0.81666666666666665</v>
      </c>
      <c r="AF297" s="132" t="s">
        <v>81</v>
      </c>
      <c r="AG297" s="133"/>
      <c r="AH297" s="133">
        <v>800</v>
      </c>
      <c r="AI297" s="133"/>
      <c r="AJ297" s="133"/>
      <c r="AK297" s="133"/>
      <c r="AL297" s="133"/>
      <c r="AM297" s="133"/>
      <c r="AN297" s="143"/>
      <c r="AO297" s="135">
        <f t="shared" si="170"/>
        <v>1.6260162601626018E-2</v>
      </c>
      <c r="AP297" s="136" t="s">
        <v>82</v>
      </c>
      <c r="AQ297" s="124"/>
      <c r="AR297" s="124"/>
      <c r="AS297" s="124"/>
      <c r="AT297" s="124"/>
      <c r="AU297" s="124">
        <v>48400</v>
      </c>
      <c r="AV297" s="124"/>
      <c r="AW297" s="124"/>
      <c r="AX297" s="124"/>
      <c r="AY297" s="124"/>
      <c r="AZ297" s="124"/>
      <c r="BA297" s="124"/>
      <c r="BB297" s="124"/>
      <c r="BC297" s="124"/>
      <c r="BD297" s="124"/>
      <c r="BE297" s="124"/>
      <c r="BF297" s="124"/>
      <c r="BG297" s="124"/>
      <c r="BH297" s="137"/>
      <c r="BI297" s="138">
        <f t="shared" si="171"/>
        <v>0.98373983739837401</v>
      </c>
      <c r="BJ297" s="139">
        <v>2.9689999999999999</v>
      </c>
      <c r="BK297" s="140">
        <v>42</v>
      </c>
      <c r="BL297" s="129"/>
      <c r="BM297" s="129"/>
      <c r="BN297" s="129">
        <v>0.47249999999999998</v>
      </c>
      <c r="BO297" s="129">
        <v>1.1599999999999999</v>
      </c>
      <c r="BP297" s="129">
        <v>1.61</v>
      </c>
      <c r="BQ297" s="129">
        <v>2.125</v>
      </c>
      <c r="BR297" s="129">
        <v>2.9710000000000001</v>
      </c>
      <c r="BS297" s="129">
        <v>3.036</v>
      </c>
      <c r="BT297" s="122">
        <v>43</v>
      </c>
      <c r="BU297" s="124"/>
      <c r="BV297" s="142">
        <v>42312</v>
      </c>
      <c r="BW297" s="125">
        <v>0.70328376127689107</v>
      </c>
      <c r="BX297" s="124">
        <v>47800</v>
      </c>
      <c r="BY297" s="124">
        <v>22216</v>
      </c>
      <c r="BZ297" s="125">
        <v>0.46476987447698742</v>
      </c>
      <c r="CA297" s="124">
        <v>79</v>
      </c>
      <c r="CB297" s="124">
        <v>192</v>
      </c>
      <c r="CC297" s="125">
        <v>1.6527196652719666E-3</v>
      </c>
      <c r="CD297" s="125">
        <v>4.0167364016736404E-3</v>
      </c>
    </row>
    <row r="298" spans="1:82" x14ac:dyDescent="0.25">
      <c r="A298" s="120" t="s">
        <v>106</v>
      </c>
      <c r="B298" s="121" t="s">
        <v>86</v>
      </c>
      <c r="C298" s="122">
        <v>734</v>
      </c>
      <c r="D298" s="123">
        <v>466.06</v>
      </c>
      <c r="E298" s="123">
        <v>9055.64</v>
      </c>
      <c r="F298" s="124">
        <v>12500</v>
      </c>
      <c r="G298" s="124">
        <v>12170</v>
      </c>
      <c r="H298" s="125">
        <f t="shared" si="193"/>
        <v>2.64E-2</v>
      </c>
      <c r="I298" s="120">
        <v>99</v>
      </c>
      <c r="J298" s="125">
        <f t="shared" si="194"/>
        <v>7.92E-3</v>
      </c>
      <c r="K298" s="124">
        <v>37560</v>
      </c>
      <c r="L298" s="124">
        <v>59460</v>
      </c>
      <c r="M298" s="126">
        <f t="shared" si="195"/>
        <v>3.0862777321281842</v>
      </c>
      <c r="N298" s="126">
        <f t="shared" si="196"/>
        <v>1.5830670926517572</v>
      </c>
      <c r="O298" s="126">
        <f t="shared" si="197"/>
        <v>1.6130213092407806</v>
      </c>
      <c r="P298" s="127">
        <f>IF(G298=0,0,+E298/G298)</f>
        <v>0.74409531635168447</v>
      </c>
      <c r="Q298" s="127">
        <f>IF(G298=0,0,+D298/G298)</f>
        <v>3.8295809367296631E-2</v>
      </c>
      <c r="R298" s="124">
        <v>1200</v>
      </c>
      <c r="S298" s="127">
        <f>IF(R298=0,0,+E298/R298)</f>
        <v>7.5463666666666658</v>
      </c>
      <c r="T298" s="126">
        <f t="shared" si="198"/>
        <v>10.416666666666666</v>
      </c>
      <c r="U298" s="126">
        <f t="shared" si="199"/>
        <v>4.8857847165160226</v>
      </c>
      <c r="V298" s="128">
        <v>43</v>
      </c>
      <c r="W298" s="124"/>
      <c r="X298" s="126"/>
      <c r="Y298" s="124"/>
      <c r="Z298" s="129">
        <f t="shared" si="200"/>
        <v>7.177390074716708E-2</v>
      </c>
      <c r="AA298" s="130" t="str">
        <f t="shared" si="201"/>
        <v/>
      </c>
      <c r="AB298" s="131">
        <v>0.32479999999999998</v>
      </c>
      <c r="AC298" s="131">
        <v>1.4992000000000001</v>
      </c>
      <c r="AD298" s="131">
        <v>2.6848000000000001</v>
      </c>
      <c r="AE298" s="131">
        <v>0.248</v>
      </c>
      <c r="AF298" s="132" t="s">
        <v>81</v>
      </c>
      <c r="AG298" s="133"/>
      <c r="AH298" s="133"/>
      <c r="AI298" s="133"/>
      <c r="AJ298" s="133"/>
      <c r="AK298" s="133"/>
      <c r="AL298" s="133"/>
      <c r="AM298" s="133"/>
      <c r="AN298" s="134"/>
      <c r="AO298" s="135">
        <f t="shared" si="170"/>
        <v>0</v>
      </c>
      <c r="AP298" s="136" t="s">
        <v>82</v>
      </c>
      <c r="AQ298" s="124"/>
      <c r="AR298" s="124"/>
      <c r="AS298" s="124"/>
      <c r="AT298" s="124"/>
      <c r="AU298" s="124"/>
      <c r="AV298" s="124"/>
      <c r="AW298" s="124">
        <v>9800</v>
      </c>
      <c r="AX298" s="124"/>
      <c r="AY298" s="124"/>
      <c r="AZ298" s="124"/>
      <c r="BA298" s="124"/>
      <c r="BB298" s="124"/>
      <c r="BC298" s="124"/>
      <c r="BD298" s="124">
        <v>2700</v>
      </c>
      <c r="BE298" s="124"/>
      <c r="BF298" s="124"/>
      <c r="BG298" s="124"/>
      <c r="BH298" s="137"/>
      <c r="BI298" s="138">
        <f t="shared" si="171"/>
        <v>1</v>
      </c>
      <c r="BJ298" s="139">
        <v>3.0859999999999999</v>
      </c>
      <c r="BK298" s="140">
        <v>43</v>
      </c>
      <c r="BL298" s="141">
        <v>3.5000000000000003E-2</v>
      </c>
      <c r="BM298" s="141">
        <v>0.2</v>
      </c>
      <c r="BN298" s="141">
        <v>0.45</v>
      </c>
      <c r="BO298" s="141">
        <v>0.9</v>
      </c>
      <c r="BP298" s="141">
        <v>1.4</v>
      </c>
      <c r="BQ298" s="141">
        <v>2.2000000000000002</v>
      </c>
      <c r="BR298" s="141">
        <v>2.85</v>
      </c>
      <c r="BS298" s="141">
        <v>3.0859999999999999</v>
      </c>
      <c r="BT298" s="122">
        <v>43</v>
      </c>
      <c r="BU298" s="124"/>
      <c r="BV298" s="142">
        <v>42368</v>
      </c>
      <c r="BW298" s="125">
        <v>0.69014909478168263</v>
      </c>
      <c r="BX298" s="124">
        <v>11913</v>
      </c>
      <c r="BY298" s="124">
        <v>3708</v>
      </c>
      <c r="BZ298" s="125">
        <v>0.3112566104255855</v>
      </c>
      <c r="CA298" s="124">
        <v>67</v>
      </c>
      <c r="CB298" s="124">
        <v>159</v>
      </c>
      <c r="CC298" s="125">
        <v>5.6241081171829093E-3</v>
      </c>
      <c r="CD298" s="125">
        <v>1.3346764039284816E-2</v>
      </c>
    </row>
    <row r="299" spans="1:82" x14ac:dyDescent="0.25">
      <c r="A299" s="120" t="s">
        <v>85</v>
      </c>
      <c r="B299" s="121" t="s">
        <v>86</v>
      </c>
      <c r="C299" s="122">
        <v>430</v>
      </c>
      <c r="D299" s="144">
        <v>271.58999999999997</v>
      </c>
      <c r="E299" s="144">
        <v>12034.080950000001</v>
      </c>
      <c r="F299" s="124">
        <v>21200</v>
      </c>
      <c r="G299" s="124">
        <v>20390</v>
      </c>
      <c r="H299" s="125">
        <f t="shared" si="193"/>
        <v>3.8207547169811319E-2</v>
      </c>
      <c r="I299" s="120">
        <v>479</v>
      </c>
      <c r="J299" s="125">
        <f t="shared" si="194"/>
        <v>2.2594339622641509E-2</v>
      </c>
      <c r="K299" s="124">
        <v>58300</v>
      </c>
      <c r="L299" s="124">
        <v>104940</v>
      </c>
      <c r="M299" s="126">
        <f t="shared" si="195"/>
        <v>2.8592447278077491</v>
      </c>
      <c r="N299" s="126">
        <f t="shared" si="196"/>
        <v>1.8</v>
      </c>
      <c r="O299" s="126">
        <f t="shared" si="197"/>
        <v>1.8127129945177061</v>
      </c>
      <c r="P299" s="127">
        <f>+E299/G299</f>
        <v>0.59019524031387938</v>
      </c>
      <c r="Q299" s="127">
        <f>+D299/G299</f>
        <v>1.3319764590485532E-2</v>
      </c>
      <c r="R299" s="124">
        <v>1590</v>
      </c>
      <c r="S299" s="127">
        <f>+E299/R299</f>
        <v>7.568604371069183</v>
      </c>
      <c r="T299" s="126">
        <f t="shared" si="198"/>
        <v>13.333333333333334</v>
      </c>
      <c r="U299" s="126">
        <f t="shared" si="199"/>
        <v>5.1466405100539481</v>
      </c>
      <c r="V299" s="128">
        <v>41.49</v>
      </c>
      <c r="W299" s="124"/>
      <c r="X299" s="126"/>
      <c r="Y299" s="124"/>
      <c r="Z299" s="129">
        <f t="shared" si="200"/>
        <v>6.8914069120456709E-2</v>
      </c>
      <c r="AA299" s="145" t="str">
        <f t="shared" si="201"/>
        <v/>
      </c>
      <c r="AB299" s="129">
        <v>0.33584905660377357</v>
      </c>
      <c r="AC299" s="129">
        <v>1.4773584905660377</v>
      </c>
      <c r="AD299" s="129">
        <v>2.5641509433962266</v>
      </c>
      <c r="AE299" s="129">
        <v>0.5726415094339623</v>
      </c>
      <c r="AF299" s="132" t="s">
        <v>81</v>
      </c>
      <c r="AG299" s="133"/>
      <c r="AH299" s="133"/>
      <c r="AI299" s="133"/>
      <c r="AJ299" s="133"/>
      <c r="AK299" s="133"/>
      <c r="AL299" s="146"/>
      <c r="AM299" s="124"/>
      <c r="AN299" s="134"/>
      <c r="AO299" s="135">
        <f t="shared" si="170"/>
        <v>0</v>
      </c>
      <c r="AP299" s="136" t="s">
        <v>82</v>
      </c>
      <c r="AQ299" s="133"/>
      <c r="AR299" s="124"/>
      <c r="AS299" s="124">
        <v>17000</v>
      </c>
      <c r="AT299" s="124"/>
      <c r="AU299" s="133"/>
      <c r="AV299" s="124"/>
      <c r="AW299" s="146"/>
      <c r="AX299" s="124">
        <v>4200</v>
      </c>
      <c r="AY299" s="133"/>
      <c r="AZ299" s="124"/>
      <c r="BA299" s="124"/>
      <c r="BB299" s="124"/>
      <c r="BC299" s="124"/>
      <c r="BD299" s="124"/>
      <c r="BE299" s="124"/>
      <c r="BF299" s="124"/>
      <c r="BG299" s="124"/>
      <c r="BH299" s="137"/>
      <c r="BI299" s="138">
        <f t="shared" si="171"/>
        <v>1</v>
      </c>
      <c r="BJ299" s="139">
        <v>2.8439999999999999</v>
      </c>
      <c r="BK299" s="140">
        <v>41</v>
      </c>
      <c r="BL299" s="129">
        <v>3.9E-2</v>
      </c>
      <c r="BM299" s="129">
        <v>0.18</v>
      </c>
      <c r="BN299" s="129">
        <v>0.47499999999999998</v>
      </c>
      <c r="BO299" s="129">
        <v>0.9</v>
      </c>
      <c r="BP299" s="129">
        <v>1.5</v>
      </c>
      <c r="BQ299" s="129">
        <v>2.16</v>
      </c>
      <c r="BR299" s="129">
        <v>2.8439999999999999</v>
      </c>
      <c r="BS299" s="129">
        <v>2.8740000000000001</v>
      </c>
      <c r="BT299" s="122">
        <v>42</v>
      </c>
      <c r="BU299" s="124"/>
      <c r="BV299" s="147">
        <v>42065</v>
      </c>
      <c r="BW299" s="125">
        <v>0.71109588336192109</v>
      </c>
      <c r="BX299" s="124">
        <v>20246</v>
      </c>
      <c r="BY299" s="124">
        <v>8816</v>
      </c>
      <c r="BZ299" s="125">
        <v>0.43544403832855871</v>
      </c>
      <c r="CA299" s="124">
        <v>40</v>
      </c>
      <c r="CB299" s="124">
        <v>103</v>
      </c>
      <c r="CC299" s="125">
        <v>1.9756989034871086E-3</v>
      </c>
      <c r="CD299" s="125">
        <v>5.087424676479305E-3</v>
      </c>
    </row>
    <row r="300" spans="1:82" x14ac:dyDescent="0.25">
      <c r="A300" s="120" t="s">
        <v>110</v>
      </c>
      <c r="B300" s="121" t="s">
        <v>80</v>
      </c>
      <c r="C300" s="122">
        <v>810</v>
      </c>
      <c r="D300" s="123">
        <v>1094.6099999999999</v>
      </c>
      <c r="E300" s="123">
        <v>18062.22</v>
      </c>
      <c r="F300" s="124">
        <v>37600</v>
      </c>
      <c r="G300" s="124">
        <v>35900</v>
      </c>
      <c r="H300" s="125">
        <f t="shared" si="193"/>
        <v>4.5212765957446811E-2</v>
      </c>
      <c r="I300" s="120">
        <v>365</v>
      </c>
      <c r="J300" s="125">
        <f t="shared" si="194"/>
        <v>9.7074468085106384E-3</v>
      </c>
      <c r="K300" s="124">
        <v>101980</v>
      </c>
      <c r="L300" s="124">
        <v>180160</v>
      </c>
      <c r="M300" s="126">
        <f t="shared" si="195"/>
        <v>2.8406685236768801</v>
      </c>
      <c r="N300" s="126">
        <f t="shared" si="196"/>
        <v>1.7666209060600118</v>
      </c>
      <c r="O300" s="126">
        <f t="shared" si="197"/>
        <v>1.7861239869199739</v>
      </c>
      <c r="P300" s="127">
        <f>IF(G300=0,0,+E300/G300)</f>
        <v>0.50312590529247914</v>
      </c>
      <c r="Q300" s="127">
        <f>IF(G300=0,0,+D300/G300)</f>
        <v>3.0490529247910861E-2</v>
      </c>
      <c r="R300" s="124">
        <v>2352</v>
      </c>
      <c r="S300" s="127">
        <f>IF(R300=0,0,+E300/R300)</f>
        <v>7.6795153061224495</v>
      </c>
      <c r="T300" s="126">
        <f t="shared" si="198"/>
        <v>15.986394557823129</v>
      </c>
      <c r="U300" s="126">
        <f t="shared" si="199"/>
        <v>5.018384401114206</v>
      </c>
      <c r="V300" s="128">
        <v>44.16</v>
      </c>
      <c r="W300" s="124">
        <v>34</v>
      </c>
      <c r="X300" s="126">
        <v>2.13</v>
      </c>
      <c r="Y300" s="124">
        <v>8400</v>
      </c>
      <c r="Z300" s="129">
        <f t="shared" si="200"/>
        <v>6.4326732873117756E-2</v>
      </c>
      <c r="AA300" s="130">
        <f t="shared" si="201"/>
        <v>6.2647058823529403E-2</v>
      </c>
      <c r="AB300" s="131">
        <v>0.30053191489361702</v>
      </c>
      <c r="AC300" s="131">
        <v>1.3867021276595746</v>
      </c>
      <c r="AD300" s="131">
        <v>2.40531914893617</v>
      </c>
      <c r="AE300" s="131">
        <v>0.69893617021276599</v>
      </c>
      <c r="AF300" s="132" t="s">
        <v>81</v>
      </c>
      <c r="AG300" s="133"/>
      <c r="AH300" s="133">
        <v>37600</v>
      </c>
      <c r="AI300" s="133"/>
      <c r="AJ300" s="133"/>
      <c r="AK300" s="133"/>
      <c r="AL300" s="133"/>
      <c r="AM300" s="133"/>
      <c r="AN300" s="134"/>
      <c r="AO300" s="135">
        <f t="shared" si="170"/>
        <v>1</v>
      </c>
      <c r="AP300" s="136" t="s">
        <v>82</v>
      </c>
      <c r="AQ300" s="133"/>
      <c r="AR300" s="124"/>
      <c r="AS300" s="124"/>
      <c r="AT300" s="124"/>
      <c r="AU300" s="124"/>
      <c r="AV300" s="124"/>
      <c r="AW300" s="124"/>
      <c r="AX300" s="124"/>
      <c r="AY300" s="124"/>
      <c r="AZ300" s="124"/>
      <c r="BA300" s="124"/>
      <c r="BB300" s="124"/>
      <c r="BC300" s="124"/>
      <c r="BD300" s="124"/>
      <c r="BE300" s="124"/>
      <c r="BF300" s="133"/>
      <c r="BG300" s="124"/>
      <c r="BH300" s="137"/>
      <c r="BI300" s="138">
        <f t="shared" si="171"/>
        <v>0</v>
      </c>
      <c r="BJ300" s="139">
        <v>3.0379999999999998</v>
      </c>
      <c r="BK300" s="140">
        <v>44</v>
      </c>
      <c r="BL300" s="129">
        <v>0.04</v>
      </c>
      <c r="BM300" s="129">
        <v>0.18</v>
      </c>
      <c r="BN300" s="129">
        <v>0.44</v>
      </c>
      <c r="BO300" s="129">
        <v>0.91900000000000004</v>
      </c>
      <c r="BP300" s="129">
        <v>1.5</v>
      </c>
      <c r="BQ300" s="129">
        <v>2.2189999999999999</v>
      </c>
      <c r="BR300" s="129"/>
      <c r="BS300" s="129">
        <v>3.1669999999999998</v>
      </c>
      <c r="BT300" s="122">
        <v>45</v>
      </c>
      <c r="BU300" s="124"/>
      <c r="BV300" s="142">
        <v>42303</v>
      </c>
      <c r="BW300" s="125">
        <v>0.70223391604233565</v>
      </c>
      <c r="BX300" s="124">
        <v>27210</v>
      </c>
      <c r="BY300" s="124">
        <v>7624</v>
      </c>
      <c r="BZ300" s="125">
        <v>0.28019110621095183</v>
      </c>
      <c r="CA300" s="124">
        <v>136</v>
      </c>
      <c r="CB300" s="124">
        <v>256</v>
      </c>
      <c r="CC300" s="125">
        <v>4.9981624402793091E-3</v>
      </c>
      <c r="CD300" s="125">
        <v>9.4083057699375222E-3</v>
      </c>
    </row>
    <row r="301" spans="1:82" x14ac:dyDescent="0.25">
      <c r="A301" s="120" t="s">
        <v>119</v>
      </c>
      <c r="B301" s="121" t="s">
        <v>91</v>
      </c>
      <c r="C301" s="122">
        <v>896</v>
      </c>
      <c r="D301" s="148">
        <v>699.53</v>
      </c>
      <c r="E301" s="148">
        <v>12907.34138</v>
      </c>
      <c r="F301" s="124">
        <v>26700</v>
      </c>
      <c r="G301" s="124">
        <v>25156</v>
      </c>
      <c r="H301" s="125">
        <f t="shared" si="193"/>
        <v>5.7827715355805241E-2</v>
      </c>
      <c r="I301" s="120"/>
      <c r="J301" s="125">
        <f t="shared" si="194"/>
        <v>0</v>
      </c>
      <c r="K301" s="124">
        <v>67200</v>
      </c>
      <c r="L301" s="124">
        <v>115460</v>
      </c>
      <c r="M301" s="126">
        <f t="shared" si="195"/>
        <v>2.6713308952138655</v>
      </c>
      <c r="N301" s="126">
        <f t="shared" si="196"/>
        <v>1.7181547619047619</v>
      </c>
      <c r="O301" s="126">
        <f t="shared" si="197"/>
        <v>1.7453521721238969</v>
      </c>
      <c r="P301" s="127">
        <f>IF(G301=0,0,+E301/G301)</f>
        <v>0.51309196136110669</v>
      </c>
      <c r="Q301" s="127">
        <f>IF(G301=0,0,+D301/G301)</f>
        <v>2.780768007632374E-2</v>
      </c>
      <c r="R301" s="124">
        <v>1680</v>
      </c>
      <c r="S301" s="127">
        <f>IF(R301=0,0,+E301/R301)</f>
        <v>7.6829412976190472</v>
      </c>
      <c r="T301" s="126">
        <f t="shared" si="198"/>
        <v>15.892857142857142</v>
      </c>
      <c r="U301" s="126">
        <f t="shared" si="199"/>
        <v>4.5897598982350134</v>
      </c>
      <c r="V301" s="128">
        <v>42.3</v>
      </c>
      <c r="W301" s="124">
        <v>33</v>
      </c>
      <c r="X301" s="126">
        <v>1.98</v>
      </c>
      <c r="Y301" s="124">
        <v>8000</v>
      </c>
      <c r="Z301" s="129">
        <f t="shared" si="200"/>
        <v>6.315203061971314E-2</v>
      </c>
      <c r="AA301" s="150">
        <f t="shared" si="201"/>
        <v>0.06</v>
      </c>
      <c r="AB301" s="129">
        <v>0.25917602996254679</v>
      </c>
      <c r="AC301" s="129">
        <v>1.4172284644194757</v>
      </c>
      <c r="AD301" s="129">
        <v>2.4599250936329589</v>
      </c>
      <c r="AE301" s="129">
        <v>0.18801498127340824</v>
      </c>
      <c r="AF301" s="132" t="s">
        <v>81</v>
      </c>
      <c r="AG301" s="152"/>
      <c r="AH301" s="120"/>
      <c r="AI301" s="120"/>
      <c r="AJ301" s="152"/>
      <c r="AK301" s="120"/>
      <c r="AL301" s="120"/>
      <c r="AM301" s="120"/>
      <c r="AN301" s="154"/>
      <c r="AO301" s="135">
        <f t="shared" si="170"/>
        <v>0</v>
      </c>
      <c r="AP301" s="136" t="s">
        <v>82</v>
      </c>
      <c r="AQ301" s="152"/>
      <c r="AR301" s="120"/>
      <c r="AS301" s="120"/>
      <c r="AT301" s="120"/>
      <c r="AU301" s="120"/>
      <c r="AV301" s="120">
        <v>26700</v>
      </c>
      <c r="AW301" s="120"/>
      <c r="AX301" s="120"/>
      <c r="AY301" s="120"/>
      <c r="AZ301" s="120"/>
      <c r="BA301" s="120"/>
      <c r="BB301" s="120"/>
      <c r="BC301" s="120"/>
      <c r="BD301" s="120"/>
      <c r="BE301" s="120"/>
      <c r="BF301" s="120"/>
      <c r="BG301" s="120"/>
      <c r="BH301" s="154"/>
      <c r="BI301" s="138">
        <f t="shared" si="171"/>
        <v>1</v>
      </c>
      <c r="BJ301" s="139">
        <v>2.9670000000000001</v>
      </c>
      <c r="BK301" s="140">
        <v>42</v>
      </c>
      <c r="BL301" s="129">
        <v>4.5999999999999999E-2</v>
      </c>
      <c r="BM301" s="129">
        <v>0.18</v>
      </c>
      <c r="BN301" s="129">
        <v>0.4</v>
      </c>
      <c r="BO301" s="129">
        <v>0.93</v>
      </c>
      <c r="BP301" s="129">
        <v>1.53</v>
      </c>
      <c r="BQ301" s="129">
        <v>2.1680000000000001</v>
      </c>
      <c r="BR301" s="129">
        <v>2.84</v>
      </c>
      <c r="BS301" s="129">
        <v>3.214</v>
      </c>
      <c r="BT301" s="122">
        <v>44</v>
      </c>
      <c r="BU301" s="124">
        <v>8000</v>
      </c>
      <c r="BV301" s="147">
        <v>42019</v>
      </c>
      <c r="BW301" s="125">
        <v>0.68549474299065427</v>
      </c>
      <c r="BX301" s="120">
        <v>16742</v>
      </c>
      <c r="BY301" s="124">
        <v>6264</v>
      </c>
      <c r="BZ301" s="125">
        <v>0.37414884721060804</v>
      </c>
      <c r="CA301" s="124">
        <v>226</v>
      </c>
      <c r="CB301" s="124">
        <v>166</v>
      </c>
      <c r="CC301" s="125">
        <v>1.3498984589654761E-2</v>
      </c>
      <c r="CD301" s="125">
        <v>9.9151833711623467E-3</v>
      </c>
    </row>
    <row r="302" spans="1:82" x14ac:dyDescent="0.25">
      <c r="A302" s="120" t="s">
        <v>110</v>
      </c>
      <c r="B302" s="121" t="s">
        <v>80</v>
      </c>
      <c r="C302" s="122">
        <v>810</v>
      </c>
      <c r="D302" s="123">
        <v>215.38</v>
      </c>
      <c r="E302" s="123">
        <v>21969.760000000002</v>
      </c>
      <c r="F302" s="124">
        <v>34600</v>
      </c>
      <c r="G302" s="124">
        <v>33990</v>
      </c>
      <c r="H302" s="125">
        <f t="shared" si="193"/>
        <v>1.763005780346821E-2</v>
      </c>
      <c r="I302" s="120">
        <v>204</v>
      </c>
      <c r="J302" s="125">
        <f t="shared" si="194"/>
        <v>5.8959537572254332E-3</v>
      </c>
      <c r="K302" s="124">
        <v>102160</v>
      </c>
      <c r="L302" s="124">
        <v>177500</v>
      </c>
      <c r="M302" s="126">
        <f t="shared" si="195"/>
        <v>3.005589879376287</v>
      </c>
      <c r="N302" s="126">
        <f t="shared" si="196"/>
        <v>1.7374706342991386</v>
      </c>
      <c r="O302" s="126">
        <f t="shared" si="197"/>
        <v>1.7783319840955081</v>
      </c>
      <c r="P302" s="127">
        <f>IF(G302=0,0,+E302/G302)</f>
        <v>0.64635951750514864</v>
      </c>
      <c r="Q302" s="127">
        <f>IF(G302=0,0,+D302/G302)</f>
        <v>6.3365695792880258E-3</v>
      </c>
      <c r="R302" s="124">
        <v>2856</v>
      </c>
      <c r="S302" s="127">
        <f>IF(R302=0,0,+E302/R302)</f>
        <v>7.6924929971988805</v>
      </c>
      <c r="T302" s="126">
        <f t="shared" si="198"/>
        <v>12.11484593837535</v>
      </c>
      <c r="U302" s="126">
        <f t="shared" si="199"/>
        <v>5.222124154162989</v>
      </c>
      <c r="V302" s="128">
        <v>41.83</v>
      </c>
      <c r="W302" s="124"/>
      <c r="X302" s="126"/>
      <c r="Y302" s="124"/>
      <c r="Z302" s="129">
        <f t="shared" si="200"/>
        <v>7.1852495323363311E-2</v>
      </c>
      <c r="AA302" s="130" t="str">
        <f t="shared" si="201"/>
        <v/>
      </c>
      <c r="AB302" s="131">
        <v>0.31618497109826588</v>
      </c>
      <c r="AC302" s="131">
        <v>1.4127167630057804</v>
      </c>
      <c r="AD302" s="131">
        <v>2.5676300578034681</v>
      </c>
      <c r="AE302" s="131">
        <v>0.83352601156069361</v>
      </c>
      <c r="AF302" s="132" t="s">
        <v>81</v>
      </c>
      <c r="AG302" s="133"/>
      <c r="AH302" s="133"/>
      <c r="AI302" s="133"/>
      <c r="AJ302" s="133"/>
      <c r="AK302" s="133"/>
      <c r="AL302" s="133"/>
      <c r="AM302" s="133"/>
      <c r="AN302" s="134"/>
      <c r="AO302" s="135">
        <f t="shared" si="170"/>
        <v>0</v>
      </c>
      <c r="AP302" s="136" t="s">
        <v>82</v>
      </c>
      <c r="AQ302" s="133"/>
      <c r="AR302" s="124"/>
      <c r="AS302" s="124"/>
      <c r="AT302" s="124"/>
      <c r="AU302" s="124"/>
      <c r="AV302" s="124"/>
      <c r="AW302" s="124"/>
      <c r="AX302" s="124"/>
      <c r="AY302" s="124">
        <v>34600</v>
      </c>
      <c r="AZ302" s="124"/>
      <c r="BA302" s="124"/>
      <c r="BB302" s="124"/>
      <c r="BC302" s="124"/>
      <c r="BD302" s="124"/>
      <c r="BE302" s="124"/>
      <c r="BF302" s="133"/>
      <c r="BG302" s="124"/>
      <c r="BH302" s="137"/>
      <c r="BI302" s="138">
        <f t="shared" si="171"/>
        <v>1</v>
      </c>
      <c r="BJ302" s="139">
        <v>2.972</v>
      </c>
      <c r="BK302" s="140">
        <v>41</v>
      </c>
      <c r="BL302" s="129">
        <v>4.5499999999999999E-2</v>
      </c>
      <c r="BM302" s="129">
        <v>0.24349999999999999</v>
      </c>
      <c r="BN302" s="129">
        <v>0.54700000000000004</v>
      </c>
      <c r="BO302" s="129">
        <v>1.089</v>
      </c>
      <c r="BP302" s="129">
        <v>1.7629999999999999</v>
      </c>
      <c r="BQ302" s="129">
        <v>2.3610000000000002</v>
      </c>
      <c r="BR302" s="129">
        <v>3.016</v>
      </c>
      <c r="BS302" s="129">
        <v>3.012</v>
      </c>
      <c r="BT302" s="122">
        <v>42</v>
      </c>
      <c r="BU302" s="124">
        <v>15500</v>
      </c>
      <c r="BV302" s="142">
        <v>42290</v>
      </c>
      <c r="BW302" s="125">
        <v>0.69760297572435392</v>
      </c>
      <c r="BX302" s="124">
        <v>33184</v>
      </c>
      <c r="BY302" s="124">
        <v>13464</v>
      </c>
      <c r="BZ302" s="125">
        <v>0.40573770491803279</v>
      </c>
      <c r="CA302" s="124">
        <v>112</v>
      </c>
      <c r="CB302" s="124">
        <v>669</v>
      </c>
      <c r="CC302" s="125">
        <v>3.3751205400192863E-3</v>
      </c>
      <c r="CD302" s="125">
        <v>2.0160318225650915E-2</v>
      </c>
    </row>
    <row r="303" spans="1:82" x14ac:dyDescent="0.25">
      <c r="A303" s="120" t="s">
        <v>128</v>
      </c>
      <c r="B303" s="121" t="s">
        <v>86</v>
      </c>
      <c r="C303" s="122">
        <v>730</v>
      </c>
      <c r="D303" s="144">
        <v>1453.25</v>
      </c>
      <c r="E303" s="144">
        <v>13036.00244</v>
      </c>
      <c r="F303" s="124">
        <v>24600</v>
      </c>
      <c r="G303" s="124">
        <v>23928</v>
      </c>
      <c r="H303" s="125">
        <f t="shared" si="193"/>
        <v>2.7317073170731707E-2</v>
      </c>
      <c r="I303" s="120">
        <v>157</v>
      </c>
      <c r="J303" s="125">
        <f t="shared" si="194"/>
        <v>6.3821138211382113E-3</v>
      </c>
      <c r="K303" s="124">
        <v>63450</v>
      </c>
      <c r="L303" s="124">
        <v>110340</v>
      </c>
      <c r="M303" s="126">
        <f t="shared" si="195"/>
        <v>2.6517051153460383</v>
      </c>
      <c r="N303" s="126">
        <f t="shared" si="196"/>
        <v>1.7390070921985816</v>
      </c>
      <c r="O303" s="126">
        <f t="shared" si="197"/>
        <v>1.7692487649189022</v>
      </c>
      <c r="P303" s="127">
        <f>+E303/G303</f>
        <v>0.54480117184887999</v>
      </c>
      <c r="Q303" s="127">
        <f>+D303/G303</f>
        <v>6.0734286191909063E-2</v>
      </c>
      <c r="R303" s="124">
        <v>1680</v>
      </c>
      <c r="S303" s="127">
        <f>+E303/R303</f>
        <v>7.7595252619047619</v>
      </c>
      <c r="T303" s="126">
        <f t="shared" si="198"/>
        <v>14.642857142857142</v>
      </c>
      <c r="U303" s="126">
        <f t="shared" si="199"/>
        <v>4.6113340020060178</v>
      </c>
      <c r="V303" s="128">
        <v>42</v>
      </c>
      <c r="W303" s="124">
        <v>32</v>
      </c>
      <c r="X303" s="126">
        <v>1.998</v>
      </c>
      <c r="Y303" s="124">
        <v>8000</v>
      </c>
      <c r="Z303" s="129">
        <f t="shared" si="200"/>
        <v>6.3135836079667579E-2</v>
      </c>
      <c r="AA303" s="145">
        <f t="shared" si="201"/>
        <v>6.24375E-2</v>
      </c>
      <c r="AB303" s="129">
        <v>0.3048780487804878</v>
      </c>
      <c r="AC303" s="129">
        <v>1.4666666666666666</v>
      </c>
      <c r="AD303" s="129">
        <v>2.4560975609756097</v>
      </c>
      <c r="AE303" s="129">
        <v>0.25772357723577238</v>
      </c>
      <c r="AF303" s="132" t="s">
        <v>81</v>
      </c>
      <c r="AG303" s="133"/>
      <c r="AH303" s="133"/>
      <c r="AI303" s="133"/>
      <c r="AJ303" s="133"/>
      <c r="AK303" s="133"/>
      <c r="AL303" s="146"/>
      <c r="AM303" s="124">
        <v>1500</v>
      </c>
      <c r="AN303" s="134"/>
      <c r="AO303" s="135">
        <f t="shared" si="170"/>
        <v>6.097560975609756E-2</v>
      </c>
      <c r="AP303" s="136" t="s">
        <v>82</v>
      </c>
      <c r="AQ303" s="133"/>
      <c r="AR303" s="124"/>
      <c r="AS303" s="124"/>
      <c r="AT303" s="124"/>
      <c r="AU303" s="133"/>
      <c r="AV303" s="124"/>
      <c r="AW303" s="146"/>
      <c r="AX303" s="124"/>
      <c r="AY303" s="133"/>
      <c r="AZ303" s="124">
        <v>23100</v>
      </c>
      <c r="BA303" s="124"/>
      <c r="BB303" s="124"/>
      <c r="BC303" s="124"/>
      <c r="BD303" s="124"/>
      <c r="BE303" s="124"/>
      <c r="BF303" s="124"/>
      <c r="BG303" s="124"/>
      <c r="BH303" s="137"/>
      <c r="BI303" s="138">
        <f t="shared" si="171"/>
        <v>0.93902439024390238</v>
      </c>
      <c r="BJ303" s="139">
        <v>2.91</v>
      </c>
      <c r="BK303" s="140">
        <v>42</v>
      </c>
      <c r="BL303" s="129">
        <v>0.04</v>
      </c>
      <c r="BM303" s="129">
        <v>0.16500000000000001</v>
      </c>
      <c r="BN303" s="129">
        <v>0.44</v>
      </c>
      <c r="BO303" s="129">
        <v>0.9</v>
      </c>
      <c r="BP303" s="129">
        <v>1.55</v>
      </c>
      <c r="BQ303" s="129">
        <v>2.27</v>
      </c>
      <c r="BR303" s="129">
        <v>2.9809999999999999</v>
      </c>
      <c r="BS303" s="129"/>
      <c r="BT303" s="122">
        <v>42</v>
      </c>
      <c r="BU303" s="124"/>
      <c r="BV303" s="147">
        <v>42083</v>
      </c>
      <c r="BW303" s="125">
        <v>0.67184706130187488</v>
      </c>
      <c r="BX303" s="124">
        <v>15576</v>
      </c>
      <c r="BY303" s="124">
        <v>5408</v>
      </c>
      <c r="BZ303" s="125">
        <v>0.34720082177709294</v>
      </c>
      <c r="CA303" s="124">
        <v>211</v>
      </c>
      <c r="CB303" s="124">
        <v>198</v>
      </c>
      <c r="CC303" s="125">
        <v>1.354648176682075E-2</v>
      </c>
      <c r="CD303" s="125">
        <f>+CB303/72578</f>
        <v>2.7280994240678992E-3</v>
      </c>
    </row>
    <row r="304" spans="1:82" x14ac:dyDescent="0.25">
      <c r="A304" s="120" t="s">
        <v>129</v>
      </c>
      <c r="B304" s="121" t="s">
        <v>86</v>
      </c>
      <c r="C304" s="122">
        <v>740</v>
      </c>
      <c r="D304" s="148">
        <v>848.72</v>
      </c>
      <c r="E304" s="148">
        <v>27964.467724999999</v>
      </c>
      <c r="F304" s="124">
        <v>48000</v>
      </c>
      <c r="G304" s="124">
        <v>47645</v>
      </c>
      <c r="H304" s="125">
        <f t="shared" si="193"/>
        <v>7.3958333333333333E-3</v>
      </c>
      <c r="I304" s="120">
        <v>330</v>
      </c>
      <c r="J304" s="125">
        <f t="shared" si="194"/>
        <v>6.875E-3</v>
      </c>
      <c r="K304" s="124">
        <v>127200</v>
      </c>
      <c r="L304" s="124">
        <v>208220</v>
      </c>
      <c r="M304" s="126">
        <f t="shared" si="195"/>
        <v>2.6697449889810052</v>
      </c>
      <c r="N304" s="126">
        <f t="shared" si="196"/>
        <v>1.6369496855345913</v>
      </c>
      <c r="O304" s="126">
        <f>+L304/((G304-CA301-CB301)*M304)</f>
        <v>1.6505294429410959</v>
      </c>
      <c r="P304" s="127">
        <f>+E304/G304</f>
        <v>0.58693394322594183</v>
      </c>
      <c r="Q304" s="127">
        <f>+D304/G304</f>
        <v>1.7813411690628608E-2</v>
      </c>
      <c r="R304" s="124">
        <v>3600</v>
      </c>
      <c r="S304" s="149">
        <f>+E304/R304</f>
        <v>7.7679077013888884</v>
      </c>
      <c r="T304" s="126">
        <f t="shared" si="198"/>
        <v>13.333333333333334</v>
      </c>
      <c r="U304" s="126">
        <f t="shared" si="199"/>
        <v>4.3702382201700072</v>
      </c>
      <c r="V304" s="128">
        <v>40.700000000000003</v>
      </c>
      <c r="W304" s="124">
        <v>33</v>
      </c>
      <c r="X304" s="126">
        <v>2.0750000000000002</v>
      </c>
      <c r="Y304" s="124">
        <v>8040</v>
      </c>
      <c r="Z304" s="129">
        <f t="shared" si="200"/>
        <v>6.559569997496327E-2</v>
      </c>
      <c r="AA304" s="150">
        <f t="shared" si="201"/>
        <v>6.2878787878787881E-2</v>
      </c>
      <c r="AB304" s="131">
        <v>0.31169999999999998</v>
      </c>
      <c r="AC304" s="131">
        <v>1.5125</v>
      </c>
      <c r="AD304" s="131">
        <v>2.46</v>
      </c>
      <c r="AE304" s="131">
        <v>0.1371</v>
      </c>
      <c r="AF304" s="132" t="s">
        <v>81</v>
      </c>
      <c r="AG304" s="133"/>
      <c r="AH304" s="133">
        <v>43100</v>
      </c>
      <c r="AI304" s="133"/>
      <c r="AJ304" s="133"/>
      <c r="AK304" s="133"/>
      <c r="AL304" s="133"/>
      <c r="AM304" s="133"/>
      <c r="AN304" s="134"/>
      <c r="AO304" s="135">
        <f t="shared" si="170"/>
        <v>0.8979166666666667</v>
      </c>
      <c r="AP304" s="136" t="s">
        <v>82</v>
      </c>
      <c r="AQ304" s="124"/>
      <c r="AR304" s="124"/>
      <c r="AS304" s="124"/>
      <c r="AT304" s="124"/>
      <c r="AU304" s="124"/>
      <c r="AV304" s="124"/>
      <c r="AW304" s="124"/>
      <c r="AX304" s="124"/>
      <c r="AY304" s="124"/>
      <c r="AZ304" s="124"/>
      <c r="BA304" s="124"/>
      <c r="BB304" s="124"/>
      <c r="BC304" s="124"/>
      <c r="BD304" s="124"/>
      <c r="BE304" s="124"/>
      <c r="BF304" s="124">
        <v>4900</v>
      </c>
      <c r="BG304" s="124"/>
      <c r="BH304" s="137"/>
      <c r="BI304" s="138">
        <f t="shared" si="171"/>
        <v>0.10208333333333333</v>
      </c>
      <c r="BJ304" s="139">
        <v>2.74</v>
      </c>
      <c r="BK304" s="140">
        <v>40</v>
      </c>
      <c r="BL304" s="129">
        <v>4.3999999999999997E-2</v>
      </c>
      <c r="BM304" s="129">
        <v>0.19800000000000001</v>
      </c>
      <c r="BN304" s="129">
        <v>0.51300000000000001</v>
      </c>
      <c r="BO304" s="129">
        <v>1.018</v>
      </c>
      <c r="BP304" s="129">
        <v>1.62</v>
      </c>
      <c r="BQ304" s="129">
        <v>2.1749999999999998</v>
      </c>
      <c r="BR304" s="159" t="s">
        <v>104</v>
      </c>
      <c r="BS304" s="129">
        <v>2.8109999999999999</v>
      </c>
      <c r="BT304" s="122">
        <v>41</v>
      </c>
      <c r="BU304" s="124">
        <v>4000</v>
      </c>
      <c r="BV304" s="147">
        <v>42264</v>
      </c>
      <c r="BW304" s="125">
        <v>0.70198914223669917</v>
      </c>
      <c r="BX304" s="124">
        <v>39118</v>
      </c>
      <c r="BY304" s="124">
        <v>16744</v>
      </c>
      <c r="BZ304" s="125">
        <v>0.42803824326397055</v>
      </c>
      <c r="CA304" s="124">
        <v>115</v>
      </c>
      <c r="CB304" s="124">
        <v>93</v>
      </c>
      <c r="CC304" s="125">
        <v>2.9398230993404571E-3</v>
      </c>
      <c r="CD304" s="125">
        <v>2.3774221585970653E-3</v>
      </c>
    </row>
    <row r="305" spans="1:82" x14ac:dyDescent="0.25">
      <c r="A305" s="120" t="s">
        <v>108</v>
      </c>
      <c r="B305" s="121" t="s">
        <v>80</v>
      </c>
      <c r="C305" s="122">
        <v>932</v>
      </c>
      <c r="D305" s="123">
        <v>397.07</v>
      </c>
      <c r="E305" s="123">
        <v>20977.618074999998</v>
      </c>
      <c r="F305" s="124">
        <v>36800</v>
      </c>
      <c r="G305" s="124">
        <v>36315</v>
      </c>
      <c r="H305" s="125">
        <f t="shared" si="193"/>
        <v>1.3179347826086957E-2</v>
      </c>
      <c r="I305" s="120">
        <v>255</v>
      </c>
      <c r="J305" s="125">
        <f t="shared" si="194"/>
        <v>6.9293478260869564E-3</v>
      </c>
      <c r="K305" s="124">
        <v>100590</v>
      </c>
      <c r="L305" s="124">
        <v>171340</v>
      </c>
      <c r="M305" s="126">
        <f t="shared" si="195"/>
        <v>2.7699297810821975</v>
      </c>
      <c r="N305" s="126">
        <f t="shared" si="196"/>
        <v>1.7033502336216324</v>
      </c>
      <c r="O305" s="126">
        <f>+L305/((G305-CA305-CB305)*M305)</f>
        <v>1.8024699497048073</v>
      </c>
      <c r="P305" s="127">
        <f>IF(G305=0,0,+E305/G305)</f>
        <v>0.57765711345174164</v>
      </c>
      <c r="Q305" s="127">
        <f>IF(G305=0,0,+D305/G305)</f>
        <v>1.0934049290926614E-2</v>
      </c>
      <c r="R305" s="124">
        <v>2700</v>
      </c>
      <c r="S305" s="127">
        <f>IF(R305=0,0,+E305/R305)</f>
        <v>7.7694881759259253</v>
      </c>
      <c r="T305" s="126">
        <f t="shared" si="198"/>
        <v>13.62962962962963</v>
      </c>
      <c r="U305" s="126">
        <f t="shared" si="199"/>
        <v>4.718160539721878</v>
      </c>
      <c r="V305" s="128">
        <v>42.66</v>
      </c>
      <c r="W305" s="124"/>
      <c r="X305" s="126"/>
      <c r="Y305" s="124"/>
      <c r="Z305" s="129">
        <f t="shared" si="200"/>
        <v>6.4930374615147626E-2</v>
      </c>
      <c r="AA305" s="130" t="str">
        <f t="shared" si="201"/>
        <v/>
      </c>
      <c r="AB305" s="131">
        <v>0.29456521739130437</v>
      </c>
      <c r="AC305" s="131">
        <v>1.4097826086956522</v>
      </c>
      <c r="AD305" s="131">
        <v>2.5195652173913046</v>
      </c>
      <c r="AE305" s="131">
        <v>0.43206521739130432</v>
      </c>
      <c r="AF305" s="132" t="s">
        <v>81</v>
      </c>
      <c r="AG305" s="133"/>
      <c r="AH305" s="133">
        <v>7400</v>
      </c>
      <c r="AI305" s="133">
        <v>4200</v>
      </c>
      <c r="AJ305" s="133"/>
      <c r="AK305" s="124"/>
      <c r="AL305" s="124"/>
      <c r="AM305" s="124"/>
      <c r="AN305" s="137"/>
      <c r="AO305" s="135">
        <f t="shared" si="170"/>
        <v>0.31521739130434784</v>
      </c>
      <c r="AP305" s="136" t="s">
        <v>82</v>
      </c>
      <c r="AQ305" s="124"/>
      <c r="AR305" s="124"/>
      <c r="AS305" s="124"/>
      <c r="AT305" s="124"/>
      <c r="AU305" s="124"/>
      <c r="AV305" s="124"/>
      <c r="AW305" s="124"/>
      <c r="AX305" s="124"/>
      <c r="AY305" s="124"/>
      <c r="AZ305" s="124"/>
      <c r="BA305" s="124"/>
      <c r="BB305" s="124"/>
      <c r="BC305" s="124"/>
      <c r="BD305" s="124"/>
      <c r="BE305" s="124"/>
      <c r="BF305" s="124">
        <v>25200</v>
      </c>
      <c r="BG305" s="124"/>
      <c r="BH305" s="137"/>
      <c r="BI305" s="138">
        <f t="shared" si="171"/>
        <v>0.68478260869565222</v>
      </c>
      <c r="BJ305" s="139">
        <v>2.74</v>
      </c>
      <c r="BK305" s="140">
        <v>42</v>
      </c>
      <c r="BL305" s="141">
        <v>4.0500000000000001E-2</v>
      </c>
      <c r="BM305" s="141">
        <v>0.17249999999999999</v>
      </c>
      <c r="BN305" s="141">
        <v>0.48399999999999999</v>
      </c>
      <c r="BO305" s="141">
        <v>0.90300000000000002</v>
      </c>
      <c r="BP305" s="141">
        <v>1.4330000000000001</v>
      </c>
      <c r="BQ305" s="141">
        <v>2.0950000000000002</v>
      </c>
      <c r="BR305" s="141">
        <v>2.7389999999999999</v>
      </c>
      <c r="BS305" s="141">
        <v>2.7839999999999998</v>
      </c>
      <c r="BT305" s="122">
        <v>43</v>
      </c>
      <c r="BU305" s="124"/>
      <c r="BV305" s="142">
        <v>42356</v>
      </c>
      <c r="BW305" s="125">
        <v>0.69417437120986181</v>
      </c>
      <c r="BX305" s="124">
        <v>35846</v>
      </c>
      <c r="BY305" s="124">
        <v>16493</v>
      </c>
      <c r="BZ305" s="125">
        <v>0.46010712492328293</v>
      </c>
      <c r="CA305" s="124">
        <v>110</v>
      </c>
      <c r="CB305" s="124">
        <v>1887</v>
      </c>
      <c r="CC305" s="125">
        <v>3.068682698209005E-3</v>
      </c>
      <c r="CD305" s="125">
        <v>5.2641856832003571E-2</v>
      </c>
    </row>
    <row r="306" spans="1:82" x14ac:dyDescent="0.25">
      <c r="A306" s="120" t="s">
        <v>102</v>
      </c>
      <c r="B306" s="121" t="s">
        <v>86</v>
      </c>
      <c r="C306" s="122">
        <v>444</v>
      </c>
      <c r="D306" s="123">
        <v>310.68</v>
      </c>
      <c r="E306" s="123">
        <v>13129.439999999999</v>
      </c>
      <c r="F306" s="124">
        <v>22300</v>
      </c>
      <c r="G306" s="124">
        <v>22080</v>
      </c>
      <c r="H306" s="125">
        <f t="shared" si="193"/>
        <v>9.8654708520179366E-3</v>
      </c>
      <c r="I306" s="120">
        <v>347</v>
      </c>
      <c r="J306" s="125">
        <f t="shared" si="194"/>
        <v>1.5560538116591928E-2</v>
      </c>
      <c r="K306" s="124">
        <v>63060</v>
      </c>
      <c r="L306" s="124">
        <v>108600</v>
      </c>
      <c r="M306" s="126">
        <f t="shared" si="195"/>
        <v>2.8559782608695654</v>
      </c>
      <c r="N306" s="126">
        <f t="shared" si="196"/>
        <v>1.7221693625118935</v>
      </c>
      <c r="O306" s="126">
        <f>+L306/((G306-CA306-CB306)*M306)</f>
        <v>1.7282746806773297</v>
      </c>
      <c r="P306" s="127">
        <f>IF(G306=0,0,+E306/G306)</f>
        <v>0.59463043478260869</v>
      </c>
      <c r="Q306" s="127">
        <f>IF(G306=0,0,+D306/G306)</f>
        <v>1.4070652173913043E-2</v>
      </c>
      <c r="R306" s="124">
        <v>1680</v>
      </c>
      <c r="S306" s="127">
        <f>IF(R306=0,0,+E306/R306)</f>
        <v>7.8151428571428561</v>
      </c>
      <c r="T306" s="126">
        <f t="shared" si="198"/>
        <v>13.273809523809524</v>
      </c>
      <c r="U306" s="126">
        <f t="shared" si="199"/>
        <v>4.9184782608695654</v>
      </c>
      <c r="V306" s="128">
        <v>45.5</v>
      </c>
      <c r="W306" s="124"/>
      <c r="X306" s="126"/>
      <c r="Y306" s="124"/>
      <c r="Z306" s="129">
        <f t="shared" si="200"/>
        <v>6.2768752986144288E-2</v>
      </c>
      <c r="AA306" s="130" t="str">
        <f t="shared" si="201"/>
        <v/>
      </c>
      <c r="AB306" s="131">
        <v>0.91210762331838569</v>
      </c>
      <c r="AC306" s="131">
        <v>0.8645739910313901</v>
      </c>
      <c r="AD306" s="131">
        <v>3.0035874439461883</v>
      </c>
      <c r="AE306" s="131">
        <v>8.9686098654708515E-2</v>
      </c>
      <c r="AF306" s="132" t="s">
        <v>81</v>
      </c>
      <c r="AG306" s="133"/>
      <c r="AH306" s="133"/>
      <c r="AI306" s="133"/>
      <c r="AJ306" s="133"/>
      <c r="AK306" s="133"/>
      <c r="AL306" s="133"/>
      <c r="AM306" s="133"/>
      <c r="AN306" s="143"/>
      <c r="AO306" s="135">
        <f t="shared" si="170"/>
        <v>0</v>
      </c>
      <c r="AP306" s="136" t="s">
        <v>82</v>
      </c>
      <c r="AQ306" s="124"/>
      <c r="AR306" s="124"/>
      <c r="AS306" s="124"/>
      <c r="AT306" s="124"/>
      <c r="AU306" s="124"/>
      <c r="AV306" s="124"/>
      <c r="AW306" s="124"/>
      <c r="AX306" s="124"/>
      <c r="AY306" s="124"/>
      <c r="AZ306" s="124"/>
      <c r="BA306" s="124"/>
      <c r="BB306" s="124"/>
      <c r="BC306" s="124"/>
      <c r="BD306" s="124">
        <v>22300</v>
      </c>
      <c r="BE306" s="124"/>
      <c r="BF306" s="124"/>
      <c r="BG306" s="124"/>
      <c r="BH306" s="137"/>
      <c r="BI306" s="138">
        <f t="shared" si="171"/>
        <v>1</v>
      </c>
      <c r="BJ306" s="139">
        <v>2.8650000000000002</v>
      </c>
      <c r="BK306" s="140">
        <v>45</v>
      </c>
      <c r="BL306" s="129">
        <v>3.7999999999999999E-2</v>
      </c>
      <c r="BM306" s="129">
        <v>0.14399999999999999</v>
      </c>
      <c r="BN306" s="129">
        <v>0.4</v>
      </c>
      <c r="BO306" s="129">
        <v>0.76</v>
      </c>
      <c r="BP306" s="129">
        <v>1.43</v>
      </c>
      <c r="BQ306" s="129">
        <v>1.9</v>
      </c>
      <c r="BR306" s="129">
        <v>2.65</v>
      </c>
      <c r="BS306" s="129">
        <v>2.847</v>
      </c>
      <c r="BT306" s="122">
        <v>46</v>
      </c>
      <c r="BU306" s="124"/>
      <c r="BV306" s="142">
        <v>42311</v>
      </c>
      <c r="BW306" s="125">
        <v>0.69987551538217574</v>
      </c>
      <c r="BX306" s="124">
        <v>21956</v>
      </c>
      <c r="BY306" s="124">
        <v>11008</v>
      </c>
      <c r="BZ306" s="125">
        <v>0.50136636910184007</v>
      </c>
      <c r="CA306" s="124">
        <v>24</v>
      </c>
      <c r="CB306" s="124">
        <v>54</v>
      </c>
      <c r="CC306" s="125">
        <v>1.093095281472035E-3</v>
      </c>
      <c r="CD306" s="125">
        <v>2.4594643833120789E-3</v>
      </c>
    </row>
    <row r="307" spans="1:82" x14ac:dyDescent="0.25">
      <c r="A307" s="120" t="s">
        <v>122</v>
      </c>
      <c r="B307" s="121" t="s">
        <v>86</v>
      </c>
      <c r="C307" s="122">
        <v>630</v>
      </c>
      <c r="D307" s="144">
        <v>2769.68</v>
      </c>
      <c r="E307" s="144">
        <v>21442.25</v>
      </c>
      <c r="F307" s="124">
        <v>44600</v>
      </c>
      <c r="G307" s="124">
        <v>42650</v>
      </c>
      <c r="H307" s="125">
        <f t="shared" si="193"/>
        <v>4.3721973094170405E-2</v>
      </c>
      <c r="I307" s="120">
        <v>252</v>
      </c>
      <c r="J307" s="125">
        <f t="shared" si="194"/>
        <v>5.6502242152466371E-3</v>
      </c>
      <c r="K307" s="124">
        <v>111020</v>
      </c>
      <c r="L307" s="124">
        <v>190420</v>
      </c>
      <c r="M307" s="126">
        <f t="shared" si="195"/>
        <v>2.6030480656506447</v>
      </c>
      <c r="N307" s="126">
        <f t="shared" si="196"/>
        <v>1.7151864528913709</v>
      </c>
      <c r="O307" s="126">
        <f>+L307/((G307-CA307-CB307)*M307)</f>
        <v>1.7373875362977549</v>
      </c>
      <c r="P307" s="127">
        <f>IF(G307=0,0,+E307/G307)</f>
        <v>0.5027491207502931</v>
      </c>
      <c r="Q307" s="127">
        <f>IF(G307=0,0,+D307/G307)</f>
        <v>6.4939742086752628E-2</v>
      </c>
      <c r="R307" s="124">
        <v>2700</v>
      </c>
      <c r="S307" s="127">
        <f>IF(R307=0,0,+E307/R307)</f>
        <v>7.9415740740740741</v>
      </c>
      <c r="T307" s="126">
        <f t="shared" si="198"/>
        <v>16.518518518518519</v>
      </c>
      <c r="U307" s="126">
        <f t="shared" si="199"/>
        <v>4.4647127784290737</v>
      </c>
      <c r="V307" s="128">
        <v>40</v>
      </c>
      <c r="W307" s="124">
        <v>34</v>
      </c>
      <c r="X307" s="126">
        <v>2.117</v>
      </c>
      <c r="Y307" s="124">
        <v>7500</v>
      </c>
      <c r="Z307" s="129">
        <f t="shared" si="200"/>
        <v>6.5076201641266124E-2</v>
      </c>
      <c r="AA307" s="145">
        <f t="shared" si="201"/>
        <v>6.2264705882352944E-2</v>
      </c>
      <c r="AB307" s="129">
        <v>0.30313901345291477</v>
      </c>
      <c r="AC307" s="129">
        <v>1.4721973094170404</v>
      </c>
      <c r="AD307" s="129">
        <v>2.1461883408071749</v>
      </c>
      <c r="AE307" s="129">
        <v>0.34798206278026905</v>
      </c>
      <c r="AF307" s="132" t="s">
        <v>81</v>
      </c>
      <c r="AG307" s="133"/>
      <c r="AH307" s="124"/>
      <c r="AI307" s="133">
        <v>17700</v>
      </c>
      <c r="AJ307" s="133"/>
      <c r="AK307" s="133"/>
      <c r="AL307" s="146"/>
      <c r="AM307" s="133"/>
      <c r="AN307" s="134"/>
      <c r="AO307" s="135">
        <f t="shared" si="170"/>
        <v>0.39686098654708518</v>
      </c>
      <c r="AP307" s="136" t="s">
        <v>82</v>
      </c>
      <c r="AQ307" s="133"/>
      <c r="AR307" s="124"/>
      <c r="AS307" s="124"/>
      <c r="AT307" s="124"/>
      <c r="AU307" s="124"/>
      <c r="AV307" s="124"/>
      <c r="AW307" s="146"/>
      <c r="AX307" s="124"/>
      <c r="AY307" s="124"/>
      <c r="AZ307" s="124"/>
      <c r="BA307" s="124"/>
      <c r="BB307" s="124"/>
      <c r="BC307" s="124"/>
      <c r="BD307" s="124"/>
      <c r="BE307" s="124">
        <v>26900</v>
      </c>
      <c r="BF307" s="133"/>
      <c r="BG307" s="124"/>
      <c r="BH307" s="137"/>
      <c r="BI307" s="138">
        <f t="shared" si="171"/>
        <v>0.60313901345291476</v>
      </c>
      <c r="BJ307" s="139">
        <v>2.714</v>
      </c>
      <c r="BK307" s="140">
        <v>42</v>
      </c>
      <c r="BL307" s="129"/>
      <c r="BM307" s="129">
        <v>0.184</v>
      </c>
      <c r="BN307" s="129">
        <v>0.47799999999999998</v>
      </c>
      <c r="BO307" s="129">
        <v>0.97</v>
      </c>
      <c r="BP307" s="129">
        <v>1.575</v>
      </c>
      <c r="BQ307" s="129"/>
      <c r="BR307" s="129"/>
      <c r="BS307" s="129">
        <v>2.6640000000000001</v>
      </c>
      <c r="BT307" s="122">
        <v>43</v>
      </c>
      <c r="BU307" s="124"/>
      <c r="BV307" s="147">
        <v>42165</v>
      </c>
      <c r="BW307" s="125">
        <v>0.71109533319318896</v>
      </c>
      <c r="BX307" s="124">
        <v>34742</v>
      </c>
      <c r="BY307" s="124">
        <v>15808</v>
      </c>
      <c r="BZ307" s="125">
        <v>0.45501122560589491</v>
      </c>
      <c r="CA307" s="124">
        <v>93</v>
      </c>
      <c r="CB307" s="124">
        <v>452</v>
      </c>
      <c r="CC307" s="125">
        <v>2.6768752518565426E-3</v>
      </c>
      <c r="CD307" s="125">
        <v>1.301018939611997E-2</v>
      </c>
    </row>
    <row r="308" spans="1:82" x14ac:dyDescent="0.25">
      <c r="A308" s="120" t="s">
        <v>122</v>
      </c>
      <c r="B308" s="121" t="s">
        <v>86</v>
      </c>
      <c r="C308" s="122">
        <v>630</v>
      </c>
      <c r="D308" s="157">
        <v>1634.37</v>
      </c>
      <c r="E308" s="157">
        <v>21647.230000000003</v>
      </c>
      <c r="F308" s="124">
        <v>45700</v>
      </c>
      <c r="G308" s="124">
        <v>44439</v>
      </c>
      <c r="H308" s="125">
        <v>2.7592997811816192E-2</v>
      </c>
      <c r="I308" s="120">
        <v>563</v>
      </c>
      <c r="J308" s="125">
        <v>1.2319474835886215E-2</v>
      </c>
      <c r="K308" s="124">
        <v>111220</v>
      </c>
      <c r="L308" s="124">
        <v>190240</v>
      </c>
      <c r="M308" s="126">
        <v>2.5027565876819908</v>
      </c>
      <c r="N308" s="126">
        <v>1.7104837259485703</v>
      </c>
      <c r="O308" s="126">
        <v>1.7182943304796556</v>
      </c>
      <c r="P308" s="127">
        <v>0.48712234748756728</v>
      </c>
      <c r="Q308" s="127">
        <v>3.6777830284209813E-2</v>
      </c>
      <c r="R308" s="124">
        <v>2700</v>
      </c>
      <c r="S308" s="127">
        <v>8.0174925925925944</v>
      </c>
      <c r="T308" s="126">
        <v>16.925925925925927</v>
      </c>
      <c r="U308" s="126">
        <v>4.2809244132406219</v>
      </c>
      <c r="V308" s="128">
        <v>42.28</v>
      </c>
      <c r="W308" s="124">
        <v>33</v>
      </c>
      <c r="X308" s="126">
        <v>1.9490000000000001</v>
      </c>
      <c r="Y308" s="124">
        <v>8064</v>
      </c>
      <c r="Z308" s="129">
        <v>5.9194810493897604E-2</v>
      </c>
      <c r="AA308" s="158">
        <v>5.9060606060606063E-2</v>
      </c>
      <c r="AB308" s="129">
        <v>0.2975929978118162</v>
      </c>
      <c r="AC308" s="129">
        <v>1.4411378555798686</v>
      </c>
      <c r="AD308" s="129">
        <v>2.2708971553610504</v>
      </c>
      <c r="AE308" s="129">
        <v>0.15317286652078774</v>
      </c>
      <c r="AF308" s="132" t="s">
        <v>81</v>
      </c>
      <c r="AG308" s="133"/>
      <c r="AH308" s="133">
        <v>32200</v>
      </c>
      <c r="AI308" s="133"/>
      <c r="AJ308" s="133"/>
      <c r="AK308" s="133"/>
      <c r="AL308" s="120"/>
      <c r="AM308" s="133"/>
      <c r="AN308" s="134"/>
      <c r="AO308" s="135">
        <f t="shared" si="170"/>
        <v>0.70459518599562365</v>
      </c>
      <c r="AP308" s="136" t="s">
        <v>82</v>
      </c>
      <c r="AQ308" s="124"/>
      <c r="AR308" s="124"/>
      <c r="AS308" s="124"/>
      <c r="AT308" s="124"/>
      <c r="AU308" s="124"/>
      <c r="AV308" s="124"/>
      <c r="AW308" s="124"/>
      <c r="AX308" s="124"/>
      <c r="AY308" s="124">
        <v>13500</v>
      </c>
      <c r="AZ308" s="124"/>
      <c r="BA308" s="124"/>
      <c r="BB308" s="124"/>
      <c r="BC308" s="124"/>
      <c r="BD308" s="124"/>
      <c r="BE308" s="124"/>
      <c r="BF308" s="124"/>
      <c r="BG308" s="124"/>
      <c r="BH308" s="137"/>
      <c r="BI308" s="138">
        <f t="shared" si="171"/>
        <v>0.29540481400437635</v>
      </c>
      <c r="BJ308" s="139">
        <v>2.61</v>
      </c>
      <c r="BK308" s="140">
        <v>41</v>
      </c>
      <c r="BL308" s="129"/>
      <c r="BM308" s="129">
        <v>0.16800000000000001</v>
      </c>
      <c r="BN308" s="129">
        <v>0.46450000000000002</v>
      </c>
      <c r="BO308" s="129">
        <v>0.89</v>
      </c>
      <c r="BP308" s="129">
        <v>1.59</v>
      </c>
      <c r="BQ308" s="129">
        <v>2.0750000000000002</v>
      </c>
      <c r="BR308" s="129">
        <v>2.5960000000000001</v>
      </c>
      <c r="BS308" s="129">
        <v>2.7040000000000002</v>
      </c>
      <c r="BT308" s="122">
        <v>44</v>
      </c>
      <c r="BU308" s="124"/>
      <c r="BV308" s="147">
        <v>42225</v>
      </c>
      <c r="BW308" s="125">
        <v>0.71658963350785343</v>
      </c>
      <c r="BX308" s="124">
        <v>35998</v>
      </c>
      <c r="BY308" s="124">
        <v>17336</v>
      </c>
      <c r="BZ308" s="125">
        <v>0.48158231012834046</v>
      </c>
      <c r="CA308" s="124">
        <v>204</v>
      </c>
      <c r="CB308" s="124">
        <v>262</v>
      </c>
      <c r="CC308" s="125">
        <v>5.6669814989721654E-3</v>
      </c>
      <c r="CD308" s="125">
        <v>7.2781821212289568E-3</v>
      </c>
    </row>
    <row r="309" spans="1:82" x14ac:dyDescent="0.25">
      <c r="A309" s="120" t="s">
        <v>130</v>
      </c>
      <c r="B309" s="121" t="s">
        <v>80</v>
      </c>
      <c r="C309" s="122">
        <v>870</v>
      </c>
      <c r="D309" s="144">
        <v>685.89</v>
      </c>
      <c r="E309" s="144">
        <v>35677.902575</v>
      </c>
      <c r="F309" s="124">
        <v>59500</v>
      </c>
      <c r="G309" s="124">
        <v>57215</v>
      </c>
      <c r="H309" s="125">
        <f t="shared" ref="H309:H325" si="202">IF(F309=0,0,+((F309-G309)/F309))</f>
        <v>3.8403361344537812E-2</v>
      </c>
      <c r="I309" s="120">
        <f>1179+220</f>
        <v>1399</v>
      </c>
      <c r="J309" s="125">
        <f t="shared" ref="J309:J325" si="203">+(I309/F309)</f>
        <v>2.3512605042016806E-2</v>
      </c>
      <c r="K309" s="124">
        <v>167020</v>
      </c>
      <c r="L309" s="124">
        <v>296920</v>
      </c>
      <c r="M309" s="126">
        <f t="shared" ref="M309:M325" si="204">IF(G309=0,0,+K309/G309)</f>
        <v>2.9191645547496288</v>
      </c>
      <c r="N309" s="126">
        <f t="shared" ref="N309:N325" si="205">IF(K309=0,0,+L309/K309)</f>
        <v>1.7777511675248474</v>
      </c>
      <c r="O309" s="126">
        <f t="shared" ref="O309:O325" si="206">+L309/((G309-CA309-CB309)*M309)</f>
        <v>1.796591593216182</v>
      </c>
      <c r="P309" s="127">
        <f>+E309/G309</f>
        <v>0.62357603032421571</v>
      </c>
      <c r="Q309" s="127">
        <f>+D309/G309</f>
        <v>1.198794022546535E-2</v>
      </c>
      <c r="R309" s="124">
        <v>4400</v>
      </c>
      <c r="S309" s="127">
        <f>+E309/R309</f>
        <v>8.1086142215909085</v>
      </c>
      <c r="T309" s="126">
        <f t="shared" ref="T309:T325" si="207">IF(R309=0,0,+F309/R309)</f>
        <v>13.522727272727273</v>
      </c>
      <c r="U309" s="126">
        <f t="shared" ref="U309:U325" si="208">IF(L309=0,0,+L309/G309)</f>
        <v>5.1895481954033036</v>
      </c>
      <c r="V309" s="128">
        <v>42.29</v>
      </c>
      <c r="W309" s="124"/>
      <c r="X309" s="126"/>
      <c r="Y309" s="124"/>
      <c r="Z309" s="129">
        <f t="shared" ref="Z309:Z325" si="209">IF(V309=0,0,+M309/V309)</f>
        <v>6.9027300892637242E-2</v>
      </c>
      <c r="AA309" s="145" t="str">
        <f t="shared" ref="AA309:AA325" si="210">IF(W309=0,"",+X309/W309)</f>
        <v/>
      </c>
      <c r="AB309" s="129">
        <v>0.29714285714285715</v>
      </c>
      <c r="AC309" s="129">
        <v>1.4161344537815126</v>
      </c>
      <c r="AD309" s="129">
        <v>2.510252100840336</v>
      </c>
      <c r="AE309" s="129">
        <v>0.76672268907563024</v>
      </c>
      <c r="AF309" s="132" t="s">
        <v>81</v>
      </c>
      <c r="AG309" s="133"/>
      <c r="AH309" s="133"/>
      <c r="AI309" s="133"/>
      <c r="AJ309" s="133"/>
      <c r="AK309" s="133"/>
      <c r="AL309" s="146"/>
      <c r="AM309" s="124"/>
      <c r="AN309" s="134"/>
      <c r="AO309" s="135">
        <f t="shared" si="170"/>
        <v>0</v>
      </c>
      <c r="AP309" s="136" t="s">
        <v>82</v>
      </c>
      <c r="AQ309" s="133"/>
      <c r="AR309" s="124"/>
      <c r="AS309" s="124">
        <v>18500</v>
      </c>
      <c r="AT309" s="124">
        <v>8400</v>
      </c>
      <c r="AU309" s="133"/>
      <c r="AV309" s="124">
        <v>25000</v>
      </c>
      <c r="AW309" s="146"/>
      <c r="AX309" s="124"/>
      <c r="AY309" s="133"/>
      <c r="AZ309" s="124"/>
      <c r="BA309" s="124"/>
      <c r="BB309" s="124"/>
      <c r="BC309" s="124">
        <v>7600</v>
      </c>
      <c r="BD309" s="124"/>
      <c r="BE309" s="124"/>
      <c r="BF309" s="124"/>
      <c r="BG309" s="124"/>
      <c r="BH309" s="137"/>
      <c r="BI309" s="138">
        <f t="shared" si="171"/>
        <v>1</v>
      </c>
      <c r="BJ309" s="139">
        <v>2.9409999999999998</v>
      </c>
      <c r="BK309" s="140">
        <v>42</v>
      </c>
      <c r="BL309" s="129">
        <v>4.4999999999999998E-2</v>
      </c>
      <c r="BM309" s="129">
        <v>0.2</v>
      </c>
      <c r="BN309" s="129">
        <v>0.48849999999999999</v>
      </c>
      <c r="BO309" s="129">
        <v>0.98950000000000005</v>
      </c>
      <c r="BP309" s="129">
        <v>1.597</v>
      </c>
      <c r="BQ309" s="129">
        <v>2.2999999999999998</v>
      </c>
      <c r="BR309" s="129">
        <v>2.895</v>
      </c>
      <c r="BS309" s="129">
        <v>2.8639999999999999</v>
      </c>
      <c r="BT309" s="122">
        <v>43</v>
      </c>
      <c r="BU309" s="124"/>
      <c r="BV309" s="147">
        <v>42080</v>
      </c>
      <c r="BW309" s="125">
        <v>0.70637253023589985</v>
      </c>
      <c r="BX309" s="124">
        <v>56572</v>
      </c>
      <c r="BY309" s="124">
        <v>26160</v>
      </c>
      <c r="BZ309" s="125">
        <v>0.4624195715194796</v>
      </c>
      <c r="CA309" s="124">
        <v>143</v>
      </c>
      <c r="CB309" s="124">
        <v>457</v>
      </c>
      <c r="CC309" s="125">
        <v>2.5277522449268187E-3</v>
      </c>
      <c r="CD309" s="125">
        <v>8.0782012302906027E-3</v>
      </c>
    </row>
    <row r="310" spans="1:82" x14ac:dyDescent="0.25">
      <c r="A310" s="120" t="s">
        <v>113</v>
      </c>
      <c r="B310" s="121" t="s">
        <v>91</v>
      </c>
      <c r="C310" s="122">
        <v>1002</v>
      </c>
      <c r="D310" s="123">
        <v>365.31</v>
      </c>
      <c r="E310" s="123">
        <v>13644.43</v>
      </c>
      <c r="F310" s="124">
        <v>21100</v>
      </c>
      <c r="G310" s="124">
        <v>20840</v>
      </c>
      <c r="H310" s="125">
        <f t="shared" si="202"/>
        <v>1.2322274881516588E-2</v>
      </c>
      <c r="I310" s="120">
        <v>115</v>
      </c>
      <c r="J310" s="125">
        <f t="shared" si="203"/>
        <v>5.4502369668246444E-3</v>
      </c>
      <c r="K310" s="124">
        <v>63380</v>
      </c>
      <c r="L310" s="124">
        <v>105140</v>
      </c>
      <c r="M310" s="126">
        <f t="shared" si="204"/>
        <v>3.0412667946257197</v>
      </c>
      <c r="N310" s="126">
        <f t="shared" si="205"/>
        <v>1.6588829283685704</v>
      </c>
      <c r="O310" s="126">
        <f t="shared" si="206"/>
        <v>1.6680878276092164</v>
      </c>
      <c r="P310" s="127">
        <f t="shared" ref="P310:P322" si="211">IF(G310=0,0,+E310/G310)</f>
        <v>0.6547231285988484</v>
      </c>
      <c r="Q310" s="127">
        <f t="shared" ref="Q310:Q322" si="212">IF(G310=0,0,+D310/G310)</f>
        <v>1.7529270633397313E-2</v>
      </c>
      <c r="R310" s="124">
        <v>1680</v>
      </c>
      <c r="S310" s="127">
        <f t="shared" ref="S310:S322" si="213">IF(R310=0,0,+E310/R310)</f>
        <v>8.1216845238095239</v>
      </c>
      <c r="T310" s="126">
        <f t="shared" si="207"/>
        <v>12.55952380952381</v>
      </c>
      <c r="U310" s="126">
        <f t="shared" si="208"/>
        <v>5.04510556621881</v>
      </c>
      <c r="V310" s="128">
        <v>46.14</v>
      </c>
      <c r="W310" s="124"/>
      <c r="X310" s="126"/>
      <c r="Y310" s="124"/>
      <c r="Z310" s="129">
        <f t="shared" si="209"/>
        <v>6.5913888049972252E-2</v>
      </c>
      <c r="AA310" s="130" t="str">
        <f t="shared" si="210"/>
        <v/>
      </c>
      <c r="AB310" s="131">
        <v>0.31930835734870316</v>
      </c>
      <c r="AC310" s="131">
        <v>1.4628242074927953</v>
      </c>
      <c r="AD310" s="131">
        <v>2.3694524495677234</v>
      </c>
      <c r="AE310" s="131">
        <v>1.3579250720461096</v>
      </c>
      <c r="AF310" s="132" t="s">
        <v>81</v>
      </c>
      <c r="AG310" s="133"/>
      <c r="AH310" s="133"/>
      <c r="AI310" s="133"/>
      <c r="AJ310" s="133"/>
      <c r="AK310" s="133"/>
      <c r="AL310" s="133"/>
      <c r="AM310" s="133"/>
      <c r="AN310" s="134"/>
      <c r="AO310" s="135">
        <f t="shared" si="170"/>
        <v>0</v>
      </c>
      <c r="AP310" s="136" t="s">
        <v>82</v>
      </c>
      <c r="AQ310" s="133"/>
      <c r="AR310" s="124"/>
      <c r="AS310" s="124"/>
      <c r="AT310" s="124"/>
      <c r="AU310" s="124"/>
      <c r="AV310" s="124"/>
      <c r="AW310" s="124"/>
      <c r="AX310" s="124"/>
      <c r="AY310" s="124"/>
      <c r="AZ310" s="124"/>
      <c r="BA310" s="124"/>
      <c r="BB310" s="124"/>
      <c r="BC310" s="124"/>
      <c r="BD310" s="124">
        <v>21100</v>
      </c>
      <c r="BE310" s="124"/>
      <c r="BF310" s="133"/>
      <c r="BG310" s="124"/>
      <c r="BH310" s="137"/>
      <c r="BI310" s="138">
        <f t="shared" si="171"/>
        <v>1</v>
      </c>
      <c r="BJ310" s="139">
        <v>2.8530000000000002</v>
      </c>
      <c r="BK310" s="140">
        <v>44</v>
      </c>
      <c r="BL310" s="129">
        <v>3.5999999999999997E-2</v>
      </c>
      <c r="BM310" s="129">
        <v>0.17</v>
      </c>
      <c r="BN310" s="129">
        <v>0.47699999999999998</v>
      </c>
      <c r="BO310" s="129">
        <v>0.94199999999999995</v>
      </c>
      <c r="BP310" s="129">
        <v>1.486</v>
      </c>
      <c r="BQ310" s="129">
        <v>2.097</v>
      </c>
      <c r="BR310" s="129"/>
      <c r="BS310" s="129">
        <v>3.117</v>
      </c>
      <c r="BT310" s="122">
        <v>47</v>
      </c>
      <c r="BU310" s="124"/>
      <c r="BV310" s="142">
        <v>42302</v>
      </c>
      <c r="BW310" s="125">
        <v>0.70475165667402961</v>
      </c>
      <c r="BX310" s="124">
        <v>20736</v>
      </c>
      <c r="BY310" s="124">
        <v>10016</v>
      </c>
      <c r="BZ310" s="125">
        <v>0.48302469135802467</v>
      </c>
      <c r="CA310" s="124">
        <v>49</v>
      </c>
      <c r="CB310" s="124">
        <v>66</v>
      </c>
      <c r="CC310" s="125">
        <v>2.3630401234567902E-3</v>
      </c>
      <c r="CD310" s="125">
        <v>3.1828703703703702E-3</v>
      </c>
    </row>
    <row r="311" spans="1:82" x14ac:dyDescent="0.25">
      <c r="A311" s="120" t="s">
        <v>130</v>
      </c>
      <c r="B311" s="121" t="s">
        <v>80</v>
      </c>
      <c r="C311" s="122">
        <v>870</v>
      </c>
      <c r="D311" s="148">
        <v>829.54</v>
      </c>
      <c r="E311" s="148">
        <v>35857.184499999996</v>
      </c>
      <c r="F311" s="124">
        <v>58200</v>
      </c>
      <c r="G311" s="124">
        <v>56900</v>
      </c>
      <c r="H311" s="125">
        <f t="shared" si="202"/>
        <v>2.2336769759450172E-2</v>
      </c>
      <c r="I311" s="120"/>
      <c r="J311" s="125">
        <f t="shared" si="203"/>
        <v>0</v>
      </c>
      <c r="K311" s="124">
        <v>173200</v>
      </c>
      <c r="L311" s="124">
        <v>314400</v>
      </c>
      <c r="M311" s="126">
        <f t="shared" si="204"/>
        <v>3.0439367311072054</v>
      </c>
      <c r="N311" s="126">
        <f t="shared" si="205"/>
        <v>1.8152424942263279</v>
      </c>
      <c r="O311" s="126">
        <f t="shared" si="206"/>
        <v>1.8635507067474617</v>
      </c>
      <c r="P311" s="127">
        <f t="shared" si="211"/>
        <v>0.63017898945518447</v>
      </c>
      <c r="Q311" s="127">
        <f t="shared" si="212"/>
        <v>1.457891036906854E-2</v>
      </c>
      <c r="R311" s="124">
        <v>4400</v>
      </c>
      <c r="S311" s="127">
        <f t="shared" si="213"/>
        <v>8.1493601136363623</v>
      </c>
      <c r="T311" s="126">
        <f t="shared" si="207"/>
        <v>13.227272727272727</v>
      </c>
      <c r="U311" s="126">
        <f t="shared" si="208"/>
        <v>5.5254833040421794</v>
      </c>
      <c r="V311" s="128">
        <v>43.14</v>
      </c>
      <c r="W311" s="124"/>
      <c r="X311" s="126"/>
      <c r="Y311" s="124"/>
      <c r="Z311" s="129">
        <f t="shared" si="209"/>
        <v>7.0559497707631091E-2</v>
      </c>
      <c r="AA311" s="150" t="str">
        <f t="shared" si="210"/>
        <v/>
      </c>
      <c r="AB311" s="129">
        <v>0.30893470790378008</v>
      </c>
      <c r="AC311" s="129">
        <v>1.3567010309278351</v>
      </c>
      <c r="AD311" s="129">
        <v>2.5838487972508593</v>
      </c>
      <c r="AE311" s="129">
        <v>1.1525773195876288</v>
      </c>
      <c r="AF311" s="132" t="s">
        <v>81</v>
      </c>
      <c r="AG311" s="152"/>
      <c r="AH311" s="152"/>
      <c r="AI311" s="152"/>
      <c r="AJ311" s="152"/>
      <c r="AK311" s="152">
        <v>32300</v>
      </c>
      <c r="AL311" s="120"/>
      <c r="AM311" s="152"/>
      <c r="AN311" s="153"/>
      <c r="AO311" s="135">
        <f t="shared" si="170"/>
        <v>0.55498281786941583</v>
      </c>
      <c r="AP311" s="136" t="s">
        <v>82</v>
      </c>
      <c r="AQ311" s="152"/>
      <c r="AR311" s="120"/>
      <c r="AS311" s="120"/>
      <c r="AT311" s="120"/>
      <c r="AU311" s="120"/>
      <c r="AV311" s="120">
        <v>25900</v>
      </c>
      <c r="AW311" s="120"/>
      <c r="AX311" s="120"/>
      <c r="AY311" s="120"/>
      <c r="AZ311" s="120"/>
      <c r="BA311" s="120"/>
      <c r="BB311" s="120"/>
      <c r="BC311" s="120"/>
      <c r="BD311" s="120"/>
      <c r="BE311" s="120"/>
      <c r="BF311" s="120"/>
      <c r="BG311" s="120"/>
      <c r="BH311" s="154"/>
      <c r="BI311" s="138">
        <f t="shared" si="171"/>
        <v>0.44501718213058417</v>
      </c>
      <c r="BJ311" s="139">
        <v>3.0259999999999998</v>
      </c>
      <c r="BK311" s="140">
        <v>41</v>
      </c>
      <c r="BL311" s="129">
        <v>4.1000000000000002E-2</v>
      </c>
      <c r="BM311" s="129">
        <v>0.182</v>
      </c>
      <c r="BN311" s="129">
        <v>0.45600000000000002</v>
      </c>
      <c r="BO311" s="129">
        <v>0.91600000000000004</v>
      </c>
      <c r="BP311" s="129">
        <v>1.512</v>
      </c>
      <c r="BQ311" s="129">
        <v>2.2000000000000002</v>
      </c>
      <c r="BR311" s="129">
        <v>3.0259999999999998</v>
      </c>
      <c r="BS311" s="129">
        <v>3.2</v>
      </c>
      <c r="BT311" s="122">
        <v>48</v>
      </c>
      <c r="BU311" s="124"/>
      <c r="BV311" s="147">
        <v>42019</v>
      </c>
      <c r="BW311" s="125">
        <v>0.68477603926096997</v>
      </c>
      <c r="BX311" s="120">
        <v>55131</v>
      </c>
      <c r="BY311" s="124">
        <v>18664</v>
      </c>
      <c r="BZ311" s="125">
        <v>0.33853911592389035</v>
      </c>
      <c r="CA311" s="124">
        <v>421</v>
      </c>
      <c r="CB311" s="124">
        <v>1054</v>
      </c>
      <c r="CC311" s="125">
        <v>7.6363570405035283E-3</v>
      </c>
      <c r="CD311" s="125">
        <v>1.9118100524205983E-2</v>
      </c>
    </row>
    <row r="312" spans="1:82" x14ac:dyDescent="0.25">
      <c r="A312" s="120" t="s">
        <v>122</v>
      </c>
      <c r="B312" s="121" t="s">
        <v>86</v>
      </c>
      <c r="C312" s="122">
        <v>630</v>
      </c>
      <c r="D312" s="148">
        <v>2121.5619999999999</v>
      </c>
      <c r="E312" s="148">
        <v>22027.540675</v>
      </c>
      <c r="F312" s="124">
        <v>45400</v>
      </c>
      <c r="G312" s="124">
        <v>43435</v>
      </c>
      <c r="H312" s="125">
        <f t="shared" si="202"/>
        <v>4.3281938325991191E-2</v>
      </c>
      <c r="I312" s="120">
        <f>259+224</f>
        <v>483</v>
      </c>
      <c r="J312" s="125">
        <f t="shared" si="203"/>
        <v>1.0638766519823789E-2</v>
      </c>
      <c r="K312" s="124">
        <v>119900</v>
      </c>
      <c r="L312" s="124">
        <v>209920</v>
      </c>
      <c r="M312" s="126">
        <f t="shared" si="204"/>
        <v>2.7604466444111893</v>
      </c>
      <c r="N312" s="126">
        <f t="shared" si="205"/>
        <v>1.7507923269391159</v>
      </c>
      <c r="O312" s="126">
        <f t="shared" si="206"/>
        <v>1.7785963308214168</v>
      </c>
      <c r="P312" s="127">
        <f t="shared" si="211"/>
        <v>0.5071380378726833</v>
      </c>
      <c r="Q312" s="127">
        <f t="shared" si="212"/>
        <v>4.8844526303672149E-2</v>
      </c>
      <c r="R312" s="124">
        <v>2700</v>
      </c>
      <c r="S312" s="127">
        <f t="shared" si="213"/>
        <v>8.1583483981481475</v>
      </c>
      <c r="T312" s="126">
        <f t="shared" si="207"/>
        <v>16.814814814814813</v>
      </c>
      <c r="U312" s="126">
        <f t="shared" si="208"/>
        <v>4.8329688039599406</v>
      </c>
      <c r="V312" s="128">
        <v>42.87</v>
      </c>
      <c r="W312" s="124">
        <v>31</v>
      </c>
      <c r="X312" s="126">
        <v>1.87</v>
      </c>
      <c r="Y312" s="124">
        <v>8000</v>
      </c>
      <c r="Z312" s="129">
        <f t="shared" si="209"/>
        <v>6.439110437161627E-2</v>
      </c>
      <c r="AA312" s="150">
        <f t="shared" si="210"/>
        <v>6.0322580645161293E-2</v>
      </c>
      <c r="AB312" s="129">
        <v>0.29691629955947135</v>
      </c>
      <c r="AC312" s="129">
        <v>1.4140969162995596</v>
      </c>
      <c r="AD312" s="129">
        <v>2.4964757709251102</v>
      </c>
      <c r="AE312" s="129">
        <v>0.41629955947136565</v>
      </c>
      <c r="AF312" s="132" t="s">
        <v>81</v>
      </c>
      <c r="AG312" s="152"/>
      <c r="AH312" s="152"/>
      <c r="AI312" s="152"/>
      <c r="AJ312" s="152"/>
      <c r="AK312" s="152"/>
      <c r="AL312" s="120"/>
      <c r="AM312" s="152"/>
      <c r="AN312" s="153"/>
      <c r="AO312" s="135">
        <f t="shared" si="170"/>
        <v>0</v>
      </c>
      <c r="AP312" s="136" t="s">
        <v>82</v>
      </c>
      <c r="AQ312" s="152"/>
      <c r="AR312" s="120"/>
      <c r="AS312" s="120"/>
      <c r="AT312" s="120"/>
      <c r="AU312" s="120"/>
      <c r="AV312" s="120">
        <v>45400</v>
      </c>
      <c r="AW312" s="120"/>
      <c r="AX312" s="120"/>
      <c r="AY312" s="120"/>
      <c r="AZ312" s="120"/>
      <c r="BA312" s="120"/>
      <c r="BB312" s="120"/>
      <c r="BC312" s="120"/>
      <c r="BD312" s="120"/>
      <c r="BE312" s="120"/>
      <c r="BF312" s="120"/>
      <c r="BG312" s="120"/>
      <c r="BH312" s="154"/>
      <c r="BI312" s="138">
        <f t="shared" si="171"/>
        <v>1</v>
      </c>
      <c r="BJ312" s="139">
        <v>2.8260000000000001</v>
      </c>
      <c r="BK312" s="140">
        <v>42</v>
      </c>
      <c r="BL312" s="129">
        <v>3.7499999999999999E-2</v>
      </c>
      <c r="BM312" s="129">
        <v>0.1895</v>
      </c>
      <c r="BN312" s="129">
        <v>0.47</v>
      </c>
      <c r="BO312" s="129">
        <v>0.98499999999999999</v>
      </c>
      <c r="BP312" s="129">
        <v>1.575</v>
      </c>
      <c r="BQ312" s="129">
        <v>2.1749999999999998</v>
      </c>
      <c r="BR312" s="129">
        <v>2.7749999999999999</v>
      </c>
      <c r="BS312" s="129">
        <v>3.1360000000000001</v>
      </c>
      <c r="BT312" s="122">
        <v>44</v>
      </c>
      <c r="BU312" s="124"/>
      <c r="BV312" s="147">
        <v>42029</v>
      </c>
      <c r="BW312" s="125">
        <v>0.69412502382313701</v>
      </c>
      <c r="BX312" s="120">
        <v>31810</v>
      </c>
      <c r="BY312" s="124">
        <v>13488</v>
      </c>
      <c r="BZ312" s="125">
        <v>0.42401760452687837</v>
      </c>
      <c r="CA312" s="124">
        <v>337</v>
      </c>
      <c r="CB312" s="124">
        <v>342</v>
      </c>
      <c r="CC312" s="125">
        <v>1.0594152782143981E-2</v>
      </c>
      <c r="CD312" s="125">
        <v>1.0751336057843446E-2</v>
      </c>
    </row>
    <row r="313" spans="1:82" x14ac:dyDescent="0.25">
      <c r="A313" s="120" t="s">
        <v>127</v>
      </c>
      <c r="B313" s="121" t="s">
        <v>86</v>
      </c>
      <c r="C313" s="122">
        <v>736</v>
      </c>
      <c r="D313" s="123">
        <v>1354.93</v>
      </c>
      <c r="E313" s="123">
        <v>50654.99</v>
      </c>
      <c r="F313" s="124">
        <v>92600</v>
      </c>
      <c r="G313" s="124">
        <v>91915</v>
      </c>
      <c r="H313" s="125">
        <f t="shared" si="202"/>
        <v>7.3974082073434127E-3</v>
      </c>
      <c r="I313" s="120">
        <v>493</v>
      </c>
      <c r="J313" s="125">
        <f t="shared" si="203"/>
        <v>5.3239740820734344E-3</v>
      </c>
      <c r="K313" s="124">
        <v>247920</v>
      </c>
      <c r="L313" s="124">
        <v>424880</v>
      </c>
      <c r="M313" s="126">
        <f t="shared" si="204"/>
        <v>2.697274655932111</v>
      </c>
      <c r="N313" s="126">
        <f t="shared" si="205"/>
        <v>1.7137786382704099</v>
      </c>
      <c r="O313" s="126">
        <f t="shared" si="206"/>
        <v>1.7256062171947715</v>
      </c>
      <c r="P313" s="127">
        <f t="shared" si="211"/>
        <v>0.55110689223739318</v>
      </c>
      <c r="Q313" s="127">
        <f t="shared" si="212"/>
        <v>1.4741119512593158E-2</v>
      </c>
      <c r="R313" s="124">
        <v>6053</v>
      </c>
      <c r="S313" s="127">
        <f t="shared" si="213"/>
        <v>8.3685759127705275</v>
      </c>
      <c r="T313" s="126">
        <f t="shared" si="207"/>
        <v>15.298199240046259</v>
      </c>
      <c r="U313" s="126">
        <f t="shared" si="208"/>
        <v>4.6225316868846216</v>
      </c>
      <c r="V313" s="128">
        <v>45.3</v>
      </c>
      <c r="W313" s="124">
        <v>35</v>
      </c>
      <c r="X313" s="126">
        <v>1.927</v>
      </c>
      <c r="Y313" s="124">
        <v>24500</v>
      </c>
      <c r="Z313" s="129">
        <f t="shared" si="209"/>
        <v>5.9542486885918566E-2</v>
      </c>
      <c r="AA313" s="130">
        <f t="shared" si="210"/>
        <v>5.505714285714286E-2</v>
      </c>
      <c r="AB313" s="131">
        <v>0.30367170626349893</v>
      </c>
      <c r="AC313" s="131">
        <v>1.3704103671706263</v>
      </c>
      <c r="AD313" s="131">
        <v>2.6049676025917927</v>
      </c>
      <c r="AE313" s="131">
        <v>0.30928725701943843</v>
      </c>
      <c r="AF313" s="132" t="s">
        <v>81</v>
      </c>
      <c r="AG313" s="133"/>
      <c r="AH313" s="133"/>
      <c r="AI313" s="133"/>
      <c r="AJ313" s="133"/>
      <c r="AK313" s="133"/>
      <c r="AL313" s="133">
        <v>2600</v>
      </c>
      <c r="AM313" s="133"/>
      <c r="AN313" s="143"/>
      <c r="AO313" s="135">
        <f t="shared" si="170"/>
        <v>2.8077753779697623E-2</v>
      </c>
      <c r="AP313" s="136" t="s">
        <v>82</v>
      </c>
      <c r="AQ313" s="124"/>
      <c r="AR313" s="124"/>
      <c r="AS313" s="124"/>
      <c r="AT313" s="124"/>
      <c r="AU313" s="124">
        <v>45300</v>
      </c>
      <c r="AV313" s="124"/>
      <c r="AW313" s="124"/>
      <c r="AX313" s="124"/>
      <c r="AY313" s="124"/>
      <c r="AZ313" s="124"/>
      <c r="BA313" s="124"/>
      <c r="BB313" s="124">
        <v>44700</v>
      </c>
      <c r="BC313" s="124"/>
      <c r="BD313" s="124"/>
      <c r="BE313" s="124"/>
      <c r="BF313" s="124"/>
      <c r="BG313" s="124"/>
      <c r="BH313" s="137"/>
      <c r="BI313" s="138">
        <f t="shared" si="171"/>
        <v>0.97192224622030232</v>
      </c>
      <c r="BJ313" s="139">
        <v>2.7480000000000002</v>
      </c>
      <c r="BK313" s="140">
        <v>43</v>
      </c>
      <c r="BL313" s="129">
        <v>3.925E-2</v>
      </c>
      <c r="BM313" s="129">
        <v>0.17399999999999999</v>
      </c>
      <c r="BN313" s="129">
        <v>0.45550000000000002</v>
      </c>
      <c r="BO313" s="129">
        <v>0.91849999999999998</v>
      </c>
      <c r="BP313" s="129">
        <v>1.484</v>
      </c>
      <c r="BQ313" s="129">
        <v>2.0979999999999999</v>
      </c>
      <c r="BR313" s="129">
        <v>2.69</v>
      </c>
      <c r="BS313" s="129">
        <v>3.2429999999999999</v>
      </c>
      <c r="BT313" s="122">
        <v>48</v>
      </c>
      <c r="BU313" s="124">
        <v>6500</v>
      </c>
      <c r="BV313" s="142">
        <v>42331</v>
      </c>
      <c r="BW313" s="125">
        <v>0.70316277551840134</v>
      </c>
      <c r="BX313" s="124">
        <v>66008</v>
      </c>
      <c r="BY313" s="124">
        <v>25480</v>
      </c>
      <c r="BZ313" s="125">
        <v>0.38601381650709005</v>
      </c>
      <c r="CA313" s="124">
        <v>267</v>
      </c>
      <c r="CB313" s="124">
        <v>363</v>
      </c>
      <c r="CC313" s="125">
        <v>4.0449642467579689E-3</v>
      </c>
      <c r="CD313" s="125">
        <v>5.4993334141316208E-3</v>
      </c>
    </row>
    <row r="314" spans="1:82" x14ac:dyDescent="0.25">
      <c r="A314" s="120" t="s">
        <v>128</v>
      </c>
      <c r="B314" s="121" t="s">
        <v>86</v>
      </c>
      <c r="C314" s="122">
        <v>730</v>
      </c>
      <c r="D314" s="148">
        <v>1238.3399999999999</v>
      </c>
      <c r="E314" s="148">
        <v>14200.7734</v>
      </c>
      <c r="F314" s="124">
        <v>25500</v>
      </c>
      <c r="G314" s="124">
        <v>25080</v>
      </c>
      <c r="H314" s="125">
        <f t="shared" si="202"/>
        <v>1.6470588235294119E-2</v>
      </c>
      <c r="I314" s="120"/>
      <c r="J314" s="125">
        <f t="shared" si="203"/>
        <v>0</v>
      </c>
      <c r="K314" s="124">
        <v>67400</v>
      </c>
      <c r="L314" s="124">
        <v>117900</v>
      </c>
      <c r="M314" s="126">
        <f t="shared" si="204"/>
        <v>2.6874003189792663</v>
      </c>
      <c r="N314" s="126">
        <f t="shared" si="205"/>
        <v>1.7492581602373887</v>
      </c>
      <c r="O314" s="126">
        <f t="shared" si="206"/>
        <v>1.7670128346525582</v>
      </c>
      <c r="P314" s="127">
        <f t="shared" si="211"/>
        <v>0.56621903508771931</v>
      </c>
      <c r="Q314" s="127">
        <f t="shared" si="212"/>
        <v>4.9375598086124399E-2</v>
      </c>
      <c r="R314" s="124">
        <v>1680</v>
      </c>
      <c r="S314" s="127">
        <f t="shared" si="213"/>
        <v>8.4528413095238104</v>
      </c>
      <c r="T314" s="126">
        <f t="shared" si="207"/>
        <v>15.178571428571429</v>
      </c>
      <c r="U314" s="126">
        <f t="shared" si="208"/>
        <v>4.7009569377990434</v>
      </c>
      <c r="V314" s="128">
        <v>42</v>
      </c>
      <c r="W314" s="124">
        <v>32</v>
      </c>
      <c r="X314" s="126">
        <v>2.004</v>
      </c>
      <c r="Y314" s="124">
        <v>8000</v>
      </c>
      <c r="Z314" s="129">
        <f t="shared" si="209"/>
        <v>6.3985721880458729E-2</v>
      </c>
      <c r="AA314" s="150">
        <f t="shared" si="210"/>
        <v>6.2625E-2</v>
      </c>
      <c r="AB314" s="129">
        <v>0.25803921568627453</v>
      </c>
      <c r="AC314" s="129">
        <v>1.695686274509804</v>
      </c>
      <c r="AD314" s="129">
        <v>2.3623529411764705</v>
      </c>
      <c r="AE314" s="129">
        <v>0.30745098039215685</v>
      </c>
      <c r="AF314" s="132" t="s">
        <v>81</v>
      </c>
      <c r="AG314" s="152"/>
      <c r="AH314" s="152"/>
      <c r="AI314" s="152"/>
      <c r="AJ314" s="152"/>
      <c r="AK314" s="152"/>
      <c r="AL314" s="120"/>
      <c r="AM314" s="152"/>
      <c r="AN314" s="153"/>
      <c r="AO314" s="135">
        <f t="shared" si="170"/>
        <v>0</v>
      </c>
      <c r="AP314" s="136" t="s">
        <v>82</v>
      </c>
      <c r="AQ314" s="152"/>
      <c r="AR314" s="120"/>
      <c r="AS314" s="120">
        <v>22700</v>
      </c>
      <c r="AT314" s="120"/>
      <c r="AU314" s="120"/>
      <c r="AV314" s="120">
        <v>2800</v>
      </c>
      <c r="AW314" s="120"/>
      <c r="AX314" s="120"/>
      <c r="AY314" s="120"/>
      <c r="AZ314" s="120"/>
      <c r="BA314" s="120"/>
      <c r="BB314" s="120"/>
      <c r="BC314" s="120"/>
      <c r="BD314" s="120"/>
      <c r="BE314" s="120"/>
      <c r="BF314" s="120"/>
      <c r="BG314" s="120"/>
      <c r="BH314" s="154"/>
      <c r="BI314" s="138">
        <f t="shared" si="171"/>
        <v>1</v>
      </c>
      <c r="BJ314" s="139">
        <v>3.008</v>
      </c>
      <c r="BK314" s="140">
        <v>42</v>
      </c>
      <c r="BL314" s="129">
        <v>4.1000000000000002E-2</v>
      </c>
      <c r="BM314" s="129">
        <v>0.19500000000000001</v>
      </c>
      <c r="BN314" s="129">
        <v>0.5</v>
      </c>
      <c r="BO314" s="129">
        <v>1</v>
      </c>
      <c r="BP314" s="129">
        <v>1.45</v>
      </c>
      <c r="BQ314" s="129">
        <v>2.2999999999999998</v>
      </c>
      <c r="BR314" s="129">
        <v>2.96</v>
      </c>
      <c r="BS314" s="129">
        <v>3.008</v>
      </c>
      <c r="BT314" s="122">
        <v>42</v>
      </c>
      <c r="BU314" s="124"/>
      <c r="BV314" s="147">
        <v>42012</v>
      </c>
      <c r="BW314" s="125">
        <v>0.69249016935954844</v>
      </c>
      <c r="BX314" s="120">
        <v>16770</v>
      </c>
      <c r="BY314" s="124">
        <v>5488</v>
      </c>
      <c r="BZ314" s="125">
        <v>0.32725104353011331</v>
      </c>
      <c r="CA314" s="124">
        <v>154</v>
      </c>
      <c r="CB314" s="124">
        <v>98</v>
      </c>
      <c r="CC314" s="125">
        <v>9.1830649970184846E-3</v>
      </c>
      <c r="CD314" s="125">
        <v>5.8437686344663085E-3</v>
      </c>
    </row>
    <row r="315" spans="1:82" x14ac:dyDescent="0.25">
      <c r="A315" s="120" t="s">
        <v>100</v>
      </c>
      <c r="B315" s="121" t="s">
        <v>80</v>
      </c>
      <c r="C315" s="122">
        <v>764</v>
      </c>
      <c r="D315" s="123">
        <v>706.56</v>
      </c>
      <c r="E315" s="123">
        <v>11243.74</v>
      </c>
      <c r="F315" s="124">
        <v>18000</v>
      </c>
      <c r="G315" s="124">
        <v>17830</v>
      </c>
      <c r="H315" s="125">
        <f t="shared" si="202"/>
        <v>9.4444444444444445E-3</v>
      </c>
      <c r="I315" s="120">
        <v>43</v>
      </c>
      <c r="J315" s="125">
        <f t="shared" si="203"/>
        <v>2.3888888888888887E-3</v>
      </c>
      <c r="K315" s="124">
        <v>52610</v>
      </c>
      <c r="L315" s="124">
        <v>89080</v>
      </c>
      <c r="M315" s="126">
        <f t="shared" si="204"/>
        <v>2.9506449803701624</v>
      </c>
      <c r="N315" s="126">
        <f t="shared" si="205"/>
        <v>1.6932142178293099</v>
      </c>
      <c r="O315" s="126">
        <f t="shared" si="206"/>
        <v>1.705746624323216</v>
      </c>
      <c r="P315" s="127">
        <f t="shared" si="211"/>
        <v>0.63060796410544029</v>
      </c>
      <c r="Q315" s="127">
        <f t="shared" si="212"/>
        <v>3.9627593942793041E-2</v>
      </c>
      <c r="R315" s="124">
        <v>1330</v>
      </c>
      <c r="S315" s="127">
        <f t="shared" si="213"/>
        <v>8.4539398496240601</v>
      </c>
      <c r="T315" s="126">
        <f t="shared" si="207"/>
        <v>13.533834586466165</v>
      </c>
      <c r="U315" s="126">
        <f t="shared" si="208"/>
        <v>4.996074032529445</v>
      </c>
      <c r="V315" s="128">
        <v>42</v>
      </c>
      <c r="W315" s="124"/>
      <c r="X315" s="126"/>
      <c r="Y315" s="124"/>
      <c r="Z315" s="129">
        <f t="shared" si="209"/>
        <v>7.0253451913575293E-2</v>
      </c>
      <c r="AA315" s="130" t="str">
        <f t="shared" si="210"/>
        <v/>
      </c>
      <c r="AB315" s="131">
        <v>0.27444444444444444</v>
      </c>
      <c r="AC315" s="131">
        <v>1.6888888888888889</v>
      </c>
      <c r="AD315" s="131">
        <v>2.4722222222222223</v>
      </c>
      <c r="AE315" s="131">
        <v>0.51333333333333331</v>
      </c>
      <c r="AF315" s="132" t="s">
        <v>81</v>
      </c>
      <c r="AG315" s="133"/>
      <c r="AH315" s="133"/>
      <c r="AI315" s="133">
        <v>9700</v>
      </c>
      <c r="AJ315" s="133"/>
      <c r="AK315" s="133"/>
      <c r="AL315" s="133"/>
      <c r="AM315" s="133"/>
      <c r="AN315" s="143"/>
      <c r="AO315" s="135">
        <f t="shared" si="170"/>
        <v>0.53888888888888886</v>
      </c>
      <c r="AP315" s="136" t="s">
        <v>82</v>
      </c>
      <c r="AQ315" s="124"/>
      <c r="AR315" s="124"/>
      <c r="AS315" s="124"/>
      <c r="AT315" s="124"/>
      <c r="AU315" s="124"/>
      <c r="AV315" s="124"/>
      <c r="AW315" s="124"/>
      <c r="AX315" s="124"/>
      <c r="AY315" s="124"/>
      <c r="AZ315" s="124"/>
      <c r="BA315" s="124"/>
      <c r="BB315" s="124"/>
      <c r="BC315" s="124"/>
      <c r="BD315" s="124"/>
      <c r="BE315" s="124"/>
      <c r="BF315" s="124">
        <v>8300</v>
      </c>
      <c r="BG315" s="124"/>
      <c r="BH315" s="137"/>
      <c r="BI315" s="138">
        <f t="shared" si="171"/>
        <v>0.46111111111111114</v>
      </c>
      <c r="BJ315" s="139">
        <v>2.9510000000000001</v>
      </c>
      <c r="BK315" s="140">
        <v>42</v>
      </c>
      <c r="BL315" s="129">
        <v>4.2999999999999997E-2</v>
      </c>
      <c r="BM315" s="129">
        <v>0.2</v>
      </c>
      <c r="BN315" s="129">
        <v>0.54</v>
      </c>
      <c r="BO315" s="129">
        <v>0.96</v>
      </c>
      <c r="BP315" s="129">
        <v>1.6</v>
      </c>
      <c r="BQ315" s="129">
        <v>2.1800000000000002</v>
      </c>
      <c r="BR315" s="129">
        <v>2.9510000000000001</v>
      </c>
      <c r="BS315" s="129">
        <v>2.9510000000000001</v>
      </c>
      <c r="BT315" s="122">
        <v>42</v>
      </c>
      <c r="BU315" s="124">
        <v>3000</v>
      </c>
      <c r="BV315" s="142">
        <v>42320</v>
      </c>
      <c r="BW315" s="125">
        <v>0.70295533168599134</v>
      </c>
      <c r="BX315" s="124">
        <v>17672</v>
      </c>
      <c r="BY315" s="124">
        <v>6208</v>
      </c>
      <c r="BZ315" s="125">
        <v>0.35129017655047534</v>
      </c>
      <c r="CA315" s="124">
        <v>76</v>
      </c>
      <c r="CB315" s="124">
        <v>55</v>
      </c>
      <c r="CC315" s="125">
        <v>4.3005885015844269E-3</v>
      </c>
      <c r="CD315" s="125">
        <v>3.1122679945676775E-3</v>
      </c>
    </row>
    <row r="316" spans="1:82" x14ac:dyDescent="0.25">
      <c r="A316" s="120" t="s">
        <v>122</v>
      </c>
      <c r="B316" s="121" t="s">
        <v>86</v>
      </c>
      <c r="C316" s="122">
        <v>630</v>
      </c>
      <c r="D316" s="123">
        <v>877.17</v>
      </c>
      <c r="E316" s="123">
        <v>17819.46</v>
      </c>
      <c r="F316" s="124">
        <v>33700</v>
      </c>
      <c r="G316" s="124">
        <v>33490</v>
      </c>
      <c r="H316" s="125">
        <f t="shared" si="202"/>
        <v>6.231454005934718E-3</v>
      </c>
      <c r="I316" s="120">
        <v>407</v>
      </c>
      <c r="J316" s="125">
        <f t="shared" si="203"/>
        <v>1.2077151335311573E-2</v>
      </c>
      <c r="K316" s="124">
        <v>86880</v>
      </c>
      <c r="L316" s="124">
        <v>140920</v>
      </c>
      <c r="M316" s="126">
        <f t="shared" si="204"/>
        <v>2.5942072260376232</v>
      </c>
      <c r="N316" s="126">
        <f t="shared" si="205"/>
        <v>1.6220073664825045</v>
      </c>
      <c r="O316" s="126">
        <f t="shared" si="206"/>
        <v>1.6323895394266035</v>
      </c>
      <c r="P316" s="127">
        <f t="shared" si="211"/>
        <v>0.53208300985368762</v>
      </c>
      <c r="Q316" s="127">
        <f t="shared" si="212"/>
        <v>2.619199761122723E-2</v>
      </c>
      <c r="R316" s="124">
        <v>2100</v>
      </c>
      <c r="S316" s="127">
        <f t="shared" si="213"/>
        <v>8.4854571428571433</v>
      </c>
      <c r="T316" s="126">
        <f t="shared" si="207"/>
        <v>16.047619047619047</v>
      </c>
      <c r="U316" s="126">
        <f t="shared" si="208"/>
        <v>4.2078232308151691</v>
      </c>
      <c r="V316" s="128">
        <v>45</v>
      </c>
      <c r="W316" s="124">
        <v>34</v>
      </c>
      <c r="X316" s="126">
        <v>1.976</v>
      </c>
      <c r="Y316" s="124">
        <v>8500</v>
      </c>
      <c r="Z316" s="129">
        <f t="shared" si="209"/>
        <v>5.7649049467502739E-2</v>
      </c>
      <c r="AA316" s="130">
        <f t="shared" si="210"/>
        <v>5.8117647058823531E-2</v>
      </c>
      <c r="AB316" s="131">
        <v>0.30919881305637981</v>
      </c>
      <c r="AC316" s="131">
        <v>1.4462908011869435</v>
      </c>
      <c r="AD316" s="131">
        <v>1.9483679525222553</v>
      </c>
      <c r="AE316" s="131">
        <v>0.47774480712166173</v>
      </c>
      <c r="AF316" s="132" t="s">
        <v>81</v>
      </c>
      <c r="AG316" s="133"/>
      <c r="AH316" s="133"/>
      <c r="AI316" s="133"/>
      <c r="AJ316" s="133"/>
      <c r="AK316" s="133"/>
      <c r="AL316" s="133"/>
      <c r="AM316" s="133"/>
      <c r="AN316" s="134"/>
      <c r="AO316" s="135">
        <f t="shared" si="170"/>
        <v>0</v>
      </c>
      <c r="AP316" s="136" t="s">
        <v>82</v>
      </c>
      <c r="AQ316" s="124"/>
      <c r="AR316" s="124"/>
      <c r="AS316" s="124"/>
      <c r="AT316" s="124"/>
      <c r="AU316" s="124">
        <v>3800</v>
      </c>
      <c r="AV316" s="124"/>
      <c r="AW316" s="124"/>
      <c r="AX316" s="124"/>
      <c r="AY316" s="124"/>
      <c r="AZ316" s="124"/>
      <c r="BA316" s="124"/>
      <c r="BB316" s="124"/>
      <c r="BC316" s="124"/>
      <c r="BD316" s="124">
        <v>29900</v>
      </c>
      <c r="BE316" s="124"/>
      <c r="BF316" s="124"/>
      <c r="BG316" s="124"/>
      <c r="BH316" s="137"/>
      <c r="BI316" s="138">
        <f t="shared" si="171"/>
        <v>1</v>
      </c>
      <c r="BJ316" s="139">
        <v>2.8039999999999998</v>
      </c>
      <c r="BK316" s="140">
        <v>45</v>
      </c>
      <c r="BL316" s="129"/>
      <c r="BM316" s="129">
        <v>0.15</v>
      </c>
      <c r="BN316" s="129"/>
      <c r="BO316" s="129"/>
      <c r="BP316" s="129">
        <v>1.4</v>
      </c>
      <c r="BQ316" s="129"/>
      <c r="BR316" s="129">
        <v>2.7</v>
      </c>
      <c r="BS316" s="129">
        <v>2.8039999999999998</v>
      </c>
      <c r="BT316" s="122">
        <v>45</v>
      </c>
      <c r="BU316" s="124"/>
      <c r="BV316" s="142">
        <v>42296</v>
      </c>
      <c r="BW316" s="125">
        <v>0.70902825342465747</v>
      </c>
      <c r="BX316" s="124">
        <v>24938</v>
      </c>
      <c r="BY316" s="124">
        <v>12896</v>
      </c>
      <c r="BZ316" s="125">
        <v>0.51712246371000081</v>
      </c>
      <c r="CA316" s="124">
        <v>102</v>
      </c>
      <c r="CB316" s="124">
        <v>111</v>
      </c>
      <c r="CC316" s="125">
        <v>4.0901435560189272E-3</v>
      </c>
      <c r="CD316" s="125">
        <v>4.4510385756676559E-3</v>
      </c>
    </row>
    <row r="317" spans="1:82" x14ac:dyDescent="0.25">
      <c r="A317" s="120" t="s">
        <v>114</v>
      </c>
      <c r="B317" s="121" t="s">
        <v>115</v>
      </c>
      <c r="C317" s="122">
        <v>657</v>
      </c>
      <c r="D317" s="144">
        <v>1149.6199999999999</v>
      </c>
      <c r="E317" s="144">
        <v>12841.894789999998</v>
      </c>
      <c r="F317" s="124">
        <v>24000</v>
      </c>
      <c r="G317" s="124">
        <v>22998</v>
      </c>
      <c r="H317" s="125">
        <f t="shared" si="202"/>
        <v>4.1750000000000002E-2</v>
      </c>
      <c r="I317" s="120">
        <v>738</v>
      </c>
      <c r="J317" s="125">
        <f t="shared" si="203"/>
        <v>3.075E-2</v>
      </c>
      <c r="K317" s="124">
        <v>61380</v>
      </c>
      <c r="L317" s="124">
        <v>100440</v>
      </c>
      <c r="M317" s="126">
        <f t="shared" si="204"/>
        <v>2.6689277328463343</v>
      </c>
      <c r="N317" s="126">
        <f t="shared" si="205"/>
        <v>1.6363636363636365</v>
      </c>
      <c r="O317" s="126">
        <f t="shared" si="206"/>
        <v>1.6465300537754162</v>
      </c>
      <c r="P317" s="127">
        <f t="shared" si="211"/>
        <v>0.55839180754848239</v>
      </c>
      <c r="Q317" s="127">
        <f t="shared" si="212"/>
        <v>4.9987825028263322E-2</v>
      </c>
      <c r="R317" s="124">
        <v>1512</v>
      </c>
      <c r="S317" s="127">
        <f t="shared" si="213"/>
        <v>8.4933166600529084</v>
      </c>
      <c r="T317" s="126">
        <f t="shared" si="207"/>
        <v>15.873015873015873</v>
      </c>
      <c r="U317" s="126">
        <f t="shared" si="208"/>
        <v>4.3673362901121839</v>
      </c>
      <c r="V317" s="128">
        <v>44</v>
      </c>
      <c r="W317" s="124">
        <v>35</v>
      </c>
      <c r="X317" s="126">
        <v>2.137</v>
      </c>
      <c r="Y317" s="124">
        <v>7750</v>
      </c>
      <c r="Z317" s="129">
        <f t="shared" si="209"/>
        <v>6.0657448473780323E-2</v>
      </c>
      <c r="AA317" s="145">
        <f t="shared" si="210"/>
        <v>6.1057142857142858E-2</v>
      </c>
      <c r="AB317" s="129">
        <v>0.29666666666666669</v>
      </c>
      <c r="AC317" s="129">
        <v>1.3991666666666667</v>
      </c>
      <c r="AD317" s="129">
        <v>2.0308333333333333</v>
      </c>
      <c r="AE317" s="129">
        <v>0.45833333333333331</v>
      </c>
      <c r="AF317" s="132" t="s">
        <v>81</v>
      </c>
      <c r="AG317" s="133"/>
      <c r="AH317" s="124"/>
      <c r="AI317" s="133"/>
      <c r="AJ317" s="133"/>
      <c r="AK317" s="133"/>
      <c r="AL317" s="146"/>
      <c r="AM317" s="133">
        <v>1300</v>
      </c>
      <c r="AN317" s="134">
        <v>22700</v>
      </c>
      <c r="AO317" s="135">
        <f t="shared" si="170"/>
        <v>1</v>
      </c>
      <c r="AP317" s="136" t="s">
        <v>82</v>
      </c>
      <c r="AQ317" s="133"/>
      <c r="AR317" s="124"/>
      <c r="AS317" s="124"/>
      <c r="AT317" s="124"/>
      <c r="AU317" s="124"/>
      <c r="AV317" s="124"/>
      <c r="AW317" s="146"/>
      <c r="AX317" s="124"/>
      <c r="AY317" s="124"/>
      <c r="AZ317" s="124"/>
      <c r="BA317" s="124"/>
      <c r="BB317" s="124"/>
      <c r="BC317" s="124"/>
      <c r="BD317" s="124"/>
      <c r="BE317" s="124"/>
      <c r="BF317" s="133"/>
      <c r="BG317" s="124"/>
      <c r="BH317" s="137"/>
      <c r="BI317" s="138">
        <f t="shared" si="171"/>
        <v>0</v>
      </c>
      <c r="BJ317" s="139">
        <v>2.9449999999999998</v>
      </c>
      <c r="BK317" s="140">
        <v>44</v>
      </c>
      <c r="BL317" s="129"/>
      <c r="BM317" s="129">
        <v>0.189</v>
      </c>
      <c r="BN317" s="129">
        <v>0.51700000000000002</v>
      </c>
      <c r="BO317" s="129">
        <v>0.93</v>
      </c>
      <c r="BP317" s="129">
        <v>1.5</v>
      </c>
      <c r="BQ317" s="129"/>
      <c r="BR317" s="129"/>
      <c r="BS317" s="129">
        <v>2.9449999999999998</v>
      </c>
      <c r="BT317" s="122">
        <v>44</v>
      </c>
      <c r="BU317" s="124"/>
      <c r="BV317" s="147">
        <v>42180</v>
      </c>
      <c r="BW317" s="125">
        <v>0.71871062025881305</v>
      </c>
      <c r="BX317" s="124">
        <v>15096</v>
      </c>
      <c r="BY317" s="124">
        <v>6320</v>
      </c>
      <c r="BZ317" s="125">
        <v>0.41865394806571277</v>
      </c>
      <c r="CA317" s="124">
        <v>54</v>
      </c>
      <c r="CB317" s="124">
        <v>88</v>
      </c>
      <c r="CC317" s="125">
        <v>3.577106518282989E-3</v>
      </c>
      <c r="CD317" s="125">
        <v>5.8293587705352413E-3</v>
      </c>
    </row>
    <row r="318" spans="1:82" x14ac:dyDescent="0.25">
      <c r="A318" s="120" t="s">
        <v>100</v>
      </c>
      <c r="B318" s="121" t="s">
        <v>80</v>
      </c>
      <c r="C318" s="122">
        <v>764</v>
      </c>
      <c r="D318" s="123">
        <v>671.74</v>
      </c>
      <c r="E318" s="123">
        <v>13746</v>
      </c>
      <c r="F318" s="124">
        <v>25500</v>
      </c>
      <c r="G318" s="124">
        <v>24917</v>
      </c>
      <c r="H318" s="125">
        <f t="shared" si="202"/>
        <v>2.2862745098039216E-2</v>
      </c>
      <c r="I318" s="120">
        <v>120</v>
      </c>
      <c r="J318" s="125">
        <f t="shared" si="203"/>
        <v>4.7058823529411761E-3</v>
      </c>
      <c r="K318" s="124">
        <v>65050</v>
      </c>
      <c r="L318" s="124">
        <v>107160</v>
      </c>
      <c r="M318" s="126">
        <f t="shared" si="204"/>
        <v>2.6106674158205241</v>
      </c>
      <c r="N318" s="126">
        <f t="shared" si="205"/>
        <v>1.6473481936971561</v>
      </c>
      <c r="O318" s="126">
        <f t="shared" si="206"/>
        <v>1.7242281333425202</v>
      </c>
      <c r="P318" s="127">
        <f t="shared" si="211"/>
        <v>0.55167154954448772</v>
      </c>
      <c r="Q318" s="127">
        <f t="shared" si="212"/>
        <v>2.6959104226030421E-2</v>
      </c>
      <c r="R318" s="124">
        <v>1560</v>
      </c>
      <c r="S318" s="127">
        <f t="shared" si="213"/>
        <v>8.8115384615384613</v>
      </c>
      <c r="T318" s="126">
        <f t="shared" si="207"/>
        <v>16.346153846153847</v>
      </c>
      <c r="U318" s="126">
        <f t="shared" si="208"/>
        <v>4.3006782517959623</v>
      </c>
      <c r="V318" s="128">
        <v>41</v>
      </c>
      <c r="W318" s="124">
        <v>32</v>
      </c>
      <c r="X318" s="126">
        <v>1.9350000000000001</v>
      </c>
      <c r="Y318" s="124">
        <v>8000</v>
      </c>
      <c r="Z318" s="129">
        <f t="shared" si="209"/>
        <v>6.3674815020012779E-2</v>
      </c>
      <c r="AA318" s="130">
        <f t="shared" si="210"/>
        <v>6.0468750000000002E-2</v>
      </c>
      <c r="AB318" s="131">
        <v>0.3192156862745098</v>
      </c>
      <c r="AC318" s="131">
        <v>1.4525490196078432</v>
      </c>
      <c r="AD318" s="131">
        <v>2.1082352941176472</v>
      </c>
      <c r="AE318" s="131">
        <v>0.32235294117647056</v>
      </c>
      <c r="AF318" s="132" t="s">
        <v>81</v>
      </c>
      <c r="AG318" s="133"/>
      <c r="AH318" s="133"/>
      <c r="AI318" s="133"/>
      <c r="AJ318" s="133"/>
      <c r="AK318" s="133"/>
      <c r="AL318" s="133"/>
      <c r="AM318" s="133"/>
      <c r="AN318" s="134"/>
      <c r="AO318" s="135">
        <f t="shared" si="170"/>
        <v>0</v>
      </c>
      <c r="AP318" s="136" t="s">
        <v>82</v>
      </c>
      <c r="AQ318" s="124"/>
      <c r="AR318" s="124"/>
      <c r="AS318" s="124"/>
      <c r="AT318" s="124"/>
      <c r="AU318" s="124"/>
      <c r="AV318" s="124"/>
      <c r="AW318" s="124"/>
      <c r="AX318" s="124"/>
      <c r="AY318" s="124">
        <v>25500</v>
      </c>
      <c r="AZ318" s="124"/>
      <c r="BA318" s="124"/>
      <c r="BB318" s="124"/>
      <c r="BC318" s="124"/>
      <c r="BD318" s="124"/>
      <c r="BE318" s="124"/>
      <c r="BF318" s="124"/>
      <c r="BG318" s="124"/>
      <c r="BH318" s="137"/>
      <c r="BI318" s="138">
        <f t="shared" si="171"/>
        <v>1</v>
      </c>
      <c r="BJ318" s="139">
        <v>2.9390000000000001</v>
      </c>
      <c r="BK318" s="140">
        <v>41</v>
      </c>
      <c r="BL318" s="141">
        <v>0.04</v>
      </c>
      <c r="BM318" s="141">
        <v>0.19500000000000001</v>
      </c>
      <c r="BN318" s="141">
        <v>0.52</v>
      </c>
      <c r="BO318" s="141">
        <v>0.98</v>
      </c>
      <c r="BP318" s="141">
        <v>2.63</v>
      </c>
      <c r="BQ318" s="141">
        <v>2.2000000000000002</v>
      </c>
      <c r="BR318" s="141">
        <v>2.9129999999999998</v>
      </c>
      <c r="BS318" s="141">
        <v>2.9129999999999998</v>
      </c>
      <c r="BT318" s="122">
        <v>42</v>
      </c>
      <c r="BU318" s="124">
        <v>7000</v>
      </c>
      <c r="BV318" s="142">
        <v>42348</v>
      </c>
      <c r="BW318" s="125">
        <v>0.69320153318539435</v>
      </c>
      <c r="BX318" s="124">
        <v>16756</v>
      </c>
      <c r="BY318" s="124">
        <v>0</v>
      </c>
      <c r="BZ318" s="125">
        <v>0</v>
      </c>
      <c r="CA318" s="124">
        <v>45</v>
      </c>
      <c r="CB318" s="124">
        <v>1066</v>
      </c>
      <c r="CC318" s="125">
        <v>2.6856051563619002E-3</v>
      </c>
      <c r="CD318" s="125">
        <v>6.3619002148484122E-2</v>
      </c>
    </row>
    <row r="319" spans="1:82" x14ac:dyDescent="0.25">
      <c r="A319" s="120" t="s">
        <v>122</v>
      </c>
      <c r="B319" s="121" t="s">
        <v>86</v>
      </c>
      <c r="C319" s="122">
        <v>630</v>
      </c>
      <c r="D319" s="123">
        <v>1523.49</v>
      </c>
      <c r="E319" s="123">
        <v>24056.720000000001</v>
      </c>
      <c r="F319" s="124">
        <v>45000</v>
      </c>
      <c r="G319" s="124">
        <v>44285</v>
      </c>
      <c r="H319" s="125">
        <f t="shared" si="202"/>
        <v>1.588888888888889E-2</v>
      </c>
      <c r="I319" s="120">
        <v>338</v>
      </c>
      <c r="J319" s="125">
        <f t="shared" si="203"/>
        <v>7.5111111111111108E-3</v>
      </c>
      <c r="K319" s="124">
        <v>111020</v>
      </c>
      <c r="L319" s="124">
        <v>177860</v>
      </c>
      <c r="M319" s="126">
        <f t="shared" si="204"/>
        <v>2.5069436603816189</v>
      </c>
      <c r="N319" s="126">
        <f t="shared" si="205"/>
        <v>1.6020536840208972</v>
      </c>
      <c r="O319" s="126">
        <f t="shared" si="206"/>
        <v>1.6071707909764734</v>
      </c>
      <c r="P319" s="127">
        <f t="shared" si="211"/>
        <v>0.54322501975838322</v>
      </c>
      <c r="Q319" s="127">
        <f t="shared" si="212"/>
        <v>3.4401941966805918E-2</v>
      </c>
      <c r="R319" s="124">
        <v>2700</v>
      </c>
      <c r="S319" s="127">
        <f t="shared" si="213"/>
        <v>8.9098962962962975</v>
      </c>
      <c r="T319" s="126">
        <f t="shared" si="207"/>
        <v>16.666666666666668</v>
      </c>
      <c r="U319" s="126">
        <f t="shared" si="208"/>
        <v>4.0162583267472058</v>
      </c>
      <c r="V319" s="128">
        <v>40</v>
      </c>
      <c r="W319" s="124">
        <v>33</v>
      </c>
      <c r="X319" s="126">
        <v>1.98</v>
      </c>
      <c r="Y319" s="124">
        <v>8000</v>
      </c>
      <c r="Z319" s="129">
        <f t="shared" si="209"/>
        <v>6.2673591509540466E-2</v>
      </c>
      <c r="AA319" s="130">
        <f t="shared" si="210"/>
        <v>0.06</v>
      </c>
      <c r="AB319" s="131">
        <v>0.308</v>
      </c>
      <c r="AC319" s="131">
        <v>1.4057777777777778</v>
      </c>
      <c r="AD319" s="131">
        <v>2.1515555555555554</v>
      </c>
      <c r="AE319" s="131">
        <v>8.7111111111111111E-2</v>
      </c>
      <c r="AF319" s="132" t="s">
        <v>81</v>
      </c>
      <c r="AG319" s="133"/>
      <c r="AH319" s="133"/>
      <c r="AI319" s="133"/>
      <c r="AJ319" s="133"/>
      <c r="AK319" s="133"/>
      <c r="AL319" s="133">
        <v>24000</v>
      </c>
      <c r="AM319" s="133"/>
      <c r="AN319" s="134"/>
      <c r="AO319" s="135">
        <f t="shared" si="170"/>
        <v>0.53333333333333333</v>
      </c>
      <c r="AP319" s="136" t="s">
        <v>82</v>
      </c>
      <c r="AQ319" s="124"/>
      <c r="AR319" s="124"/>
      <c r="AS319" s="124"/>
      <c r="AT319" s="124"/>
      <c r="AU319" s="124"/>
      <c r="AV319" s="124"/>
      <c r="AW319" s="124"/>
      <c r="AX319" s="124"/>
      <c r="AY319" s="124"/>
      <c r="AZ319" s="124"/>
      <c r="BA319" s="124"/>
      <c r="BB319" s="124">
        <v>19300</v>
      </c>
      <c r="BC319" s="124"/>
      <c r="BD319" s="124">
        <v>1700</v>
      </c>
      <c r="BE319" s="124"/>
      <c r="BF319" s="124"/>
      <c r="BG319" s="124"/>
      <c r="BH319" s="137"/>
      <c r="BI319" s="138">
        <f t="shared" si="171"/>
        <v>0.46666666666666667</v>
      </c>
      <c r="BJ319" s="139">
        <v>2.6230000000000002</v>
      </c>
      <c r="BK319" s="140">
        <v>40</v>
      </c>
      <c r="BL319" s="141">
        <v>0.04</v>
      </c>
      <c r="BM319" s="141">
        <v>0.18099999999999999</v>
      </c>
      <c r="BN319" s="141">
        <v>0.46100000000000002</v>
      </c>
      <c r="BO319" s="141">
        <v>0.92500000000000004</v>
      </c>
      <c r="BP319" s="141"/>
      <c r="BQ319" s="141">
        <v>2.15</v>
      </c>
      <c r="BR319" s="141"/>
      <c r="BS319" s="141">
        <v>2.6230000000000002</v>
      </c>
      <c r="BT319" s="122">
        <v>40</v>
      </c>
      <c r="BU319" s="124">
        <v>12000</v>
      </c>
      <c r="BV319" s="142">
        <v>42344</v>
      </c>
      <c r="BW319" s="125">
        <v>0.70833525950830012</v>
      </c>
      <c r="BX319" s="124">
        <v>36212</v>
      </c>
      <c r="BY319" s="124">
        <v>0</v>
      </c>
      <c r="BZ319" s="125">
        <v>0</v>
      </c>
      <c r="CA319" s="124">
        <v>61</v>
      </c>
      <c r="CB319" s="124">
        <v>80</v>
      </c>
      <c r="CC319" s="125">
        <v>1.6845244670275047E-3</v>
      </c>
      <c r="CD319" s="125">
        <v>2.2092124157737768E-3</v>
      </c>
    </row>
    <row r="320" spans="1:82" x14ac:dyDescent="0.25">
      <c r="A320" s="120" t="s">
        <v>129</v>
      </c>
      <c r="B320" s="121" t="s">
        <v>86</v>
      </c>
      <c r="C320" s="122">
        <v>740</v>
      </c>
      <c r="D320" s="123">
        <v>861.12</v>
      </c>
      <c r="E320" s="123">
        <v>32344.620800000001</v>
      </c>
      <c r="F320" s="124">
        <v>55700</v>
      </c>
      <c r="G320" s="124">
        <v>54960</v>
      </c>
      <c r="H320" s="125">
        <f t="shared" si="202"/>
        <v>1.3285457809694794E-2</v>
      </c>
      <c r="I320" s="120">
        <v>191</v>
      </c>
      <c r="J320" s="125">
        <f t="shared" si="203"/>
        <v>3.4290843806104128E-3</v>
      </c>
      <c r="K320" s="124">
        <v>156100</v>
      </c>
      <c r="L320" s="124">
        <v>266780</v>
      </c>
      <c r="M320" s="126">
        <f t="shared" si="204"/>
        <v>2.8402474526928674</v>
      </c>
      <c r="N320" s="126">
        <f t="shared" si="205"/>
        <v>1.7090326713645099</v>
      </c>
      <c r="O320" s="126">
        <f t="shared" si="206"/>
        <v>1.7336686837740354</v>
      </c>
      <c r="P320" s="127">
        <f t="shared" si="211"/>
        <v>0.58851202328966523</v>
      </c>
      <c r="Q320" s="127">
        <f t="shared" si="212"/>
        <v>1.5668122270742359E-2</v>
      </c>
      <c r="R320" s="124">
        <v>3600</v>
      </c>
      <c r="S320" s="127">
        <f t="shared" si="213"/>
        <v>8.9846168888888887</v>
      </c>
      <c r="T320" s="126">
        <f t="shared" si="207"/>
        <v>15.472222222222221</v>
      </c>
      <c r="U320" s="126">
        <f t="shared" si="208"/>
        <v>4.8540756914119356</v>
      </c>
      <c r="V320" s="128">
        <v>40.700000000000003</v>
      </c>
      <c r="W320" s="124">
        <v>32</v>
      </c>
      <c r="X320" s="126">
        <v>2.048</v>
      </c>
      <c r="Y320" s="124">
        <v>8000</v>
      </c>
      <c r="Z320" s="129">
        <f t="shared" si="209"/>
        <v>6.9784949697613438E-2</v>
      </c>
      <c r="AA320" s="130">
        <f t="shared" si="210"/>
        <v>6.4000000000000001E-2</v>
      </c>
      <c r="AB320" s="131">
        <v>0.29730700179533215</v>
      </c>
      <c r="AC320" s="131">
        <v>1.45</v>
      </c>
      <c r="AD320" s="131">
        <v>2.3313285457809694</v>
      </c>
      <c r="AE320" s="131">
        <v>0.71095152603231593</v>
      </c>
      <c r="AF320" s="132" t="s">
        <v>81</v>
      </c>
      <c r="AG320" s="133"/>
      <c r="AH320" s="133"/>
      <c r="AI320" s="133"/>
      <c r="AJ320" s="133"/>
      <c r="AK320" s="133"/>
      <c r="AL320" s="133"/>
      <c r="AM320" s="133"/>
      <c r="AN320" s="143"/>
      <c r="AO320" s="135">
        <f t="shared" si="170"/>
        <v>0</v>
      </c>
      <c r="AP320" s="136" t="s">
        <v>82</v>
      </c>
      <c r="AQ320" s="124"/>
      <c r="AR320" s="124"/>
      <c r="AS320" s="124"/>
      <c r="AT320" s="124"/>
      <c r="AU320" s="124">
        <v>31000</v>
      </c>
      <c r="AV320" s="124"/>
      <c r="AW320" s="124"/>
      <c r="AX320" s="124"/>
      <c r="AY320" s="124"/>
      <c r="AZ320" s="124"/>
      <c r="BA320" s="124"/>
      <c r="BB320" s="124"/>
      <c r="BC320" s="124"/>
      <c r="BD320" s="124">
        <v>24700</v>
      </c>
      <c r="BE320" s="124"/>
      <c r="BF320" s="124"/>
      <c r="BG320" s="124"/>
      <c r="BH320" s="137"/>
      <c r="BI320" s="138">
        <f t="shared" si="171"/>
        <v>1</v>
      </c>
      <c r="BJ320" s="139">
        <v>3.1320000000000001</v>
      </c>
      <c r="BK320" s="140">
        <v>44</v>
      </c>
      <c r="BL320" s="129">
        <v>4.2500000000000003E-2</v>
      </c>
      <c r="BM320" s="129">
        <v>0.188</v>
      </c>
      <c r="BN320" s="129"/>
      <c r="BO320" s="129">
        <v>1.0249999999999999</v>
      </c>
      <c r="BP320" s="129"/>
      <c r="BQ320" s="129">
        <v>2.2450000000000001</v>
      </c>
      <c r="BR320" s="129"/>
      <c r="BS320" s="129">
        <v>3.1320000000000001</v>
      </c>
      <c r="BT320" s="122">
        <v>44</v>
      </c>
      <c r="BU320" s="124"/>
      <c r="BV320" s="142">
        <v>42330</v>
      </c>
      <c r="BW320" s="125">
        <v>0.70043740255690679</v>
      </c>
      <c r="BX320" s="124">
        <v>40246</v>
      </c>
      <c r="BY320" s="124">
        <v>10888</v>
      </c>
      <c r="BZ320" s="125">
        <v>0.27053620235551357</v>
      </c>
      <c r="CA320" s="124">
        <v>540</v>
      </c>
      <c r="CB320" s="124">
        <v>241</v>
      </c>
      <c r="CC320" s="125">
        <v>1.3417482482731204E-2</v>
      </c>
      <c r="CD320" s="125">
        <v>5.9881727376633704E-3</v>
      </c>
    </row>
    <row r="321" spans="1:82" x14ac:dyDescent="0.25">
      <c r="A321" s="120" t="s">
        <v>100</v>
      </c>
      <c r="B321" s="121" t="s">
        <v>80</v>
      </c>
      <c r="C321" s="122">
        <v>764</v>
      </c>
      <c r="D321" s="148">
        <v>709.24</v>
      </c>
      <c r="E321" s="148">
        <v>14100.45876</v>
      </c>
      <c r="F321" s="124">
        <v>26000</v>
      </c>
      <c r="G321" s="124">
        <v>25512</v>
      </c>
      <c r="H321" s="125">
        <f t="shared" si="202"/>
        <v>1.8769230769230771E-2</v>
      </c>
      <c r="I321" s="120"/>
      <c r="J321" s="125">
        <f t="shared" si="203"/>
        <v>0</v>
      </c>
      <c r="K321" s="124">
        <v>64280</v>
      </c>
      <c r="L321" s="124">
        <v>108580</v>
      </c>
      <c r="M321" s="126">
        <f t="shared" si="204"/>
        <v>2.5195986202571339</v>
      </c>
      <c r="N321" s="126">
        <f t="shared" si="205"/>
        <v>1.6891723708774113</v>
      </c>
      <c r="O321" s="126">
        <f t="shared" si="206"/>
        <v>1.7078494640282376</v>
      </c>
      <c r="P321" s="127">
        <f t="shared" si="211"/>
        <v>0.55269907337723423</v>
      </c>
      <c r="Q321" s="127">
        <f t="shared" si="212"/>
        <v>2.7800250862339292E-2</v>
      </c>
      <c r="R321" s="124">
        <v>1560</v>
      </c>
      <c r="S321" s="127">
        <f t="shared" si="213"/>
        <v>9.0387556153846145</v>
      </c>
      <c r="T321" s="126">
        <f t="shared" si="207"/>
        <v>16.666666666666668</v>
      </c>
      <c r="U321" s="126">
        <f t="shared" si="208"/>
        <v>4.256036375039197</v>
      </c>
      <c r="V321" s="128">
        <v>41</v>
      </c>
      <c r="W321" s="124">
        <v>33</v>
      </c>
      <c r="X321" s="126">
        <v>1.9790000000000001</v>
      </c>
      <c r="Y321" s="124">
        <v>8000</v>
      </c>
      <c r="Z321" s="129">
        <f t="shared" si="209"/>
        <v>6.1453624884320338E-2</v>
      </c>
      <c r="AA321" s="150">
        <f t="shared" si="210"/>
        <v>5.9969696969696971E-2</v>
      </c>
      <c r="AB321" s="129">
        <v>0.32307692307692309</v>
      </c>
      <c r="AC321" s="129">
        <v>1.3253846153846154</v>
      </c>
      <c r="AD321" s="129">
        <v>2.1415384615384614</v>
      </c>
      <c r="AE321" s="129">
        <v>0.38615384615384618</v>
      </c>
      <c r="AF321" s="132" t="s">
        <v>81</v>
      </c>
      <c r="AG321" s="152"/>
      <c r="AH321" s="152"/>
      <c r="AI321" s="152"/>
      <c r="AJ321" s="152">
        <v>26000</v>
      </c>
      <c r="AK321" s="152"/>
      <c r="AL321" s="120"/>
      <c r="AM321" s="152"/>
      <c r="AN321" s="153"/>
      <c r="AO321" s="135">
        <f t="shared" si="170"/>
        <v>1</v>
      </c>
      <c r="AP321" s="136" t="s">
        <v>82</v>
      </c>
      <c r="AQ321" s="152"/>
      <c r="AR321" s="120"/>
      <c r="AS321" s="120"/>
      <c r="AT321" s="120"/>
      <c r="AU321" s="120"/>
      <c r="AV321" s="120"/>
      <c r="AW321" s="120"/>
      <c r="AX321" s="120"/>
      <c r="AY321" s="120"/>
      <c r="AZ321" s="120"/>
      <c r="BA321" s="120"/>
      <c r="BB321" s="120"/>
      <c r="BC321" s="120"/>
      <c r="BD321" s="120"/>
      <c r="BE321" s="120"/>
      <c r="BF321" s="120"/>
      <c r="BG321" s="120"/>
      <c r="BH321" s="154"/>
      <c r="BI321" s="138">
        <f t="shared" si="171"/>
        <v>0</v>
      </c>
      <c r="BJ321" s="139">
        <v>2.7650000000000001</v>
      </c>
      <c r="BK321" s="140">
        <v>41</v>
      </c>
      <c r="BL321" s="129">
        <v>4.2000000000000003E-2</v>
      </c>
      <c r="BM321" s="129">
        <v>0.2</v>
      </c>
      <c r="BN321" s="129">
        <v>0.435</v>
      </c>
      <c r="BO321" s="129">
        <v>0.92</v>
      </c>
      <c r="BP321" s="129">
        <v>1.56</v>
      </c>
      <c r="BQ321" s="129">
        <v>2.15</v>
      </c>
      <c r="BR321" s="129"/>
      <c r="BS321" s="129">
        <v>2.7650000000000001</v>
      </c>
      <c r="BT321" s="122">
        <v>41</v>
      </c>
      <c r="BU321" s="124">
        <v>3000</v>
      </c>
      <c r="BV321" s="147">
        <v>42018</v>
      </c>
      <c r="BW321" s="125">
        <v>0.69810196078431375</v>
      </c>
      <c r="BX321" s="120">
        <v>17220</v>
      </c>
      <c r="BY321" s="124">
        <v>6680</v>
      </c>
      <c r="BZ321" s="125">
        <v>0.38792102206736351</v>
      </c>
      <c r="CA321" s="124">
        <v>62</v>
      </c>
      <c r="CB321" s="124">
        <v>217</v>
      </c>
      <c r="CC321" s="125">
        <v>3.6004645760743322E-3</v>
      </c>
      <c r="CD321" s="125">
        <v>1.2601626016260163E-2</v>
      </c>
    </row>
    <row r="322" spans="1:82" x14ac:dyDescent="0.25">
      <c r="A322" s="120" t="s">
        <v>100</v>
      </c>
      <c r="B322" s="121" t="s">
        <v>80</v>
      </c>
      <c r="C322" s="122">
        <v>764</v>
      </c>
      <c r="D322" s="123">
        <v>524.29999999999995</v>
      </c>
      <c r="E322" s="123">
        <v>14165.08</v>
      </c>
      <c r="F322" s="124">
        <v>25300</v>
      </c>
      <c r="G322" s="124">
        <v>24800</v>
      </c>
      <c r="H322" s="125">
        <f t="shared" si="202"/>
        <v>1.9762845849802372E-2</v>
      </c>
      <c r="I322" s="120">
        <v>222</v>
      </c>
      <c r="J322" s="125">
        <f t="shared" si="203"/>
        <v>8.7747035573122537E-3</v>
      </c>
      <c r="K322" s="124">
        <v>67140</v>
      </c>
      <c r="L322" s="124">
        <v>112220</v>
      </c>
      <c r="M322" s="126">
        <f t="shared" si="204"/>
        <v>2.7072580645161288</v>
      </c>
      <c r="N322" s="126">
        <f t="shared" si="205"/>
        <v>1.6714328269288055</v>
      </c>
      <c r="O322" s="126">
        <f t="shared" si="206"/>
        <v>1.6849532176673458</v>
      </c>
      <c r="P322" s="127">
        <f t="shared" si="211"/>
        <v>0.5711725806451613</v>
      </c>
      <c r="Q322" s="127">
        <f t="shared" si="212"/>
        <v>2.1141129032258062E-2</v>
      </c>
      <c r="R322" s="124">
        <v>1560</v>
      </c>
      <c r="S322" s="127">
        <f t="shared" si="213"/>
        <v>9.0801794871794872</v>
      </c>
      <c r="T322" s="126">
        <f t="shared" si="207"/>
        <v>16.217948717948719</v>
      </c>
      <c r="U322" s="126">
        <f t="shared" si="208"/>
        <v>4.5250000000000004</v>
      </c>
      <c r="V322" s="128">
        <v>41</v>
      </c>
      <c r="W322" s="124"/>
      <c r="X322" s="126"/>
      <c r="Y322" s="124"/>
      <c r="Z322" s="129">
        <f t="shared" si="209"/>
        <v>6.6030684500393386E-2</v>
      </c>
      <c r="AA322" s="130" t="str">
        <f t="shared" si="210"/>
        <v/>
      </c>
      <c r="AB322" s="131">
        <v>0.31699604743083004</v>
      </c>
      <c r="AC322" s="131">
        <v>1.3873517786561265</v>
      </c>
      <c r="AD322" s="131">
        <v>2.4964426877470354</v>
      </c>
      <c r="AE322" s="131">
        <v>0.23478260869565218</v>
      </c>
      <c r="AF322" s="132" t="s">
        <v>81</v>
      </c>
      <c r="AG322" s="133"/>
      <c r="AH322" s="133"/>
      <c r="AI322" s="133">
        <v>25300</v>
      </c>
      <c r="AJ322" s="133"/>
      <c r="AK322" s="133"/>
      <c r="AL322" s="133"/>
      <c r="AM322" s="133"/>
      <c r="AN322" s="134"/>
      <c r="AO322" s="135">
        <f t="shared" ref="AO322:AO325" si="214">+(AN322+AM322+AL322+AK322+AJ322+AI322+AH322+AG322)/F322</f>
        <v>1</v>
      </c>
      <c r="AP322" s="136" t="s">
        <v>82</v>
      </c>
      <c r="AQ322" s="124"/>
      <c r="AR322" s="124"/>
      <c r="AS322" s="124"/>
      <c r="AT322" s="124"/>
      <c r="AU322" s="124"/>
      <c r="AV322" s="124"/>
      <c r="AW322" s="124"/>
      <c r="AX322" s="124"/>
      <c r="AY322" s="124"/>
      <c r="AZ322" s="124"/>
      <c r="BA322" s="124"/>
      <c r="BB322" s="124"/>
      <c r="BC322" s="124"/>
      <c r="BD322" s="124"/>
      <c r="BE322" s="124"/>
      <c r="BF322" s="124"/>
      <c r="BG322" s="124"/>
      <c r="BH322" s="137"/>
      <c r="BI322" s="138">
        <f t="shared" ref="BI322:BI325" si="215">+(BH322+BG322+BF322+BE322+BD322+BC322+BB322+BA322+AZ322+AY322+AX322+AW322+AV322+AU322+AT322+AS322+AR322+AQ322)/F322</f>
        <v>0</v>
      </c>
      <c r="BJ322" s="139">
        <v>2.7989999999999999</v>
      </c>
      <c r="BK322" s="140">
        <v>41</v>
      </c>
      <c r="BL322" s="129">
        <v>0.04</v>
      </c>
      <c r="BM322" s="129">
        <v>0.2</v>
      </c>
      <c r="BN322" s="129">
        <v>0.55000000000000004</v>
      </c>
      <c r="BO322" s="129">
        <v>1</v>
      </c>
      <c r="BP322" s="129">
        <v>1.65</v>
      </c>
      <c r="BQ322" s="129">
        <v>2.2999999999999998</v>
      </c>
      <c r="BR322" s="151"/>
      <c r="BS322" s="129">
        <v>2.7989999999999999</v>
      </c>
      <c r="BT322" s="122">
        <v>41</v>
      </c>
      <c r="BU322" s="124">
        <v>2000</v>
      </c>
      <c r="BV322" s="142">
        <v>42284</v>
      </c>
      <c r="BW322" s="125">
        <v>0.70892302509685035</v>
      </c>
      <c r="BX322" s="124">
        <v>21036</v>
      </c>
      <c r="BY322" s="124">
        <v>9208</v>
      </c>
      <c r="BZ322" s="125">
        <v>0.43772580338467387</v>
      </c>
      <c r="CA322" s="124">
        <v>54</v>
      </c>
      <c r="CB322" s="124">
        <v>145</v>
      </c>
      <c r="CC322" s="125">
        <v>2.5670279520821448E-3</v>
      </c>
      <c r="CD322" s="125">
        <v>6.892945426887241E-3</v>
      </c>
    </row>
    <row r="323" spans="1:82" x14ac:dyDescent="0.25">
      <c r="A323" s="120" t="s">
        <v>100</v>
      </c>
      <c r="B323" s="121" t="s">
        <v>80</v>
      </c>
      <c r="C323" s="122">
        <v>764</v>
      </c>
      <c r="D323" s="144">
        <v>815.75</v>
      </c>
      <c r="E323" s="144">
        <v>14826.30595</v>
      </c>
      <c r="F323" s="124">
        <v>26325</v>
      </c>
      <c r="G323" s="124">
        <v>25390</v>
      </c>
      <c r="H323" s="125">
        <f t="shared" si="202"/>
        <v>3.5517568850902181E-2</v>
      </c>
      <c r="I323" s="120">
        <v>220</v>
      </c>
      <c r="J323" s="125">
        <f t="shared" si="203"/>
        <v>8.3570750237416912E-3</v>
      </c>
      <c r="K323" s="124">
        <v>67410</v>
      </c>
      <c r="L323" s="124">
        <v>116400</v>
      </c>
      <c r="M323" s="126">
        <f t="shared" si="204"/>
        <v>2.6549822764868058</v>
      </c>
      <c r="N323" s="126">
        <f t="shared" si="205"/>
        <v>1.7267467734757453</v>
      </c>
      <c r="O323" s="126">
        <f t="shared" si="206"/>
        <v>1.7485084381649989</v>
      </c>
      <c r="P323" s="127">
        <f>+E323/G323</f>
        <v>0.58394273139031116</v>
      </c>
      <c r="Q323" s="127">
        <f>+D323/G323</f>
        <v>3.2128790862544311E-2</v>
      </c>
      <c r="R323" s="124">
        <v>1560</v>
      </c>
      <c r="S323" s="127">
        <f>+E323/R323</f>
        <v>9.5040422756410248</v>
      </c>
      <c r="T323" s="126">
        <f t="shared" si="207"/>
        <v>16.875</v>
      </c>
      <c r="U323" s="126">
        <f t="shared" si="208"/>
        <v>4.5844820795588817</v>
      </c>
      <c r="V323" s="128">
        <v>41.36</v>
      </c>
      <c r="W323" s="124">
        <v>33</v>
      </c>
      <c r="X323" s="126">
        <v>2.12</v>
      </c>
      <c r="Y323" s="124">
        <v>7500</v>
      </c>
      <c r="Z323" s="129">
        <f t="shared" si="209"/>
        <v>6.4192027961479839E-2</v>
      </c>
      <c r="AA323" s="145">
        <f t="shared" si="210"/>
        <v>6.424242424242424E-2</v>
      </c>
      <c r="AB323" s="129">
        <v>0.30617283950617286</v>
      </c>
      <c r="AC323" s="129">
        <v>1.4267806267806267</v>
      </c>
      <c r="AD323" s="129">
        <v>2.3764482431149099</v>
      </c>
      <c r="AE323" s="129">
        <v>0.31225071225071227</v>
      </c>
      <c r="AF323" s="132" t="s">
        <v>81</v>
      </c>
      <c r="AG323" s="133"/>
      <c r="AH323" s="133"/>
      <c r="AI323" s="133"/>
      <c r="AJ323" s="133"/>
      <c r="AK323" s="133">
        <v>22400</v>
      </c>
      <c r="AL323" s="146"/>
      <c r="AM323" s="124"/>
      <c r="AN323" s="134"/>
      <c r="AO323" s="135">
        <f t="shared" si="214"/>
        <v>0.85090218423551756</v>
      </c>
      <c r="AP323" s="136" t="s">
        <v>82</v>
      </c>
      <c r="AQ323" s="133"/>
      <c r="AR323" s="124"/>
      <c r="AS323" s="124"/>
      <c r="AT323" s="124">
        <f>4100-175</f>
        <v>3925</v>
      </c>
      <c r="AU323" s="133"/>
      <c r="AV323" s="124"/>
      <c r="AW323" s="146"/>
      <c r="AX323" s="124"/>
      <c r="AY323" s="133"/>
      <c r="AZ323" s="124"/>
      <c r="BA323" s="124"/>
      <c r="BB323" s="124"/>
      <c r="BC323" s="124"/>
      <c r="BD323" s="124"/>
      <c r="BE323" s="124"/>
      <c r="BF323" s="124"/>
      <c r="BG323" s="124"/>
      <c r="BH323" s="137"/>
      <c r="BI323" s="138">
        <f t="shared" si="215"/>
        <v>0.14909781576448244</v>
      </c>
      <c r="BJ323" s="139">
        <v>2.8380000000000001</v>
      </c>
      <c r="BK323" s="140">
        <v>41</v>
      </c>
      <c r="BL323" s="129">
        <v>4.3999999999999997E-2</v>
      </c>
      <c r="BM323" s="129">
        <v>0.2</v>
      </c>
      <c r="BN323" s="129">
        <v>0.5</v>
      </c>
      <c r="BO323" s="129">
        <v>1</v>
      </c>
      <c r="BP323" s="129">
        <v>1.7</v>
      </c>
      <c r="BQ323" s="129">
        <v>2.2999999999999998</v>
      </c>
      <c r="BR323" s="129">
        <v>2.98</v>
      </c>
      <c r="BS323" s="129">
        <v>2.98</v>
      </c>
      <c r="BT323" s="122">
        <v>42</v>
      </c>
      <c r="BU323" s="124">
        <v>3000</v>
      </c>
      <c r="BV323" s="147">
        <v>42089</v>
      </c>
      <c r="BW323" s="125">
        <v>0.69286701611337609</v>
      </c>
      <c r="BX323" s="124">
        <v>17506</v>
      </c>
      <c r="BY323" s="124">
        <v>5312</v>
      </c>
      <c r="BZ323" s="125">
        <v>0.30343882097566549</v>
      </c>
      <c r="CA323" s="124">
        <v>99</v>
      </c>
      <c r="CB323" s="124">
        <v>217</v>
      </c>
      <c r="CC323" s="125">
        <v>5.6552039300811147E-3</v>
      </c>
      <c r="CD323" s="125">
        <v>1.2395750028561636E-2</v>
      </c>
    </row>
    <row r="324" spans="1:82" x14ac:dyDescent="0.25">
      <c r="A324" s="120" t="s">
        <v>122</v>
      </c>
      <c r="B324" s="121" t="s">
        <v>86</v>
      </c>
      <c r="C324" s="122">
        <v>630</v>
      </c>
      <c r="D324" s="123">
        <v>526.29999999999995</v>
      </c>
      <c r="E324" s="123">
        <v>20603.802575000002</v>
      </c>
      <c r="F324" s="124">
        <v>35400</v>
      </c>
      <c r="G324" s="124">
        <v>35215</v>
      </c>
      <c r="H324" s="125">
        <f t="shared" si="202"/>
        <v>5.2259887005649715E-3</v>
      </c>
      <c r="I324" s="120">
        <v>235</v>
      </c>
      <c r="J324" s="125">
        <f t="shared" si="203"/>
        <v>6.6384180790960449E-3</v>
      </c>
      <c r="K324" s="124">
        <v>93400</v>
      </c>
      <c r="L324" s="124">
        <v>152660</v>
      </c>
      <c r="M324" s="126">
        <f t="shared" si="204"/>
        <v>2.6522788584410053</v>
      </c>
      <c r="N324" s="126">
        <f t="shared" si="205"/>
        <v>1.634475374732334</v>
      </c>
      <c r="O324" s="126">
        <f t="shared" si="206"/>
        <v>1.6438581801907564</v>
      </c>
      <c r="P324" s="127">
        <f>IF(G324=0,0,+E324/G324)</f>
        <v>0.58508597401675422</v>
      </c>
      <c r="Q324" s="127">
        <f>IF(G324=0,0,+D324/G324)</f>
        <v>1.4945335794405792E-2</v>
      </c>
      <c r="R324" s="124">
        <v>2100</v>
      </c>
      <c r="S324" s="127">
        <f>IF(R324=0,0,+E324/R324)</f>
        <v>9.8113345595238108</v>
      </c>
      <c r="T324" s="126">
        <f t="shared" si="207"/>
        <v>16.857142857142858</v>
      </c>
      <c r="U324" s="126">
        <f t="shared" si="208"/>
        <v>4.3350844810450093</v>
      </c>
      <c r="V324" s="128">
        <v>42.19</v>
      </c>
      <c r="W324" s="124">
        <v>34</v>
      </c>
      <c r="X324" s="126">
        <v>1.9904761904761905</v>
      </c>
      <c r="Y324" s="124">
        <v>8400</v>
      </c>
      <c r="Z324" s="129">
        <f t="shared" si="209"/>
        <v>6.2865106860417283E-2</v>
      </c>
      <c r="AA324" s="130">
        <f t="shared" si="210"/>
        <v>5.8543417366946779E-2</v>
      </c>
      <c r="AB324" s="131">
        <v>0.29943502824858759</v>
      </c>
      <c r="AC324" s="131">
        <v>1.4175141242937852</v>
      </c>
      <c r="AD324" s="131">
        <v>2.0446327683615819</v>
      </c>
      <c r="AE324" s="131">
        <v>0.55084745762711862</v>
      </c>
      <c r="AF324" s="132" t="s">
        <v>81</v>
      </c>
      <c r="AG324" s="133"/>
      <c r="AH324" s="133"/>
      <c r="AI324" s="133"/>
      <c r="AJ324" s="133"/>
      <c r="AK324" s="133"/>
      <c r="AL324" s="133">
        <v>35400</v>
      </c>
      <c r="AM324" s="133"/>
      <c r="AN324" s="134"/>
      <c r="AO324" s="135">
        <f t="shared" si="214"/>
        <v>1</v>
      </c>
      <c r="AP324" s="136" t="s">
        <v>82</v>
      </c>
      <c r="AQ324" s="124"/>
      <c r="AR324" s="124"/>
      <c r="AS324" s="124"/>
      <c r="AT324" s="124"/>
      <c r="AU324" s="124"/>
      <c r="AV324" s="124"/>
      <c r="AW324" s="124"/>
      <c r="AX324" s="124"/>
      <c r="AY324" s="124"/>
      <c r="AZ324" s="124"/>
      <c r="BA324" s="124"/>
      <c r="BB324" s="124"/>
      <c r="BC324" s="124"/>
      <c r="BD324" s="124"/>
      <c r="BE324" s="124"/>
      <c r="BF324" s="124"/>
      <c r="BG324" s="124"/>
      <c r="BH324" s="137"/>
      <c r="BI324" s="138">
        <f t="shared" si="215"/>
        <v>0</v>
      </c>
      <c r="BJ324" s="139">
        <v>2.8420000000000001</v>
      </c>
      <c r="BK324" s="140">
        <v>42</v>
      </c>
      <c r="BL324" s="141">
        <v>3.7999999999999999E-2</v>
      </c>
      <c r="BM324" s="141">
        <v>0.17499999999999999</v>
      </c>
      <c r="BN324" s="141">
        <v>0.4</v>
      </c>
      <c r="BO324" s="141">
        <v>0.93200000000000005</v>
      </c>
      <c r="BP324" s="141">
        <v>1.48</v>
      </c>
      <c r="BQ324" s="141">
        <v>2.09</v>
      </c>
      <c r="BR324" s="141">
        <v>2.8420000000000001</v>
      </c>
      <c r="BS324" s="141">
        <v>2.9340000000000002</v>
      </c>
      <c r="BT324" s="122">
        <v>43</v>
      </c>
      <c r="BU324" s="124"/>
      <c r="BV324" s="142">
        <v>42354</v>
      </c>
      <c r="BW324" s="125">
        <v>0.69179707876890972</v>
      </c>
      <c r="BX324" s="124">
        <v>26341</v>
      </c>
      <c r="BY324" s="124">
        <v>11324</v>
      </c>
      <c r="BZ324" s="125">
        <v>0.42990015565088646</v>
      </c>
      <c r="CA324" s="124">
        <v>66</v>
      </c>
      <c r="CB324" s="124">
        <v>135</v>
      </c>
      <c r="CC324" s="125">
        <v>2.505599635549144E-3</v>
      </c>
      <c r="CD324" s="125">
        <v>5.1250901636232492E-3</v>
      </c>
    </row>
    <row r="325" spans="1:82" ht="15.75" thickBot="1" x14ac:dyDescent="0.3">
      <c r="A325" s="161" t="s">
        <v>122</v>
      </c>
      <c r="B325" s="162" t="s">
        <v>86</v>
      </c>
      <c r="C325" s="163">
        <v>630</v>
      </c>
      <c r="D325" s="164">
        <v>983.49</v>
      </c>
      <c r="E325" s="164">
        <v>27407.87</v>
      </c>
      <c r="F325" s="165">
        <v>44800</v>
      </c>
      <c r="G325" s="165">
        <v>44288</v>
      </c>
      <c r="H325" s="166">
        <f t="shared" si="202"/>
        <v>1.1428571428571429E-2</v>
      </c>
      <c r="I325" s="161">
        <v>393</v>
      </c>
      <c r="J325" s="166">
        <f t="shared" si="203"/>
        <v>8.7723214285714279E-3</v>
      </c>
      <c r="K325" s="165">
        <v>119700</v>
      </c>
      <c r="L325" s="165">
        <v>195480</v>
      </c>
      <c r="M325" s="167">
        <f t="shared" si="204"/>
        <v>2.7027637283236996</v>
      </c>
      <c r="N325" s="167">
        <f t="shared" si="205"/>
        <v>1.6330827067669174</v>
      </c>
      <c r="O325" s="167">
        <f t="shared" si="206"/>
        <v>1.6421298455474804</v>
      </c>
      <c r="P325" s="168">
        <f>IF(G325=0,0,+E325/G325)</f>
        <v>0.61885544617052024</v>
      </c>
      <c r="Q325" s="168">
        <f>IF(G325=0,0,+D325/G325)</f>
        <v>2.2206692557803467E-2</v>
      </c>
      <c r="R325" s="165">
        <v>2700</v>
      </c>
      <c r="S325" s="168">
        <f>IF(R325=0,0,+E325/R325)</f>
        <v>10.151062962962962</v>
      </c>
      <c r="T325" s="126">
        <f t="shared" si="207"/>
        <v>16.592592592592592</v>
      </c>
      <c r="U325" s="126">
        <f t="shared" si="208"/>
        <v>4.4138367052023124</v>
      </c>
      <c r="V325" s="169">
        <v>42.27</v>
      </c>
      <c r="W325" s="165">
        <v>33</v>
      </c>
      <c r="X325" s="167">
        <v>2.0680000000000001</v>
      </c>
      <c r="Y325" s="165">
        <v>8000</v>
      </c>
      <c r="Z325" s="170">
        <f t="shared" si="209"/>
        <v>6.3940471453127493E-2</v>
      </c>
      <c r="AA325" s="171">
        <f t="shared" si="210"/>
        <v>6.2666666666666662E-2</v>
      </c>
      <c r="AB325" s="172">
        <v>0.31651785714285713</v>
      </c>
      <c r="AC325" s="172">
        <v>1.4236607142857143</v>
      </c>
      <c r="AD325" s="172">
        <v>2.4080357142857145</v>
      </c>
      <c r="AE325" s="172">
        <v>0.21517857142857144</v>
      </c>
      <c r="AF325" s="173" t="s">
        <v>81</v>
      </c>
      <c r="AG325" s="174"/>
      <c r="AH325" s="174"/>
      <c r="AI325" s="174"/>
      <c r="AJ325" s="174"/>
      <c r="AK325" s="165"/>
      <c r="AL325" s="165"/>
      <c r="AM325" s="165"/>
      <c r="AN325" s="175"/>
      <c r="AO325" s="176">
        <f t="shared" si="214"/>
        <v>0</v>
      </c>
      <c r="AP325" s="177" t="s">
        <v>82</v>
      </c>
      <c r="AQ325" s="165"/>
      <c r="AR325" s="165"/>
      <c r="AS325" s="165"/>
      <c r="AT325" s="165"/>
      <c r="AU325" s="165">
        <v>42600</v>
      </c>
      <c r="AV325" s="165"/>
      <c r="AW325" s="165"/>
      <c r="AX325" s="165"/>
      <c r="AY325" s="165"/>
      <c r="AZ325" s="165"/>
      <c r="BA325" s="165"/>
      <c r="BB325" s="165"/>
      <c r="BC325" s="165"/>
      <c r="BD325" s="165">
        <v>2200</v>
      </c>
      <c r="BE325" s="165"/>
      <c r="BF325" s="165"/>
      <c r="BG325" s="165"/>
      <c r="BH325" s="175"/>
      <c r="BI325" s="178">
        <f t="shared" si="215"/>
        <v>1</v>
      </c>
      <c r="BJ325" s="179">
        <v>2.863</v>
      </c>
      <c r="BK325" s="180">
        <v>42</v>
      </c>
      <c r="BL325" s="170"/>
      <c r="BM325" s="170">
        <v>0.375</v>
      </c>
      <c r="BN325" s="170">
        <v>0.48399999999999999</v>
      </c>
      <c r="BO325" s="170">
        <v>0.98</v>
      </c>
      <c r="BP325" s="170">
        <v>1.6</v>
      </c>
      <c r="BQ325" s="170">
        <v>2.2000000000000002</v>
      </c>
      <c r="BR325" s="170">
        <v>2.863</v>
      </c>
      <c r="BS325" s="170">
        <v>2.786</v>
      </c>
      <c r="BT325" s="163">
        <v>43</v>
      </c>
      <c r="BU325" s="165"/>
      <c r="BV325" s="181">
        <v>42284</v>
      </c>
      <c r="BW325" s="166">
        <v>0.70528324932144248</v>
      </c>
      <c r="BX325" s="165">
        <v>36136</v>
      </c>
      <c r="BY325" s="165">
        <v>18192</v>
      </c>
      <c r="BZ325" s="166">
        <v>0.50343148107150759</v>
      </c>
      <c r="CA325" s="165">
        <v>56</v>
      </c>
      <c r="CB325" s="165">
        <v>188</v>
      </c>
      <c r="CC325" s="166">
        <v>1.5497011290679654E-3</v>
      </c>
      <c r="CD325" s="166">
        <v>5.2025680761567409E-3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2020-09-30T16:59:06Z</dcterms:modified>
</cp:coreProperties>
</file>